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myfedex.sharepoint.com/teams/Control-RTH-Gatehouse/Shared Documents/General/Z Control - RTH - Gatehouse Z/File OUTBOUND/Week Outbound Template/"/>
    </mc:Choice>
  </mc:AlternateContent>
  <xr:revisionPtr revIDLastSave="0" documentId="8_{3F406767-6ECC-4A1F-B44E-3EA86793C441}" xr6:coauthVersionLast="47" xr6:coauthVersionMax="47" xr10:uidLastSave="{00000000-0000-0000-0000-000000000000}"/>
  <bookViews>
    <workbookView xWindow="-28920" yWindow="-120" windowWidth="29040" windowHeight="15720" firstSheet="1" activeTab="1" xr2:uid="{81196144-DDCC-49C0-9699-685F409BA2C6}"/>
  </bookViews>
  <sheets>
    <sheet name="Outlist Originale" sheetId="36" state="hidden" r:id="rId1"/>
    <sheet name="Outbound" sheetId="39" r:id="rId2"/>
    <sheet name="Mezzi Vuoti Lun - Dom" sheetId="22" r:id="rId3"/>
    <sheet name="Outlist" sheetId="40" r:id="rId4"/>
    <sheet name="STAT 77" sheetId="41" r:id="rId5"/>
    <sheet name="Sheet2" sheetId="45" r:id="rId6"/>
    <sheet name="Sheet1" sheetId="44" r:id="rId7"/>
    <sheet name="STAT 77 Table" sheetId="42" state="hidden" r:id="rId8"/>
    <sheet name="Mezzi STBY" sheetId="24" r:id="rId9"/>
    <sheet name="Elenco Casse" sheetId="35" r:id="rId10"/>
    <sheet name="Cambio O2P" sheetId="43" state="hidden" r:id="rId11"/>
    <sheet name="INformazioni per calcoli" sheetId="32" r:id="rId12"/>
    <sheet name="Sheet3" sheetId="46" r:id="rId13"/>
  </sheets>
  <definedNames>
    <definedName name="_xlnm._FilterDatabase" localSheetId="8" hidden="1">'Mezzi STBY'!$D$3:$J$3</definedName>
    <definedName name="_xlnm._FilterDatabase" localSheetId="2" hidden="1">'Mezzi Vuoti Lun - Dom'!$A$1:$F$195</definedName>
    <definedName name="_xlnm._FilterDatabase" localSheetId="1" hidden="1">Outbound!$CN$1:$CO$411</definedName>
    <definedName name="_xlnm._FilterDatabase" localSheetId="3" hidden="1">Outlist!$AK$3:$BL$169</definedName>
    <definedName name="_xlnm._FilterDatabase" localSheetId="0" hidden="1">'Outlist Originale'!$AJ$3:$BJ$130</definedName>
    <definedName name="_FiltroDatabase78" localSheetId="1" hidden="1">Outbound!$B$1:$BA$355</definedName>
    <definedName name="_xleta.IF" hidden="1" xlm="1">#NAME?</definedName>
    <definedName name="_xleta.IFERROR" hidden="1" xlm="1">#NAME?</definedName>
    <definedName name="A" localSheetId="1" hidden="1">Outbound!$B$1:$BA$300</definedName>
    <definedName name="_xlnm.Print_Area" localSheetId="3">Outlist!$A$1:$Y$102</definedName>
    <definedName name="_xlnm.Print_Area" localSheetId="0">'Outlist Originale'!$A$1:$X$63</definedName>
    <definedName name="b" localSheetId="1" hidden="1">Outbound!$B$1:$BA$355</definedName>
    <definedName name="f" localSheetId="1" hidden="1">Outbound!$B$1:$BA$355</definedName>
    <definedName name="H" localSheetId="1" hidden="1">Outbound!$B$1:$BA$354</definedName>
    <definedName name="N" localSheetId="1" hidden="1">Outbound!$B$1:$BA$300</definedName>
    <definedName name="S" localSheetId="1" hidden="1">Outbound!$B$1:$BA$320</definedName>
    <definedName name="Y" localSheetId="1" hidden="1">Outbound!$B$1:$BA$354</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62" i="41" l="1"/>
  <c r="I263" i="41"/>
  <c r="I264" i="41"/>
  <c r="I265" i="41"/>
  <c r="I266" i="41"/>
  <c r="I267" i="41"/>
  <c r="I268" i="41"/>
  <c r="I269" i="41"/>
  <c r="I270" i="41"/>
  <c r="I271" i="41"/>
  <c r="I272" i="41"/>
  <c r="I273" i="41"/>
  <c r="I274" i="41"/>
  <c r="I275" i="41"/>
  <c r="I276" i="41"/>
  <c r="I277" i="41"/>
  <c r="I278" i="41"/>
  <c r="I279" i="41"/>
  <c r="I280" i="41"/>
  <c r="I281" i="41"/>
  <c r="I282" i="41"/>
  <c r="I283" i="41"/>
  <c r="I284" i="41"/>
  <c r="I285" i="41"/>
  <c r="I286" i="41"/>
  <c r="I287" i="41"/>
  <c r="I288" i="41"/>
  <c r="I289" i="41"/>
  <c r="I290" i="41"/>
  <c r="I291" i="41"/>
  <c r="I292" i="41"/>
  <c r="I293" i="41"/>
  <c r="I294" i="41"/>
  <c r="I295" i="41"/>
  <c r="I296" i="41"/>
  <c r="I297" i="41"/>
  <c r="I298" i="41"/>
  <c r="I299" i="41"/>
  <c r="I300" i="41"/>
  <c r="I301" i="41"/>
  <c r="I302" i="41"/>
  <c r="I303" i="41"/>
  <c r="I304" i="41"/>
  <c r="I305" i="41"/>
  <c r="I306" i="41"/>
  <c r="I307" i="41"/>
  <c r="I308" i="41"/>
  <c r="I309" i="41"/>
  <c r="I310" i="41"/>
  <c r="I311" i="41"/>
  <c r="I312" i="41"/>
  <c r="I313" i="41"/>
  <c r="I314" i="41"/>
  <c r="I315" i="41"/>
  <c r="I316" i="41"/>
  <c r="I317" i="41"/>
  <c r="I318" i="41"/>
  <c r="I319" i="41"/>
  <c r="I320" i="41"/>
  <c r="I321" i="41"/>
  <c r="I322" i="41"/>
  <c r="I323" i="41"/>
  <c r="I324" i="41"/>
  <c r="I325" i="41"/>
  <c r="I326" i="41"/>
  <c r="I327" i="41"/>
  <c r="I328" i="41"/>
  <c r="I329" i="41"/>
  <c r="I330" i="41"/>
  <c r="I331" i="41"/>
  <c r="I332" i="41"/>
  <c r="I333" i="41"/>
  <c r="I334" i="41"/>
  <c r="I335" i="41"/>
  <c r="I336" i="41"/>
  <c r="I337" i="41"/>
  <c r="I338" i="41"/>
  <c r="I339" i="41"/>
  <c r="I340" i="41"/>
  <c r="I341" i="41"/>
  <c r="I342" i="41"/>
  <c r="I343" i="41"/>
  <c r="I344" i="41"/>
  <c r="I345" i="41"/>
  <c r="I346" i="41"/>
  <c r="I347" i="41"/>
  <c r="I348" i="41"/>
  <c r="I349" i="41"/>
  <c r="I350" i="41"/>
  <c r="I351" i="41"/>
  <c r="I352" i="41"/>
  <c r="I353" i="41"/>
  <c r="I354" i="41"/>
  <c r="I355" i="41"/>
  <c r="I356" i="41"/>
  <c r="I357" i="41"/>
  <c r="I358" i="41"/>
  <c r="I359" i="41"/>
  <c r="I360" i="41"/>
  <c r="I361" i="41"/>
  <c r="I362" i="41"/>
  <c r="I363" i="41"/>
  <c r="I364" i="41"/>
  <c r="I365" i="41"/>
  <c r="I366" i="41"/>
  <c r="I367" i="41"/>
  <c r="I368" i="41"/>
  <c r="I369" i="41"/>
  <c r="I370" i="41"/>
  <c r="I371" i="41"/>
  <c r="I372" i="41"/>
  <c r="I373" i="41"/>
  <c r="I374" i="41"/>
  <c r="I375" i="41"/>
  <c r="I376" i="41"/>
  <c r="I377" i="41"/>
  <c r="I378" i="41"/>
  <c r="I379" i="41"/>
  <c r="I380" i="41"/>
  <c r="I381" i="41"/>
  <c r="I382" i="41"/>
  <c r="I383" i="41"/>
  <c r="I384" i="41"/>
  <c r="I385" i="41"/>
  <c r="I386" i="41"/>
  <c r="I387" i="41"/>
  <c r="I388" i="41"/>
  <c r="I389" i="41"/>
  <c r="I390" i="41"/>
  <c r="I391" i="41"/>
  <c r="I392" i="41"/>
  <c r="I393" i="41"/>
  <c r="I394" i="41"/>
  <c r="I395" i="41"/>
  <c r="I396" i="41"/>
  <c r="I397" i="41"/>
  <c r="I398" i="41"/>
  <c r="I399" i="41"/>
  <c r="I400" i="41"/>
  <c r="I401" i="41"/>
  <c r="I402" i="41"/>
  <c r="I403" i="41"/>
  <c r="I404" i="41"/>
  <c r="I405" i="41"/>
  <c r="I406" i="41"/>
  <c r="I407" i="41"/>
  <c r="I408" i="41"/>
  <c r="I409" i="41"/>
  <c r="I410" i="41"/>
  <c r="I411" i="41"/>
  <c r="I412" i="41"/>
  <c r="I413" i="41"/>
  <c r="I414" i="41"/>
  <c r="I415" i="41"/>
  <c r="I416" i="41"/>
  <c r="I417" i="41"/>
  <c r="I418" i="41"/>
  <c r="I419" i="41"/>
  <c r="I420" i="41"/>
  <c r="I421" i="41"/>
  <c r="I422" i="41"/>
  <c r="I423" i="41"/>
  <c r="I424" i="41"/>
  <c r="I425" i="41"/>
  <c r="I426" i="41"/>
  <c r="I427" i="41"/>
  <c r="I428" i="41"/>
  <c r="I429" i="41"/>
  <c r="I430" i="41"/>
  <c r="I431" i="41"/>
  <c r="I432" i="41"/>
  <c r="I433" i="41"/>
  <c r="I434" i="41"/>
  <c r="I435" i="41"/>
  <c r="I436" i="41"/>
  <c r="I437" i="41"/>
  <c r="I438" i="41"/>
  <c r="I439" i="41"/>
  <c r="I440" i="41"/>
  <c r="I441" i="41"/>
  <c r="I442" i="41"/>
  <c r="I443" i="41"/>
  <c r="I444" i="41"/>
  <c r="I445" i="41"/>
  <c r="I446" i="41"/>
  <c r="I447" i="41"/>
  <c r="I448" i="41"/>
  <c r="I449" i="41"/>
  <c r="I450" i="41"/>
  <c r="I451" i="41"/>
  <c r="I452" i="41"/>
  <c r="I453" i="41"/>
  <c r="I454" i="41"/>
  <c r="I455" i="41"/>
  <c r="I456" i="41"/>
  <c r="I457" i="41"/>
  <c r="I458" i="41"/>
  <c r="I459" i="41"/>
  <c r="I460" i="41"/>
  <c r="I461" i="41"/>
  <c r="I462" i="41"/>
  <c r="I463" i="41"/>
  <c r="I464" i="41"/>
  <c r="I465" i="41"/>
  <c r="I466" i="41"/>
  <c r="I467" i="41"/>
  <c r="I468" i="41"/>
  <c r="I469" i="41"/>
  <c r="I470" i="41"/>
  <c r="I471" i="41"/>
  <c r="I472" i="41"/>
  <c r="I473" i="41"/>
  <c r="I474" i="41"/>
  <c r="I475" i="41"/>
  <c r="I476" i="41"/>
  <c r="I477" i="41"/>
  <c r="I478" i="41"/>
  <c r="I479" i="41"/>
  <c r="I480" i="41"/>
  <c r="I481" i="41"/>
  <c r="I482" i="41"/>
  <c r="I483" i="41"/>
  <c r="I484" i="41"/>
  <c r="I485" i="41"/>
  <c r="I486" i="41"/>
  <c r="I487" i="41"/>
  <c r="I488" i="41"/>
  <c r="I489" i="41"/>
  <c r="I490" i="41"/>
  <c r="I491" i="41"/>
  <c r="I492" i="41"/>
  <c r="I493" i="41"/>
  <c r="I494" i="41"/>
  <c r="I495" i="41"/>
  <c r="I496" i="41"/>
  <c r="I497" i="41"/>
  <c r="I498" i="41"/>
  <c r="I499" i="41"/>
  <c r="I500" i="41"/>
  <c r="I501" i="41"/>
  <c r="I502" i="41"/>
  <c r="I503" i="41"/>
  <c r="I504" i="41"/>
  <c r="I505" i="41"/>
  <c r="I506" i="41"/>
  <c r="I507" i="41"/>
  <c r="I508" i="41"/>
  <c r="I509" i="41"/>
  <c r="I510" i="41"/>
  <c r="I511" i="41"/>
  <c r="I512" i="41"/>
  <c r="I513" i="41"/>
  <c r="I514" i="41"/>
  <c r="I515" i="41"/>
  <c r="I516" i="41"/>
  <c r="I517" i="41"/>
  <c r="I518" i="41"/>
  <c r="I519" i="41"/>
  <c r="I520" i="41"/>
  <c r="I521" i="41"/>
  <c r="I522" i="41"/>
  <c r="I523" i="41"/>
  <c r="I524" i="41"/>
  <c r="I525" i="41"/>
  <c r="I526" i="41"/>
  <c r="I527" i="41"/>
  <c r="I528" i="41"/>
  <c r="I529" i="41"/>
  <c r="I530" i="41"/>
  <c r="I531" i="41"/>
  <c r="I532" i="41"/>
  <c r="I533" i="41"/>
  <c r="I534" i="41"/>
  <c r="I535" i="41"/>
  <c r="I536" i="41"/>
  <c r="I537" i="41"/>
  <c r="I538" i="41"/>
  <c r="I539" i="41"/>
  <c r="I540" i="41"/>
  <c r="I541" i="41"/>
  <c r="I542" i="41"/>
  <c r="I543" i="41"/>
  <c r="I544" i="41"/>
  <c r="I545" i="41"/>
  <c r="I546" i="41"/>
  <c r="I547" i="41"/>
  <c r="I548" i="41"/>
  <c r="I549" i="41"/>
  <c r="I550" i="41"/>
  <c r="I551" i="41"/>
  <c r="I552" i="41"/>
  <c r="I553" i="41"/>
  <c r="I554" i="41"/>
  <c r="I555" i="41"/>
  <c r="I556" i="41"/>
  <c r="I557" i="41"/>
  <c r="I558" i="41"/>
  <c r="I559" i="41"/>
  <c r="I560" i="41"/>
  <c r="I561" i="41"/>
  <c r="I562" i="41"/>
  <c r="I563" i="41"/>
  <c r="I564" i="41"/>
  <c r="I565" i="41"/>
  <c r="I566" i="41"/>
  <c r="I567" i="41"/>
  <c r="I568" i="41"/>
  <c r="I569" i="41"/>
  <c r="I570" i="41"/>
  <c r="I571" i="41"/>
  <c r="I572" i="41"/>
  <c r="I573" i="41"/>
  <c r="I574" i="41"/>
  <c r="I575" i="41"/>
  <c r="I576" i="41"/>
  <c r="I577" i="41"/>
  <c r="I578" i="41"/>
  <c r="I579" i="41"/>
  <c r="I580" i="41"/>
  <c r="I581" i="41"/>
  <c r="I582" i="41"/>
  <c r="I583" i="41"/>
  <c r="I584" i="41"/>
  <c r="I585" i="41"/>
  <c r="I586" i="41"/>
  <c r="I587" i="41"/>
  <c r="I588" i="41"/>
  <c r="I589" i="41"/>
  <c r="I590" i="41"/>
  <c r="I591" i="41"/>
  <c r="I592" i="41"/>
  <c r="I593" i="41"/>
  <c r="I594" i="41"/>
  <c r="I595" i="41"/>
  <c r="I596" i="41"/>
  <c r="I597" i="41"/>
  <c r="I598" i="41"/>
  <c r="I599" i="41"/>
  <c r="I600" i="41"/>
  <c r="I601" i="41"/>
  <c r="I602" i="41"/>
  <c r="I603" i="41"/>
  <c r="I604" i="41"/>
  <c r="I605" i="41"/>
  <c r="I606" i="41"/>
  <c r="I607" i="41"/>
  <c r="I608" i="41"/>
  <c r="I609" i="41"/>
  <c r="I610" i="41"/>
  <c r="I611" i="41"/>
  <c r="I612" i="41"/>
  <c r="I613" i="41"/>
  <c r="I614" i="41"/>
  <c r="I615" i="41"/>
  <c r="I616" i="41"/>
  <c r="I617" i="41"/>
  <c r="I618" i="41"/>
  <c r="I619" i="41"/>
  <c r="I620" i="41"/>
  <c r="I621" i="41"/>
  <c r="I622" i="41"/>
  <c r="I623" i="41"/>
  <c r="I624" i="41"/>
  <c r="I625" i="41"/>
  <c r="I626" i="41"/>
  <c r="I627" i="41"/>
  <c r="I628" i="41"/>
  <c r="I629" i="41"/>
  <c r="I630" i="41"/>
  <c r="I631" i="41"/>
  <c r="I632" i="41"/>
  <c r="I633" i="41"/>
  <c r="I634" i="41"/>
  <c r="I635" i="41"/>
  <c r="I636" i="41"/>
  <c r="I637" i="41"/>
  <c r="I638" i="41"/>
  <c r="I639" i="41"/>
  <c r="I640" i="41"/>
  <c r="I641" i="41"/>
  <c r="I642" i="41"/>
  <c r="I643" i="41"/>
  <c r="I644" i="41"/>
  <c r="I645" i="41"/>
  <c r="I646" i="41"/>
  <c r="I647" i="41"/>
  <c r="I648" i="41"/>
  <c r="I649" i="41"/>
  <c r="I650" i="41"/>
  <c r="I651" i="41"/>
  <c r="I652" i="41"/>
  <c r="I653" i="41"/>
  <c r="I654" i="41"/>
  <c r="I655" i="41"/>
  <c r="I656" i="41"/>
  <c r="I657" i="41"/>
  <c r="I658" i="41"/>
  <c r="I659" i="41"/>
  <c r="I660" i="41"/>
  <c r="I661" i="41"/>
  <c r="I662" i="41"/>
  <c r="I663" i="41"/>
  <c r="I664" i="41"/>
  <c r="I665" i="41"/>
  <c r="I666" i="41"/>
  <c r="I667" i="41"/>
  <c r="I668" i="41"/>
  <c r="I669" i="41"/>
  <c r="I670" i="41"/>
  <c r="I671" i="41"/>
  <c r="I672" i="41"/>
  <c r="I673" i="41"/>
  <c r="I674" i="41"/>
  <c r="I675" i="41"/>
  <c r="I676" i="41"/>
  <c r="I677" i="41"/>
  <c r="I678" i="41"/>
  <c r="I679" i="41"/>
  <c r="I680" i="41"/>
  <c r="I681" i="41"/>
  <c r="I682" i="41"/>
  <c r="I683" i="41"/>
  <c r="I684" i="41"/>
  <c r="I685" i="41"/>
  <c r="I686" i="41"/>
  <c r="I687" i="41"/>
  <c r="I688" i="41"/>
  <c r="I689" i="41"/>
  <c r="I690" i="41"/>
  <c r="I691" i="41"/>
  <c r="I692" i="41"/>
  <c r="I693" i="41"/>
  <c r="I694" i="41"/>
  <c r="I695" i="41"/>
  <c r="I696" i="41"/>
  <c r="I697" i="41"/>
  <c r="I698" i="41"/>
  <c r="I699" i="41"/>
  <c r="I700" i="41"/>
  <c r="I701" i="41"/>
  <c r="I702" i="41"/>
  <c r="I703" i="41"/>
  <c r="I704" i="41"/>
  <c r="I705" i="41"/>
  <c r="I706" i="41"/>
  <c r="I707" i="41"/>
  <c r="I708" i="41"/>
  <c r="I709" i="41"/>
  <c r="I710" i="41"/>
  <c r="I711" i="41"/>
  <c r="I712" i="41"/>
  <c r="I713" i="41"/>
  <c r="I714" i="41"/>
  <c r="I715" i="41"/>
  <c r="I716" i="41"/>
  <c r="I717" i="41"/>
  <c r="I718" i="41"/>
  <c r="I719" i="41"/>
  <c r="I720" i="41"/>
  <c r="I721" i="41"/>
  <c r="I722" i="41"/>
  <c r="I723" i="41"/>
  <c r="I724" i="41"/>
  <c r="I725" i="41"/>
  <c r="I726" i="41"/>
  <c r="I727" i="41"/>
  <c r="I728" i="41"/>
  <c r="I729" i="41"/>
  <c r="I730" i="41"/>
  <c r="I731" i="41"/>
  <c r="I732" i="41"/>
  <c r="I733" i="41"/>
  <c r="I734" i="41"/>
  <c r="I735" i="41"/>
  <c r="I736" i="41"/>
  <c r="I737" i="41"/>
  <c r="I738" i="41"/>
  <c r="I739" i="41"/>
  <c r="I740" i="41"/>
  <c r="I741" i="41"/>
  <c r="I742" i="41"/>
  <c r="I743" i="41"/>
  <c r="I744" i="41"/>
  <c r="I745" i="41"/>
  <c r="I746" i="41"/>
  <c r="I747" i="41"/>
  <c r="I748" i="41"/>
  <c r="I749" i="41"/>
  <c r="I750" i="41"/>
  <c r="I751" i="41"/>
  <c r="I752" i="41"/>
  <c r="I753" i="41"/>
  <c r="I754" i="41"/>
  <c r="I755" i="41"/>
  <c r="I756" i="41"/>
  <c r="I757" i="41"/>
  <c r="I758" i="41"/>
  <c r="I759" i="41"/>
  <c r="I760" i="41"/>
  <c r="I761" i="41"/>
  <c r="I762" i="41"/>
  <c r="I763" i="41"/>
  <c r="I764" i="41"/>
  <c r="I765" i="41"/>
  <c r="I766" i="41"/>
  <c r="I767" i="41"/>
  <c r="I768" i="41"/>
  <c r="I769" i="41"/>
  <c r="I770" i="41"/>
  <c r="I771" i="41"/>
  <c r="I772" i="41"/>
  <c r="I773" i="41"/>
  <c r="I774" i="41"/>
  <c r="I775" i="41"/>
  <c r="I776" i="41"/>
  <c r="I777" i="41"/>
  <c r="I778" i="41"/>
  <c r="I779" i="41"/>
  <c r="I780" i="41"/>
  <c r="I781" i="41"/>
  <c r="I782" i="41"/>
  <c r="I783" i="41"/>
  <c r="I784" i="41"/>
  <c r="I785" i="41"/>
  <c r="I786" i="41"/>
  <c r="I787" i="41"/>
  <c r="I788" i="41"/>
  <c r="I789" i="41"/>
  <c r="I790" i="41"/>
  <c r="I791" i="41"/>
  <c r="I792" i="41"/>
  <c r="I793" i="41"/>
  <c r="I794" i="41"/>
  <c r="I795" i="41"/>
  <c r="I796" i="41"/>
  <c r="I797" i="41"/>
  <c r="I798" i="41"/>
  <c r="I799" i="41"/>
  <c r="I800" i="41"/>
  <c r="I801" i="41"/>
  <c r="I802" i="41"/>
  <c r="I803" i="41"/>
  <c r="I804" i="41"/>
  <c r="I805" i="41"/>
  <c r="I806" i="41"/>
  <c r="I807" i="41"/>
  <c r="I808" i="41"/>
  <c r="I809" i="41"/>
  <c r="I810" i="41"/>
  <c r="I811" i="41"/>
  <c r="I812" i="41"/>
  <c r="I813" i="41"/>
  <c r="I814" i="41"/>
  <c r="I815" i="41"/>
  <c r="I816" i="41"/>
  <c r="I817" i="41"/>
  <c r="I818" i="41"/>
  <c r="I819" i="41"/>
  <c r="I820" i="41"/>
  <c r="I821" i="41"/>
  <c r="I822" i="41"/>
  <c r="I823" i="41"/>
  <c r="I824" i="41"/>
  <c r="I825" i="41"/>
  <c r="I826" i="41"/>
  <c r="I827" i="41"/>
  <c r="I828" i="41"/>
  <c r="I829" i="41"/>
  <c r="I830" i="41"/>
  <c r="I831" i="41"/>
  <c r="I832" i="41"/>
  <c r="I833" i="41"/>
  <c r="I834" i="41"/>
  <c r="I835" i="41"/>
  <c r="I836" i="41"/>
  <c r="I837" i="41"/>
  <c r="I838" i="41"/>
  <c r="I839" i="41"/>
  <c r="I840" i="41"/>
  <c r="I841" i="41"/>
  <c r="I842" i="41"/>
  <c r="I843" i="41"/>
  <c r="I844" i="41"/>
  <c r="I845" i="41"/>
  <c r="I846" i="41"/>
  <c r="I847" i="41"/>
  <c r="I848" i="41"/>
  <c r="I849" i="41"/>
  <c r="I850" i="41"/>
  <c r="I851" i="41"/>
  <c r="I852" i="41"/>
  <c r="I853" i="41"/>
  <c r="I854" i="41"/>
  <c r="I855" i="41"/>
  <c r="I856" i="41"/>
  <c r="I857" i="41"/>
  <c r="I858" i="41"/>
  <c r="I859" i="41"/>
  <c r="I860" i="41"/>
  <c r="I861" i="41"/>
  <c r="I862" i="41"/>
  <c r="I863" i="41"/>
  <c r="I864" i="41"/>
  <c r="I865" i="41"/>
  <c r="I866" i="41"/>
  <c r="I867" i="41"/>
  <c r="I868" i="41"/>
  <c r="I869" i="41"/>
  <c r="I870" i="41"/>
  <c r="I871" i="41"/>
  <c r="I872" i="41"/>
  <c r="I873" i="41"/>
  <c r="I874" i="41"/>
  <c r="I875" i="41"/>
  <c r="I876" i="41"/>
  <c r="I877" i="41"/>
  <c r="I878" i="41"/>
  <c r="I879" i="41"/>
  <c r="I880" i="41"/>
  <c r="I881" i="41"/>
  <c r="I882" i="41"/>
  <c r="I883" i="41"/>
  <c r="I884" i="41"/>
  <c r="I885" i="41"/>
  <c r="I886" i="41"/>
  <c r="I887" i="41"/>
  <c r="I888" i="41"/>
  <c r="I889" i="41"/>
  <c r="I890" i="41"/>
  <c r="I891" i="41"/>
  <c r="I892" i="41"/>
  <c r="I893" i="41"/>
  <c r="I894" i="41"/>
  <c r="I895" i="41"/>
  <c r="I896" i="41"/>
  <c r="I897" i="41"/>
  <c r="I898" i="41"/>
  <c r="I899" i="41"/>
  <c r="I900" i="41"/>
  <c r="I901" i="41"/>
  <c r="I902" i="41"/>
  <c r="I903" i="41"/>
  <c r="I904" i="41"/>
  <c r="I905" i="41"/>
  <c r="I906" i="41"/>
  <c r="I907" i="41"/>
  <c r="I908" i="41"/>
  <c r="I909" i="41"/>
  <c r="I910" i="41"/>
  <c r="I911" i="41"/>
  <c r="I912" i="41"/>
  <c r="I913" i="41"/>
  <c r="I914" i="41"/>
  <c r="I915" i="41"/>
  <c r="I916" i="41"/>
  <c r="I917" i="41"/>
  <c r="I918" i="41"/>
  <c r="I919" i="41"/>
  <c r="I920" i="41"/>
  <c r="I921" i="41"/>
  <c r="I922" i="41"/>
  <c r="I923" i="41"/>
  <c r="I924" i="41"/>
  <c r="I925" i="41"/>
  <c r="I926" i="41"/>
  <c r="I927" i="41"/>
  <c r="I928" i="41"/>
  <c r="I929" i="41"/>
  <c r="I930" i="41"/>
  <c r="I931" i="41"/>
  <c r="I932" i="41"/>
  <c r="I933" i="41"/>
  <c r="I934" i="41"/>
  <c r="I935" i="41"/>
  <c r="I936" i="41"/>
  <c r="I937" i="41"/>
  <c r="I938" i="41"/>
  <c r="I939" i="41"/>
  <c r="I940" i="41"/>
  <c r="I941" i="41"/>
  <c r="I942" i="41"/>
  <c r="I943" i="41"/>
  <c r="I944" i="41"/>
  <c r="I945" i="41"/>
  <c r="I946" i="41"/>
  <c r="I947" i="41"/>
  <c r="I948" i="41"/>
  <c r="I949" i="41"/>
  <c r="I950" i="41"/>
  <c r="I951" i="41"/>
  <c r="I952" i="41"/>
  <c r="I953" i="41"/>
  <c r="I954" i="41"/>
  <c r="I955" i="41"/>
  <c r="I956" i="41"/>
  <c r="I957" i="41"/>
  <c r="I958" i="41"/>
  <c r="I959" i="41"/>
  <c r="I960" i="41"/>
  <c r="I961" i="41"/>
  <c r="I962" i="41"/>
  <c r="I963" i="41"/>
  <c r="I964" i="41"/>
  <c r="I965" i="41"/>
  <c r="I966" i="41"/>
  <c r="I967" i="41"/>
  <c r="I968" i="41"/>
  <c r="I969" i="41"/>
  <c r="I970" i="41"/>
  <c r="I971" i="41"/>
  <c r="I972" i="41"/>
  <c r="I973" i="41"/>
  <c r="I974" i="41"/>
  <c r="I975" i="41"/>
  <c r="I976" i="41"/>
  <c r="I977" i="41"/>
  <c r="I978" i="41"/>
  <c r="I979" i="41"/>
  <c r="I980" i="41"/>
  <c r="I981" i="41"/>
  <c r="I982" i="41"/>
  <c r="I983" i="41"/>
  <c r="I984" i="41"/>
  <c r="I985" i="41"/>
  <c r="I986" i="41"/>
  <c r="I987" i="41"/>
  <c r="I988" i="41"/>
  <c r="I989" i="41"/>
  <c r="I990" i="41"/>
  <c r="I991" i="41"/>
  <c r="I992" i="41"/>
  <c r="I993" i="41"/>
  <c r="I994" i="41"/>
  <c r="I995" i="41"/>
  <c r="I996" i="41"/>
  <c r="I997" i="41"/>
  <c r="I998" i="41"/>
  <c r="I999" i="41"/>
  <c r="I1000" i="41"/>
  <c r="I1001" i="41"/>
  <c r="I1002" i="41"/>
  <c r="I1003" i="41"/>
  <c r="I1004" i="41"/>
  <c r="I1005" i="41"/>
  <c r="I1006" i="41"/>
  <c r="I1007" i="41"/>
  <c r="I1008" i="41"/>
  <c r="I1009" i="41"/>
  <c r="I1010" i="41"/>
  <c r="I1011" i="41"/>
  <c r="I1012" i="41"/>
  <c r="I1013" i="41"/>
  <c r="I1014" i="41"/>
  <c r="I1015" i="41"/>
  <c r="I1016" i="41"/>
  <c r="I1017" i="41"/>
  <c r="I1018" i="41"/>
  <c r="I1019" i="41"/>
  <c r="I1020" i="41"/>
  <c r="I1021" i="41"/>
  <c r="I1022" i="41"/>
  <c r="I1023" i="41"/>
  <c r="I1024" i="41"/>
  <c r="I1025" i="41"/>
  <c r="I1026" i="41"/>
  <c r="I1027" i="41"/>
  <c r="I1028" i="41"/>
  <c r="I1029" i="41"/>
  <c r="I1030" i="41"/>
  <c r="I1031" i="41"/>
  <c r="I1032" i="41"/>
  <c r="I1033" i="41"/>
  <c r="I1034" i="41"/>
  <c r="I1035" i="41"/>
  <c r="I1036" i="41"/>
  <c r="I1037" i="41"/>
  <c r="I1038" i="41"/>
  <c r="I1039" i="41"/>
  <c r="I1040" i="41"/>
  <c r="I1041" i="41"/>
  <c r="I1042" i="41"/>
  <c r="I1043" i="41"/>
  <c r="I1044" i="41"/>
  <c r="I1045" i="41"/>
  <c r="I1046" i="41"/>
  <c r="I1047" i="41"/>
  <c r="I1048" i="41"/>
  <c r="I1049" i="41"/>
  <c r="I1050" i="41"/>
  <c r="I1051" i="41"/>
  <c r="I1052" i="41"/>
  <c r="I1053" i="41"/>
  <c r="I1054" i="41"/>
  <c r="I1055" i="41"/>
  <c r="I1056" i="41"/>
  <c r="I1057" i="41"/>
  <c r="I1058" i="41"/>
  <c r="I1059" i="41"/>
  <c r="I1060" i="41"/>
  <c r="I1061" i="41"/>
  <c r="I1062" i="41"/>
  <c r="I1063" i="41"/>
  <c r="I1064" i="41"/>
  <c r="I1065" i="41"/>
  <c r="I1066" i="41"/>
  <c r="I1067" i="41"/>
  <c r="I1068" i="41"/>
  <c r="I1069" i="41"/>
  <c r="I1070" i="41"/>
  <c r="I1071" i="41"/>
  <c r="I1072" i="41"/>
  <c r="I1073" i="41"/>
  <c r="I1074" i="41"/>
  <c r="I1075" i="41"/>
  <c r="I1076" i="41"/>
  <c r="I1077" i="41"/>
  <c r="I1078" i="41"/>
  <c r="I1079" i="41"/>
  <c r="I1080" i="41"/>
  <c r="I1081" i="41"/>
  <c r="I1082" i="41"/>
  <c r="I1083" i="41"/>
  <c r="I1084" i="41"/>
  <c r="I1085" i="41"/>
  <c r="I1086" i="41"/>
  <c r="I1087" i="41"/>
  <c r="I1088" i="41"/>
  <c r="I1089" i="41"/>
  <c r="I1090" i="41"/>
  <c r="I1091" i="41"/>
  <c r="I1092" i="41"/>
  <c r="I1093" i="41"/>
  <c r="I1094" i="41"/>
  <c r="I1095" i="41"/>
  <c r="I1096" i="41"/>
  <c r="I1097" i="41"/>
  <c r="I1098" i="41"/>
  <c r="I1099" i="41"/>
  <c r="I1100" i="41"/>
  <c r="I1101" i="41"/>
  <c r="I1102" i="41"/>
  <c r="I1103" i="41"/>
  <c r="I1104" i="41"/>
  <c r="I1105" i="41"/>
  <c r="I1106" i="41"/>
  <c r="I1107" i="41"/>
  <c r="I1108" i="41"/>
  <c r="I1109" i="41"/>
  <c r="I1110" i="41"/>
  <c r="I1111" i="41"/>
  <c r="I1112" i="41"/>
  <c r="I1113" i="41"/>
  <c r="I1114" i="41"/>
  <c r="I1115" i="41"/>
  <c r="I1116" i="41"/>
  <c r="I1117" i="41"/>
  <c r="I1118" i="41"/>
  <c r="I1119" i="41"/>
  <c r="I1120" i="41"/>
  <c r="I1121" i="41"/>
  <c r="I1122" i="41"/>
  <c r="I1123" i="41"/>
  <c r="I1124" i="41"/>
  <c r="I1125" i="41"/>
  <c r="I1126" i="41"/>
  <c r="I1127" i="41"/>
  <c r="I1128" i="41"/>
  <c r="I1129" i="41"/>
  <c r="I1130" i="41"/>
  <c r="I1131" i="41"/>
  <c r="I1132" i="41"/>
  <c r="I1133" i="41"/>
  <c r="I1134" i="41"/>
  <c r="I1135" i="41"/>
  <c r="I1136" i="41"/>
  <c r="I1137" i="41"/>
  <c r="I1138" i="41"/>
  <c r="I1139" i="41"/>
  <c r="I1140" i="41"/>
  <c r="I1141" i="41"/>
  <c r="I1142" i="41"/>
  <c r="I1143" i="41"/>
  <c r="I1144" i="41"/>
  <c r="I1145" i="41"/>
  <c r="I1146" i="41"/>
  <c r="I1147" i="41"/>
  <c r="I1148" i="41"/>
  <c r="I1149" i="41"/>
  <c r="I1150" i="41"/>
  <c r="I1151" i="41"/>
  <c r="I1152" i="41"/>
  <c r="I1153" i="41"/>
  <c r="I1154" i="41"/>
  <c r="I1155" i="41"/>
  <c r="I1156" i="41"/>
  <c r="I1157" i="41"/>
  <c r="I1158" i="41"/>
  <c r="I1159" i="41"/>
  <c r="I1160" i="41"/>
  <c r="I1161" i="41"/>
  <c r="I1162" i="41"/>
  <c r="I1163" i="41"/>
  <c r="I1164" i="41"/>
  <c r="I1165" i="41"/>
  <c r="I1166" i="41"/>
  <c r="I1167" i="41"/>
  <c r="I1168" i="41"/>
  <c r="I1169" i="41"/>
  <c r="I1170" i="41"/>
  <c r="I1171" i="41"/>
  <c r="I1172" i="41"/>
  <c r="I1173" i="41"/>
  <c r="I1174" i="41"/>
  <c r="I1175" i="41"/>
  <c r="I1176" i="41"/>
  <c r="I1177" i="41"/>
  <c r="I1178" i="41"/>
  <c r="I1179" i="41"/>
  <c r="I1180" i="41"/>
  <c r="I1181" i="41"/>
  <c r="I1182" i="41"/>
  <c r="I1183" i="41"/>
  <c r="I1184" i="41"/>
  <c r="I1185" i="41"/>
  <c r="I1186" i="41"/>
  <c r="I1187" i="41"/>
  <c r="I1188" i="41"/>
  <c r="I1189" i="41"/>
  <c r="I1190" i="41"/>
  <c r="I1191" i="41"/>
  <c r="I1192" i="41"/>
  <c r="I1193" i="41"/>
  <c r="I1194" i="41"/>
  <c r="I1195" i="41"/>
  <c r="I1196" i="41"/>
  <c r="I1197" i="41"/>
  <c r="I1198" i="41"/>
  <c r="I1199" i="41"/>
  <c r="I1200" i="41"/>
  <c r="I1201" i="41"/>
  <c r="I1202" i="41"/>
  <c r="I1203" i="41"/>
  <c r="H262" i="41"/>
  <c r="H263" i="41"/>
  <c r="H264" i="41"/>
  <c r="H265" i="41"/>
  <c r="H266" i="41"/>
  <c r="H267" i="41"/>
  <c r="H268" i="41"/>
  <c r="H269" i="41"/>
  <c r="H270" i="41"/>
  <c r="H271" i="41"/>
  <c r="H272" i="41"/>
  <c r="H273" i="41"/>
  <c r="H274" i="41"/>
  <c r="H275" i="41"/>
  <c r="H276" i="41"/>
  <c r="H277" i="41"/>
  <c r="H278" i="41"/>
  <c r="H279" i="41"/>
  <c r="H280" i="41"/>
  <c r="H281" i="41"/>
  <c r="H282" i="41"/>
  <c r="H283" i="41"/>
  <c r="H284" i="41"/>
  <c r="H285" i="41"/>
  <c r="H286" i="41"/>
  <c r="H287" i="41"/>
  <c r="H288" i="41"/>
  <c r="H289" i="41"/>
  <c r="H290" i="41"/>
  <c r="H291" i="41"/>
  <c r="H292" i="41"/>
  <c r="H293" i="41"/>
  <c r="H294" i="41"/>
  <c r="H295" i="41"/>
  <c r="H296" i="41"/>
  <c r="H297" i="41"/>
  <c r="H298" i="41"/>
  <c r="H299" i="41"/>
  <c r="H300" i="41"/>
  <c r="H301" i="41"/>
  <c r="H302" i="41"/>
  <c r="H303" i="41"/>
  <c r="H304" i="41"/>
  <c r="H305" i="41"/>
  <c r="H306" i="41"/>
  <c r="H307" i="41"/>
  <c r="H308" i="41"/>
  <c r="H309" i="41"/>
  <c r="H310" i="41"/>
  <c r="H311" i="41"/>
  <c r="H312" i="41"/>
  <c r="H313" i="41"/>
  <c r="H314" i="41"/>
  <c r="H315" i="41"/>
  <c r="H316" i="41"/>
  <c r="H317" i="41"/>
  <c r="H318" i="41"/>
  <c r="H319" i="41"/>
  <c r="H320" i="41"/>
  <c r="H321" i="41"/>
  <c r="H322" i="41"/>
  <c r="H323" i="41"/>
  <c r="H324" i="41"/>
  <c r="H325" i="41"/>
  <c r="H326" i="41"/>
  <c r="H327" i="41"/>
  <c r="H328" i="41"/>
  <c r="H329" i="41"/>
  <c r="H330" i="41"/>
  <c r="H331" i="41"/>
  <c r="H332" i="41"/>
  <c r="H333" i="41"/>
  <c r="H334" i="41"/>
  <c r="H335" i="41"/>
  <c r="H336" i="41"/>
  <c r="H337" i="41"/>
  <c r="H338" i="41"/>
  <c r="H339" i="41"/>
  <c r="H340" i="41"/>
  <c r="H341" i="41"/>
  <c r="H342" i="41"/>
  <c r="H343" i="41"/>
  <c r="H344" i="41"/>
  <c r="H345" i="41"/>
  <c r="H346" i="41"/>
  <c r="H347" i="41"/>
  <c r="H348" i="41"/>
  <c r="H349" i="41"/>
  <c r="H350" i="41"/>
  <c r="H351" i="41"/>
  <c r="H352" i="41"/>
  <c r="H353" i="41"/>
  <c r="H354" i="41"/>
  <c r="H355" i="41"/>
  <c r="H356" i="41"/>
  <c r="H357" i="41"/>
  <c r="H358" i="41"/>
  <c r="H359" i="41"/>
  <c r="H360" i="41"/>
  <c r="H361" i="41"/>
  <c r="H362" i="41"/>
  <c r="H363" i="41"/>
  <c r="H364" i="41"/>
  <c r="H365" i="41"/>
  <c r="H366" i="41"/>
  <c r="H367" i="41"/>
  <c r="H368" i="41"/>
  <c r="H369" i="41"/>
  <c r="H370" i="41"/>
  <c r="H371" i="41"/>
  <c r="H372" i="41"/>
  <c r="H373" i="41"/>
  <c r="H374" i="41"/>
  <c r="H375" i="41"/>
  <c r="H376" i="41"/>
  <c r="H377" i="41"/>
  <c r="H378" i="41"/>
  <c r="H379" i="41"/>
  <c r="H380" i="41"/>
  <c r="H381" i="41"/>
  <c r="H382" i="41"/>
  <c r="H383" i="41"/>
  <c r="H384" i="41"/>
  <c r="H385" i="41"/>
  <c r="H386" i="41"/>
  <c r="H387" i="41"/>
  <c r="H388" i="41"/>
  <c r="H389" i="41"/>
  <c r="H390" i="41"/>
  <c r="H391" i="41"/>
  <c r="H392" i="41"/>
  <c r="H393" i="41"/>
  <c r="H394" i="41"/>
  <c r="H395" i="41"/>
  <c r="H396" i="41"/>
  <c r="H397" i="41"/>
  <c r="H398" i="41"/>
  <c r="H399" i="41"/>
  <c r="H400" i="41"/>
  <c r="H401" i="41"/>
  <c r="H402" i="41"/>
  <c r="H403" i="41"/>
  <c r="H404" i="41"/>
  <c r="H405" i="41"/>
  <c r="H406" i="41"/>
  <c r="H407" i="41"/>
  <c r="H408" i="41"/>
  <c r="H409" i="41"/>
  <c r="H410" i="41"/>
  <c r="H411" i="41"/>
  <c r="H412" i="41"/>
  <c r="H413" i="41"/>
  <c r="H414" i="41"/>
  <c r="H415" i="41"/>
  <c r="H416" i="41"/>
  <c r="H417" i="41"/>
  <c r="H418" i="41"/>
  <c r="H419" i="41"/>
  <c r="H420" i="41"/>
  <c r="H421" i="41"/>
  <c r="H422" i="41"/>
  <c r="H423" i="41"/>
  <c r="H424" i="41"/>
  <c r="H425" i="41"/>
  <c r="H426" i="41"/>
  <c r="H427" i="41"/>
  <c r="H428" i="41"/>
  <c r="H429" i="41"/>
  <c r="H430" i="41"/>
  <c r="H431" i="41"/>
  <c r="H432" i="41"/>
  <c r="H433" i="41"/>
  <c r="H434" i="41"/>
  <c r="H435" i="41"/>
  <c r="H436" i="41"/>
  <c r="H437" i="41"/>
  <c r="H438" i="41"/>
  <c r="H439" i="41"/>
  <c r="H440" i="41"/>
  <c r="H441" i="41"/>
  <c r="H442" i="41"/>
  <c r="H443" i="41"/>
  <c r="H444" i="41"/>
  <c r="H445" i="41"/>
  <c r="H446" i="41"/>
  <c r="H447" i="41"/>
  <c r="H448" i="41"/>
  <c r="H449" i="41"/>
  <c r="H450" i="41"/>
  <c r="H451" i="41"/>
  <c r="H452" i="41"/>
  <c r="H453" i="41"/>
  <c r="H454" i="41"/>
  <c r="H455" i="41"/>
  <c r="H456" i="41"/>
  <c r="H457" i="41"/>
  <c r="H458" i="41"/>
  <c r="H459" i="41"/>
  <c r="H460" i="41"/>
  <c r="H461" i="41"/>
  <c r="H462" i="41"/>
  <c r="H463" i="41"/>
  <c r="H464" i="41"/>
  <c r="H465" i="41"/>
  <c r="H466" i="41"/>
  <c r="H467" i="41"/>
  <c r="H468" i="41"/>
  <c r="H469" i="41"/>
  <c r="H470" i="41"/>
  <c r="H471" i="41"/>
  <c r="H472" i="41"/>
  <c r="H473" i="41"/>
  <c r="H474" i="41"/>
  <c r="H475" i="41"/>
  <c r="H476" i="41"/>
  <c r="H477" i="41"/>
  <c r="H478" i="41"/>
  <c r="H479" i="41"/>
  <c r="H480" i="41"/>
  <c r="H481" i="41"/>
  <c r="H482" i="41"/>
  <c r="H483" i="41"/>
  <c r="H484" i="41"/>
  <c r="H485" i="41"/>
  <c r="H486" i="41"/>
  <c r="H487" i="41"/>
  <c r="H488" i="41"/>
  <c r="H489" i="41"/>
  <c r="H490" i="41"/>
  <c r="H491" i="41"/>
  <c r="H492" i="41"/>
  <c r="H493" i="41"/>
  <c r="H494" i="41"/>
  <c r="H495" i="41"/>
  <c r="H496" i="41"/>
  <c r="H497" i="41"/>
  <c r="H498" i="41"/>
  <c r="H499" i="41"/>
  <c r="H500" i="41"/>
  <c r="H501" i="41"/>
  <c r="H502" i="41"/>
  <c r="H503" i="41"/>
  <c r="H504" i="41"/>
  <c r="H505" i="41"/>
  <c r="H506" i="41"/>
  <c r="H507" i="41"/>
  <c r="H508" i="41"/>
  <c r="H509" i="41"/>
  <c r="H510" i="41"/>
  <c r="H511" i="41"/>
  <c r="H512" i="41"/>
  <c r="H513" i="41"/>
  <c r="H514" i="41"/>
  <c r="H515" i="41"/>
  <c r="H516" i="41"/>
  <c r="H517" i="41"/>
  <c r="H518" i="41"/>
  <c r="H519" i="41"/>
  <c r="H520" i="41"/>
  <c r="H521" i="41"/>
  <c r="H522" i="41"/>
  <c r="H523" i="41"/>
  <c r="H524" i="41"/>
  <c r="H525" i="41"/>
  <c r="H526" i="41"/>
  <c r="H527" i="41"/>
  <c r="H528" i="41"/>
  <c r="H529" i="41"/>
  <c r="H530" i="41"/>
  <c r="H531" i="41"/>
  <c r="H532" i="41"/>
  <c r="H533" i="41"/>
  <c r="H534" i="41"/>
  <c r="H535" i="41"/>
  <c r="H536" i="41"/>
  <c r="H537" i="41"/>
  <c r="H538" i="41"/>
  <c r="H539" i="41"/>
  <c r="H540" i="41"/>
  <c r="H541" i="41"/>
  <c r="H542" i="41"/>
  <c r="H543" i="41"/>
  <c r="H544" i="41"/>
  <c r="H545" i="41"/>
  <c r="H546" i="41"/>
  <c r="H547" i="41"/>
  <c r="H548" i="41"/>
  <c r="H549" i="41"/>
  <c r="H550" i="41"/>
  <c r="H551" i="41"/>
  <c r="H552" i="41"/>
  <c r="H553" i="41"/>
  <c r="H554" i="41"/>
  <c r="H555" i="41"/>
  <c r="H556" i="41"/>
  <c r="H557" i="41"/>
  <c r="H558" i="41"/>
  <c r="H559" i="41"/>
  <c r="H560" i="41"/>
  <c r="H561" i="41"/>
  <c r="H562" i="41"/>
  <c r="H563" i="41"/>
  <c r="H564" i="41"/>
  <c r="H565" i="41"/>
  <c r="H566" i="41"/>
  <c r="H567" i="41"/>
  <c r="H568" i="41"/>
  <c r="H569" i="41"/>
  <c r="H570" i="41"/>
  <c r="H571" i="41"/>
  <c r="H572" i="41"/>
  <c r="H573" i="41"/>
  <c r="H574" i="41"/>
  <c r="H575" i="41"/>
  <c r="H576" i="41"/>
  <c r="H577" i="41"/>
  <c r="H578" i="41"/>
  <c r="H579" i="41"/>
  <c r="H580" i="41"/>
  <c r="H581" i="41"/>
  <c r="H582" i="41"/>
  <c r="H583" i="41"/>
  <c r="H584" i="41"/>
  <c r="H585" i="41"/>
  <c r="H586" i="41"/>
  <c r="H587" i="41"/>
  <c r="H588" i="41"/>
  <c r="H589" i="41"/>
  <c r="H590" i="41"/>
  <c r="H591" i="41"/>
  <c r="H592" i="41"/>
  <c r="H593" i="41"/>
  <c r="H594" i="41"/>
  <c r="H595" i="41"/>
  <c r="H596" i="41"/>
  <c r="H597" i="41"/>
  <c r="H598" i="41"/>
  <c r="H599" i="41"/>
  <c r="H600" i="41"/>
  <c r="H601" i="41"/>
  <c r="H602" i="41"/>
  <c r="H603" i="41"/>
  <c r="H604" i="41"/>
  <c r="H605" i="41"/>
  <c r="H606" i="41"/>
  <c r="H607" i="41"/>
  <c r="H608" i="41"/>
  <c r="H609" i="41"/>
  <c r="H610" i="41"/>
  <c r="H611" i="41"/>
  <c r="H612" i="41"/>
  <c r="H613" i="41"/>
  <c r="H614" i="41"/>
  <c r="H615" i="41"/>
  <c r="H616" i="41"/>
  <c r="H617" i="41"/>
  <c r="H618" i="41"/>
  <c r="H619" i="41"/>
  <c r="H620" i="41"/>
  <c r="H621" i="41"/>
  <c r="H622" i="41"/>
  <c r="H623" i="41"/>
  <c r="H624" i="41"/>
  <c r="H625" i="41"/>
  <c r="H626" i="41"/>
  <c r="H627" i="41"/>
  <c r="H628" i="41"/>
  <c r="H629" i="41"/>
  <c r="H630" i="41"/>
  <c r="H631" i="41"/>
  <c r="H632" i="41"/>
  <c r="H633" i="41"/>
  <c r="H634" i="41"/>
  <c r="H635" i="41"/>
  <c r="H636" i="41"/>
  <c r="H637" i="41"/>
  <c r="H638" i="41"/>
  <c r="H639" i="41"/>
  <c r="H640" i="41"/>
  <c r="H641" i="41"/>
  <c r="H642" i="41"/>
  <c r="H643" i="41"/>
  <c r="H644" i="41"/>
  <c r="H645" i="41"/>
  <c r="H646" i="41"/>
  <c r="H647" i="41"/>
  <c r="H648" i="41"/>
  <c r="H649" i="41"/>
  <c r="H650" i="41"/>
  <c r="H651" i="41"/>
  <c r="H652" i="41"/>
  <c r="H653" i="41"/>
  <c r="H654" i="41"/>
  <c r="H655" i="41"/>
  <c r="H656" i="41"/>
  <c r="H657" i="41"/>
  <c r="H658" i="41"/>
  <c r="H659" i="41"/>
  <c r="H660" i="41"/>
  <c r="H661" i="41"/>
  <c r="H662" i="41"/>
  <c r="H663" i="41"/>
  <c r="H664" i="41"/>
  <c r="H665" i="41"/>
  <c r="H666" i="41"/>
  <c r="H667" i="41"/>
  <c r="H668" i="41"/>
  <c r="H669" i="41"/>
  <c r="H670" i="41"/>
  <c r="H671" i="41"/>
  <c r="H672" i="41"/>
  <c r="H673" i="41"/>
  <c r="H674" i="41"/>
  <c r="H675" i="41"/>
  <c r="H676" i="41"/>
  <c r="H677" i="41"/>
  <c r="H678" i="41"/>
  <c r="H679" i="41"/>
  <c r="H680" i="41"/>
  <c r="H681" i="41"/>
  <c r="H682" i="41"/>
  <c r="H683" i="41"/>
  <c r="H684" i="41"/>
  <c r="H685" i="41"/>
  <c r="H686" i="41"/>
  <c r="H687" i="41"/>
  <c r="H688" i="41"/>
  <c r="H689" i="41"/>
  <c r="H690" i="41"/>
  <c r="H691" i="41"/>
  <c r="H692" i="41"/>
  <c r="H693" i="41"/>
  <c r="H694" i="41"/>
  <c r="H695" i="41"/>
  <c r="H696" i="41"/>
  <c r="H697" i="41"/>
  <c r="H698" i="41"/>
  <c r="H699" i="41"/>
  <c r="H700" i="41"/>
  <c r="H701" i="41"/>
  <c r="H702" i="41"/>
  <c r="H703" i="41"/>
  <c r="H704" i="41"/>
  <c r="H705" i="41"/>
  <c r="H706" i="41"/>
  <c r="H707" i="41"/>
  <c r="H708" i="41"/>
  <c r="H709" i="41"/>
  <c r="H710" i="41"/>
  <c r="H711" i="41"/>
  <c r="H712" i="41"/>
  <c r="H713" i="41"/>
  <c r="H714" i="41"/>
  <c r="H715" i="41"/>
  <c r="H716" i="41"/>
  <c r="H717" i="41"/>
  <c r="H718" i="41"/>
  <c r="H719" i="41"/>
  <c r="H720" i="41"/>
  <c r="H721" i="41"/>
  <c r="H722" i="41"/>
  <c r="H723" i="41"/>
  <c r="H724" i="41"/>
  <c r="H725" i="41"/>
  <c r="H726" i="41"/>
  <c r="H727" i="41"/>
  <c r="H728" i="41"/>
  <c r="H729" i="41"/>
  <c r="H730" i="41"/>
  <c r="H731" i="41"/>
  <c r="H732" i="41"/>
  <c r="H733" i="41"/>
  <c r="H734" i="41"/>
  <c r="H735" i="41"/>
  <c r="H736" i="41"/>
  <c r="H737" i="41"/>
  <c r="H738" i="41"/>
  <c r="H739" i="41"/>
  <c r="H740" i="41"/>
  <c r="H741" i="41"/>
  <c r="H742" i="41"/>
  <c r="H743" i="41"/>
  <c r="H744" i="41"/>
  <c r="H745" i="41"/>
  <c r="H746" i="41"/>
  <c r="H747" i="41"/>
  <c r="H748" i="41"/>
  <c r="H749" i="41"/>
  <c r="H750" i="41"/>
  <c r="H751" i="41"/>
  <c r="H752" i="41"/>
  <c r="H753" i="41"/>
  <c r="H754" i="41"/>
  <c r="H755" i="41"/>
  <c r="H756" i="41"/>
  <c r="H757" i="41"/>
  <c r="H758" i="41"/>
  <c r="H759" i="41"/>
  <c r="H760" i="41"/>
  <c r="H761" i="41"/>
  <c r="H762" i="41"/>
  <c r="H763" i="41"/>
  <c r="H764" i="41"/>
  <c r="H765" i="41"/>
  <c r="H766" i="41"/>
  <c r="H767" i="41"/>
  <c r="H768" i="41"/>
  <c r="H769" i="41"/>
  <c r="H770" i="41"/>
  <c r="H771" i="41"/>
  <c r="H772" i="41"/>
  <c r="H773" i="41"/>
  <c r="H774" i="41"/>
  <c r="H775" i="41"/>
  <c r="H776" i="41"/>
  <c r="H777" i="41"/>
  <c r="H778" i="41"/>
  <c r="H779" i="41"/>
  <c r="H780" i="41"/>
  <c r="H781" i="41"/>
  <c r="H782" i="41"/>
  <c r="H783" i="41"/>
  <c r="H784" i="41"/>
  <c r="H785" i="41"/>
  <c r="H786" i="41"/>
  <c r="H787" i="41"/>
  <c r="H788" i="41"/>
  <c r="H789" i="41"/>
  <c r="H790" i="41"/>
  <c r="H791" i="41"/>
  <c r="H792" i="41"/>
  <c r="H793" i="41"/>
  <c r="H794" i="41"/>
  <c r="H795" i="41"/>
  <c r="H796" i="41"/>
  <c r="H797" i="41"/>
  <c r="H798" i="41"/>
  <c r="H799" i="41"/>
  <c r="H800" i="41"/>
  <c r="H801" i="41"/>
  <c r="H802" i="41"/>
  <c r="H803" i="41"/>
  <c r="H804" i="41"/>
  <c r="H805" i="41"/>
  <c r="H806" i="41"/>
  <c r="H807" i="41"/>
  <c r="H808" i="41"/>
  <c r="H809" i="41"/>
  <c r="H810" i="41"/>
  <c r="H811" i="41"/>
  <c r="H812" i="41"/>
  <c r="H813" i="41"/>
  <c r="H814" i="41"/>
  <c r="H815" i="41"/>
  <c r="H816" i="41"/>
  <c r="H817" i="41"/>
  <c r="H818" i="41"/>
  <c r="H819" i="41"/>
  <c r="H820" i="41"/>
  <c r="H821" i="41"/>
  <c r="H822" i="41"/>
  <c r="H823" i="41"/>
  <c r="H824" i="41"/>
  <c r="H825" i="41"/>
  <c r="H826" i="41"/>
  <c r="H827" i="41"/>
  <c r="H828" i="41"/>
  <c r="H829" i="41"/>
  <c r="H830" i="41"/>
  <c r="H831" i="41"/>
  <c r="H832" i="41"/>
  <c r="H833" i="41"/>
  <c r="H834" i="41"/>
  <c r="H835" i="41"/>
  <c r="H836" i="41"/>
  <c r="H837" i="41"/>
  <c r="H838" i="41"/>
  <c r="H839" i="41"/>
  <c r="H840" i="41"/>
  <c r="H841" i="41"/>
  <c r="H842" i="41"/>
  <c r="H843" i="41"/>
  <c r="H844" i="41"/>
  <c r="H845" i="41"/>
  <c r="H846" i="41"/>
  <c r="H847" i="41"/>
  <c r="H848" i="41"/>
  <c r="H849" i="41"/>
  <c r="H850" i="41"/>
  <c r="H851" i="41"/>
  <c r="H852" i="41"/>
  <c r="H853" i="41"/>
  <c r="H854" i="41"/>
  <c r="H855" i="41"/>
  <c r="H856" i="41"/>
  <c r="H857" i="41"/>
  <c r="H858" i="41"/>
  <c r="H859" i="41"/>
  <c r="H860" i="41"/>
  <c r="H861" i="41"/>
  <c r="H862" i="41"/>
  <c r="H863" i="41"/>
  <c r="H864" i="41"/>
  <c r="H865" i="41"/>
  <c r="H866" i="41"/>
  <c r="H867" i="41"/>
  <c r="H868" i="41"/>
  <c r="H869" i="41"/>
  <c r="H870" i="41"/>
  <c r="H871" i="41"/>
  <c r="H872" i="41"/>
  <c r="H873" i="41"/>
  <c r="H874" i="41"/>
  <c r="H875" i="41"/>
  <c r="H876" i="41"/>
  <c r="H877" i="41"/>
  <c r="H878" i="41"/>
  <c r="H879" i="41"/>
  <c r="H880" i="41"/>
  <c r="H881" i="41"/>
  <c r="H882" i="41"/>
  <c r="H883" i="41"/>
  <c r="H884" i="41"/>
  <c r="H885" i="41"/>
  <c r="H886" i="41"/>
  <c r="H887" i="41"/>
  <c r="H888" i="41"/>
  <c r="H889" i="41"/>
  <c r="H890" i="41"/>
  <c r="H891" i="41"/>
  <c r="H892" i="41"/>
  <c r="H893" i="41"/>
  <c r="H894" i="41"/>
  <c r="H895" i="41"/>
  <c r="H896" i="41"/>
  <c r="H897" i="41"/>
  <c r="H898" i="41"/>
  <c r="H899" i="41"/>
  <c r="H900" i="41"/>
  <c r="H901" i="41"/>
  <c r="H902" i="41"/>
  <c r="H903" i="41"/>
  <c r="H904" i="41"/>
  <c r="H905" i="41"/>
  <c r="H906" i="41"/>
  <c r="H907" i="41"/>
  <c r="H908" i="41"/>
  <c r="H909" i="41"/>
  <c r="H910" i="41"/>
  <c r="H911" i="41"/>
  <c r="H912" i="41"/>
  <c r="H913" i="41"/>
  <c r="H914" i="41"/>
  <c r="H915" i="41"/>
  <c r="H916" i="41"/>
  <c r="H917" i="41"/>
  <c r="H918" i="41"/>
  <c r="H919" i="41"/>
  <c r="H920" i="41"/>
  <c r="H921" i="41"/>
  <c r="H922" i="41"/>
  <c r="H923" i="41"/>
  <c r="H924" i="41"/>
  <c r="H925" i="41"/>
  <c r="H926" i="41"/>
  <c r="H927" i="41"/>
  <c r="H928" i="41"/>
  <c r="H929" i="41"/>
  <c r="H930" i="41"/>
  <c r="H931" i="41"/>
  <c r="H932" i="41"/>
  <c r="H933" i="41"/>
  <c r="H934" i="41"/>
  <c r="H935" i="41"/>
  <c r="H936" i="41"/>
  <c r="H937" i="41"/>
  <c r="H938" i="41"/>
  <c r="H939" i="41"/>
  <c r="H940" i="41"/>
  <c r="H941" i="41"/>
  <c r="H942" i="41"/>
  <c r="H943" i="41"/>
  <c r="H944" i="41"/>
  <c r="H945" i="41"/>
  <c r="H946" i="41"/>
  <c r="H947" i="41"/>
  <c r="H948" i="41"/>
  <c r="H949" i="41"/>
  <c r="H950" i="41"/>
  <c r="H951" i="41"/>
  <c r="H952" i="41"/>
  <c r="H953" i="41"/>
  <c r="H954" i="41"/>
  <c r="H955" i="41"/>
  <c r="H956" i="41"/>
  <c r="H957" i="41"/>
  <c r="H958" i="41"/>
  <c r="H959" i="41"/>
  <c r="H960" i="41"/>
  <c r="H961" i="41"/>
  <c r="H962" i="41"/>
  <c r="H963" i="41"/>
  <c r="H964" i="41"/>
  <c r="H965" i="41"/>
  <c r="H966" i="41"/>
  <c r="H967" i="41"/>
  <c r="H968" i="41"/>
  <c r="H969" i="41"/>
  <c r="H970" i="41"/>
  <c r="H971" i="41"/>
  <c r="H972" i="41"/>
  <c r="H973" i="41"/>
  <c r="H974" i="41"/>
  <c r="H975" i="41"/>
  <c r="H976" i="41"/>
  <c r="H977" i="41"/>
  <c r="H978" i="41"/>
  <c r="H979" i="41"/>
  <c r="H980" i="41"/>
  <c r="H981" i="41"/>
  <c r="H982" i="41"/>
  <c r="H983" i="41"/>
  <c r="H984" i="41"/>
  <c r="H985" i="41"/>
  <c r="H986" i="41"/>
  <c r="H987" i="41"/>
  <c r="H988" i="41"/>
  <c r="H989" i="41"/>
  <c r="H990" i="41"/>
  <c r="H991" i="41"/>
  <c r="H992" i="41"/>
  <c r="H993" i="41"/>
  <c r="H994" i="41"/>
  <c r="H995" i="41"/>
  <c r="H996" i="41"/>
  <c r="H997" i="41"/>
  <c r="H998" i="41"/>
  <c r="H999" i="41"/>
  <c r="H1000" i="41"/>
  <c r="H1001" i="41"/>
  <c r="H1002" i="41"/>
  <c r="H1003" i="41"/>
  <c r="H1004" i="41"/>
  <c r="H1005" i="41"/>
  <c r="H1006" i="41"/>
  <c r="H1007" i="41"/>
  <c r="H1008" i="41"/>
  <c r="H1009" i="41"/>
  <c r="H1010" i="41"/>
  <c r="H1011" i="41"/>
  <c r="H1012" i="41"/>
  <c r="H1013" i="41"/>
  <c r="H1014" i="41"/>
  <c r="H1015" i="41"/>
  <c r="H1016" i="41"/>
  <c r="H1017" i="41"/>
  <c r="H1018" i="41"/>
  <c r="H1019" i="41"/>
  <c r="H1020" i="41"/>
  <c r="H1021" i="41"/>
  <c r="H1022" i="41"/>
  <c r="H1023" i="41"/>
  <c r="H1024" i="41"/>
  <c r="H1025" i="41"/>
  <c r="H1026" i="41"/>
  <c r="H1027" i="41"/>
  <c r="H1028" i="41"/>
  <c r="H1029" i="41"/>
  <c r="H1030" i="41"/>
  <c r="H1031" i="41"/>
  <c r="H1032" i="41"/>
  <c r="H1033" i="41"/>
  <c r="H1034" i="41"/>
  <c r="H1035" i="41"/>
  <c r="H1036" i="41"/>
  <c r="H1037" i="41"/>
  <c r="H1038" i="41"/>
  <c r="H1039" i="41"/>
  <c r="H1040" i="41"/>
  <c r="H1041" i="41"/>
  <c r="H1042" i="41"/>
  <c r="H1043" i="41"/>
  <c r="H1044" i="41"/>
  <c r="H1045" i="41"/>
  <c r="H1046" i="41"/>
  <c r="H1047" i="41"/>
  <c r="H1048" i="41"/>
  <c r="H1049" i="41"/>
  <c r="H1050" i="41"/>
  <c r="H1051" i="41"/>
  <c r="H1052" i="41"/>
  <c r="H1053" i="41"/>
  <c r="H1054" i="41"/>
  <c r="H1055" i="41"/>
  <c r="H1056" i="41"/>
  <c r="H1057" i="41"/>
  <c r="H1058" i="41"/>
  <c r="H1059" i="41"/>
  <c r="H1060" i="41"/>
  <c r="H1061" i="41"/>
  <c r="H1062" i="41"/>
  <c r="H1063" i="41"/>
  <c r="H1064" i="41"/>
  <c r="H1065" i="41"/>
  <c r="H1066" i="41"/>
  <c r="H1067" i="41"/>
  <c r="H1068" i="41"/>
  <c r="H1069" i="41"/>
  <c r="H1070" i="41"/>
  <c r="H1071" i="41"/>
  <c r="H1072" i="41"/>
  <c r="H1073" i="41"/>
  <c r="H1074" i="41"/>
  <c r="H1075" i="41"/>
  <c r="H1076" i="41"/>
  <c r="H1077" i="41"/>
  <c r="H1078" i="41"/>
  <c r="H1079" i="41"/>
  <c r="H1080" i="41"/>
  <c r="H1081" i="41"/>
  <c r="H1082" i="41"/>
  <c r="H1083" i="41"/>
  <c r="H1084" i="41"/>
  <c r="H1085" i="41"/>
  <c r="H1086" i="41"/>
  <c r="H1087" i="41"/>
  <c r="H1088" i="41"/>
  <c r="H1089" i="41"/>
  <c r="H1090" i="41"/>
  <c r="H1091" i="41"/>
  <c r="H1092" i="41"/>
  <c r="H1093" i="41"/>
  <c r="H1094" i="41"/>
  <c r="H1095" i="41"/>
  <c r="H1096" i="41"/>
  <c r="H1097" i="41"/>
  <c r="H1098" i="41"/>
  <c r="H1099" i="41"/>
  <c r="H1100" i="41"/>
  <c r="H1101" i="41"/>
  <c r="H1102" i="41"/>
  <c r="H1103" i="41"/>
  <c r="H1104" i="41"/>
  <c r="H1105" i="41"/>
  <c r="H1106" i="41"/>
  <c r="H1107" i="41"/>
  <c r="H1108" i="41"/>
  <c r="H1109" i="41"/>
  <c r="H1110" i="41"/>
  <c r="H1111" i="41"/>
  <c r="H1112" i="41"/>
  <c r="H1113" i="41"/>
  <c r="H1114" i="41"/>
  <c r="H1115" i="41"/>
  <c r="H1116" i="41"/>
  <c r="H1117" i="41"/>
  <c r="H1118" i="41"/>
  <c r="H1119" i="41"/>
  <c r="H1120" i="41"/>
  <c r="H1121" i="41"/>
  <c r="H1122" i="41"/>
  <c r="H1123" i="41"/>
  <c r="H1124" i="41"/>
  <c r="H1125" i="41"/>
  <c r="H1126" i="41"/>
  <c r="H1127" i="41"/>
  <c r="H1128" i="41"/>
  <c r="H1129" i="41"/>
  <c r="H1130" i="41"/>
  <c r="H1131" i="41"/>
  <c r="H1132" i="41"/>
  <c r="H1133" i="41"/>
  <c r="H1134" i="41"/>
  <c r="H1135" i="41"/>
  <c r="H1136" i="41"/>
  <c r="H1137" i="41"/>
  <c r="H1138" i="41"/>
  <c r="H1139" i="41"/>
  <c r="H1140" i="41"/>
  <c r="H1141" i="41"/>
  <c r="H1142" i="41"/>
  <c r="H1143" i="41"/>
  <c r="H1144" i="41"/>
  <c r="H1145" i="41"/>
  <c r="H1146" i="41"/>
  <c r="H1147" i="41"/>
  <c r="H1148" i="41"/>
  <c r="H1149" i="41"/>
  <c r="H1150" i="41"/>
  <c r="H1151" i="41"/>
  <c r="H1152" i="41"/>
  <c r="H1153" i="41"/>
  <c r="H1154" i="41"/>
  <c r="H1155" i="41"/>
  <c r="H1156" i="41"/>
  <c r="H1157" i="41"/>
  <c r="H1158" i="41"/>
  <c r="H1159" i="41"/>
  <c r="H1160" i="41"/>
  <c r="H1161" i="41"/>
  <c r="H1162" i="41"/>
  <c r="H1163" i="41"/>
  <c r="H1164" i="41"/>
  <c r="H1165" i="41"/>
  <c r="H1166" i="41"/>
  <c r="H1167" i="41"/>
  <c r="H1168" i="41"/>
  <c r="H1169" i="41"/>
  <c r="H1170" i="41"/>
  <c r="H1171" i="41"/>
  <c r="H1172" i="41"/>
  <c r="H1173" i="41"/>
  <c r="H1174" i="41"/>
  <c r="H1175" i="41"/>
  <c r="H1176" i="41"/>
  <c r="H1177" i="41"/>
  <c r="H1178" i="41"/>
  <c r="H1179" i="41"/>
  <c r="H1180" i="41"/>
  <c r="H1181" i="41"/>
  <c r="H1182" i="41"/>
  <c r="H1183" i="41"/>
  <c r="H1184" i="41"/>
  <c r="H1185" i="41"/>
  <c r="H1186" i="41"/>
  <c r="H1187" i="41"/>
  <c r="H1188" i="41"/>
  <c r="H1189" i="41"/>
  <c r="H1190" i="41"/>
  <c r="H1191" i="41"/>
  <c r="H1192" i="41"/>
  <c r="H1193" i="41"/>
  <c r="H1194" i="41"/>
  <c r="H1195" i="41"/>
  <c r="H1196" i="41"/>
  <c r="H1197" i="41"/>
  <c r="H1198" i="41"/>
  <c r="H1199" i="41"/>
  <c r="H1200" i="41"/>
  <c r="H1201" i="41"/>
  <c r="H1202" i="41"/>
  <c r="H1203" i="41"/>
  <c r="G262" i="41"/>
  <c r="G263" i="41"/>
  <c r="G264" i="41"/>
  <c r="G265" i="41"/>
  <c r="G266" i="41"/>
  <c r="G267" i="41"/>
  <c r="G268" i="41"/>
  <c r="G269" i="41"/>
  <c r="G270" i="41"/>
  <c r="G271" i="41"/>
  <c r="G272" i="41"/>
  <c r="G273" i="41"/>
  <c r="G274" i="41"/>
  <c r="G275" i="41"/>
  <c r="G276" i="41"/>
  <c r="G277" i="41"/>
  <c r="G278" i="41"/>
  <c r="G279" i="41"/>
  <c r="G280" i="41"/>
  <c r="G281" i="41"/>
  <c r="G282" i="41"/>
  <c r="G283" i="41"/>
  <c r="G284" i="41"/>
  <c r="G285" i="41"/>
  <c r="G286" i="41"/>
  <c r="G287" i="41"/>
  <c r="G288" i="41"/>
  <c r="G289" i="41"/>
  <c r="G290" i="41"/>
  <c r="G291" i="41"/>
  <c r="G292" i="41"/>
  <c r="G293" i="41"/>
  <c r="G294" i="41"/>
  <c r="G295" i="41"/>
  <c r="G296" i="41"/>
  <c r="G297" i="41"/>
  <c r="G298" i="41"/>
  <c r="G299" i="41"/>
  <c r="G300" i="41"/>
  <c r="G301" i="41"/>
  <c r="G302" i="41"/>
  <c r="G303" i="41"/>
  <c r="G304" i="41"/>
  <c r="G305" i="41"/>
  <c r="G306" i="41"/>
  <c r="G307" i="41"/>
  <c r="G308" i="41"/>
  <c r="G309" i="41"/>
  <c r="G310" i="41"/>
  <c r="G311" i="41"/>
  <c r="G312" i="41"/>
  <c r="G313" i="41"/>
  <c r="G314" i="41"/>
  <c r="G315" i="41"/>
  <c r="G316" i="41"/>
  <c r="G317" i="41"/>
  <c r="G318" i="41"/>
  <c r="G319" i="41"/>
  <c r="G320" i="41"/>
  <c r="G321" i="41"/>
  <c r="G322" i="41"/>
  <c r="G323" i="41"/>
  <c r="G324" i="41"/>
  <c r="G325" i="41"/>
  <c r="G326" i="41"/>
  <c r="G327" i="41"/>
  <c r="G328" i="41"/>
  <c r="G329" i="41"/>
  <c r="G330" i="41"/>
  <c r="G331" i="41"/>
  <c r="G332" i="41"/>
  <c r="G333" i="41"/>
  <c r="G334" i="41"/>
  <c r="G335" i="41"/>
  <c r="G336" i="41"/>
  <c r="G337" i="41"/>
  <c r="G338" i="41"/>
  <c r="G339" i="41"/>
  <c r="G340" i="41"/>
  <c r="G341" i="41"/>
  <c r="G342" i="41"/>
  <c r="G343" i="41"/>
  <c r="G344" i="41"/>
  <c r="G345" i="41"/>
  <c r="G346" i="41"/>
  <c r="G347" i="41"/>
  <c r="G348" i="41"/>
  <c r="G349" i="41"/>
  <c r="G350" i="41"/>
  <c r="G351" i="41"/>
  <c r="G352" i="41"/>
  <c r="G353" i="41"/>
  <c r="G354" i="41"/>
  <c r="G355" i="41"/>
  <c r="G356" i="41"/>
  <c r="G357" i="41"/>
  <c r="G358" i="41"/>
  <c r="G359" i="41"/>
  <c r="G360" i="41"/>
  <c r="G361" i="41"/>
  <c r="G362" i="41"/>
  <c r="G363" i="41"/>
  <c r="G364" i="41"/>
  <c r="G365" i="41"/>
  <c r="G366" i="41"/>
  <c r="G367" i="41"/>
  <c r="G368" i="41"/>
  <c r="G369" i="41"/>
  <c r="G370" i="41"/>
  <c r="G371" i="41"/>
  <c r="G372" i="41"/>
  <c r="G373" i="41"/>
  <c r="G374" i="41"/>
  <c r="G375" i="41"/>
  <c r="G376" i="41"/>
  <c r="G377" i="41"/>
  <c r="G378" i="41"/>
  <c r="G379" i="41"/>
  <c r="G380" i="41"/>
  <c r="G381" i="41"/>
  <c r="G382" i="41"/>
  <c r="G383" i="41"/>
  <c r="G384" i="41"/>
  <c r="G385" i="41"/>
  <c r="G386" i="41"/>
  <c r="G387" i="41"/>
  <c r="G388" i="41"/>
  <c r="G389" i="41"/>
  <c r="G390" i="41"/>
  <c r="G391" i="41"/>
  <c r="G392" i="41"/>
  <c r="G393" i="41"/>
  <c r="G394" i="41"/>
  <c r="G395" i="41"/>
  <c r="G396" i="41"/>
  <c r="G397" i="41"/>
  <c r="G398" i="41"/>
  <c r="G399" i="41"/>
  <c r="G400" i="41"/>
  <c r="G401" i="41"/>
  <c r="G402" i="41"/>
  <c r="G403" i="41"/>
  <c r="G404" i="41"/>
  <c r="G405" i="41"/>
  <c r="G406" i="41"/>
  <c r="G407" i="41"/>
  <c r="G408" i="41"/>
  <c r="G409" i="41"/>
  <c r="G410" i="41"/>
  <c r="G411" i="41"/>
  <c r="G412" i="41"/>
  <c r="G413" i="41"/>
  <c r="G414" i="41"/>
  <c r="G415" i="41"/>
  <c r="G416" i="41"/>
  <c r="G417" i="41"/>
  <c r="G418" i="41"/>
  <c r="G419" i="41"/>
  <c r="G420" i="41"/>
  <c r="G421" i="41"/>
  <c r="G422" i="41"/>
  <c r="G423" i="41"/>
  <c r="G424" i="41"/>
  <c r="G425" i="41"/>
  <c r="G426" i="41"/>
  <c r="G427" i="41"/>
  <c r="G428" i="41"/>
  <c r="G429" i="41"/>
  <c r="G430" i="41"/>
  <c r="G431" i="41"/>
  <c r="G432" i="41"/>
  <c r="G433" i="41"/>
  <c r="G434" i="41"/>
  <c r="G435" i="41"/>
  <c r="G436" i="41"/>
  <c r="G437" i="41"/>
  <c r="G438" i="41"/>
  <c r="G439" i="41"/>
  <c r="G440" i="41"/>
  <c r="G441" i="41"/>
  <c r="G442" i="41"/>
  <c r="G443" i="41"/>
  <c r="G444" i="41"/>
  <c r="G445" i="41"/>
  <c r="G446" i="41"/>
  <c r="G447" i="41"/>
  <c r="G448" i="41"/>
  <c r="G449" i="41"/>
  <c r="G450" i="41"/>
  <c r="G451" i="41"/>
  <c r="G452" i="41"/>
  <c r="G453" i="41"/>
  <c r="G454" i="41"/>
  <c r="G455" i="41"/>
  <c r="G456" i="41"/>
  <c r="G457" i="41"/>
  <c r="G458" i="41"/>
  <c r="G459" i="41"/>
  <c r="G460" i="41"/>
  <c r="G461" i="41"/>
  <c r="G462" i="41"/>
  <c r="G463" i="41"/>
  <c r="G464" i="41"/>
  <c r="G465" i="41"/>
  <c r="G466" i="41"/>
  <c r="G467" i="41"/>
  <c r="G468" i="41"/>
  <c r="G469" i="41"/>
  <c r="G470" i="41"/>
  <c r="G471" i="41"/>
  <c r="G472" i="41"/>
  <c r="G473" i="41"/>
  <c r="G474" i="41"/>
  <c r="G475" i="41"/>
  <c r="G476" i="41"/>
  <c r="G477" i="41"/>
  <c r="G478" i="41"/>
  <c r="G479" i="41"/>
  <c r="G480" i="41"/>
  <c r="G481" i="41"/>
  <c r="G482" i="41"/>
  <c r="G483" i="41"/>
  <c r="G484" i="41"/>
  <c r="G485" i="41"/>
  <c r="G486" i="41"/>
  <c r="G487" i="41"/>
  <c r="G488" i="41"/>
  <c r="G489" i="41"/>
  <c r="G490" i="41"/>
  <c r="G491" i="41"/>
  <c r="G492" i="41"/>
  <c r="G493" i="41"/>
  <c r="G494" i="41"/>
  <c r="G495" i="41"/>
  <c r="G496" i="41"/>
  <c r="G497" i="41"/>
  <c r="G498" i="41"/>
  <c r="G499" i="41"/>
  <c r="G500" i="41"/>
  <c r="G501" i="41"/>
  <c r="G502" i="41"/>
  <c r="G503" i="41"/>
  <c r="G504" i="41"/>
  <c r="G505" i="41"/>
  <c r="G506" i="41"/>
  <c r="G507" i="41"/>
  <c r="G508" i="41"/>
  <c r="G509" i="41"/>
  <c r="G510" i="41"/>
  <c r="G511" i="41"/>
  <c r="G512" i="41"/>
  <c r="G513" i="41"/>
  <c r="G514" i="41"/>
  <c r="G515" i="41"/>
  <c r="G516" i="41"/>
  <c r="G517" i="41"/>
  <c r="G518" i="41"/>
  <c r="G519" i="41"/>
  <c r="G520" i="41"/>
  <c r="G521" i="41"/>
  <c r="G522" i="41"/>
  <c r="G523" i="41"/>
  <c r="G524" i="41"/>
  <c r="G525" i="41"/>
  <c r="G526" i="41"/>
  <c r="G527" i="41"/>
  <c r="G528" i="41"/>
  <c r="G529" i="41"/>
  <c r="G530" i="41"/>
  <c r="G531" i="41"/>
  <c r="G532" i="41"/>
  <c r="G533" i="41"/>
  <c r="G534" i="41"/>
  <c r="G535" i="41"/>
  <c r="G536" i="41"/>
  <c r="G537" i="41"/>
  <c r="G538" i="41"/>
  <c r="G539" i="41"/>
  <c r="G540" i="41"/>
  <c r="G541" i="41"/>
  <c r="G542" i="41"/>
  <c r="G543" i="41"/>
  <c r="G544" i="41"/>
  <c r="G545" i="41"/>
  <c r="G546" i="41"/>
  <c r="G547" i="41"/>
  <c r="G548" i="41"/>
  <c r="G549" i="41"/>
  <c r="G550" i="41"/>
  <c r="G551" i="41"/>
  <c r="G552" i="41"/>
  <c r="G553" i="41"/>
  <c r="G554" i="41"/>
  <c r="G555" i="41"/>
  <c r="G556" i="41"/>
  <c r="G557" i="41"/>
  <c r="G558" i="41"/>
  <c r="G559" i="41"/>
  <c r="G560" i="41"/>
  <c r="G561" i="41"/>
  <c r="G562" i="41"/>
  <c r="G563" i="41"/>
  <c r="G564" i="41"/>
  <c r="G565" i="41"/>
  <c r="G566" i="41"/>
  <c r="G567" i="41"/>
  <c r="G568" i="41"/>
  <c r="G569" i="41"/>
  <c r="G570" i="41"/>
  <c r="G571" i="41"/>
  <c r="G572" i="41"/>
  <c r="G573" i="41"/>
  <c r="G574" i="41"/>
  <c r="G575" i="41"/>
  <c r="G576" i="41"/>
  <c r="G577" i="41"/>
  <c r="G578" i="41"/>
  <c r="G579" i="41"/>
  <c r="G580" i="41"/>
  <c r="G581" i="41"/>
  <c r="G582" i="41"/>
  <c r="G583" i="41"/>
  <c r="G584" i="41"/>
  <c r="G585" i="41"/>
  <c r="G586" i="41"/>
  <c r="G587" i="41"/>
  <c r="G588" i="41"/>
  <c r="G589" i="41"/>
  <c r="G590" i="41"/>
  <c r="G591" i="41"/>
  <c r="G592" i="41"/>
  <c r="G593" i="41"/>
  <c r="G594" i="41"/>
  <c r="G595" i="41"/>
  <c r="G596" i="41"/>
  <c r="G597" i="41"/>
  <c r="G598" i="41"/>
  <c r="G599" i="41"/>
  <c r="G600" i="41"/>
  <c r="G601" i="41"/>
  <c r="G602" i="41"/>
  <c r="G603" i="41"/>
  <c r="G604" i="41"/>
  <c r="G605" i="41"/>
  <c r="G606" i="41"/>
  <c r="G607" i="41"/>
  <c r="G608" i="41"/>
  <c r="G609" i="41"/>
  <c r="G610" i="41"/>
  <c r="G611" i="41"/>
  <c r="G612" i="41"/>
  <c r="G613" i="41"/>
  <c r="G614" i="41"/>
  <c r="G615" i="41"/>
  <c r="G616" i="41"/>
  <c r="G617" i="41"/>
  <c r="G618" i="41"/>
  <c r="G619" i="41"/>
  <c r="G620" i="41"/>
  <c r="G621" i="41"/>
  <c r="G622" i="41"/>
  <c r="G623" i="41"/>
  <c r="G624" i="41"/>
  <c r="G625" i="41"/>
  <c r="G626" i="41"/>
  <c r="G627" i="41"/>
  <c r="G628" i="41"/>
  <c r="G629" i="41"/>
  <c r="G630" i="41"/>
  <c r="G631" i="41"/>
  <c r="G632" i="41"/>
  <c r="G633" i="41"/>
  <c r="G634" i="41"/>
  <c r="G635" i="41"/>
  <c r="G636" i="41"/>
  <c r="G637" i="41"/>
  <c r="G638" i="41"/>
  <c r="G639" i="41"/>
  <c r="G640" i="41"/>
  <c r="G641" i="41"/>
  <c r="G642" i="41"/>
  <c r="G643" i="41"/>
  <c r="G644" i="41"/>
  <c r="G645" i="41"/>
  <c r="G646" i="41"/>
  <c r="G647" i="41"/>
  <c r="G648" i="41"/>
  <c r="G649" i="41"/>
  <c r="G650" i="41"/>
  <c r="G651" i="41"/>
  <c r="G652" i="41"/>
  <c r="G653" i="41"/>
  <c r="G654" i="41"/>
  <c r="G655" i="41"/>
  <c r="G656" i="41"/>
  <c r="G657" i="41"/>
  <c r="G658" i="41"/>
  <c r="G659" i="41"/>
  <c r="G660" i="41"/>
  <c r="G661" i="41"/>
  <c r="G662" i="41"/>
  <c r="G663" i="41"/>
  <c r="G664" i="41"/>
  <c r="G665" i="41"/>
  <c r="G666" i="41"/>
  <c r="G667" i="41"/>
  <c r="G668" i="41"/>
  <c r="G669" i="41"/>
  <c r="G670" i="41"/>
  <c r="G671" i="41"/>
  <c r="G672" i="41"/>
  <c r="G673" i="41"/>
  <c r="G674" i="41"/>
  <c r="G675" i="41"/>
  <c r="G676" i="41"/>
  <c r="G677" i="41"/>
  <c r="G678" i="41"/>
  <c r="G679" i="41"/>
  <c r="G680" i="41"/>
  <c r="G681" i="41"/>
  <c r="G682" i="41"/>
  <c r="G683" i="41"/>
  <c r="G684" i="41"/>
  <c r="G685" i="41"/>
  <c r="G686" i="41"/>
  <c r="G687" i="41"/>
  <c r="G688" i="41"/>
  <c r="G689" i="41"/>
  <c r="G690" i="41"/>
  <c r="G691" i="41"/>
  <c r="G692" i="41"/>
  <c r="G693" i="41"/>
  <c r="G694" i="41"/>
  <c r="G695" i="41"/>
  <c r="G696" i="41"/>
  <c r="G697" i="41"/>
  <c r="G698" i="41"/>
  <c r="G699" i="41"/>
  <c r="G700" i="41"/>
  <c r="G701" i="41"/>
  <c r="G702" i="41"/>
  <c r="G703" i="41"/>
  <c r="G704" i="41"/>
  <c r="G705" i="41"/>
  <c r="G706" i="41"/>
  <c r="G707" i="41"/>
  <c r="G708" i="41"/>
  <c r="G709" i="41"/>
  <c r="G710" i="41"/>
  <c r="G711" i="41"/>
  <c r="G712" i="41"/>
  <c r="G713" i="41"/>
  <c r="G714" i="41"/>
  <c r="G715" i="41"/>
  <c r="G716" i="41"/>
  <c r="G717" i="41"/>
  <c r="G718" i="41"/>
  <c r="G719" i="41"/>
  <c r="G720" i="41"/>
  <c r="G721" i="41"/>
  <c r="G722" i="41"/>
  <c r="G723" i="41"/>
  <c r="G724" i="41"/>
  <c r="G725" i="41"/>
  <c r="G726" i="41"/>
  <c r="G727" i="41"/>
  <c r="G728" i="41"/>
  <c r="G729" i="41"/>
  <c r="G730" i="41"/>
  <c r="G731" i="41"/>
  <c r="G732" i="41"/>
  <c r="G733" i="41"/>
  <c r="G734" i="41"/>
  <c r="G735" i="41"/>
  <c r="G736" i="41"/>
  <c r="G737" i="41"/>
  <c r="G738" i="41"/>
  <c r="G739" i="41"/>
  <c r="G740" i="41"/>
  <c r="G741" i="41"/>
  <c r="G742" i="41"/>
  <c r="G743" i="41"/>
  <c r="G744" i="41"/>
  <c r="G745" i="41"/>
  <c r="G746" i="41"/>
  <c r="G747" i="41"/>
  <c r="G748" i="41"/>
  <c r="G749" i="41"/>
  <c r="G750" i="41"/>
  <c r="G751" i="41"/>
  <c r="G752" i="41"/>
  <c r="G753" i="41"/>
  <c r="G754" i="41"/>
  <c r="G755" i="41"/>
  <c r="G756" i="41"/>
  <c r="G757" i="41"/>
  <c r="G758" i="41"/>
  <c r="G759" i="41"/>
  <c r="G760" i="41"/>
  <c r="G761" i="41"/>
  <c r="G762" i="41"/>
  <c r="G763" i="41"/>
  <c r="G764" i="41"/>
  <c r="G765" i="41"/>
  <c r="G766" i="41"/>
  <c r="G767" i="41"/>
  <c r="G768" i="41"/>
  <c r="G769" i="41"/>
  <c r="G770" i="41"/>
  <c r="G771" i="41"/>
  <c r="G772" i="41"/>
  <c r="G773" i="41"/>
  <c r="G774" i="41"/>
  <c r="G775" i="41"/>
  <c r="G776" i="41"/>
  <c r="G777" i="41"/>
  <c r="G778" i="41"/>
  <c r="G779" i="41"/>
  <c r="G780" i="41"/>
  <c r="G781" i="41"/>
  <c r="G782" i="41"/>
  <c r="G783" i="41"/>
  <c r="G784" i="41"/>
  <c r="G785" i="41"/>
  <c r="G786" i="41"/>
  <c r="G787" i="41"/>
  <c r="G788" i="41"/>
  <c r="G789" i="41"/>
  <c r="G790" i="41"/>
  <c r="G791" i="41"/>
  <c r="G792" i="41"/>
  <c r="G793" i="41"/>
  <c r="G794" i="41"/>
  <c r="G795" i="41"/>
  <c r="G796" i="41"/>
  <c r="G797" i="41"/>
  <c r="G798" i="41"/>
  <c r="G799" i="41"/>
  <c r="G800" i="41"/>
  <c r="G801" i="41"/>
  <c r="G802" i="41"/>
  <c r="G803" i="41"/>
  <c r="G804" i="41"/>
  <c r="G805" i="41"/>
  <c r="G806" i="41"/>
  <c r="G807" i="41"/>
  <c r="G808" i="41"/>
  <c r="G809" i="41"/>
  <c r="G810" i="41"/>
  <c r="G811" i="41"/>
  <c r="G812" i="41"/>
  <c r="G813" i="41"/>
  <c r="G814" i="41"/>
  <c r="G815" i="41"/>
  <c r="G816" i="41"/>
  <c r="G817" i="41"/>
  <c r="G818" i="41"/>
  <c r="G819" i="41"/>
  <c r="G820" i="41"/>
  <c r="G821" i="41"/>
  <c r="G822" i="41"/>
  <c r="G823" i="41"/>
  <c r="G824" i="41"/>
  <c r="G825" i="41"/>
  <c r="G826" i="41"/>
  <c r="G827" i="41"/>
  <c r="G828" i="41"/>
  <c r="G829" i="41"/>
  <c r="G830" i="41"/>
  <c r="G831" i="41"/>
  <c r="G832" i="41"/>
  <c r="G833" i="41"/>
  <c r="G834" i="41"/>
  <c r="G835" i="41"/>
  <c r="G836" i="41"/>
  <c r="G837" i="41"/>
  <c r="G838" i="41"/>
  <c r="G839" i="41"/>
  <c r="G840" i="41"/>
  <c r="G841" i="41"/>
  <c r="G842" i="41"/>
  <c r="G843" i="41"/>
  <c r="G844" i="41"/>
  <c r="G845" i="41"/>
  <c r="G846" i="41"/>
  <c r="G847" i="41"/>
  <c r="G848" i="41"/>
  <c r="G849" i="41"/>
  <c r="G850" i="41"/>
  <c r="G851" i="41"/>
  <c r="G852" i="41"/>
  <c r="G853" i="41"/>
  <c r="G854" i="41"/>
  <c r="G855" i="41"/>
  <c r="G856" i="41"/>
  <c r="G857" i="41"/>
  <c r="G858" i="41"/>
  <c r="G859" i="41"/>
  <c r="G860" i="41"/>
  <c r="G861" i="41"/>
  <c r="G862" i="41"/>
  <c r="G863" i="41"/>
  <c r="G864" i="41"/>
  <c r="G865" i="41"/>
  <c r="G866" i="41"/>
  <c r="G867" i="41"/>
  <c r="G868" i="41"/>
  <c r="G869" i="41"/>
  <c r="G870" i="41"/>
  <c r="G871" i="41"/>
  <c r="G872" i="41"/>
  <c r="G873" i="41"/>
  <c r="G874" i="41"/>
  <c r="G875" i="41"/>
  <c r="G876" i="41"/>
  <c r="G877" i="41"/>
  <c r="G878" i="41"/>
  <c r="G879" i="41"/>
  <c r="G880" i="41"/>
  <c r="G881" i="41"/>
  <c r="G882" i="41"/>
  <c r="G883" i="41"/>
  <c r="G884" i="41"/>
  <c r="G885" i="41"/>
  <c r="G886" i="41"/>
  <c r="G887" i="41"/>
  <c r="G888" i="41"/>
  <c r="G889" i="41"/>
  <c r="G890" i="41"/>
  <c r="G891" i="41"/>
  <c r="G892" i="41"/>
  <c r="G893" i="41"/>
  <c r="G894" i="41"/>
  <c r="G895" i="41"/>
  <c r="G896" i="41"/>
  <c r="G897" i="41"/>
  <c r="G898" i="41"/>
  <c r="G899" i="41"/>
  <c r="G900" i="41"/>
  <c r="G901" i="41"/>
  <c r="G902" i="41"/>
  <c r="G903" i="41"/>
  <c r="G904" i="41"/>
  <c r="G905" i="41"/>
  <c r="G906" i="41"/>
  <c r="G907" i="41"/>
  <c r="G908" i="41"/>
  <c r="G909" i="41"/>
  <c r="G910" i="41"/>
  <c r="G911" i="41"/>
  <c r="G912" i="41"/>
  <c r="G913" i="41"/>
  <c r="G914" i="41"/>
  <c r="G915" i="41"/>
  <c r="G916" i="41"/>
  <c r="G917" i="41"/>
  <c r="G918" i="41"/>
  <c r="G919" i="41"/>
  <c r="G920" i="41"/>
  <c r="G921" i="41"/>
  <c r="G922" i="41"/>
  <c r="G923" i="41"/>
  <c r="G924" i="41"/>
  <c r="G925" i="41"/>
  <c r="G926" i="41"/>
  <c r="G927" i="41"/>
  <c r="G928" i="41"/>
  <c r="G929" i="41"/>
  <c r="G930" i="41"/>
  <c r="G931" i="41"/>
  <c r="G932" i="41"/>
  <c r="G933" i="41"/>
  <c r="G934" i="41"/>
  <c r="G935" i="41"/>
  <c r="G936" i="41"/>
  <c r="G937" i="41"/>
  <c r="G938" i="41"/>
  <c r="G939" i="41"/>
  <c r="G940" i="41"/>
  <c r="G941" i="41"/>
  <c r="G942" i="41"/>
  <c r="G943" i="41"/>
  <c r="G944" i="41"/>
  <c r="G945" i="41"/>
  <c r="G946" i="41"/>
  <c r="G947" i="41"/>
  <c r="G948" i="41"/>
  <c r="G949" i="41"/>
  <c r="G950" i="41"/>
  <c r="G951" i="41"/>
  <c r="G952" i="41"/>
  <c r="G953" i="41"/>
  <c r="G954" i="41"/>
  <c r="G955" i="41"/>
  <c r="G956" i="41"/>
  <c r="G957" i="41"/>
  <c r="G958" i="41"/>
  <c r="G959" i="41"/>
  <c r="G960" i="41"/>
  <c r="G961" i="41"/>
  <c r="G962" i="41"/>
  <c r="G963" i="41"/>
  <c r="G964" i="41"/>
  <c r="G965" i="41"/>
  <c r="G966" i="41"/>
  <c r="G967" i="41"/>
  <c r="G968" i="41"/>
  <c r="G969" i="41"/>
  <c r="G970" i="41"/>
  <c r="G971" i="41"/>
  <c r="G972" i="41"/>
  <c r="G973" i="41"/>
  <c r="G974" i="41"/>
  <c r="G975" i="41"/>
  <c r="G976" i="41"/>
  <c r="G977" i="41"/>
  <c r="G978" i="41"/>
  <c r="G979" i="41"/>
  <c r="G980" i="41"/>
  <c r="G981" i="41"/>
  <c r="G982" i="41"/>
  <c r="G983" i="41"/>
  <c r="G984" i="41"/>
  <c r="G985" i="41"/>
  <c r="G986" i="41"/>
  <c r="G987" i="41"/>
  <c r="G988" i="41"/>
  <c r="G989" i="41"/>
  <c r="G990" i="41"/>
  <c r="G991" i="41"/>
  <c r="G992" i="41"/>
  <c r="G993" i="41"/>
  <c r="G994" i="41"/>
  <c r="G995" i="41"/>
  <c r="G996" i="41"/>
  <c r="G997" i="41"/>
  <c r="G998" i="41"/>
  <c r="G999" i="41"/>
  <c r="G1000" i="41"/>
  <c r="G1001" i="41"/>
  <c r="G1002" i="41"/>
  <c r="G1003" i="41"/>
  <c r="G1004" i="41"/>
  <c r="G1005" i="41"/>
  <c r="G1006" i="41"/>
  <c r="G1007" i="41"/>
  <c r="G1008" i="41"/>
  <c r="G1009" i="41"/>
  <c r="G1010" i="41"/>
  <c r="G1011" i="41"/>
  <c r="G1012" i="41"/>
  <c r="G1013" i="41"/>
  <c r="G1014" i="41"/>
  <c r="G1015" i="41"/>
  <c r="G1016" i="41"/>
  <c r="G1017" i="41"/>
  <c r="G1018" i="41"/>
  <c r="G1019" i="41"/>
  <c r="G1020" i="41"/>
  <c r="G1021" i="41"/>
  <c r="G1022" i="41"/>
  <c r="G1023" i="41"/>
  <c r="G1024" i="41"/>
  <c r="G1025" i="41"/>
  <c r="G1026" i="41"/>
  <c r="G1027" i="41"/>
  <c r="G1028" i="41"/>
  <c r="G1029" i="41"/>
  <c r="G1030" i="41"/>
  <c r="G1031" i="41"/>
  <c r="G1032" i="41"/>
  <c r="G1033" i="41"/>
  <c r="G1034" i="41"/>
  <c r="G1035" i="41"/>
  <c r="G1036" i="41"/>
  <c r="G1037" i="41"/>
  <c r="G1038" i="41"/>
  <c r="G1039" i="41"/>
  <c r="G1040" i="41"/>
  <c r="G1041" i="41"/>
  <c r="G1042" i="41"/>
  <c r="G1043" i="41"/>
  <c r="G1044" i="41"/>
  <c r="G1045" i="41"/>
  <c r="G1046" i="41"/>
  <c r="G1047" i="41"/>
  <c r="G1048" i="41"/>
  <c r="G1049" i="41"/>
  <c r="G1050" i="41"/>
  <c r="G1051" i="41"/>
  <c r="G1052" i="41"/>
  <c r="G1053" i="41"/>
  <c r="G1054" i="41"/>
  <c r="G1055" i="41"/>
  <c r="G1056" i="41"/>
  <c r="G1057" i="41"/>
  <c r="G1058" i="41"/>
  <c r="G1059" i="41"/>
  <c r="G1060" i="41"/>
  <c r="G1061" i="41"/>
  <c r="G1062" i="41"/>
  <c r="G1063" i="41"/>
  <c r="G1064" i="41"/>
  <c r="G1065" i="41"/>
  <c r="G1066" i="41"/>
  <c r="G1067" i="41"/>
  <c r="G1068" i="41"/>
  <c r="G1069" i="41"/>
  <c r="G1070" i="41"/>
  <c r="G1071" i="41"/>
  <c r="G1072" i="41"/>
  <c r="G1073" i="41"/>
  <c r="G1074" i="41"/>
  <c r="G1075" i="41"/>
  <c r="G1076" i="41"/>
  <c r="G1077" i="41"/>
  <c r="G1078" i="41"/>
  <c r="G1079" i="41"/>
  <c r="G1080" i="41"/>
  <c r="G1081" i="41"/>
  <c r="G1082" i="41"/>
  <c r="G1083" i="41"/>
  <c r="G1084" i="41"/>
  <c r="G1085" i="41"/>
  <c r="G1086" i="41"/>
  <c r="G1087" i="41"/>
  <c r="G1088" i="41"/>
  <c r="G1089" i="41"/>
  <c r="G1090" i="41"/>
  <c r="G1091" i="41"/>
  <c r="G1092" i="41"/>
  <c r="G1093" i="41"/>
  <c r="G1094" i="41"/>
  <c r="G1095" i="41"/>
  <c r="G1096" i="41"/>
  <c r="G1097" i="41"/>
  <c r="G1098" i="41"/>
  <c r="G1099" i="41"/>
  <c r="G1100" i="41"/>
  <c r="G1101" i="41"/>
  <c r="G1102" i="41"/>
  <c r="G1103" i="41"/>
  <c r="G1104" i="41"/>
  <c r="G1105" i="41"/>
  <c r="G1106" i="41"/>
  <c r="G1107" i="41"/>
  <c r="G1108" i="41"/>
  <c r="G1109" i="41"/>
  <c r="G1110" i="41"/>
  <c r="G1111" i="41"/>
  <c r="G1112" i="41"/>
  <c r="G1113" i="41"/>
  <c r="G1114" i="41"/>
  <c r="G1115" i="41"/>
  <c r="G1116" i="41"/>
  <c r="G1117" i="41"/>
  <c r="G1118" i="41"/>
  <c r="G1119" i="41"/>
  <c r="G1120" i="41"/>
  <c r="G1121" i="41"/>
  <c r="G1122" i="41"/>
  <c r="G1123" i="41"/>
  <c r="G1124" i="41"/>
  <c r="G1125" i="41"/>
  <c r="G1126" i="41"/>
  <c r="G1127" i="41"/>
  <c r="G1128" i="41"/>
  <c r="G1129" i="41"/>
  <c r="G1130" i="41"/>
  <c r="G1131" i="41"/>
  <c r="G1132" i="41"/>
  <c r="G1133" i="41"/>
  <c r="G1134" i="41"/>
  <c r="G1135" i="41"/>
  <c r="G1136" i="41"/>
  <c r="G1137" i="41"/>
  <c r="G1138" i="41"/>
  <c r="G1139" i="41"/>
  <c r="G1140" i="41"/>
  <c r="G1141" i="41"/>
  <c r="G1142" i="41"/>
  <c r="G1143" i="41"/>
  <c r="G1144" i="41"/>
  <c r="G1145" i="41"/>
  <c r="G1146" i="41"/>
  <c r="G1147" i="41"/>
  <c r="G1148" i="41"/>
  <c r="G1149" i="41"/>
  <c r="G1150" i="41"/>
  <c r="G1151" i="41"/>
  <c r="G1152" i="41"/>
  <c r="G1153" i="41"/>
  <c r="G1154" i="41"/>
  <c r="G1155" i="41"/>
  <c r="G1156" i="41"/>
  <c r="G1157" i="41"/>
  <c r="G1158" i="41"/>
  <c r="G1159" i="41"/>
  <c r="G1160" i="41"/>
  <c r="G1161" i="41"/>
  <c r="G1162" i="41"/>
  <c r="G1163" i="41"/>
  <c r="G1164" i="41"/>
  <c r="G1165" i="41"/>
  <c r="G1166" i="41"/>
  <c r="G1167" i="41"/>
  <c r="G1168" i="41"/>
  <c r="G1169" i="41"/>
  <c r="G1170" i="41"/>
  <c r="G1171" i="41"/>
  <c r="G1172" i="41"/>
  <c r="G1173" i="41"/>
  <c r="G1174" i="41"/>
  <c r="G1175" i="41"/>
  <c r="G1176" i="41"/>
  <c r="G1177" i="41"/>
  <c r="G1178" i="41"/>
  <c r="G1179" i="41"/>
  <c r="G1180" i="41"/>
  <c r="G1181" i="41"/>
  <c r="G1182" i="41"/>
  <c r="G1183" i="41"/>
  <c r="G1184" i="41"/>
  <c r="G1185" i="41"/>
  <c r="G1186" i="41"/>
  <c r="G1187" i="41"/>
  <c r="G1188" i="41"/>
  <c r="G1189" i="41"/>
  <c r="G1190" i="41"/>
  <c r="G1191" i="41"/>
  <c r="G1192" i="41"/>
  <c r="G1193" i="41"/>
  <c r="G1194" i="41"/>
  <c r="G1195" i="41"/>
  <c r="G1196" i="41"/>
  <c r="G1197" i="41"/>
  <c r="G1198" i="41"/>
  <c r="G1199" i="41"/>
  <c r="G1200" i="41"/>
  <c r="G1201" i="41"/>
  <c r="G1202" i="41"/>
  <c r="G1203" i="41"/>
  <c r="F262" i="41"/>
  <c r="F263" i="41"/>
  <c r="F264" i="41"/>
  <c r="F265" i="41"/>
  <c r="F266" i="41"/>
  <c r="F267" i="41"/>
  <c r="F268" i="41"/>
  <c r="F269" i="41"/>
  <c r="F270" i="41"/>
  <c r="F271" i="41"/>
  <c r="F272" i="41"/>
  <c r="F273" i="41"/>
  <c r="F274" i="41"/>
  <c r="F275" i="41"/>
  <c r="F276" i="41"/>
  <c r="F277" i="41"/>
  <c r="F278" i="41"/>
  <c r="F279" i="41"/>
  <c r="F280" i="41"/>
  <c r="F281" i="41"/>
  <c r="F282" i="41"/>
  <c r="F283" i="41"/>
  <c r="F284" i="41"/>
  <c r="F285" i="41"/>
  <c r="F286" i="41"/>
  <c r="F287" i="41"/>
  <c r="F288" i="41"/>
  <c r="F289" i="41"/>
  <c r="F290" i="41"/>
  <c r="F291" i="41"/>
  <c r="F292" i="41"/>
  <c r="F293" i="41"/>
  <c r="F294" i="41"/>
  <c r="F295" i="41"/>
  <c r="F296" i="41"/>
  <c r="F297" i="41"/>
  <c r="F298" i="41"/>
  <c r="F299" i="41"/>
  <c r="F300" i="41"/>
  <c r="F301" i="41"/>
  <c r="F302" i="41"/>
  <c r="F303" i="41"/>
  <c r="F304" i="41"/>
  <c r="F305" i="41"/>
  <c r="F306" i="41"/>
  <c r="F307" i="41"/>
  <c r="F308" i="41"/>
  <c r="F309" i="41"/>
  <c r="F310" i="41"/>
  <c r="F311" i="41"/>
  <c r="F312" i="41"/>
  <c r="F313" i="41"/>
  <c r="F314" i="41"/>
  <c r="F315" i="41"/>
  <c r="F316" i="41"/>
  <c r="F317" i="41"/>
  <c r="F318" i="41"/>
  <c r="F319" i="41"/>
  <c r="F320" i="41"/>
  <c r="F321" i="41"/>
  <c r="F322" i="41"/>
  <c r="F323" i="41"/>
  <c r="F324" i="41"/>
  <c r="F325" i="41"/>
  <c r="F326" i="41"/>
  <c r="F327" i="41"/>
  <c r="F328" i="41"/>
  <c r="F329" i="41"/>
  <c r="F330" i="41"/>
  <c r="F331" i="41"/>
  <c r="F332" i="41"/>
  <c r="F333" i="41"/>
  <c r="F334" i="41"/>
  <c r="F335" i="41"/>
  <c r="F336" i="41"/>
  <c r="F337" i="41"/>
  <c r="F338" i="41"/>
  <c r="F339" i="41"/>
  <c r="F340" i="41"/>
  <c r="F341" i="41"/>
  <c r="F342" i="41"/>
  <c r="F343" i="41"/>
  <c r="F344" i="41"/>
  <c r="F345" i="41"/>
  <c r="F346" i="41"/>
  <c r="F347" i="41"/>
  <c r="F348" i="41"/>
  <c r="F349" i="41"/>
  <c r="F350" i="41"/>
  <c r="F351" i="41"/>
  <c r="F352" i="41"/>
  <c r="F353" i="41"/>
  <c r="F354" i="41"/>
  <c r="F355" i="41"/>
  <c r="F356" i="41"/>
  <c r="F357" i="41"/>
  <c r="F358" i="41"/>
  <c r="F359" i="41"/>
  <c r="F360" i="41"/>
  <c r="F361" i="41"/>
  <c r="F362" i="41"/>
  <c r="F363" i="41"/>
  <c r="F364" i="41"/>
  <c r="F365" i="41"/>
  <c r="F366" i="41"/>
  <c r="F367" i="41"/>
  <c r="F368" i="41"/>
  <c r="F369" i="41"/>
  <c r="F370" i="41"/>
  <c r="F371" i="41"/>
  <c r="F372" i="41"/>
  <c r="F373" i="41"/>
  <c r="F374" i="41"/>
  <c r="F375" i="41"/>
  <c r="F376" i="41"/>
  <c r="F377" i="41"/>
  <c r="F378" i="41"/>
  <c r="F379" i="41"/>
  <c r="F380" i="41"/>
  <c r="F381" i="41"/>
  <c r="F382" i="41"/>
  <c r="F383" i="41"/>
  <c r="F384" i="41"/>
  <c r="F385" i="41"/>
  <c r="F386" i="41"/>
  <c r="F387" i="41"/>
  <c r="F388" i="41"/>
  <c r="F389" i="41"/>
  <c r="F390" i="41"/>
  <c r="F391" i="41"/>
  <c r="F392" i="41"/>
  <c r="F393" i="41"/>
  <c r="F394" i="41"/>
  <c r="F395" i="41"/>
  <c r="F396" i="41"/>
  <c r="F397" i="41"/>
  <c r="F398" i="41"/>
  <c r="F399" i="41"/>
  <c r="F400" i="41"/>
  <c r="F401" i="41"/>
  <c r="F402" i="41"/>
  <c r="F403" i="41"/>
  <c r="F404" i="41"/>
  <c r="F405" i="41"/>
  <c r="F406" i="41"/>
  <c r="F407" i="41"/>
  <c r="F408" i="41"/>
  <c r="F409" i="41"/>
  <c r="F410" i="41"/>
  <c r="F411" i="41"/>
  <c r="F412" i="41"/>
  <c r="F413" i="41"/>
  <c r="F414" i="41"/>
  <c r="F415" i="41"/>
  <c r="F416" i="41"/>
  <c r="F417" i="41"/>
  <c r="F418" i="41"/>
  <c r="F419" i="41"/>
  <c r="F420" i="41"/>
  <c r="F421" i="41"/>
  <c r="F422" i="41"/>
  <c r="F423" i="41"/>
  <c r="F424" i="41"/>
  <c r="F425" i="41"/>
  <c r="F426" i="41"/>
  <c r="F427" i="41"/>
  <c r="F428" i="41"/>
  <c r="F429" i="41"/>
  <c r="F430" i="41"/>
  <c r="F431" i="41"/>
  <c r="F432" i="41"/>
  <c r="F433" i="41"/>
  <c r="F434" i="41"/>
  <c r="F435" i="41"/>
  <c r="F436" i="41"/>
  <c r="F437" i="41"/>
  <c r="F438" i="41"/>
  <c r="F439" i="41"/>
  <c r="F440" i="41"/>
  <c r="F441" i="41"/>
  <c r="F442" i="41"/>
  <c r="F443" i="41"/>
  <c r="F444" i="41"/>
  <c r="F445" i="41"/>
  <c r="F446" i="41"/>
  <c r="F447" i="41"/>
  <c r="F448" i="41"/>
  <c r="F449" i="41"/>
  <c r="F450" i="41"/>
  <c r="F451" i="41"/>
  <c r="F452" i="41"/>
  <c r="F453" i="41"/>
  <c r="F454" i="41"/>
  <c r="F455" i="41"/>
  <c r="F456" i="41"/>
  <c r="F457" i="41"/>
  <c r="F458" i="41"/>
  <c r="F459" i="41"/>
  <c r="F460" i="41"/>
  <c r="F461" i="41"/>
  <c r="F462" i="41"/>
  <c r="F463" i="41"/>
  <c r="F464" i="41"/>
  <c r="F465" i="41"/>
  <c r="F466" i="41"/>
  <c r="F467" i="41"/>
  <c r="F468" i="41"/>
  <c r="F469" i="41"/>
  <c r="F470" i="41"/>
  <c r="F471" i="41"/>
  <c r="F472" i="41"/>
  <c r="F473" i="41"/>
  <c r="F474" i="41"/>
  <c r="F475" i="41"/>
  <c r="F476" i="41"/>
  <c r="F477" i="41"/>
  <c r="F478" i="41"/>
  <c r="F479" i="41"/>
  <c r="F480" i="41"/>
  <c r="F481" i="41"/>
  <c r="F482" i="41"/>
  <c r="F483" i="41"/>
  <c r="F484" i="41"/>
  <c r="F485" i="41"/>
  <c r="F486" i="41"/>
  <c r="F487" i="41"/>
  <c r="F488" i="41"/>
  <c r="F489" i="41"/>
  <c r="F490" i="41"/>
  <c r="F491" i="41"/>
  <c r="F492" i="41"/>
  <c r="F493" i="41"/>
  <c r="F494" i="41"/>
  <c r="F495" i="41"/>
  <c r="F496" i="41"/>
  <c r="F497" i="41"/>
  <c r="F498" i="41"/>
  <c r="F499" i="41"/>
  <c r="F500" i="41"/>
  <c r="F501" i="41"/>
  <c r="F502" i="41"/>
  <c r="F503" i="41"/>
  <c r="F504" i="41"/>
  <c r="F505" i="41"/>
  <c r="F506" i="41"/>
  <c r="F507" i="41"/>
  <c r="F508" i="41"/>
  <c r="F509" i="41"/>
  <c r="F510" i="41"/>
  <c r="F511" i="41"/>
  <c r="F512" i="41"/>
  <c r="F513" i="41"/>
  <c r="F514" i="41"/>
  <c r="F515" i="41"/>
  <c r="F516" i="41"/>
  <c r="F517" i="41"/>
  <c r="F518" i="41"/>
  <c r="F519" i="41"/>
  <c r="F520" i="41"/>
  <c r="F521" i="41"/>
  <c r="F522" i="41"/>
  <c r="F523" i="41"/>
  <c r="F524" i="41"/>
  <c r="F525" i="41"/>
  <c r="F526" i="41"/>
  <c r="F527" i="41"/>
  <c r="F528" i="41"/>
  <c r="F529" i="41"/>
  <c r="F530" i="41"/>
  <c r="F531" i="41"/>
  <c r="F532" i="41"/>
  <c r="F533" i="41"/>
  <c r="F534" i="41"/>
  <c r="F535" i="41"/>
  <c r="F536" i="41"/>
  <c r="F537" i="41"/>
  <c r="F538" i="41"/>
  <c r="F539" i="41"/>
  <c r="F540" i="41"/>
  <c r="F541" i="41"/>
  <c r="F542" i="41"/>
  <c r="F543" i="41"/>
  <c r="F544" i="41"/>
  <c r="F545" i="41"/>
  <c r="F546" i="41"/>
  <c r="F547" i="41"/>
  <c r="F548" i="41"/>
  <c r="F549" i="41"/>
  <c r="F550" i="41"/>
  <c r="F551" i="41"/>
  <c r="F552" i="41"/>
  <c r="F553" i="41"/>
  <c r="F554" i="41"/>
  <c r="F555" i="41"/>
  <c r="F556" i="41"/>
  <c r="F557" i="41"/>
  <c r="F558" i="41"/>
  <c r="F559" i="41"/>
  <c r="F560" i="41"/>
  <c r="F561" i="41"/>
  <c r="F562" i="41"/>
  <c r="F563" i="41"/>
  <c r="F564" i="41"/>
  <c r="F565" i="41"/>
  <c r="F566" i="41"/>
  <c r="F567" i="41"/>
  <c r="F568" i="41"/>
  <c r="F569" i="41"/>
  <c r="F570" i="41"/>
  <c r="F571" i="41"/>
  <c r="F572" i="41"/>
  <c r="F573" i="41"/>
  <c r="F574" i="41"/>
  <c r="F575" i="41"/>
  <c r="F576" i="41"/>
  <c r="F577" i="41"/>
  <c r="F578" i="41"/>
  <c r="F579" i="41"/>
  <c r="F580" i="41"/>
  <c r="F581" i="41"/>
  <c r="F582" i="41"/>
  <c r="F583" i="41"/>
  <c r="F584" i="41"/>
  <c r="F585" i="41"/>
  <c r="F586" i="41"/>
  <c r="F587" i="41"/>
  <c r="F588" i="41"/>
  <c r="F589" i="41"/>
  <c r="F590" i="41"/>
  <c r="F591" i="41"/>
  <c r="F592" i="41"/>
  <c r="F593" i="41"/>
  <c r="F594" i="41"/>
  <c r="F595" i="41"/>
  <c r="F596" i="41"/>
  <c r="F597" i="41"/>
  <c r="F598" i="41"/>
  <c r="F599" i="41"/>
  <c r="F600" i="41"/>
  <c r="F601" i="41"/>
  <c r="F602" i="41"/>
  <c r="F603" i="41"/>
  <c r="F604" i="41"/>
  <c r="F605" i="41"/>
  <c r="F606" i="41"/>
  <c r="F607" i="41"/>
  <c r="F608" i="41"/>
  <c r="F609" i="41"/>
  <c r="F610" i="41"/>
  <c r="F611" i="41"/>
  <c r="F612" i="41"/>
  <c r="F613" i="41"/>
  <c r="F614" i="41"/>
  <c r="F615" i="41"/>
  <c r="F616" i="41"/>
  <c r="F617" i="41"/>
  <c r="F618" i="41"/>
  <c r="F619" i="41"/>
  <c r="F620" i="41"/>
  <c r="F621" i="41"/>
  <c r="F622" i="41"/>
  <c r="F623" i="41"/>
  <c r="F624" i="41"/>
  <c r="F625" i="41"/>
  <c r="F626" i="41"/>
  <c r="F627" i="41"/>
  <c r="F628" i="41"/>
  <c r="F629" i="41"/>
  <c r="F630" i="41"/>
  <c r="F631" i="41"/>
  <c r="F632" i="41"/>
  <c r="F633" i="41"/>
  <c r="F634" i="41"/>
  <c r="F635" i="41"/>
  <c r="F636" i="41"/>
  <c r="F637" i="41"/>
  <c r="F638" i="41"/>
  <c r="F639" i="41"/>
  <c r="F640" i="41"/>
  <c r="F641" i="41"/>
  <c r="F642" i="41"/>
  <c r="F643" i="41"/>
  <c r="F644" i="41"/>
  <c r="F645" i="41"/>
  <c r="F646" i="41"/>
  <c r="F647" i="41"/>
  <c r="F648" i="41"/>
  <c r="F649" i="41"/>
  <c r="F650" i="41"/>
  <c r="F651" i="41"/>
  <c r="F652" i="41"/>
  <c r="F653" i="41"/>
  <c r="F654" i="41"/>
  <c r="F655" i="41"/>
  <c r="F656" i="41"/>
  <c r="F657" i="41"/>
  <c r="F658" i="41"/>
  <c r="F659" i="41"/>
  <c r="F660" i="41"/>
  <c r="F661" i="41"/>
  <c r="F662" i="41"/>
  <c r="F663" i="41"/>
  <c r="F664" i="41"/>
  <c r="F665" i="41"/>
  <c r="F666" i="41"/>
  <c r="F667" i="41"/>
  <c r="F668" i="41"/>
  <c r="F669" i="41"/>
  <c r="F670" i="41"/>
  <c r="F671" i="41"/>
  <c r="F672" i="41"/>
  <c r="F673" i="41"/>
  <c r="F674" i="41"/>
  <c r="F675" i="41"/>
  <c r="F676" i="41"/>
  <c r="F677" i="41"/>
  <c r="F678" i="41"/>
  <c r="F679" i="41"/>
  <c r="F680" i="41"/>
  <c r="F681" i="41"/>
  <c r="F682" i="41"/>
  <c r="F683" i="41"/>
  <c r="F684" i="41"/>
  <c r="F685" i="41"/>
  <c r="F686" i="41"/>
  <c r="F687" i="41"/>
  <c r="F688" i="41"/>
  <c r="F689" i="41"/>
  <c r="F690" i="41"/>
  <c r="F691" i="41"/>
  <c r="F692" i="41"/>
  <c r="F693" i="41"/>
  <c r="F694" i="41"/>
  <c r="F695" i="41"/>
  <c r="F696" i="41"/>
  <c r="F697" i="41"/>
  <c r="F698" i="41"/>
  <c r="F699" i="41"/>
  <c r="F700" i="41"/>
  <c r="F701" i="41"/>
  <c r="F702" i="41"/>
  <c r="F703" i="41"/>
  <c r="F704" i="41"/>
  <c r="F705" i="41"/>
  <c r="F706" i="41"/>
  <c r="F707" i="41"/>
  <c r="F708" i="41"/>
  <c r="F709" i="41"/>
  <c r="F710" i="41"/>
  <c r="F711" i="41"/>
  <c r="F712" i="41"/>
  <c r="F713" i="41"/>
  <c r="F714" i="41"/>
  <c r="F715" i="41"/>
  <c r="F716" i="41"/>
  <c r="F717" i="41"/>
  <c r="F718" i="41"/>
  <c r="F719" i="41"/>
  <c r="F720" i="41"/>
  <c r="F721" i="41"/>
  <c r="F722" i="41"/>
  <c r="F723" i="41"/>
  <c r="F724" i="41"/>
  <c r="F725" i="41"/>
  <c r="F726" i="41"/>
  <c r="F727" i="41"/>
  <c r="F728" i="41"/>
  <c r="F729" i="41"/>
  <c r="F730" i="41"/>
  <c r="F731" i="41"/>
  <c r="F732" i="41"/>
  <c r="F733" i="41"/>
  <c r="F734" i="41"/>
  <c r="F735" i="41"/>
  <c r="F736" i="41"/>
  <c r="F737" i="41"/>
  <c r="F738" i="41"/>
  <c r="F739" i="41"/>
  <c r="F740" i="41"/>
  <c r="F741" i="41"/>
  <c r="F742" i="41"/>
  <c r="F743" i="41"/>
  <c r="F744" i="41"/>
  <c r="F745" i="41"/>
  <c r="F746" i="41"/>
  <c r="F747" i="41"/>
  <c r="F748" i="41"/>
  <c r="F749" i="41"/>
  <c r="F750" i="41"/>
  <c r="F751" i="41"/>
  <c r="F752" i="41"/>
  <c r="F753" i="41"/>
  <c r="F754" i="41"/>
  <c r="F755" i="41"/>
  <c r="F756" i="41"/>
  <c r="F757" i="41"/>
  <c r="F758" i="41"/>
  <c r="F759" i="41"/>
  <c r="F760" i="41"/>
  <c r="F761" i="41"/>
  <c r="F762" i="41"/>
  <c r="F763" i="41"/>
  <c r="F764" i="41"/>
  <c r="F765" i="41"/>
  <c r="F766" i="41"/>
  <c r="F767" i="41"/>
  <c r="F768" i="41"/>
  <c r="F769" i="41"/>
  <c r="F770" i="41"/>
  <c r="F771" i="41"/>
  <c r="F772" i="41"/>
  <c r="F773" i="41"/>
  <c r="F774" i="41"/>
  <c r="F775" i="41"/>
  <c r="F776" i="41"/>
  <c r="F777" i="41"/>
  <c r="F778" i="41"/>
  <c r="F779" i="41"/>
  <c r="F780" i="41"/>
  <c r="F781" i="41"/>
  <c r="F782" i="41"/>
  <c r="F783" i="41"/>
  <c r="F784" i="41"/>
  <c r="F785" i="41"/>
  <c r="F786" i="41"/>
  <c r="F787" i="41"/>
  <c r="F788" i="41"/>
  <c r="F789" i="41"/>
  <c r="F790" i="41"/>
  <c r="F791" i="41"/>
  <c r="F792" i="41"/>
  <c r="F793" i="41"/>
  <c r="F794" i="41"/>
  <c r="F795" i="41"/>
  <c r="F796" i="41"/>
  <c r="F797" i="41"/>
  <c r="F798" i="41"/>
  <c r="F799" i="41"/>
  <c r="F800" i="41"/>
  <c r="F801" i="41"/>
  <c r="F802" i="41"/>
  <c r="F803" i="41"/>
  <c r="F804" i="41"/>
  <c r="F805" i="41"/>
  <c r="F806" i="41"/>
  <c r="F807" i="41"/>
  <c r="F808" i="41"/>
  <c r="F809" i="41"/>
  <c r="F810" i="41"/>
  <c r="F811" i="41"/>
  <c r="F812" i="41"/>
  <c r="F813" i="41"/>
  <c r="F814" i="41"/>
  <c r="F815" i="41"/>
  <c r="F816" i="41"/>
  <c r="F817" i="41"/>
  <c r="F818" i="41"/>
  <c r="F819" i="41"/>
  <c r="F820" i="41"/>
  <c r="F821" i="41"/>
  <c r="F822" i="41"/>
  <c r="F823" i="41"/>
  <c r="F824" i="41"/>
  <c r="F825" i="41"/>
  <c r="F826" i="41"/>
  <c r="F827" i="41"/>
  <c r="F828" i="41"/>
  <c r="F829" i="41"/>
  <c r="F830" i="41"/>
  <c r="F831" i="41"/>
  <c r="F832" i="41"/>
  <c r="F833" i="41"/>
  <c r="F834" i="41"/>
  <c r="F835" i="41"/>
  <c r="F836" i="41"/>
  <c r="F837" i="41"/>
  <c r="F838" i="41"/>
  <c r="F839" i="41"/>
  <c r="F840" i="41"/>
  <c r="F841" i="41"/>
  <c r="F842" i="41"/>
  <c r="F843" i="41"/>
  <c r="F844" i="41"/>
  <c r="F845" i="41"/>
  <c r="F846" i="41"/>
  <c r="F847" i="41"/>
  <c r="F848" i="41"/>
  <c r="F849" i="41"/>
  <c r="F850" i="41"/>
  <c r="F851" i="41"/>
  <c r="F852" i="41"/>
  <c r="F853" i="41"/>
  <c r="F854" i="41"/>
  <c r="F855" i="41"/>
  <c r="F856" i="41"/>
  <c r="F857" i="41"/>
  <c r="F858" i="41"/>
  <c r="F859" i="41"/>
  <c r="F860" i="41"/>
  <c r="F861" i="41"/>
  <c r="F862" i="41"/>
  <c r="F863" i="41"/>
  <c r="F864" i="41"/>
  <c r="F865" i="41"/>
  <c r="F866" i="41"/>
  <c r="F867" i="41"/>
  <c r="F868" i="41"/>
  <c r="F869" i="41"/>
  <c r="F870" i="41"/>
  <c r="F871" i="41"/>
  <c r="F872" i="41"/>
  <c r="F873" i="41"/>
  <c r="F874" i="41"/>
  <c r="F875" i="41"/>
  <c r="F876" i="41"/>
  <c r="F877" i="41"/>
  <c r="F878" i="41"/>
  <c r="F879" i="41"/>
  <c r="F880" i="41"/>
  <c r="F881" i="41"/>
  <c r="F882" i="41"/>
  <c r="F883" i="41"/>
  <c r="F884" i="41"/>
  <c r="F885" i="41"/>
  <c r="F886" i="41"/>
  <c r="F887" i="41"/>
  <c r="F888" i="41"/>
  <c r="F889" i="41"/>
  <c r="F890" i="41"/>
  <c r="F891" i="41"/>
  <c r="F892" i="41"/>
  <c r="F893" i="41"/>
  <c r="F894" i="41"/>
  <c r="F895" i="41"/>
  <c r="F896" i="41"/>
  <c r="F897" i="41"/>
  <c r="F898" i="41"/>
  <c r="F899" i="41"/>
  <c r="F900" i="41"/>
  <c r="F901" i="41"/>
  <c r="F902" i="41"/>
  <c r="F903" i="41"/>
  <c r="F904" i="41"/>
  <c r="F905" i="41"/>
  <c r="F906" i="41"/>
  <c r="F907" i="41"/>
  <c r="F908" i="41"/>
  <c r="F909" i="41"/>
  <c r="F910" i="41"/>
  <c r="F911" i="41"/>
  <c r="F912" i="41"/>
  <c r="F913" i="41"/>
  <c r="F914" i="41"/>
  <c r="F915" i="41"/>
  <c r="F916" i="41"/>
  <c r="F917" i="41"/>
  <c r="F918" i="41"/>
  <c r="F919" i="41"/>
  <c r="F920" i="41"/>
  <c r="F921" i="41"/>
  <c r="F922" i="41"/>
  <c r="F923" i="41"/>
  <c r="F924" i="41"/>
  <c r="F925" i="41"/>
  <c r="F926" i="41"/>
  <c r="F927" i="41"/>
  <c r="F928" i="41"/>
  <c r="F929" i="41"/>
  <c r="F930" i="41"/>
  <c r="F931" i="41"/>
  <c r="F932" i="41"/>
  <c r="F933" i="41"/>
  <c r="F934" i="41"/>
  <c r="F935" i="41"/>
  <c r="F936" i="41"/>
  <c r="F937" i="41"/>
  <c r="F938" i="41"/>
  <c r="F939" i="41"/>
  <c r="F940" i="41"/>
  <c r="F941" i="41"/>
  <c r="F942" i="41"/>
  <c r="F943" i="41"/>
  <c r="F944" i="41"/>
  <c r="F945" i="41"/>
  <c r="F946" i="41"/>
  <c r="F947" i="41"/>
  <c r="F948" i="41"/>
  <c r="F949" i="41"/>
  <c r="F950" i="41"/>
  <c r="F951" i="41"/>
  <c r="F952" i="41"/>
  <c r="F953" i="41"/>
  <c r="F954" i="41"/>
  <c r="F955" i="41"/>
  <c r="F956" i="41"/>
  <c r="F957" i="41"/>
  <c r="F958" i="41"/>
  <c r="F959" i="41"/>
  <c r="F960" i="41"/>
  <c r="F961" i="41"/>
  <c r="F962" i="41"/>
  <c r="F963" i="41"/>
  <c r="F964" i="41"/>
  <c r="F965" i="41"/>
  <c r="F966" i="41"/>
  <c r="F967" i="41"/>
  <c r="F968" i="41"/>
  <c r="F969" i="41"/>
  <c r="F970" i="41"/>
  <c r="F971" i="41"/>
  <c r="F972" i="41"/>
  <c r="F973" i="41"/>
  <c r="F974" i="41"/>
  <c r="F975" i="41"/>
  <c r="F976" i="41"/>
  <c r="F977" i="41"/>
  <c r="F978" i="41"/>
  <c r="F979" i="41"/>
  <c r="F980" i="41"/>
  <c r="F981" i="41"/>
  <c r="F982" i="41"/>
  <c r="F983" i="41"/>
  <c r="F984" i="41"/>
  <c r="F985" i="41"/>
  <c r="F986" i="41"/>
  <c r="F987" i="41"/>
  <c r="F988" i="41"/>
  <c r="F989" i="41"/>
  <c r="F990" i="41"/>
  <c r="F991" i="41"/>
  <c r="F992" i="41"/>
  <c r="F993" i="41"/>
  <c r="F994" i="41"/>
  <c r="F995" i="41"/>
  <c r="F996" i="41"/>
  <c r="F997" i="41"/>
  <c r="F998" i="41"/>
  <c r="F999" i="41"/>
  <c r="F1000" i="41"/>
  <c r="F1001" i="41"/>
  <c r="F1002" i="41"/>
  <c r="F1003" i="41"/>
  <c r="F1004" i="41"/>
  <c r="F1005" i="41"/>
  <c r="F1006" i="41"/>
  <c r="F1007" i="41"/>
  <c r="F1008" i="41"/>
  <c r="F1009" i="41"/>
  <c r="F1010" i="41"/>
  <c r="F1011" i="41"/>
  <c r="F1012" i="41"/>
  <c r="F1013" i="41"/>
  <c r="F1014" i="41"/>
  <c r="F1015" i="41"/>
  <c r="F1016" i="41"/>
  <c r="F1017" i="41"/>
  <c r="F1018" i="41"/>
  <c r="F1019" i="41"/>
  <c r="F1020" i="41"/>
  <c r="F1021" i="41"/>
  <c r="F1022" i="41"/>
  <c r="F1023" i="41"/>
  <c r="F1024" i="41"/>
  <c r="F1025" i="41"/>
  <c r="F1026" i="41"/>
  <c r="F1027" i="41"/>
  <c r="F1028" i="41"/>
  <c r="F1029" i="41"/>
  <c r="F1030" i="41"/>
  <c r="F1031" i="41"/>
  <c r="F1032" i="41"/>
  <c r="F1033" i="41"/>
  <c r="F1034" i="41"/>
  <c r="F1035" i="41"/>
  <c r="F1036" i="41"/>
  <c r="F1037" i="41"/>
  <c r="F1038" i="41"/>
  <c r="F1039" i="41"/>
  <c r="F1040" i="41"/>
  <c r="F1041" i="41"/>
  <c r="F1042" i="41"/>
  <c r="F1043" i="41"/>
  <c r="F1044" i="41"/>
  <c r="F1045" i="41"/>
  <c r="F1046" i="41"/>
  <c r="F1047" i="41"/>
  <c r="F1048" i="41"/>
  <c r="F1049" i="41"/>
  <c r="F1050" i="41"/>
  <c r="F1051" i="41"/>
  <c r="F1052" i="41"/>
  <c r="F1053" i="41"/>
  <c r="F1054" i="41"/>
  <c r="F1055" i="41"/>
  <c r="F1056" i="41"/>
  <c r="F1057" i="41"/>
  <c r="F1058" i="41"/>
  <c r="F1059" i="41"/>
  <c r="F1060" i="41"/>
  <c r="F1061" i="41"/>
  <c r="F1062" i="41"/>
  <c r="F1063" i="41"/>
  <c r="F1064" i="41"/>
  <c r="F1065" i="41"/>
  <c r="F1066" i="41"/>
  <c r="F1067" i="41"/>
  <c r="F1068" i="41"/>
  <c r="F1069" i="41"/>
  <c r="F1070" i="41"/>
  <c r="F1071" i="41"/>
  <c r="F1072" i="41"/>
  <c r="F1073" i="41"/>
  <c r="F1074" i="41"/>
  <c r="F1075" i="41"/>
  <c r="F1076" i="41"/>
  <c r="F1077" i="41"/>
  <c r="F1078" i="41"/>
  <c r="F1079" i="41"/>
  <c r="F1080" i="41"/>
  <c r="F1081" i="41"/>
  <c r="F1082" i="41"/>
  <c r="F1083" i="41"/>
  <c r="F1084" i="41"/>
  <c r="F1085" i="41"/>
  <c r="F1086" i="41"/>
  <c r="F1087" i="41"/>
  <c r="F1088" i="41"/>
  <c r="F1089" i="41"/>
  <c r="F1090" i="41"/>
  <c r="F1091" i="41"/>
  <c r="F1092" i="41"/>
  <c r="F1093" i="41"/>
  <c r="F1094" i="41"/>
  <c r="F1095" i="41"/>
  <c r="F1096" i="41"/>
  <c r="F1097" i="41"/>
  <c r="F1098" i="41"/>
  <c r="F1099" i="41"/>
  <c r="F1100" i="41"/>
  <c r="F1101" i="41"/>
  <c r="F1102" i="41"/>
  <c r="F1103" i="41"/>
  <c r="F1104" i="41"/>
  <c r="F1105" i="41"/>
  <c r="F1106" i="41"/>
  <c r="F1107" i="41"/>
  <c r="F1108" i="41"/>
  <c r="F1109" i="41"/>
  <c r="F1110" i="41"/>
  <c r="F1111" i="41"/>
  <c r="F1112" i="41"/>
  <c r="F1113" i="41"/>
  <c r="F1114" i="41"/>
  <c r="F1115" i="41"/>
  <c r="F1116" i="41"/>
  <c r="F1117" i="41"/>
  <c r="F1118" i="41"/>
  <c r="F1119" i="41"/>
  <c r="F1120" i="41"/>
  <c r="F1121" i="41"/>
  <c r="F1122" i="41"/>
  <c r="F1123" i="41"/>
  <c r="F1124" i="41"/>
  <c r="F1125" i="41"/>
  <c r="F1126" i="41"/>
  <c r="F1127" i="41"/>
  <c r="F1128" i="41"/>
  <c r="F1129" i="41"/>
  <c r="F1130" i="41"/>
  <c r="F1131" i="41"/>
  <c r="F1132" i="41"/>
  <c r="F1133" i="41"/>
  <c r="F1134" i="41"/>
  <c r="F1135" i="41"/>
  <c r="F1136" i="41"/>
  <c r="F1137" i="41"/>
  <c r="F1138" i="41"/>
  <c r="F1139" i="41"/>
  <c r="F1140" i="41"/>
  <c r="F1141" i="41"/>
  <c r="F1142" i="41"/>
  <c r="F1143" i="41"/>
  <c r="F1144" i="41"/>
  <c r="F1145" i="41"/>
  <c r="F1146" i="41"/>
  <c r="F1147" i="41"/>
  <c r="F1148" i="41"/>
  <c r="F1149" i="41"/>
  <c r="F1150" i="41"/>
  <c r="F1151" i="41"/>
  <c r="F1152" i="41"/>
  <c r="F1153" i="41"/>
  <c r="F1154" i="41"/>
  <c r="F1155" i="41"/>
  <c r="F1156" i="41"/>
  <c r="F1157" i="41"/>
  <c r="F1158" i="41"/>
  <c r="F1159" i="41"/>
  <c r="F1160" i="41"/>
  <c r="F1161" i="41"/>
  <c r="F1162" i="41"/>
  <c r="F1163" i="41"/>
  <c r="F1164" i="41"/>
  <c r="F1165" i="41"/>
  <c r="F1166" i="41"/>
  <c r="F1167" i="41"/>
  <c r="F1168" i="41"/>
  <c r="F1169" i="41"/>
  <c r="F1170" i="41"/>
  <c r="F1171" i="41"/>
  <c r="F1172" i="41"/>
  <c r="F1173" i="41"/>
  <c r="F1174" i="41"/>
  <c r="F1175" i="41"/>
  <c r="F1176" i="41"/>
  <c r="F1177" i="41"/>
  <c r="F1178" i="41"/>
  <c r="F1179" i="41"/>
  <c r="F1180" i="41"/>
  <c r="F1181" i="41"/>
  <c r="F1182" i="41"/>
  <c r="F1183" i="41"/>
  <c r="F1184" i="41"/>
  <c r="F1185" i="41"/>
  <c r="F1186" i="41"/>
  <c r="F1187" i="41"/>
  <c r="F1188" i="41"/>
  <c r="F1189" i="41"/>
  <c r="F1190" i="41"/>
  <c r="F1191" i="41"/>
  <c r="F1192" i="41"/>
  <c r="F1193" i="41"/>
  <c r="F1194" i="41"/>
  <c r="F1195" i="41"/>
  <c r="F1196" i="41"/>
  <c r="F1197" i="41"/>
  <c r="F1198" i="41"/>
  <c r="F1199" i="41"/>
  <c r="F1200" i="41"/>
  <c r="F1201" i="41"/>
  <c r="F1202" i="41"/>
  <c r="F1203" i="41"/>
  <c r="E262" i="41"/>
  <c r="E263" i="41"/>
  <c r="E264" i="41"/>
  <c r="E265" i="41"/>
  <c r="E266" i="41"/>
  <c r="E267" i="41"/>
  <c r="E268" i="41"/>
  <c r="E269" i="41"/>
  <c r="E270" i="41"/>
  <c r="E271" i="41"/>
  <c r="E272" i="41"/>
  <c r="E273" i="41"/>
  <c r="E274" i="41"/>
  <c r="E275" i="41"/>
  <c r="E276" i="41"/>
  <c r="E277" i="41"/>
  <c r="E278" i="41"/>
  <c r="E279" i="41"/>
  <c r="E280" i="41"/>
  <c r="E281" i="41"/>
  <c r="E282" i="41"/>
  <c r="E283" i="41"/>
  <c r="E284" i="41"/>
  <c r="E285" i="41"/>
  <c r="E286" i="41"/>
  <c r="E287" i="41"/>
  <c r="E288" i="41"/>
  <c r="E289" i="41"/>
  <c r="E290" i="41"/>
  <c r="E291" i="41"/>
  <c r="E292" i="41"/>
  <c r="E293" i="41"/>
  <c r="E294" i="41"/>
  <c r="E295" i="41"/>
  <c r="E296" i="41"/>
  <c r="E297" i="41"/>
  <c r="E298" i="41"/>
  <c r="E299" i="41"/>
  <c r="E300" i="41"/>
  <c r="E301" i="41"/>
  <c r="E302" i="41"/>
  <c r="E303" i="41"/>
  <c r="E304" i="41"/>
  <c r="E305" i="41"/>
  <c r="E306" i="41"/>
  <c r="E307" i="41"/>
  <c r="E308" i="41"/>
  <c r="E309" i="41"/>
  <c r="E310" i="41"/>
  <c r="E311" i="41"/>
  <c r="E312" i="41"/>
  <c r="E313" i="41"/>
  <c r="E314" i="41"/>
  <c r="E315" i="41"/>
  <c r="E316" i="41"/>
  <c r="E317" i="41"/>
  <c r="E318" i="41"/>
  <c r="E319" i="41"/>
  <c r="E320" i="41"/>
  <c r="E321" i="41"/>
  <c r="E322" i="41"/>
  <c r="E323" i="41"/>
  <c r="E324" i="41"/>
  <c r="E325" i="41"/>
  <c r="E326" i="41"/>
  <c r="E327" i="41"/>
  <c r="E328" i="41"/>
  <c r="E329" i="41"/>
  <c r="E330" i="41"/>
  <c r="E331" i="41"/>
  <c r="E332" i="41"/>
  <c r="E333" i="41"/>
  <c r="E334" i="41"/>
  <c r="E335" i="41"/>
  <c r="E336" i="41"/>
  <c r="E337" i="41"/>
  <c r="E338" i="41"/>
  <c r="E339" i="41"/>
  <c r="E340" i="41"/>
  <c r="E341" i="41"/>
  <c r="E342" i="41"/>
  <c r="E343" i="41"/>
  <c r="E344" i="41"/>
  <c r="E345" i="41"/>
  <c r="E346" i="41"/>
  <c r="E347" i="41"/>
  <c r="E348" i="41"/>
  <c r="E349" i="41"/>
  <c r="E350" i="41"/>
  <c r="E351" i="41"/>
  <c r="E352" i="41"/>
  <c r="E353" i="41"/>
  <c r="E354" i="41"/>
  <c r="E355" i="41"/>
  <c r="E356" i="41"/>
  <c r="E357" i="41"/>
  <c r="E358" i="41"/>
  <c r="E359" i="41"/>
  <c r="E360" i="41"/>
  <c r="E361" i="41"/>
  <c r="E362" i="41"/>
  <c r="E363" i="41"/>
  <c r="E364" i="41"/>
  <c r="E365" i="41"/>
  <c r="E366" i="41"/>
  <c r="E367" i="41"/>
  <c r="E368" i="41"/>
  <c r="E369" i="41"/>
  <c r="E370" i="41"/>
  <c r="E371" i="41"/>
  <c r="E372" i="41"/>
  <c r="E373" i="41"/>
  <c r="E374" i="41"/>
  <c r="E375" i="41"/>
  <c r="E376" i="41"/>
  <c r="E377" i="41"/>
  <c r="E378" i="41"/>
  <c r="E379" i="41"/>
  <c r="E380" i="41"/>
  <c r="E381" i="41"/>
  <c r="E382" i="41"/>
  <c r="E383" i="41"/>
  <c r="E384" i="41"/>
  <c r="E385" i="41"/>
  <c r="E386" i="41"/>
  <c r="E387" i="41"/>
  <c r="E388" i="41"/>
  <c r="E389" i="41"/>
  <c r="E390" i="41"/>
  <c r="E391" i="41"/>
  <c r="E392" i="41"/>
  <c r="E393" i="41"/>
  <c r="E394" i="41"/>
  <c r="E395" i="41"/>
  <c r="E396" i="41"/>
  <c r="E397" i="41"/>
  <c r="E398" i="41"/>
  <c r="E399" i="41"/>
  <c r="E400" i="41"/>
  <c r="E401" i="41"/>
  <c r="E402" i="41"/>
  <c r="E403" i="41"/>
  <c r="E404" i="41"/>
  <c r="E405" i="41"/>
  <c r="E406" i="41"/>
  <c r="E407" i="41"/>
  <c r="E408" i="41"/>
  <c r="E409" i="41"/>
  <c r="E410" i="41"/>
  <c r="E411" i="41"/>
  <c r="E412" i="41"/>
  <c r="E413" i="41"/>
  <c r="E414" i="41"/>
  <c r="E415" i="41"/>
  <c r="E416" i="41"/>
  <c r="E417" i="41"/>
  <c r="E418" i="41"/>
  <c r="E419" i="41"/>
  <c r="E420" i="41"/>
  <c r="E421" i="41"/>
  <c r="E422" i="41"/>
  <c r="E423" i="41"/>
  <c r="E424" i="41"/>
  <c r="E425" i="41"/>
  <c r="E426" i="41"/>
  <c r="E427" i="41"/>
  <c r="E428" i="41"/>
  <c r="E429" i="41"/>
  <c r="E430" i="41"/>
  <c r="E431" i="41"/>
  <c r="E432" i="41"/>
  <c r="E433" i="41"/>
  <c r="E434" i="41"/>
  <c r="E435" i="41"/>
  <c r="E436" i="41"/>
  <c r="E437" i="41"/>
  <c r="E438" i="41"/>
  <c r="E439" i="41"/>
  <c r="E440" i="41"/>
  <c r="E441" i="41"/>
  <c r="E442" i="41"/>
  <c r="E443" i="41"/>
  <c r="E444" i="41"/>
  <c r="E445" i="41"/>
  <c r="E446" i="41"/>
  <c r="E447" i="41"/>
  <c r="E448" i="41"/>
  <c r="E449" i="41"/>
  <c r="E450" i="41"/>
  <c r="E451" i="41"/>
  <c r="E452" i="41"/>
  <c r="E453" i="41"/>
  <c r="E454" i="41"/>
  <c r="E455" i="41"/>
  <c r="E456" i="41"/>
  <c r="E457" i="41"/>
  <c r="E458" i="41"/>
  <c r="E459" i="41"/>
  <c r="E460" i="41"/>
  <c r="E461" i="41"/>
  <c r="E462" i="41"/>
  <c r="E463" i="41"/>
  <c r="E464" i="41"/>
  <c r="E465" i="41"/>
  <c r="E466" i="41"/>
  <c r="E467" i="41"/>
  <c r="E468" i="41"/>
  <c r="E469" i="41"/>
  <c r="E470" i="41"/>
  <c r="E471" i="41"/>
  <c r="E472" i="41"/>
  <c r="E473" i="41"/>
  <c r="E474" i="41"/>
  <c r="E475" i="41"/>
  <c r="E476" i="41"/>
  <c r="E477" i="41"/>
  <c r="E478" i="41"/>
  <c r="E479" i="41"/>
  <c r="E480" i="41"/>
  <c r="E481" i="41"/>
  <c r="E482" i="41"/>
  <c r="E483" i="41"/>
  <c r="E484" i="41"/>
  <c r="E485" i="41"/>
  <c r="E486" i="41"/>
  <c r="E487" i="41"/>
  <c r="E488" i="41"/>
  <c r="E489" i="41"/>
  <c r="E490" i="41"/>
  <c r="E491" i="41"/>
  <c r="E492" i="41"/>
  <c r="E493" i="41"/>
  <c r="E494" i="41"/>
  <c r="E495" i="41"/>
  <c r="E496" i="41"/>
  <c r="E497" i="41"/>
  <c r="E498" i="41"/>
  <c r="E499" i="41"/>
  <c r="E500" i="41"/>
  <c r="E501" i="41"/>
  <c r="E502" i="41"/>
  <c r="E503" i="41"/>
  <c r="E504" i="41"/>
  <c r="E505" i="41"/>
  <c r="E506" i="41"/>
  <c r="E507" i="41"/>
  <c r="E508" i="41"/>
  <c r="E509" i="41"/>
  <c r="E510" i="41"/>
  <c r="E511" i="41"/>
  <c r="E512" i="41"/>
  <c r="E513" i="41"/>
  <c r="E514" i="41"/>
  <c r="E515" i="41"/>
  <c r="E516" i="41"/>
  <c r="E517" i="41"/>
  <c r="E518" i="41"/>
  <c r="E519" i="41"/>
  <c r="E520" i="41"/>
  <c r="E521" i="41"/>
  <c r="E522" i="41"/>
  <c r="E523" i="41"/>
  <c r="E524" i="41"/>
  <c r="E525" i="41"/>
  <c r="E526" i="41"/>
  <c r="E527" i="41"/>
  <c r="E528" i="41"/>
  <c r="E529" i="41"/>
  <c r="E530" i="41"/>
  <c r="E531" i="41"/>
  <c r="E532" i="41"/>
  <c r="E533" i="41"/>
  <c r="E534" i="41"/>
  <c r="E535" i="41"/>
  <c r="E536" i="41"/>
  <c r="E537" i="41"/>
  <c r="E538" i="41"/>
  <c r="E539" i="41"/>
  <c r="E540" i="41"/>
  <c r="E541" i="41"/>
  <c r="E542" i="41"/>
  <c r="E543" i="41"/>
  <c r="E544" i="41"/>
  <c r="E545" i="41"/>
  <c r="E546" i="41"/>
  <c r="E547" i="41"/>
  <c r="E548" i="41"/>
  <c r="E549" i="41"/>
  <c r="E550" i="41"/>
  <c r="E551" i="41"/>
  <c r="E552" i="41"/>
  <c r="E553" i="41"/>
  <c r="E554" i="41"/>
  <c r="E555" i="41"/>
  <c r="E556" i="41"/>
  <c r="E557" i="41"/>
  <c r="E558" i="41"/>
  <c r="E559" i="41"/>
  <c r="E560" i="41"/>
  <c r="E561" i="41"/>
  <c r="E562" i="41"/>
  <c r="E563" i="41"/>
  <c r="E564" i="41"/>
  <c r="E565" i="41"/>
  <c r="E566" i="41"/>
  <c r="E567" i="41"/>
  <c r="E568" i="41"/>
  <c r="E569" i="41"/>
  <c r="E570" i="41"/>
  <c r="E571" i="41"/>
  <c r="E572" i="41"/>
  <c r="E573" i="41"/>
  <c r="E574" i="41"/>
  <c r="E575" i="41"/>
  <c r="E576" i="41"/>
  <c r="E577" i="41"/>
  <c r="E578" i="41"/>
  <c r="E579" i="41"/>
  <c r="E580" i="41"/>
  <c r="E581" i="41"/>
  <c r="E582" i="41"/>
  <c r="E583" i="41"/>
  <c r="E584" i="41"/>
  <c r="E585" i="41"/>
  <c r="E586" i="41"/>
  <c r="E587" i="41"/>
  <c r="E588" i="41"/>
  <c r="E589" i="41"/>
  <c r="E590" i="41"/>
  <c r="E591" i="41"/>
  <c r="E592" i="41"/>
  <c r="E593" i="41"/>
  <c r="E594" i="41"/>
  <c r="E595" i="41"/>
  <c r="E596" i="41"/>
  <c r="E597" i="41"/>
  <c r="E598" i="41"/>
  <c r="E599" i="41"/>
  <c r="E600" i="41"/>
  <c r="E601" i="41"/>
  <c r="E602" i="41"/>
  <c r="E603" i="41"/>
  <c r="E604" i="41"/>
  <c r="E605" i="41"/>
  <c r="E606" i="41"/>
  <c r="E607" i="41"/>
  <c r="E608" i="41"/>
  <c r="E609" i="41"/>
  <c r="E610" i="41"/>
  <c r="E611" i="41"/>
  <c r="E612" i="41"/>
  <c r="E613" i="41"/>
  <c r="E614" i="41"/>
  <c r="E615" i="41"/>
  <c r="E616" i="41"/>
  <c r="E617" i="41"/>
  <c r="E618" i="41"/>
  <c r="E619" i="41"/>
  <c r="E620" i="41"/>
  <c r="E621" i="41"/>
  <c r="E622" i="41"/>
  <c r="E623" i="41"/>
  <c r="E624" i="41"/>
  <c r="E625" i="41"/>
  <c r="E626" i="41"/>
  <c r="E627" i="41"/>
  <c r="E628" i="41"/>
  <c r="E629" i="41"/>
  <c r="E630" i="41"/>
  <c r="E631" i="41"/>
  <c r="E632" i="41"/>
  <c r="E633" i="41"/>
  <c r="E634" i="41"/>
  <c r="E635" i="41"/>
  <c r="E636" i="41"/>
  <c r="E637" i="41"/>
  <c r="E638" i="41"/>
  <c r="E639" i="41"/>
  <c r="E640" i="41"/>
  <c r="E641" i="41"/>
  <c r="E642" i="41"/>
  <c r="E643" i="41"/>
  <c r="E644" i="41"/>
  <c r="E645" i="41"/>
  <c r="E646" i="41"/>
  <c r="E647" i="41"/>
  <c r="E648" i="41"/>
  <c r="E649" i="41"/>
  <c r="E650" i="41"/>
  <c r="E651" i="41"/>
  <c r="E652" i="41"/>
  <c r="E653" i="41"/>
  <c r="E654" i="41"/>
  <c r="E655" i="41"/>
  <c r="E656" i="41"/>
  <c r="E657" i="41"/>
  <c r="E658" i="41"/>
  <c r="E659" i="41"/>
  <c r="E660" i="41"/>
  <c r="E661" i="41"/>
  <c r="E662" i="41"/>
  <c r="E663" i="41"/>
  <c r="E664" i="41"/>
  <c r="E665" i="41"/>
  <c r="E666" i="41"/>
  <c r="E667" i="41"/>
  <c r="E668" i="41"/>
  <c r="E669" i="41"/>
  <c r="E670" i="41"/>
  <c r="E671" i="41"/>
  <c r="E672" i="41"/>
  <c r="E673" i="41"/>
  <c r="E674" i="41"/>
  <c r="E675" i="41"/>
  <c r="E676" i="41"/>
  <c r="E677" i="41"/>
  <c r="E678" i="41"/>
  <c r="E679" i="41"/>
  <c r="E680" i="41"/>
  <c r="E681" i="41"/>
  <c r="E682" i="41"/>
  <c r="E683" i="41"/>
  <c r="E684" i="41"/>
  <c r="E685" i="41"/>
  <c r="E686" i="41"/>
  <c r="E687" i="41"/>
  <c r="E688" i="41"/>
  <c r="E689" i="41"/>
  <c r="E690" i="41"/>
  <c r="E691" i="41"/>
  <c r="E692" i="41"/>
  <c r="E693" i="41"/>
  <c r="E694" i="41"/>
  <c r="E695" i="41"/>
  <c r="E696" i="41"/>
  <c r="E697" i="41"/>
  <c r="E698" i="41"/>
  <c r="E699" i="41"/>
  <c r="E700" i="41"/>
  <c r="E701" i="41"/>
  <c r="E702" i="41"/>
  <c r="E703" i="41"/>
  <c r="E704" i="41"/>
  <c r="E705" i="41"/>
  <c r="E706" i="41"/>
  <c r="E707" i="41"/>
  <c r="E708" i="41"/>
  <c r="E709" i="41"/>
  <c r="E710" i="41"/>
  <c r="E711" i="41"/>
  <c r="E712" i="41"/>
  <c r="E713" i="41"/>
  <c r="E714" i="41"/>
  <c r="E715" i="41"/>
  <c r="E716" i="41"/>
  <c r="E717" i="41"/>
  <c r="E718" i="41"/>
  <c r="E719" i="41"/>
  <c r="E720" i="41"/>
  <c r="E721" i="41"/>
  <c r="E722" i="41"/>
  <c r="E723" i="41"/>
  <c r="E724" i="41"/>
  <c r="E725" i="41"/>
  <c r="E726" i="41"/>
  <c r="E727" i="41"/>
  <c r="E728" i="41"/>
  <c r="E729" i="41"/>
  <c r="E730" i="41"/>
  <c r="E731" i="41"/>
  <c r="E732" i="41"/>
  <c r="E733" i="41"/>
  <c r="E734" i="41"/>
  <c r="E735" i="41"/>
  <c r="E736" i="41"/>
  <c r="E737" i="41"/>
  <c r="E738" i="41"/>
  <c r="E739" i="41"/>
  <c r="E740" i="41"/>
  <c r="E741" i="41"/>
  <c r="E742" i="41"/>
  <c r="E743" i="41"/>
  <c r="E744" i="41"/>
  <c r="E745" i="41"/>
  <c r="E746" i="41"/>
  <c r="E747" i="41"/>
  <c r="E748" i="41"/>
  <c r="E749" i="41"/>
  <c r="E750" i="41"/>
  <c r="E751" i="41"/>
  <c r="E752" i="41"/>
  <c r="E753" i="41"/>
  <c r="E754" i="41"/>
  <c r="E755" i="41"/>
  <c r="E756" i="41"/>
  <c r="E757" i="41"/>
  <c r="E758" i="41"/>
  <c r="E759" i="41"/>
  <c r="E760" i="41"/>
  <c r="E761" i="41"/>
  <c r="E762" i="41"/>
  <c r="E763" i="41"/>
  <c r="E764" i="41"/>
  <c r="E765" i="41"/>
  <c r="E766" i="41"/>
  <c r="E767" i="41"/>
  <c r="E768" i="41"/>
  <c r="E769" i="41"/>
  <c r="E770" i="41"/>
  <c r="E771" i="41"/>
  <c r="E772" i="41"/>
  <c r="E773" i="41"/>
  <c r="E774" i="41"/>
  <c r="E775" i="41"/>
  <c r="E776" i="41"/>
  <c r="E777" i="41"/>
  <c r="E778" i="41"/>
  <c r="E779" i="41"/>
  <c r="E780" i="41"/>
  <c r="E781" i="41"/>
  <c r="E782" i="41"/>
  <c r="E783" i="41"/>
  <c r="E784" i="41"/>
  <c r="E785" i="41"/>
  <c r="E786" i="41"/>
  <c r="E787" i="41"/>
  <c r="E788" i="41"/>
  <c r="E789" i="41"/>
  <c r="E790" i="41"/>
  <c r="E791" i="41"/>
  <c r="E792" i="41"/>
  <c r="E793" i="41"/>
  <c r="E794" i="41"/>
  <c r="E795" i="41"/>
  <c r="E796" i="41"/>
  <c r="E797" i="41"/>
  <c r="E798" i="41"/>
  <c r="E799" i="41"/>
  <c r="E800" i="41"/>
  <c r="E801" i="41"/>
  <c r="E802" i="41"/>
  <c r="E803" i="41"/>
  <c r="E804" i="41"/>
  <c r="E805" i="41"/>
  <c r="E806" i="41"/>
  <c r="E807" i="41"/>
  <c r="E808" i="41"/>
  <c r="E809" i="41"/>
  <c r="E810" i="41"/>
  <c r="E811" i="41"/>
  <c r="E812" i="41"/>
  <c r="E813" i="41"/>
  <c r="E814" i="41"/>
  <c r="E815" i="41"/>
  <c r="E816" i="41"/>
  <c r="E817" i="41"/>
  <c r="E818" i="41"/>
  <c r="E819" i="41"/>
  <c r="E820" i="41"/>
  <c r="E821" i="41"/>
  <c r="E822" i="41"/>
  <c r="E823" i="41"/>
  <c r="E824" i="41"/>
  <c r="E825" i="41"/>
  <c r="E826" i="41"/>
  <c r="E827" i="41"/>
  <c r="E828" i="41"/>
  <c r="E829" i="41"/>
  <c r="E830" i="41"/>
  <c r="E831" i="41"/>
  <c r="E832" i="41"/>
  <c r="E833" i="41"/>
  <c r="E834" i="41"/>
  <c r="E835" i="41"/>
  <c r="E836" i="41"/>
  <c r="E837" i="41"/>
  <c r="E838" i="41"/>
  <c r="E839" i="41"/>
  <c r="E840" i="41"/>
  <c r="E841" i="41"/>
  <c r="E842" i="41"/>
  <c r="E843" i="41"/>
  <c r="E844" i="41"/>
  <c r="E845" i="41"/>
  <c r="E846" i="41"/>
  <c r="E847" i="41"/>
  <c r="E848" i="41"/>
  <c r="E849" i="41"/>
  <c r="E850" i="41"/>
  <c r="E851" i="41"/>
  <c r="E852" i="41"/>
  <c r="E853" i="41"/>
  <c r="E854" i="41"/>
  <c r="E855" i="41"/>
  <c r="E856" i="41"/>
  <c r="E857" i="41"/>
  <c r="E858" i="41"/>
  <c r="E859" i="41"/>
  <c r="E860" i="41"/>
  <c r="E861" i="41"/>
  <c r="E862" i="41"/>
  <c r="E863" i="41"/>
  <c r="E864" i="41"/>
  <c r="E865" i="41"/>
  <c r="E866" i="41"/>
  <c r="E867" i="41"/>
  <c r="E868" i="41"/>
  <c r="E869" i="41"/>
  <c r="E870" i="41"/>
  <c r="E871" i="41"/>
  <c r="E872" i="41"/>
  <c r="E873" i="41"/>
  <c r="E874" i="41"/>
  <c r="E875" i="41"/>
  <c r="E876" i="41"/>
  <c r="E877" i="41"/>
  <c r="E878" i="41"/>
  <c r="E879" i="41"/>
  <c r="E880" i="41"/>
  <c r="E881" i="41"/>
  <c r="E882" i="41"/>
  <c r="E883" i="41"/>
  <c r="E884" i="41"/>
  <c r="E885" i="41"/>
  <c r="E886" i="41"/>
  <c r="E887" i="41"/>
  <c r="E888" i="41"/>
  <c r="E889" i="41"/>
  <c r="E890" i="41"/>
  <c r="E891" i="41"/>
  <c r="E892" i="41"/>
  <c r="E893" i="41"/>
  <c r="E894" i="41"/>
  <c r="E895" i="41"/>
  <c r="E896" i="41"/>
  <c r="E897" i="41"/>
  <c r="E898" i="41"/>
  <c r="E899" i="41"/>
  <c r="E900" i="41"/>
  <c r="E901" i="41"/>
  <c r="E902" i="41"/>
  <c r="E903" i="41"/>
  <c r="E904" i="41"/>
  <c r="E905" i="41"/>
  <c r="E906" i="41"/>
  <c r="E907" i="41"/>
  <c r="E908" i="41"/>
  <c r="E909" i="41"/>
  <c r="E910" i="41"/>
  <c r="E911" i="41"/>
  <c r="E912" i="41"/>
  <c r="E913" i="41"/>
  <c r="E914" i="41"/>
  <c r="E915" i="41"/>
  <c r="E916" i="41"/>
  <c r="E917" i="41"/>
  <c r="E918" i="41"/>
  <c r="E919" i="41"/>
  <c r="E920" i="41"/>
  <c r="E921" i="41"/>
  <c r="E922" i="41"/>
  <c r="E923" i="41"/>
  <c r="E924" i="41"/>
  <c r="E925" i="41"/>
  <c r="E926" i="41"/>
  <c r="E927" i="41"/>
  <c r="E928" i="41"/>
  <c r="E929" i="41"/>
  <c r="E930" i="41"/>
  <c r="E931" i="41"/>
  <c r="E932" i="41"/>
  <c r="E933" i="41"/>
  <c r="E934" i="41"/>
  <c r="E935" i="41"/>
  <c r="E936" i="41"/>
  <c r="E937" i="41"/>
  <c r="E938" i="41"/>
  <c r="E939" i="41"/>
  <c r="E940" i="41"/>
  <c r="E941" i="41"/>
  <c r="E942" i="41"/>
  <c r="E943" i="41"/>
  <c r="E944" i="41"/>
  <c r="E945" i="41"/>
  <c r="E946" i="41"/>
  <c r="E947" i="41"/>
  <c r="E948" i="41"/>
  <c r="E949" i="41"/>
  <c r="E950" i="41"/>
  <c r="E951" i="41"/>
  <c r="E952" i="41"/>
  <c r="E953" i="41"/>
  <c r="E954" i="41"/>
  <c r="E955" i="41"/>
  <c r="E956" i="41"/>
  <c r="E957" i="41"/>
  <c r="E958" i="41"/>
  <c r="E959" i="41"/>
  <c r="E960" i="41"/>
  <c r="E961" i="41"/>
  <c r="E962" i="41"/>
  <c r="E963" i="41"/>
  <c r="E964" i="41"/>
  <c r="E965" i="41"/>
  <c r="E966" i="41"/>
  <c r="E967" i="41"/>
  <c r="E968" i="41"/>
  <c r="E969" i="41"/>
  <c r="E970" i="41"/>
  <c r="E971" i="41"/>
  <c r="E972" i="41"/>
  <c r="E973" i="41"/>
  <c r="E974" i="41"/>
  <c r="E975" i="41"/>
  <c r="E976" i="41"/>
  <c r="E977" i="41"/>
  <c r="E978" i="41"/>
  <c r="E979" i="41"/>
  <c r="E980" i="41"/>
  <c r="E981" i="41"/>
  <c r="E982" i="41"/>
  <c r="E983" i="41"/>
  <c r="E984" i="41"/>
  <c r="E985" i="41"/>
  <c r="E986" i="41"/>
  <c r="E987" i="41"/>
  <c r="E988" i="41"/>
  <c r="E989" i="41"/>
  <c r="E990" i="41"/>
  <c r="E991" i="41"/>
  <c r="E992" i="41"/>
  <c r="E993" i="41"/>
  <c r="E994" i="41"/>
  <c r="E995" i="41"/>
  <c r="E996" i="41"/>
  <c r="E997" i="41"/>
  <c r="E998" i="41"/>
  <c r="E999" i="41"/>
  <c r="E1000" i="41"/>
  <c r="E1001" i="41"/>
  <c r="E1002" i="41"/>
  <c r="E1003" i="41"/>
  <c r="E1004" i="41"/>
  <c r="E1005" i="41"/>
  <c r="E1006" i="41"/>
  <c r="E1007" i="41"/>
  <c r="E1008" i="41"/>
  <c r="E1009" i="41"/>
  <c r="E1010" i="41"/>
  <c r="E1011" i="41"/>
  <c r="E1012" i="41"/>
  <c r="E1013" i="41"/>
  <c r="E1014" i="41"/>
  <c r="E1015" i="41"/>
  <c r="E1016" i="41"/>
  <c r="E1017" i="41"/>
  <c r="E1018" i="41"/>
  <c r="E1019" i="41"/>
  <c r="E1020" i="41"/>
  <c r="E1021" i="41"/>
  <c r="E1022" i="41"/>
  <c r="E1023" i="41"/>
  <c r="E1024" i="41"/>
  <c r="E1025" i="41"/>
  <c r="E1026" i="41"/>
  <c r="E1027" i="41"/>
  <c r="E1028" i="41"/>
  <c r="E1029" i="41"/>
  <c r="E1030" i="41"/>
  <c r="E1031" i="41"/>
  <c r="E1032" i="41"/>
  <c r="E1033" i="41"/>
  <c r="E1034" i="41"/>
  <c r="E1035" i="41"/>
  <c r="E1036" i="41"/>
  <c r="E1037" i="41"/>
  <c r="E1038" i="41"/>
  <c r="E1039" i="41"/>
  <c r="E1040" i="41"/>
  <c r="E1041" i="41"/>
  <c r="E1042" i="41"/>
  <c r="E1043" i="41"/>
  <c r="E1044" i="41"/>
  <c r="E1045" i="41"/>
  <c r="E1046" i="41"/>
  <c r="E1047" i="41"/>
  <c r="E1048" i="41"/>
  <c r="E1049" i="41"/>
  <c r="E1050" i="41"/>
  <c r="E1051" i="41"/>
  <c r="E1052" i="41"/>
  <c r="E1053" i="41"/>
  <c r="E1054" i="41"/>
  <c r="E1055" i="41"/>
  <c r="E1056" i="41"/>
  <c r="E1057" i="41"/>
  <c r="E1058" i="41"/>
  <c r="E1059" i="41"/>
  <c r="E1060" i="41"/>
  <c r="E1061" i="41"/>
  <c r="E1062" i="41"/>
  <c r="E1063" i="41"/>
  <c r="E1064" i="41"/>
  <c r="E1065" i="41"/>
  <c r="E1066" i="41"/>
  <c r="E1067" i="41"/>
  <c r="E1068" i="41"/>
  <c r="E1069" i="41"/>
  <c r="E1070" i="41"/>
  <c r="E1071" i="41"/>
  <c r="E1072" i="41"/>
  <c r="E1073" i="41"/>
  <c r="E1074" i="41"/>
  <c r="E1075" i="41"/>
  <c r="E1076" i="41"/>
  <c r="E1077" i="41"/>
  <c r="E1078" i="41"/>
  <c r="E1079" i="41"/>
  <c r="E1080" i="41"/>
  <c r="E1081" i="41"/>
  <c r="E1082" i="41"/>
  <c r="E1083" i="41"/>
  <c r="E1084" i="41"/>
  <c r="E1085" i="41"/>
  <c r="E1086" i="41"/>
  <c r="E1087" i="41"/>
  <c r="E1088" i="41"/>
  <c r="E1089" i="41"/>
  <c r="E1090" i="41"/>
  <c r="E1091" i="41"/>
  <c r="E1092" i="41"/>
  <c r="E1093" i="41"/>
  <c r="E1094" i="41"/>
  <c r="E1095" i="41"/>
  <c r="E1096" i="41"/>
  <c r="E1097" i="41"/>
  <c r="E1098" i="41"/>
  <c r="E1099" i="41"/>
  <c r="E1100" i="41"/>
  <c r="E1101" i="41"/>
  <c r="E1102" i="41"/>
  <c r="E1103" i="41"/>
  <c r="E1104" i="41"/>
  <c r="E1105" i="41"/>
  <c r="E1106" i="41"/>
  <c r="E1107" i="41"/>
  <c r="E1108" i="41"/>
  <c r="E1109" i="41"/>
  <c r="E1110" i="41"/>
  <c r="E1111" i="41"/>
  <c r="E1112" i="41"/>
  <c r="E1113" i="41"/>
  <c r="E1114" i="41"/>
  <c r="E1115" i="41"/>
  <c r="E1116" i="41"/>
  <c r="E1117" i="41"/>
  <c r="E1118" i="41"/>
  <c r="E1119" i="41"/>
  <c r="E1120" i="41"/>
  <c r="E1121" i="41"/>
  <c r="E1122" i="41"/>
  <c r="E1123" i="41"/>
  <c r="E1124" i="41"/>
  <c r="E1125" i="41"/>
  <c r="E1126" i="41"/>
  <c r="E1127" i="41"/>
  <c r="E1128" i="41"/>
  <c r="E1129" i="41"/>
  <c r="E1130" i="41"/>
  <c r="E1131" i="41"/>
  <c r="E1132" i="41"/>
  <c r="E1133" i="41"/>
  <c r="E1134" i="41"/>
  <c r="E1135" i="41"/>
  <c r="E1136" i="41"/>
  <c r="E1137" i="41"/>
  <c r="E1138" i="41"/>
  <c r="E1139" i="41"/>
  <c r="E1140" i="41"/>
  <c r="E1141" i="41"/>
  <c r="E1142" i="41"/>
  <c r="E1143" i="41"/>
  <c r="E1144" i="41"/>
  <c r="E1145" i="41"/>
  <c r="E1146" i="41"/>
  <c r="E1147" i="41"/>
  <c r="E1148" i="41"/>
  <c r="E1149" i="41"/>
  <c r="E1150" i="41"/>
  <c r="E1151" i="41"/>
  <c r="E1152" i="41"/>
  <c r="E1153" i="41"/>
  <c r="E1154" i="41"/>
  <c r="E1155" i="41"/>
  <c r="E1156" i="41"/>
  <c r="E1157" i="41"/>
  <c r="E1158" i="41"/>
  <c r="E1159" i="41"/>
  <c r="E1160" i="41"/>
  <c r="E1161" i="41"/>
  <c r="E1162" i="41"/>
  <c r="E1163" i="41"/>
  <c r="E1164" i="41"/>
  <c r="E1165" i="41"/>
  <c r="E1166" i="41"/>
  <c r="E1167" i="41"/>
  <c r="E1168" i="41"/>
  <c r="E1169" i="41"/>
  <c r="E1170" i="41"/>
  <c r="E1171" i="41"/>
  <c r="E1172" i="41"/>
  <c r="E1173" i="41"/>
  <c r="E1174" i="41"/>
  <c r="E1175" i="41"/>
  <c r="E1176" i="41"/>
  <c r="E1177" i="41"/>
  <c r="E1178" i="41"/>
  <c r="E1179" i="41"/>
  <c r="E1180" i="41"/>
  <c r="E1181" i="41"/>
  <c r="E1182" i="41"/>
  <c r="E1183" i="41"/>
  <c r="E1184" i="41"/>
  <c r="E1185" i="41"/>
  <c r="E1186" i="41"/>
  <c r="E1187" i="41"/>
  <c r="E1188" i="41"/>
  <c r="E1189" i="41"/>
  <c r="E1190" i="41"/>
  <c r="E1191" i="41"/>
  <c r="E1192" i="41"/>
  <c r="E1193" i="41"/>
  <c r="E1194" i="41"/>
  <c r="E1195" i="41"/>
  <c r="E1196" i="41"/>
  <c r="E1197" i="41"/>
  <c r="E1198" i="41"/>
  <c r="E1199" i="41"/>
  <c r="E1200" i="41"/>
  <c r="E1201" i="41"/>
  <c r="E1202" i="41"/>
  <c r="E1203" i="41"/>
  <c r="D262" i="41"/>
  <c r="D263" i="41"/>
  <c r="D264" i="41"/>
  <c r="D265" i="41"/>
  <c r="D266" i="41"/>
  <c r="D267" i="41"/>
  <c r="D268" i="41"/>
  <c r="D269" i="41"/>
  <c r="D270" i="41"/>
  <c r="D271" i="41"/>
  <c r="D272" i="41"/>
  <c r="D273" i="41"/>
  <c r="D274" i="41"/>
  <c r="D275" i="41"/>
  <c r="D276" i="41"/>
  <c r="D277" i="41"/>
  <c r="D278" i="41"/>
  <c r="D279" i="41"/>
  <c r="D280" i="41"/>
  <c r="D281" i="41"/>
  <c r="D282" i="41"/>
  <c r="D283" i="41"/>
  <c r="D284" i="41"/>
  <c r="D285" i="41"/>
  <c r="D286" i="41"/>
  <c r="D287" i="41"/>
  <c r="D288" i="41"/>
  <c r="D289" i="41"/>
  <c r="D290" i="41"/>
  <c r="D291" i="41"/>
  <c r="D292" i="41"/>
  <c r="D293" i="41"/>
  <c r="D294" i="41"/>
  <c r="D295" i="41"/>
  <c r="D296" i="41"/>
  <c r="D297" i="41"/>
  <c r="D298" i="41"/>
  <c r="D299" i="41"/>
  <c r="D300" i="41"/>
  <c r="D301" i="41"/>
  <c r="D302" i="41"/>
  <c r="D303" i="41"/>
  <c r="D304" i="41"/>
  <c r="D305" i="41"/>
  <c r="D306" i="41"/>
  <c r="D307" i="41"/>
  <c r="D308" i="41"/>
  <c r="D309" i="41"/>
  <c r="D310" i="41"/>
  <c r="D311" i="41"/>
  <c r="D312" i="41"/>
  <c r="D313" i="41"/>
  <c r="D314" i="41"/>
  <c r="D315" i="41"/>
  <c r="D316" i="41"/>
  <c r="D317" i="41"/>
  <c r="D318" i="41"/>
  <c r="D319" i="41"/>
  <c r="D320" i="41"/>
  <c r="D321" i="41"/>
  <c r="D322" i="41"/>
  <c r="D323" i="41"/>
  <c r="D324" i="41"/>
  <c r="D325" i="41"/>
  <c r="D326" i="41"/>
  <c r="D327" i="41"/>
  <c r="D328" i="41"/>
  <c r="D329" i="41"/>
  <c r="D330" i="41"/>
  <c r="D331" i="41"/>
  <c r="D332" i="41"/>
  <c r="D333" i="41"/>
  <c r="D334" i="41"/>
  <c r="D335" i="41"/>
  <c r="D336" i="41"/>
  <c r="D337" i="41"/>
  <c r="D338" i="41"/>
  <c r="D339" i="41"/>
  <c r="D340" i="41"/>
  <c r="D341" i="41"/>
  <c r="D342" i="41"/>
  <c r="D343" i="41"/>
  <c r="D344" i="41"/>
  <c r="D345" i="41"/>
  <c r="D346" i="41"/>
  <c r="D347" i="41"/>
  <c r="D348" i="41"/>
  <c r="D349" i="41"/>
  <c r="D350" i="41"/>
  <c r="D351" i="41"/>
  <c r="D352" i="41"/>
  <c r="D353" i="41"/>
  <c r="D354" i="41"/>
  <c r="D355" i="41"/>
  <c r="D356" i="41"/>
  <c r="D357" i="41"/>
  <c r="D358" i="41"/>
  <c r="D359" i="41"/>
  <c r="D360" i="41"/>
  <c r="D361" i="41"/>
  <c r="D362" i="41"/>
  <c r="D363" i="41"/>
  <c r="D364" i="41"/>
  <c r="D365" i="41"/>
  <c r="D366" i="41"/>
  <c r="D367" i="41"/>
  <c r="D368" i="41"/>
  <c r="D369" i="41"/>
  <c r="D370" i="41"/>
  <c r="D371" i="41"/>
  <c r="D372" i="41"/>
  <c r="D373" i="41"/>
  <c r="D374" i="41"/>
  <c r="D375" i="41"/>
  <c r="D376" i="41"/>
  <c r="D377" i="41"/>
  <c r="D378" i="41"/>
  <c r="D379" i="41"/>
  <c r="D380" i="41"/>
  <c r="D381" i="41"/>
  <c r="D382" i="41"/>
  <c r="D383" i="41"/>
  <c r="D384" i="41"/>
  <c r="D385" i="41"/>
  <c r="D386" i="41"/>
  <c r="D387" i="41"/>
  <c r="D388" i="41"/>
  <c r="D389" i="41"/>
  <c r="D390" i="41"/>
  <c r="D391" i="41"/>
  <c r="D392" i="41"/>
  <c r="D393" i="41"/>
  <c r="D394" i="41"/>
  <c r="D395" i="41"/>
  <c r="D396" i="41"/>
  <c r="D397" i="41"/>
  <c r="D398" i="41"/>
  <c r="D399" i="41"/>
  <c r="D400" i="41"/>
  <c r="D401" i="41"/>
  <c r="D402" i="41"/>
  <c r="D403" i="41"/>
  <c r="D404" i="41"/>
  <c r="D405" i="41"/>
  <c r="D406" i="41"/>
  <c r="D407" i="41"/>
  <c r="D408" i="41"/>
  <c r="D409" i="41"/>
  <c r="D410" i="41"/>
  <c r="D411" i="41"/>
  <c r="D412" i="41"/>
  <c r="D413" i="41"/>
  <c r="D414" i="41"/>
  <c r="D415" i="41"/>
  <c r="D416" i="41"/>
  <c r="D417" i="41"/>
  <c r="D418" i="41"/>
  <c r="D419" i="41"/>
  <c r="D420" i="41"/>
  <c r="D421" i="41"/>
  <c r="D422" i="41"/>
  <c r="D423" i="41"/>
  <c r="D424" i="41"/>
  <c r="D425" i="41"/>
  <c r="D426" i="41"/>
  <c r="D427" i="41"/>
  <c r="D428" i="41"/>
  <c r="D429" i="41"/>
  <c r="D430" i="41"/>
  <c r="D431" i="41"/>
  <c r="D432" i="41"/>
  <c r="D433" i="41"/>
  <c r="D434" i="41"/>
  <c r="D435" i="41"/>
  <c r="D436" i="41"/>
  <c r="D437" i="41"/>
  <c r="D438" i="41"/>
  <c r="D439" i="41"/>
  <c r="D440" i="41"/>
  <c r="D441" i="41"/>
  <c r="D442" i="41"/>
  <c r="D443" i="41"/>
  <c r="D444" i="41"/>
  <c r="D445" i="41"/>
  <c r="D446" i="41"/>
  <c r="D447" i="41"/>
  <c r="D448" i="41"/>
  <c r="D449" i="41"/>
  <c r="D450" i="41"/>
  <c r="D451" i="41"/>
  <c r="D452" i="41"/>
  <c r="D453" i="41"/>
  <c r="D454" i="41"/>
  <c r="D455" i="41"/>
  <c r="D456" i="41"/>
  <c r="D457" i="41"/>
  <c r="D458" i="41"/>
  <c r="D459" i="41"/>
  <c r="D460" i="41"/>
  <c r="D461" i="41"/>
  <c r="D462" i="41"/>
  <c r="D463" i="41"/>
  <c r="D464" i="41"/>
  <c r="D465" i="41"/>
  <c r="D466" i="41"/>
  <c r="D467" i="41"/>
  <c r="D468" i="41"/>
  <c r="D469" i="41"/>
  <c r="D470" i="41"/>
  <c r="D471" i="41"/>
  <c r="D472" i="41"/>
  <c r="D473" i="41"/>
  <c r="D474" i="41"/>
  <c r="D475" i="41"/>
  <c r="D476" i="41"/>
  <c r="D477" i="41"/>
  <c r="D478" i="41"/>
  <c r="D479" i="41"/>
  <c r="D480" i="41"/>
  <c r="D481" i="41"/>
  <c r="D482" i="41"/>
  <c r="D483" i="41"/>
  <c r="D484" i="41"/>
  <c r="D485" i="41"/>
  <c r="D486" i="41"/>
  <c r="D487" i="41"/>
  <c r="D488" i="41"/>
  <c r="D489" i="41"/>
  <c r="D490" i="41"/>
  <c r="D491" i="41"/>
  <c r="D492" i="41"/>
  <c r="D493" i="41"/>
  <c r="D494" i="41"/>
  <c r="D495" i="41"/>
  <c r="D496" i="41"/>
  <c r="D497" i="41"/>
  <c r="D498" i="41"/>
  <c r="D499" i="41"/>
  <c r="D500" i="41"/>
  <c r="D501" i="41"/>
  <c r="D502" i="41"/>
  <c r="D503" i="41"/>
  <c r="D504" i="41"/>
  <c r="D505" i="41"/>
  <c r="D506" i="41"/>
  <c r="D507" i="41"/>
  <c r="D508" i="41"/>
  <c r="D509" i="41"/>
  <c r="D510" i="41"/>
  <c r="D511" i="41"/>
  <c r="D512" i="41"/>
  <c r="D513" i="41"/>
  <c r="D514" i="41"/>
  <c r="D515" i="41"/>
  <c r="D516" i="41"/>
  <c r="D517" i="41"/>
  <c r="D518" i="41"/>
  <c r="D519" i="41"/>
  <c r="D520" i="41"/>
  <c r="D521" i="41"/>
  <c r="D522" i="41"/>
  <c r="D523" i="41"/>
  <c r="D524" i="41"/>
  <c r="D525" i="41"/>
  <c r="D526" i="41"/>
  <c r="D527" i="41"/>
  <c r="D528" i="41"/>
  <c r="D529" i="41"/>
  <c r="D530" i="41"/>
  <c r="D531" i="41"/>
  <c r="D532" i="41"/>
  <c r="D533" i="41"/>
  <c r="D534" i="41"/>
  <c r="D535" i="41"/>
  <c r="D536" i="41"/>
  <c r="D537" i="41"/>
  <c r="D538" i="41"/>
  <c r="D539" i="41"/>
  <c r="D540" i="41"/>
  <c r="D541" i="41"/>
  <c r="D542" i="41"/>
  <c r="D543" i="41"/>
  <c r="D544" i="41"/>
  <c r="D545" i="41"/>
  <c r="D546" i="41"/>
  <c r="D547" i="41"/>
  <c r="D548" i="41"/>
  <c r="D549" i="41"/>
  <c r="D550" i="41"/>
  <c r="D551" i="41"/>
  <c r="D552" i="41"/>
  <c r="D553" i="41"/>
  <c r="D554" i="41"/>
  <c r="D555" i="41"/>
  <c r="D556" i="41"/>
  <c r="D557" i="41"/>
  <c r="D558" i="41"/>
  <c r="D559" i="41"/>
  <c r="D560" i="41"/>
  <c r="D561" i="41"/>
  <c r="D562" i="41"/>
  <c r="D563" i="41"/>
  <c r="D564" i="41"/>
  <c r="D565" i="41"/>
  <c r="D566" i="41"/>
  <c r="D567" i="41"/>
  <c r="D568" i="41"/>
  <c r="D569" i="41"/>
  <c r="D570" i="41"/>
  <c r="D571" i="41"/>
  <c r="D572" i="41"/>
  <c r="D573" i="41"/>
  <c r="D574" i="41"/>
  <c r="D575" i="41"/>
  <c r="D576" i="41"/>
  <c r="D577" i="41"/>
  <c r="D578" i="41"/>
  <c r="D579" i="41"/>
  <c r="D580" i="41"/>
  <c r="D581" i="41"/>
  <c r="D582" i="41"/>
  <c r="D583" i="41"/>
  <c r="D584" i="41"/>
  <c r="D585" i="41"/>
  <c r="D586" i="41"/>
  <c r="D587" i="41"/>
  <c r="D588" i="41"/>
  <c r="D589" i="41"/>
  <c r="D590" i="41"/>
  <c r="D591" i="41"/>
  <c r="D592" i="41"/>
  <c r="D593" i="41"/>
  <c r="D594" i="41"/>
  <c r="D595" i="41"/>
  <c r="D596" i="41"/>
  <c r="D597" i="41"/>
  <c r="D598" i="41"/>
  <c r="D599" i="41"/>
  <c r="D600" i="41"/>
  <c r="D601" i="41"/>
  <c r="D602" i="41"/>
  <c r="D603" i="41"/>
  <c r="D604" i="41"/>
  <c r="D605" i="41"/>
  <c r="D606" i="41"/>
  <c r="D607" i="41"/>
  <c r="D608" i="41"/>
  <c r="D609" i="41"/>
  <c r="D610" i="41"/>
  <c r="D611" i="41"/>
  <c r="D612" i="41"/>
  <c r="D613" i="41"/>
  <c r="D614" i="41"/>
  <c r="D615" i="41"/>
  <c r="D616" i="41"/>
  <c r="D617" i="41"/>
  <c r="D618" i="41"/>
  <c r="D619" i="41"/>
  <c r="D620" i="41"/>
  <c r="D621" i="41"/>
  <c r="D622" i="41"/>
  <c r="D623" i="41"/>
  <c r="D624" i="41"/>
  <c r="D625" i="41"/>
  <c r="D626" i="41"/>
  <c r="D627" i="41"/>
  <c r="D628" i="41"/>
  <c r="D629" i="41"/>
  <c r="D630" i="41"/>
  <c r="D631" i="41"/>
  <c r="D632" i="41"/>
  <c r="D633" i="41"/>
  <c r="D634" i="41"/>
  <c r="D635" i="41"/>
  <c r="D636" i="41"/>
  <c r="D637" i="41"/>
  <c r="D638" i="41"/>
  <c r="D639" i="41"/>
  <c r="D640" i="41"/>
  <c r="D641" i="41"/>
  <c r="D642" i="41"/>
  <c r="D643" i="41"/>
  <c r="D644" i="41"/>
  <c r="D645" i="41"/>
  <c r="D646" i="41"/>
  <c r="D647" i="41"/>
  <c r="D648" i="41"/>
  <c r="D649" i="41"/>
  <c r="D650" i="41"/>
  <c r="D651" i="41"/>
  <c r="D652" i="41"/>
  <c r="D653" i="41"/>
  <c r="D654" i="41"/>
  <c r="D655" i="41"/>
  <c r="D656" i="41"/>
  <c r="D657" i="41"/>
  <c r="D658" i="41"/>
  <c r="D659" i="41"/>
  <c r="D660" i="41"/>
  <c r="D661" i="41"/>
  <c r="D662" i="41"/>
  <c r="D663" i="41"/>
  <c r="D664" i="41"/>
  <c r="D665" i="41"/>
  <c r="D666" i="41"/>
  <c r="D667" i="41"/>
  <c r="D668" i="41"/>
  <c r="D669" i="41"/>
  <c r="D670" i="41"/>
  <c r="D671" i="41"/>
  <c r="D672" i="41"/>
  <c r="D673" i="41"/>
  <c r="D674" i="41"/>
  <c r="D675" i="41"/>
  <c r="D676" i="41"/>
  <c r="D677" i="41"/>
  <c r="D678" i="41"/>
  <c r="D679" i="41"/>
  <c r="D680" i="41"/>
  <c r="D681" i="41"/>
  <c r="D682" i="41"/>
  <c r="D683" i="41"/>
  <c r="D684" i="41"/>
  <c r="D685" i="41"/>
  <c r="D686" i="41"/>
  <c r="D687" i="41"/>
  <c r="D688" i="41"/>
  <c r="D689" i="41"/>
  <c r="D690" i="41"/>
  <c r="D691" i="41"/>
  <c r="D692" i="41"/>
  <c r="D693" i="41"/>
  <c r="D694" i="41"/>
  <c r="D695" i="41"/>
  <c r="D696" i="41"/>
  <c r="D697" i="41"/>
  <c r="D698" i="41"/>
  <c r="D699" i="41"/>
  <c r="D700" i="41"/>
  <c r="D701" i="41"/>
  <c r="D702" i="41"/>
  <c r="D703" i="41"/>
  <c r="D704" i="41"/>
  <c r="D705" i="41"/>
  <c r="D706" i="41"/>
  <c r="D707" i="41"/>
  <c r="D708" i="41"/>
  <c r="D709" i="41"/>
  <c r="D710" i="41"/>
  <c r="D711" i="41"/>
  <c r="D712" i="41"/>
  <c r="D713" i="41"/>
  <c r="D714" i="41"/>
  <c r="D715" i="41"/>
  <c r="D716" i="41"/>
  <c r="D717" i="41"/>
  <c r="D718" i="41"/>
  <c r="D719" i="41"/>
  <c r="D720" i="41"/>
  <c r="D721" i="41"/>
  <c r="D722" i="41"/>
  <c r="D723" i="41"/>
  <c r="D724" i="41"/>
  <c r="D725" i="41"/>
  <c r="D726" i="41"/>
  <c r="D727" i="41"/>
  <c r="D728" i="41"/>
  <c r="D729" i="41"/>
  <c r="D730" i="41"/>
  <c r="D731" i="41"/>
  <c r="D732" i="41"/>
  <c r="D733" i="41"/>
  <c r="D734" i="41"/>
  <c r="D735" i="41"/>
  <c r="D736" i="41"/>
  <c r="D737" i="41"/>
  <c r="D738" i="41"/>
  <c r="D739" i="41"/>
  <c r="D740" i="41"/>
  <c r="D741" i="41"/>
  <c r="D742" i="41"/>
  <c r="D743" i="41"/>
  <c r="D744" i="41"/>
  <c r="D745" i="41"/>
  <c r="D746" i="41"/>
  <c r="D747" i="41"/>
  <c r="D748" i="41"/>
  <c r="D749" i="41"/>
  <c r="D750" i="41"/>
  <c r="D751" i="41"/>
  <c r="D752" i="41"/>
  <c r="D753" i="41"/>
  <c r="D754" i="41"/>
  <c r="D755" i="41"/>
  <c r="D756" i="41"/>
  <c r="D757" i="41"/>
  <c r="D758" i="41"/>
  <c r="D759" i="41"/>
  <c r="D760" i="41"/>
  <c r="D761" i="41"/>
  <c r="D762" i="41"/>
  <c r="D763" i="41"/>
  <c r="D764" i="41"/>
  <c r="D765" i="41"/>
  <c r="D766" i="41"/>
  <c r="D767" i="41"/>
  <c r="D768" i="41"/>
  <c r="D769" i="41"/>
  <c r="D770" i="41"/>
  <c r="D771" i="41"/>
  <c r="D772" i="41"/>
  <c r="D773" i="41"/>
  <c r="D774" i="41"/>
  <c r="D775" i="41"/>
  <c r="D776" i="41"/>
  <c r="D777" i="41"/>
  <c r="D778" i="41"/>
  <c r="D779" i="41"/>
  <c r="D780" i="41"/>
  <c r="D781" i="41"/>
  <c r="D782" i="41"/>
  <c r="D783" i="41"/>
  <c r="D784" i="41"/>
  <c r="D785" i="41"/>
  <c r="D786" i="41"/>
  <c r="D787" i="41"/>
  <c r="D788" i="41"/>
  <c r="D789" i="41"/>
  <c r="D790" i="41"/>
  <c r="D791" i="41"/>
  <c r="D792" i="41"/>
  <c r="D793" i="41"/>
  <c r="D794" i="41"/>
  <c r="D795" i="41"/>
  <c r="D796" i="41"/>
  <c r="D797" i="41"/>
  <c r="D798" i="41"/>
  <c r="D799" i="41"/>
  <c r="D800" i="41"/>
  <c r="D801" i="41"/>
  <c r="D802" i="41"/>
  <c r="D803" i="41"/>
  <c r="D804" i="41"/>
  <c r="D805" i="41"/>
  <c r="D806" i="41"/>
  <c r="D807" i="41"/>
  <c r="D808" i="41"/>
  <c r="D809" i="41"/>
  <c r="D810" i="41"/>
  <c r="D811" i="41"/>
  <c r="D812" i="41"/>
  <c r="D813" i="41"/>
  <c r="D814" i="41"/>
  <c r="D815" i="41"/>
  <c r="D816" i="41"/>
  <c r="D817" i="41"/>
  <c r="D818" i="41"/>
  <c r="D819" i="41"/>
  <c r="D820" i="41"/>
  <c r="D821" i="41"/>
  <c r="D822" i="41"/>
  <c r="D823" i="41"/>
  <c r="D824" i="41"/>
  <c r="D825" i="41"/>
  <c r="D826" i="41"/>
  <c r="D827" i="41"/>
  <c r="D828" i="41"/>
  <c r="D829" i="41"/>
  <c r="D830" i="41"/>
  <c r="D831" i="41"/>
  <c r="D832" i="41"/>
  <c r="D833" i="41"/>
  <c r="D834" i="41"/>
  <c r="D835" i="41"/>
  <c r="D836" i="41"/>
  <c r="D837" i="41"/>
  <c r="D838" i="41"/>
  <c r="D839" i="41"/>
  <c r="D840" i="41"/>
  <c r="D841" i="41"/>
  <c r="D842" i="41"/>
  <c r="D843" i="41"/>
  <c r="D844" i="41"/>
  <c r="D845" i="41"/>
  <c r="D846" i="41"/>
  <c r="D847" i="41"/>
  <c r="D848" i="41"/>
  <c r="D849" i="41"/>
  <c r="D850" i="41"/>
  <c r="D851" i="41"/>
  <c r="D852" i="41"/>
  <c r="D853" i="41"/>
  <c r="D854" i="41"/>
  <c r="D855" i="41"/>
  <c r="D856" i="41"/>
  <c r="D857" i="41"/>
  <c r="D858" i="41"/>
  <c r="D859" i="41"/>
  <c r="D860" i="41"/>
  <c r="D861" i="41"/>
  <c r="D862" i="41"/>
  <c r="D863" i="41"/>
  <c r="D864" i="41"/>
  <c r="D865" i="41"/>
  <c r="D866" i="41"/>
  <c r="D867" i="41"/>
  <c r="D868" i="41"/>
  <c r="D869" i="41"/>
  <c r="D870" i="41"/>
  <c r="D871" i="41"/>
  <c r="D872" i="41"/>
  <c r="D873" i="41"/>
  <c r="D874" i="41"/>
  <c r="D875" i="41"/>
  <c r="D876" i="41"/>
  <c r="D877" i="41"/>
  <c r="D878" i="41"/>
  <c r="D879" i="41"/>
  <c r="D880" i="41"/>
  <c r="D881" i="41"/>
  <c r="D882" i="41"/>
  <c r="D883" i="41"/>
  <c r="D884" i="41"/>
  <c r="D885" i="41"/>
  <c r="D886" i="41"/>
  <c r="D887" i="41"/>
  <c r="D888" i="41"/>
  <c r="D889" i="41"/>
  <c r="D890" i="41"/>
  <c r="D891" i="41"/>
  <c r="D892" i="41"/>
  <c r="D893" i="41"/>
  <c r="D894" i="41"/>
  <c r="D895" i="41"/>
  <c r="D896" i="41"/>
  <c r="D897" i="41"/>
  <c r="D898" i="41"/>
  <c r="D899" i="41"/>
  <c r="D900" i="41"/>
  <c r="D901" i="41"/>
  <c r="D902" i="41"/>
  <c r="D903" i="41"/>
  <c r="D904" i="41"/>
  <c r="D905" i="41"/>
  <c r="D906" i="41"/>
  <c r="D907" i="41"/>
  <c r="D908" i="41"/>
  <c r="D909" i="41"/>
  <c r="D910" i="41"/>
  <c r="D911" i="41"/>
  <c r="D912" i="41"/>
  <c r="D913" i="41"/>
  <c r="D914" i="41"/>
  <c r="D915" i="41"/>
  <c r="D916" i="41"/>
  <c r="D917" i="41"/>
  <c r="D918" i="41"/>
  <c r="D919" i="41"/>
  <c r="D920" i="41"/>
  <c r="D921" i="41"/>
  <c r="D922" i="41"/>
  <c r="D923" i="41"/>
  <c r="D924" i="41"/>
  <c r="D925" i="41"/>
  <c r="D926" i="41"/>
  <c r="D927" i="41"/>
  <c r="D928" i="41"/>
  <c r="D929" i="41"/>
  <c r="D930" i="41"/>
  <c r="D931" i="41"/>
  <c r="D932" i="41"/>
  <c r="D933" i="41"/>
  <c r="D934" i="41"/>
  <c r="D935" i="41"/>
  <c r="D936" i="41"/>
  <c r="D937" i="41"/>
  <c r="D938" i="41"/>
  <c r="D939" i="41"/>
  <c r="D940" i="41"/>
  <c r="D941" i="41"/>
  <c r="D942" i="41"/>
  <c r="D943" i="41"/>
  <c r="D944" i="41"/>
  <c r="D945" i="41"/>
  <c r="D946" i="41"/>
  <c r="D947" i="41"/>
  <c r="D948" i="41"/>
  <c r="D949" i="41"/>
  <c r="D950" i="41"/>
  <c r="D951" i="41"/>
  <c r="D952" i="41"/>
  <c r="D953" i="41"/>
  <c r="D954" i="41"/>
  <c r="D955" i="41"/>
  <c r="D956" i="41"/>
  <c r="D957" i="41"/>
  <c r="D958" i="41"/>
  <c r="D959" i="41"/>
  <c r="D960" i="41"/>
  <c r="D961" i="41"/>
  <c r="D962" i="41"/>
  <c r="D963" i="41"/>
  <c r="D964" i="41"/>
  <c r="D965" i="41"/>
  <c r="D966" i="41"/>
  <c r="D967" i="41"/>
  <c r="D968" i="41"/>
  <c r="D969" i="41"/>
  <c r="D970" i="41"/>
  <c r="D971" i="41"/>
  <c r="D972" i="41"/>
  <c r="D973" i="41"/>
  <c r="D974" i="41"/>
  <c r="D975" i="41"/>
  <c r="D976" i="41"/>
  <c r="D977" i="41"/>
  <c r="D978" i="41"/>
  <c r="D979" i="41"/>
  <c r="D980" i="41"/>
  <c r="D981" i="41"/>
  <c r="D982" i="41"/>
  <c r="D983" i="41"/>
  <c r="D984" i="41"/>
  <c r="D985" i="41"/>
  <c r="D986" i="41"/>
  <c r="D987" i="41"/>
  <c r="D988" i="41"/>
  <c r="D989" i="41"/>
  <c r="D990" i="41"/>
  <c r="D991" i="41"/>
  <c r="D992" i="41"/>
  <c r="D993" i="41"/>
  <c r="D994" i="41"/>
  <c r="D995" i="41"/>
  <c r="D996" i="41"/>
  <c r="D997" i="41"/>
  <c r="D998" i="41"/>
  <c r="D999" i="41"/>
  <c r="D1000" i="41"/>
  <c r="D1001" i="41"/>
  <c r="D1002" i="41"/>
  <c r="D1003" i="41"/>
  <c r="D1004" i="41"/>
  <c r="D1005" i="41"/>
  <c r="D1006" i="41"/>
  <c r="D1007" i="41"/>
  <c r="D1008" i="41"/>
  <c r="D1009" i="41"/>
  <c r="D1010" i="41"/>
  <c r="D1011" i="41"/>
  <c r="D1012" i="41"/>
  <c r="D1013" i="41"/>
  <c r="D1014" i="41"/>
  <c r="D1015" i="41"/>
  <c r="D1016" i="41"/>
  <c r="D1017" i="41"/>
  <c r="D1018" i="41"/>
  <c r="D1019" i="41"/>
  <c r="D1020" i="41"/>
  <c r="D1021" i="41"/>
  <c r="D1022" i="41"/>
  <c r="D1023" i="41"/>
  <c r="D1024" i="41"/>
  <c r="D1025" i="41"/>
  <c r="D1026" i="41"/>
  <c r="D1027" i="41"/>
  <c r="D1028" i="41"/>
  <c r="D1029" i="41"/>
  <c r="D1030" i="41"/>
  <c r="D1031" i="41"/>
  <c r="D1032" i="41"/>
  <c r="D1033" i="41"/>
  <c r="D1034" i="41"/>
  <c r="D1035" i="41"/>
  <c r="D1036" i="41"/>
  <c r="D1037" i="41"/>
  <c r="D1038" i="41"/>
  <c r="D1039" i="41"/>
  <c r="D1040" i="41"/>
  <c r="D1041" i="41"/>
  <c r="D1042" i="41"/>
  <c r="D1043" i="41"/>
  <c r="D1044" i="41"/>
  <c r="D1045" i="41"/>
  <c r="D1046" i="41"/>
  <c r="D1047" i="41"/>
  <c r="D1048" i="41"/>
  <c r="D1049" i="41"/>
  <c r="D1050" i="41"/>
  <c r="D1051" i="41"/>
  <c r="D1052" i="41"/>
  <c r="D1053" i="41"/>
  <c r="D1054" i="41"/>
  <c r="D1055" i="41"/>
  <c r="D1056" i="41"/>
  <c r="D1057" i="41"/>
  <c r="D1058" i="41"/>
  <c r="D1059" i="41"/>
  <c r="D1060" i="41"/>
  <c r="D1061" i="41"/>
  <c r="D1062" i="41"/>
  <c r="D1063" i="41"/>
  <c r="D1064" i="41"/>
  <c r="D1065" i="41"/>
  <c r="D1066" i="41"/>
  <c r="D1067" i="41"/>
  <c r="D1068" i="41"/>
  <c r="D1069" i="41"/>
  <c r="D1070" i="41"/>
  <c r="D1071" i="41"/>
  <c r="D1072" i="41"/>
  <c r="D1073" i="41"/>
  <c r="D1074" i="41"/>
  <c r="D1075" i="41"/>
  <c r="D1076" i="41"/>
  <c r="D1077" i="41"/>
  <c r="D1078" i="41"/>
  <c r="D1079" i="41"/>
  <c r="D1080" i="41"/>
  <c r="D1081" i="41"/>
  <c r="D1082" i="41"/>
  <c r="D1083" i="41"/>
  <c r="D1084" i="41"/>
  <c r="D1085" i="41"/>
  <c r="D1086" i="41"/>
  <c r="D1087" i="41"/>
  <c r="D1088" i="41"/>
  <c r="D1089" i="41"/>
  <c r="D1090" i="41"/>
  <c r="D1091" i="41"/>
  <c r="D1092" i="41"/>
  <c r="D1093" i="41"/>
  <c r="D1094" i="41"/>
  <c r="D1095" i="41"/>
  <c r="D1096" i="41"/>
  <c r="D1097" i="41"/>
  <c r="D1098" i="41"/>
  <c r="D1099" i="41"/>
  <c r="D1100" i="41"/>
  <c r="D1101" i="41"/>
  <c r="D1102" i="41"/>
  <c r="D1103" i="41"/>
  <c r="D1104" i="41"/>
  <c r="D1105" i="41"/>
  <c r="D1106" i="41"/>
  <c r="D1107" i="41"/>
  <c r="D1108" i="41"/>
  <c r="D1109" i="41"/>
  <c r="D1110" i="41"/>
  <c r="D1111" i="41"/>
  <c r="D1112" i="41"/>
  <c r="D1113" i="41"/>
  <c r="D1114" i="41"/>
  <c r="D1115" i="41"/>
  <c r="D1116" i="41"/>
  <c r="D1117" i="41"/>
  <c r="D1118" i="41"/>
  <c r="D1119" i="41"/>
  <c r="D1120" i="41"/>
  <c r="D1121" i="41"/>
  <c r="D1122" i="41"/>
  <c r="D1123" i="41"/>
  <c r="D1124" i="41"/>
  <c r="D1125" i="41"/>
  <c r="D1126" i="41"/>
  <c r="D1127" i="41"/>
  <c r="D1128" i="41"/>
  <c r="D1129" i="41"/>
  <c r="D1130" i="41"/>
  <c r="D1131" i="41"/>
  <c r="D1132" i="41"/>
  <c r="D1133" i="41"/>
  <c r="D1134" i="41"/>
  <c r="D1135" i="41"/>
  <c r="D1136" i="41"/>
  <c r="D1137" i="41"/>
  <c r="D1138" i="41"/>
  <c r="D1139" i="41"/>
  <c r="D1140" i="41"/>
  <c r="D1141" i="41"/>
  <c r="D1142" i="41"/>
  <c r="D1143" i="41"/>
  <c r="D1144" i="41"/>
  <c r="D1145" i="41"/>
  <c r="D1146" i="41"/>
  <c r="D1147" i="41"/>
  <c r="D1148" i="41"/>
  <c r="D1149" i="41"/>
  <c r="D1150" i="41"/>
  <c r="D1151" i="41"/>
  <c r="D1152" i="41"/>
  <c r="D1153" i="41"/>
  <c r="D1154" i="41"/>
  <c r="D1155" i="41"/>
  <c r="D1156" i="41"/>
  <c r="D1157" i="41"/>
  <c r="D1158" i="41"/>
  <c r="D1159" i="41"/>
  <c r="D1160" i="41"/>
  <c r="D1161" i="41"/>
  <c r="D1162" i="41"/>
  <c r="D1163" i="41"/>
  <c r="D1164" i="41"/>
  <c r="D1165" i="41"/>
  <c r="D1166" i="41"/>
  <c r="D1167" i="41"/>
  <c r="D1168" i="41"/>
  <c r="D1169" i="41"/>
  <c r="D1170" i="41"/>
  <c r="D1171" i="41"/>
  <c r="D1172" i="41"/>
  <c r="D1173" i="41"/>
  <c r="D1174" i="41"/>
  <c r="D1175" i="41"/>
  <c r="D1176" i="41"/>
  <c r="D1177" i="41"/>
  <c r="D1178" i="41"/>
  <c r="D1179" i="41"/>
  <c r="D1180" i="41"/>
  <c r="D1181" i="41"/>
  <c r="D1182" i="41"/>
  <c r="D1183" i="41"/>
  <c r="D1184" i="41"/>
  <c r="D1185" i="41"/>
  <c r="D1186" i="41"/>
  <c r="D1187" i="41"/>
  <c r="D1188" i="41"/>
  <c r="D1189" i="41"/>
  <c r="D1190" i="41"/>
  <c r="D1191" i="41"/>
  <c r="D1192" i="41"/>
  <c r="D1193" i="41"/>
  <c r="D1194" i="41"/>
  <c r="D1195" i="41"/>
  <c r="D1196" i="41"/>
  <c r="D1197" i="41"/>
  <c r="D1198" i="41"/>
  <c r="D1199" i="41"/>
  <c r="D1200" i="41"/>
  <c r="D1201" i="41"/>
  <c r="D1202" i="41"/>
  <c r="D1203" i="41"/>
  <c r="C140" i="39"/>
  <c r="C379" i="39"/>
  <c r="C73" i="39"/>
  <c r="C210" i="39"/>
  <c r="C75" i="39"/>
  <c r="C211" i="39"/>
  <c r="C74" i="39"/>
  <c r="C14" i="39"/>
  <c r="C13" i="39"/>
  <c r="C371" i="39"/>
  <c r="C185" i="39"/>
  <c r="C186" i="39"/>
  <c r="C78" i="39"/>
  <c r="C216" i="39"/>
  <c r="C77" i="39"/>
  <c r="C53" i="39"/>
  <c r="C209" i="39"/>
  <c r="C54" i="39"/>
  <c r="C208" i="39"/>
  <c r="C52" i="39"/>
  <c r="C370" i="39"/>
  <c r="C113" i="39"/>
  <c r="C195" i="39"/>
  <c r="C67" i="39"/>
  <c r="C66" i="39"/>
  <c r="C65" i="39"/>
  <c r="C194" i="39"/>
  <c r="C377" i="39"/>
  <c r="C130" i="39"/>
  <c r="C118" i="39"/>
  <c r="C206" i="39"/>
  <c r="C119" i="39"/>
  <c r="C184" i="39"/>
  <c r="C108" i="39"/>
  <c r="C183" i="39"/>
  <c r="C51" i="39"/>
  <c r="C189" i="39"/>
  <c r="C55" i="39"/>
  <c r="C97" i="39"/>
  <c r="C112" i="39"/>
  <c r="C207" i="39"/>
  <c r="C376" i="39"/>
  <c r="C8" i="39"/>
  <c r="C63" i="39"/>
  <c r="C132" i="39"/>
  <c r="C79" i="39"/>
  <c r="C137" i="39"/>
  <c r="C110" i="39"/>
  <c r="C138" i="39"/>
  <c r="C136" i="39"/>
  <c r="C109" i="39"/>
  <c r="C139" i="39"/>
  <c r="C111" i="39"/>
  <c r="C122" i="39"/>
  <c r="C154" i="39"/>
  <c r="C3" i="39"/>
  <c r="C153" i="39"/>
  <c r="C2" i="39"/>
  <c r="C4" i="39"/>
  <c r="C107" i="39"/>
  <c r="C105" i="39"/>
  <c r="C214" i="39"/>
  <c r="C215" i="39"/>
  <c r="C213" i="39"/>
  <c r="C106" i="39"/>
  <c r="C104" i="39"/>
  <c r="C181" i="39"/>
  <c r="C182" i="39"/>
  <c r="C170" i="39"/>
  <c r="C169" i="39"/>
  <c r="C172" i="39"/>
  <c r="C60" i="39"/>
  <c r="C171" i="39"/>
  <c r="C59" i="39"/>
  <c r="C37" i="39"/>
  <c r="C39" i="39"/>
  <c r="C38" i="39"/>
  <c r="C190" i="39"/>
  <c r="C133" i="39"/>
  <c r="C10" i="39"/>
  <c r="C9" i="39"/>
  <c r="C135" i="39"/>
  <c r="C372" i="39"/>
  <c r="C134" i="39"/>
  <c r="C11" i="39"/>
  <c r="C12" i="39"/>
  <c r="C369" i="39"/>
  <c r="C378" i="39"/>
  <c r="C76" i="39"/>
  <c r="C149" i="39"/>
  <c r="C375" i="39"/>
  <c r="C125" i="39"/>
  <c r="C16" i="39"/>
  <c r="C15" i="39"/>
  <c r="C120" i="39"/>
  <c r="C71" i="39"/>
  <c r="C174" i="39"/>
  <c r="C70" i="39"/>
  <c r="C173" i="39"/>
  <c r="C150" i="39"/>
  <c r="C68" i="39"/>
  <c r="C179" i="39"/>
  <c r="C114" i="39"/>
  <c r="C81" i="39"/>
  <c r="C212" i="39"/>
  <c r="C117" i="39"/>
  <c r="C374" i="39"/>
  <c r="C217" i="39"/>
  <c r="C116" i="39"/>
  <c r="C218" i="39"/>
  <c r="C115" i="39"/>
  <c r="C62" i="39"/>
  <c r="C188" i="39"/>
  <c r="C56" i="39"/>
  <c r="C57" i="39"/>
  <c r="C58" i="39"/>
  <c r="C187" i="39"/>
  <c r="C99" i="39"/>
  <c r="C141" i="39"/>
  <c r="C100" i="39"/>
  <c r="C142" i="39"/>
  <c r="C61" i="39"/>
  <c r="C94" i="39"/>
  <c r="C92" i="39"/>
  <c r="C145" i="39"/>
  <c r="C147" i="39"/>
  <c r="C93" i="39"/>
  <c r="C96" i="39"/>
  <c r="C148" i="39"/>
  <c r="C146" i="39"/>
  <c r="C95" i="39"/>
  <c r="C193" i="39"/>
  <c r="C72" i="39"/>
  <c r="C127" i="39"/>
  <c r="C373" i="39"/>
  <c r="C5" i="39"/>
  <c r="C6" i="39"/>
  <c r="C126" i="39"/>
  <c r="C7" i="39"/>
  <c r="C90" i="39"/>
  <c r="C85" i="39"/>
  <c r="C89" i="39"/>
  <c r="C88" i="39"/>
  <c r="C368" i="39"/>
  <c r="C86" i="39"/>
  <c r="C201" i="39"/>
  <c r="C87" i="39"/>
  <c r="C200" i="39"/>
  <c r="C91" i="39"/>
  <c r="C197" i="39"/>
  <c r="C199" i="39"/>
  <c r="C82" i="39"/>
  <c r="C80" i="39"/>
  <c r="C198" i="39"/>
  <c r="C196" i="39"/>
  <c r="C69" i="39"/>
  <c r="C205" i="39"/>
  <c r="C84" i="39"/>
  <c r="C180" i="39"/>
  <c r="C83" i="39"/>
  <c r="C151" i="39"/>
  <c r="C121" i="39"/>
  <c r="C103" i="39"/>
  <c r="C101" i="39"/>
  <c r="C144" i="39"/>
  <c r="C102" i="39"/>
  <c r="F102" i="39"/>
  <c r="M102" i="39"/>
  <c r="N102" i="39"/>
  <c r="P102" i="39"/>
  <c r="U102" i="39"/>
  <c r="V102" i="39"/>
  <c r="Y102" i="39"/>
  <c r="BC102" i="39"/>
  <c r="BF102" i="39"/>
  <c r="BG102" i="39"/>
  <c r="BH102" i="39"/>
  <c r="BI102" i="39" s="1"/>
  <c r="AK102" i="39" s="1"/>
  <c r="BL102" i="39"/>
  <c r="BN102" i="39"/>
  <c r="BO102" i="39"/>
  <c r="BP102" i="39"/>
  <c r="BQ102" i="39"/>
  <c r="BS102" i="39"/>
  <c r="BT102" i="39"/>
  <c r="CE102" i="39" s="1"/>
  <c r="BU102" i="39"/>
  <c r="BV102" i="39"/>
  <c r="BX102" i="39"/>
  <c r="CA102" i="39"/>
  <c r="CC102" i="39"/>
  <c r="CM102" i="39"/>
  <c r="CO102" i="39"/>
  <c r="CP102" i="39"/>
  <c r="CR102" i="39"/>
  <c r="A102" i="39" s="1"/>
  <c r="CT102" i="39"/>
  <c r="AX102" i="39" s="1"/>
  <c r="C143" i="39"/>
  <c r="F143" i="39"/>
  <c r="F144" i="39"/>
  <c r="F101" i="39"/>
  <c r="F103" i="39"/>
  <c r="F121" i="39"/>
  <c r="F151" i="39"/>
  <c r="F83" i="39"/>
  <c r="F180" i="39"/>
  <c r="F84" i="39"/>
  <c r="F205" i="39"/>
  <c r="F69" i="39"/>
  <c r="F196" i="39"/>
  <c r="F198" i="39"/>
  <c r="F80" i="39"/>
  <c r="F82" i="39"/>
  <c r="F199" i="39"/>
  <c r="F197" i="39"/>
  <c r="F91" i="39"/>
  <c r="F200" i="39"/>
  <c r="F87" i="39"/>
  <c r="F201" i="39"/>
  <c r="F86" i="39"/>
  <c r="F368" i="39"/>
  <c r="F88" i="39"/>
  <c r="F89" i="39"/>
  <c r="F85" i="39"/>
  <c r="F90" i="39"/>
  <c r="F7" i="39"/>
  <c r="F126" i="39"/>
  <c r="F6" i="39"/>
  <c r="F5" i="39"/>
  <c r="F373" i="39"/>
  <c r="F127" i="39"/>
  <c r="F72" i="39"/>
  <c r="F193" i="39"/>
  <c r="F95" i="39"/>
  <c r="F146" i="39"/>
  <c r="F148" i="39"/>
  <c r="F96" i="39"/>
  <c r="F93" i="39"/>
  <c r="F147" i="39"/>
  <c r="F145" i="39"/>
  <c r="F92" i="39"/>
  <c r="F94" i="39"/>
  <c r="F61" i="39"/>
  <c r="F142" i="39"/>
  <c r="F100" i="39"/>
  <c r="F141" i="39"/>
  <c r="F99" i="39"/>
  <c r="F187" i="39"/>
  <c r="F58" i="39"/>
  <c r="F57" i="39"/>
  <c r="F56" i="39"/>
  <c r="F188" i="39"/>
  <c r="F62" i="39"/>
  <c r="F115" i="39"/>
  <c r="F218" i="39"/>
  <c r="F116" i="39"/>
  <c r="F217" i="39"/>
  <c r="F374" i="39"/>
  <c r="F117" i="39"/>
  <c r="F212" i="39"/>
  <c r="F81" i="39"/>
  <c r="F114" i="39"/>
  <c r="F179" i="39"/>
  <c r="F68" i="39"/>
  <c r="F150" i="39"/>
  <c r="F173" i="39"/>
  <c r="F70" i="39"/>
  <c r="F174" i="39"/>
  <c r="F71" i="39"/>
  <c r="F120" i="39"/>
  <c r="F15" i="39"/>
  <c r="F16" i="39"/>
  <c r="F125" i="39"/>
  <c r="F375" i="39"/>
  <c r="F149" i="39"/>
  <c r="F76" i="39"/>
  <c r="F378" i="39"/>
  <c r="F369" i="39"/>
  <c r="F12" i="39"/>
  <c r="F11" i="39"/>
  <c r="F134" i="39"/>
  <c r="F372" i="39"/>
  <c r="F135" i="39"/>
  <c r="F9" i="39"/>
  <c r="F10" i="39"/>
  <c r="F133" i="39"/>
  <c r="F190" i="39"/>
  <c r="F38" i="39"/>
  <c r="F39" i="39"/>
  <c r="F37" i="39"/>
  <c r="F59" i="39"/>
  <c r="F171" i="39"/>
  <c r="F60" i="39"/>
  <c r="F172" i="39"/>
  <c r="F169" i="39"/>
  <c r="F170" i="39"/>
  <c r="F182" i="39"/>
  <c r="F181" i="39"/>
  <c r="F104" i="39"/>
  <c r="F106" i="39"/>
  <c r="F213" i="39"/>
  <c r="F215" i="39"/>
  <c r="F214" i="39"/>
  <c r="F105" i="39"/>
  <c r="F107" i="39"/>
  <c r="F4" i="39"/>
  <c r="F2" i="39"/>
  <c r="F153" i="39"/>
  <c r="F3" i="39"/>
  <c r="F154" i="39"/>
  <c r="F122" i="39"/>
  <c r="F111" i="39"/>
  <c r="F139" i="39"/>
  <c r="F109" i="39"/>
  <c r="F136" i="39"/>
  <c r="F138" i="39"/>
  <c r="F110" i="39"/>
  <c r="F137" i="39"/>
  <c r="F79" i="39"/>
  <c r="F132" i="39"/>
  <c r="F63" i="39"/>
  <c r="F8" i="39"/>
  <c r="F376" i="39"/>
  <c r="F207" i="39"/>
  <c r="F112" i="39"/>
  <c r="F97" i="39"/>
  <c r="F55" i="39"/>
  <c r="F189" i="39"/>
  <c r="F51" i="39"/>
  <c r="F183" i="39"/>
  <c r="F108" i="39"/>
  <c r="F184" i="39"/>
  <c r="F119" i="39"/>
  <c r="F206" i="39"/>
  <c r="F118" i="39"/>
  <c r="F130" i="39"/>
  <c r="F377" i="39"/>
  <c r="F194" i="39"/>
  <c r="F65" i="39"/>
  <c r="F66" i="39"/>
  <c r="F67" i="39"/>
  <c r="F195" i="39"/>
  <c r="F113" i="39"/>
  <c r="F370" i="39"/>
  <c r="F52" i="39"/>
  <c r="F208" i="39"/>
  <c r="F54" i="39"/>
  <c r="F209" i="39"/>
  <c r="F53" i="39"/>
  <c r="F77" i="39"/>
  <c r="F216" i="39"/>
  <c r="F78" i="39"/>
  <c r="F186" i="39"/>
  <c r="F185" i="39"/>
  <c r="F371" i="39"/>
  <c r="F13" i="39"/>
  <c r="F14" i="39"/>
  <c r="F74" i="39"/>
  <c r="F211" i="39"/>
  <c r="F75" i="39"/>
  <c r="F210" i="39"/>
  <c r="F73" i="39"/>
  <c r="F379" i="39"/>
  <c r="F273" i="39"/>
  <c r="F274" i="39"/>
  <c r="F275" i="39"/>
  <c r="F276" i="39"/>
  <c r="F277" i="39"/>
  <c r="F278" i="39"/>
  <c r="F279" i="39"/>
  <c r="F280" i="39"/>
  <c r="F281" i="39"/>
  <c r="F282" i="39"/>
  <c r="F283" i="39"/>
  <c r="F284" i="39"/>
  <c r="F285" i="39"/>
  <c r="F286" i="39"/>
  <c r="F287" i="39"/>
  <c r="F288" i="39"/>
  <c r="F289" i="39"/>
  <c r="F290" i="39"/>
  <c r="F291" i="39"/>
  <c r="F292" i="39"/>
  <c r="F293" i="39"/>
  <c r="F294" i="39"/>
  <c r="F295" i="39"/>
  <c r="F296" i="39"/>
  <c r="F297" i="39"/>
  <c r="F298" i="39"/>
  <c r="F299" i="39"/>
  <c r="F300" i="39"/>
  <c r="F301" i="39"/>
  <c r="F302" i="39"/>
  <c r="F303" i="39"/>
  <c r="F304" i="39"/>
  <c r="F305" i="39"/>
  <c r="F306" i="39"/>
  <c r="F307" i="39"/>
  <c r="F308" i="39"/>
  <c r="F309" i="39"/>
  <c r="F310" i="39"/>
  <c r="F311" i="39"/>
  <c r="F312" i="39"/>
  <c r="F313" i="39"/>
  <c r="F314" i="39"/>
  <c r="F315" i="39"/>
  <c r="F316" i="39"/>
  <c r="F317" i="39"/>
  <c r="F318" i="39"/>
  <c r="F319" i="39"/>
  <c r="F320" i="39"/>
  <c r="F321" i="39"/>
  <c r="F322" i="39"/>
  <c r="F323" i="39"/>
  <c r="F324" i="39"/>
  <c r="F325" i="39"/>
  <c r="F326" i="39"/>
  <c r="F327" i="39"/>
  <c r="F328" i="39"/>
  <c r="F329" i="39"/>
  <c r="F330" i="39"/>
  <c r="F331" i="39"/>
  <c r="F332" i="39"/>
  <c r="F333" i="39"/>
  <c r="F334" i="39"/>
  <c r="F335" i="39"/>
  <c r="F336" i="39"/>
  <c r="F337" i="39"/>
  <c r="F338" i="39"/>
  <c r="F339" i="39"/>
  <c r="F340" i="39"/>
  <c r="F341" i="39"/>
  <c r="F342" i="39"/>
  <c r="F343" i="39"/>
  <c r="F344" i="39"/>
  <c r="F345" i="39"/>
  <c r="F346" i="39"/>
  <c r="F347" i="39"/>
  <c r="F348" i="39"/>
  <c r="F349" i="39"/>
  <c r="F350" i="39"/>
  <c r="F351" i="39"/>
  <c r="F352" i="39"/>
  <c r="F353" i="39"/>
  <c r="F354" i="39"/>
  <c r="F355" i="39"/>
  <c r="F356" i="39"/>
  <c r="F357" i="39"/>
  <c r="F358" i="39"/>
  <c r="F359" i="39"/>
  <c r="F360" i="39"/>
  <c r="F361" i="39"/>
  <c r="F362" i="39"/>
  <c r="F363" i="39"/>
  <c r="F364" i="39"/>
  <c r="F365" i="39"/>
  <c r="F366" i="39"/>
  <c r="F367" i="39"/>
  <c r="F394" i="39"/>
  <c r="F396" i="39"/>
  <c r="F397" i="39"/>
  <c r="F398" i="39"/>
  <c r="F399" i="39"/>
  <c r="F400" i="39"/>
  <c r="F401" i="39"/>
  <c r="F402" i="39"/>
  <c r="F403" i="39"/>
  <c r="F404" i="39"/>
  <c r="F140" i="39"/>
  <c r="F405" i="39"/>
  <c r="F406" i="39"/>
  <c r="F407" i="39"/>
  <c r="F408" i="39"/>
  <c r="F409" i="39"/>
  <c r="F410" i="39"/>
  <c r="F411" i="39"/>
  <c r="M120" i="40"/>
  <c r="I120" i="40"/>
  <c r="M119" i="40"/>
  <c r="I119" i="40"/>
  <c r="M118" i="40"/>
  <c r="I118" i="40"/>
  <c r="M117" i="40"/>
  <c r="I117" i="40"/>
  <c r="M116" i="40"/>
  <c r="I116" i="40"/>
  <c r="M115" i="40"/>
  <c r="I115" i="40"/>
  <c r="M114" i="40"/>
  <c r="I114" i="40"/>
  <c r="M113" i="40"/>
  <c r="I113" i="40"/>
  <c r="M112" i="40"/>
  <c r="I112" i="40"/>
  <c r="M111" i="40"/>
  <c r="I111" i="40"/>
  <c r="M110" i="40"/>
  <c r="I110" i="40"/>
  <c r="M109" i="40"/>
  <c r="I109" i="40"/>
  <c r="M108" i="40"/>
  <c r="I108" i="40"/>
  <c r="M107" i="40"/>
  <c r="I107" i="40"/>
  <c r="M106" i="40"/>
  <c r="I106" i="40"/>
  <c r="M105" i="40"/>
  <c r="I105" i="40"/>
  <c r="M104" i="40"/>
  <c r="I104" i="40"/>
  <c r="M103" i="40"/>
  <c r="I103" i="40"/>
  <c r="M102" i="40"/>
  <c r="I102" i="40"/>
  <c r="M101" i="40"/>
  <c r="I101" i="40"/>
  <c r="M100" i="40"/>
  <c r="I100" i="40"/>
  <c r="M99" i="40"/>
  <c r="I99" i="40"/>
  <c r="M98" i="40"/>
  <c r="I98" i="40"/>
  <c r="M97" i="40"/>
  <c r="I97" i="40"/>
  <c r="M96" i="40"/>
  <c r="I96" i="40"/>
  <c r="M95" i="40"/>
  <c r="I95" i="40"/>
  <c r="M94" i="40"/>
  <c r="I94" i="40"/>
  <c r="M93" i="40"/>
  <c r="I93" i="40"/>
  <c r="M92" i="40"/>
  <c r="I92" i="40"/>
  <c r="M91" i="40"/>
  <c r="I91" i="40"/>
  <c r="M90" i="40"/>
  <c r="I90" i="40"/>
  <c r="M89" i="40"/>
  <c r="I89" i="40"/>
  <c r="M88" i="40"/>
  <c r="I88" i="40"/>
  <c r="M87" i="40"/>
  <c r="I87" i="40"/>
  <c r="M86" i="40"/>
  <c r="I86" i="40"/>
  <c r="M85" i="40"/>
  <c r="I85" i="40"/>
  <c r="M84" i="40"/>
  <c r="I84" i="40"/>
  <c r="M83" i="40"/>
  <c r="I83" i="40"/>
  <c r="M82" i="40"/>
  <c r="I82" i="40"/>
  <c r="M81" i="40"/>
  <c r="I81" i="40"/>
  <c r="M80" i="40"/>
  <c r="I80" i="40"/>
  <c r="M79" i="40"/>
  <c r="I79" i="40"/>
  <c r="M78" i="40"/>
  <c r="I78" i="40"/>
  <c r="M77" i="40"/>
  <c r="I77" i="40"/>
  <c r="M76" i="40"/>
  <c r="I76" i="40"/>
  <c r="M75" i="40"/>
  <c r="I75" i="40"/>
  <c r="M74" i="40"/>
  <c r="I74" i="40"/>
  <c r="M73" i="40"/>
  <c r="I73" i="40"/>
  <c r="M72" i="40"/>
  <c r="I72" i="40"/>
  <c r="M71" i="40"/>
  <c r="I71" i="40"/>
  <c r="M70" i="40"/>
  <c r="I70" i="40"/>
  <c r="M69" i="40"/>
  <c r="I69" i="40"/>
  <c r="M68" i="40"/>
  <c r="I68" i="40"/>
  <c r="M67" i="40"/>
  <c r="I67" i="40"/>
  <c r="M66" i="40"/>
  <c r="I66" i="40"/>
  <c r="M65" i="40"/>
  <c r="I65" i="40"/>
  <c r="M64" i="40"/>
  <c r="I64" i="40"/>
  <c r="M63" i="40"/>
  <c r="I63" i="40"/>
  <c r="M62" i="40"/>
  <c r="I62" i="40"/>
  <c r="M61" i="40"/>
  <c r="I61" i="40"/>
  <c r="M60" i="40"/>
  <c r="I60" i="40"/>
  <c r="M59" i="40"/>
  <c r="I59" i="40"/>
  <c r="M58" i="40"/>
  <c r="I58" i="40"/>
  <c r="M57" i="40"/>
  <c r="I57" i="40"/>
  <c r="M56" i="40"/>
  <c r="I56" i="40"/>
  <c r="M55" i="40"/>
  <c r="I55" i="40"/>
  <c r="M54" i="40"/>
  <c r="I54" i="40"/>
  <c r="M53" i="40"/>
  <c r="I53" i="40"/>
  <c r="M52" i="40"/>
  <c r="I52" i="40"/>
  <c r="M51" i="40"/>
  <c r="I51" i="40"/>
  <c r="M50" i="40"/>
  <c r="I50" i="40"/>
  <c r="M49" i="40"/>
  <c r="I49" i="40"/>
  <c r="M48" i="40"/>
  <c r="I48" i="40"/>
  <c r="M47" i="40"/>
  <c r="I47" i="40"/>
  <c r="M46" i="40"/>
  <c r="I46" i="40"/>
  <c r="M45" i="40"/>
  <c r="I45" i="40"/>
  <c r="M44" i="40"/>
  <c r="I44" i="40"/>
  <c r="M43" i="40"/>
  <c r="I43" i="40"/>
  <c r="M42" i="40"/>
  <c r="I42" i="40"/>
  <c r="M41" i="40"/>
  <c r="I41" i="40"/>
  <c r="M40" i="40"/>
  <c r="I40" i="40"/>
  <c r="M39" i="40"/>
  <c r="I39" i="40"/>
  <c r="M38" i="40"/>
  <c r="I38" i="40"/>
  <c r="M37" i="40"/>
  <c r="I37" i="40"/>
  <c r="M36" i="40"/>
  <c r="I36" i="40"/>
  <c r="M35" i="40"/>
  <c r="I35" i="40"/>
  <c r="M34" i="40"/>
  <c r="I34" i="40"/>
  <c r="M33" i="40"/>
  <c r="I33" i="40"/>
  <c r="M32" i="40"/>
  <c r="I32" i="40"/>
  <c r="M31" i="40"/>
  <c r="I31" i="40"/>
  <c r="M30" i="40"/>
  <c r="I30" i="40"/>
  <c r="M29" i="40"/>
  <c r="I29" i="40"/>
  <c r="M28" i="40"/>
  <c r="I28" i="40"/>
  <c r="M27" i="40"/>
  <c r="I27" i="40"/>
  <c r="M26" i="40"/>
  <c r="I26" i="40"/>
  <c r="M25" i="40"/>
  <c r="I25" i="40"/>
  <c r="M24" i="40"/>
  <c r="I24" i="40"/>
  <c r="M23" i="40"/>
  <c r="I23" i="40"/>
  <c r="M22" i="40"/>
  <c r="I22" i="40"/>
  <c r="M21" i="40"/>
  <c r="I21" i="40"/>
  <c r="M20" i="40"/>
  <c r="I20" i="40"/>
  <c r="M19" i="40"/>
  <c r="I19" i="40"/>
  <c r="M18" i="40"/>
  <c r="I18" i="40"/>
  <c r="M17" i="40"/>
  <c r="I17" i="40"/>
  <c r="M16" i="40"/>
  <c r="I16" i="40"/>
  <c r="M15" i="40"/>
  <c r="I15" i="40"/>
  <c r="M14" i="40"/>
  <c r="I14" i="40"/>
  <c r="M13" i="40"/>
  <c r="I13" i="40"/>
  <c r="M12" i="40"/>
  <c r="I12" i="40"/>
  <c r="M11" i="40"/>
  <c r="I11" i="40"/>
  <c r="M10" i="40"/>
  <c r="M9" i="40"/>
  <c r="I9" i="40"/>
  <c r="M8" i="40"/>
  <c r="I8" i="40"/>
  <c r="M7" i="40"/>
  <c r="I7" i="40"/>
  <c r="M6" i="40"/>
  <c r="I6" i="40"/>
  <c r="P6" i="24"/>
  <c r="R6" i="24" s="1"/>
  <c r="P7" i="24"/>
  <c r="R7" i="24" s="1"/>
  <c r="P24" i="24"/>
  <c r="R24" i="24"/>
  <c r="P411" i="39"/>
  <c r="N411" i="39"/>
  <c r="M411" i="39"/>
  <c r="P410" i="39"/>
  <c r="N410" i="39"/>
  <c r="M410" i="39"/>
  <c r="P409" i="39"/>
  <c r="N409" i="39"/>
  <c r="M409" i="39"/>
  <c r="P408" i="39"/>
  <c r="N408" i="39"/>
  <c r="M408" i="39"/>
  <c r="P407" i="39"/>
  <c r="N407" i="39"/>
  <c r="M407" i="39"/>
  <c r="P406" i="39"/>
  <c r="N406" i="39"/>
  <c r="M406" i="39"/>
  <c r="P405" i="39"/>
  <c r="N405" i="39"/>
  <c r="M405" i="39"/>
  <c r="P140" i="39"/>
  <c r="N140" i="39"/>
  <c r="M140" i="39"/>
  <c r="P404" i="39"/>
  <c r="N404" i="39"/>
  <c r="M404" i="39"/>
  <c r="P403" i="39"/>
  <c r="N403" i="39"/>
  <c r="M403" i="39"/>
  <c r="P402" i="39"/>
  <c r="N402" i="39"/>
  <c r="M402" i="39"/>
  <c r="P401" i="39"/>
  <c r="N401" i="39"/>
  <c r="M401" i="39"/>
  <c r="P400" i="39"/>
  <c r="N400" i="39"/>
  <c r="M400" i="39"/>
  <c r="P399" i="39"/>
  <c r="N399" i="39"/>
  <c r="M399" i="39"/>
  <c r="P398" i="39"/>
  <c r="N398" i="39"/>
  <c r="M398" i="39"/>
  <c r="P397" i="39"/>
  <c r="N397" i="39"/>
  <c r="M397" i="39"/>
  <c r="P396" i="39"/>
  <c r="N396" i="39"/>
  <c r="M396" i="39"/>
  <c r="P395" i="39"/>
  <c r="N395" i="39"/>
  <c r="M395" i="39"/>
  <c r="P394" i="39"/>
  <c r="N394" i="39"/>
  <c r="M394" i="39"/>
  <c r="P367" i="39"/>
  <c r="N367" i="39"/>
  <c r="M367" i="39"/>
  <c r="P366" i="39"/>
  <c r="N366" i="39"/>
  <c r="M366" i="39"/>
  <c r="P365" i="39"/>
  <c r="N365" i="39"/>
  <c r="M365" i="39"/>
  <c r="P364" i="39"/>
  <c r="N364" i="39"/>
  <c r="M364" i="39"/>
  <c r="P363" i="39"/>
  <c r="N363" i="39"/>
  <c r="M363" i="39"/>
  <c r="P362" i="39"/>
  <c r="N362" i="39"/>
  <c r="M362" i="39"/>
  <c r="P361" i="39"/>
  <c r="N361" i="39"/>
  <c r="M361" i="39"/>
  <c r="P360" i="39"/>
  <c r="N360" i="39"/>
  <c r="M360" i="39"/>
  <c r="P359" i="39"/>
  <c r="N359" i="39"/>
  <c r="M359" i="39"/>
  <c r="P358" i="39"/>
  <c r="N358" i="39"/>
  <c r="M358" i="39"/>
  <c r="P357" i="39"/>
  <c r="N357" i="39"/>
  <c r="M357" i="39"/>
  <c r="P356" i="39"/>
  <c r="N356" i="39"/>
  <c r="M356" i="39"/>
  <c r="P355" i="39"/>
  <c r="N355" i="39"/>
  <c r="M355" i="39"/>
  <c r="P354" i="39"/>
  <c r="N354" i="39"/>
  <c r="M354" i="39"/>
  <c r="P353" i="39"/>
  <c r="N353" i="39"/>
  <c r="M353" i="39"/>
  <c r="P352" i="39"/>
  <c r="N352" i="39"/>
  <c r="M352" i="39"/>
  <c r="P351" i="39"/>
  <c r="N351" i="39"/>
  <c r="M351" i="39"/>
  <c r="P350" i="39"/>
  <c r="N350" i="39"/>
  <c r="M350" i="39"/>
  <c r="P349" i="39"/>
  <c r="N349" i="39"/>
  <c r="M349" i="39"/>
  <c r="P348" i="39"/>
  <c r="N348" i="39"/>
  <c r="M348" i="39"/>
  <c r="P347" i="39"/>
  <c r="N347" i="39"/>
  <c r="M347" i="39"/>
  <c r="P346" i="39"/>
  <c r="N346" i="39"/>
  <c r="M346" i="39"/>
  <c r="P345" i="39"/>
  <c r="N345" i="39"/>
  <c r="M345" i="39"/>
  <c r="P344" i="39"/>
  <c r="N344" i="39"/>
  <c r="M344" i="39"/>
  <c r="P343" i="39"/>
  <c r="N343" i="39"/>
  <c r="M343" i="39"/>
  <c r="P342" i="39"/>
  <c r="N342" i="39"/>
  <c r="M342" i="39"/>
  <c r="P341" i="39"/>
  <c r="N341" i="39"/>
  <c r="M341" i="39"/>
  <c r="P340" i="39"/>
  <c r="N340" i="39"/>
  <c r="M340" i="39"/>
  <c r="P339" i="39"/>
  <c r="N339" i="39"/>
  <c r="M339" i="39"/>
  <c r="P338" i="39"/>
  <c r="N338" i="39"/>
  <c r="M338" i="39"/>
  <c r="P337" i="39"/>
  <c r="N337" i="39"/>
  <c r="M337" i="39"/>
  <c r="P336" i="39"/>
  <c r="N336" i="39"/>
  <c r="M336" i="39"/>
  <c r="P335" i="39"/>
  <c r="N335" i="39"/>
  <c r="M335" i="39"/>
  <c r="P334" i="39"/>
  <c r="N334" i="39"/>
  <c r="M334" i="39"/>
  <c r="P333" i="39"/>
  <c r="N333" i="39"/>
  <c r="M333" i="39"/>
  <c r="P332" i="39"/>
  <c r="N332" i="39"/>
  <c r="M332" i="39"/>
  <c r="P331" i="39"/>
  <c r="N331" i="39"/>
  <c r="M331" i="39"/>
  <c r="P330" i="39"/>
  <c r="N330" i="39"/>
  <c r="M330" i="39"/>
  <c r="P329" i="39"/>
  <c r="N329" i="39"/>
  <c r="M329" i="39"/>
  <c r="P328" i="39"/>
  <c r="N328" i="39"/>
  <c r="M328" i="39"/>
  <c r="P327" i="39"/>
  <c r="N327" i="39"/>
  <c r="M327" i="39"/>
  <c r="P326" i="39"/>
  <c r="N326" i="39"/>
  <c r="M326" i="39"/>
  <c r="P325" i="39"/>
  <c r="N325" i="39"/>
  <c r="M325" i="39"/>
  <c r="P324" i="39"/>
  <c r="N324" i="39"/>
  <c r="M324" i="39"/>
  <c r="P323" i="39"/>
  <c r="N323" i="39"/>
  <c r="M323" i="39"/>
  <c r="P322" i="39"/>
  <c r="N322" i="39"/>
  <c r="M322" i="39"/>
  <c r="P321" i="39"/>
  <c r="N321" i="39"/>
  <c r="M321" i="39"/>
  <c r="P320" i="39"/>
  <c r="N320" i="39"/>
  <c r="M320" i="39"/>
  <c r="P319" i="39"/>
  <c r="N319" i="39"/>
  <c r="M319" i="39"/>
  <c r="P318" i="39"/>
  <c r="N318" i="39"/>
  <c r="M318" i="39"/>
  <c r="P317" i="39"/>
  <c r="N317" i="39"/>
  <c r="M317" i="39"/>
  <c r="P316" i="39"/>
  <c r="N316" i="39"/>
  <c r="M316" i="39"/>
  <c r="P315" i="39"/>
  <c r="N315" i="39"/>
  <c r="M315" i="39"/>
  <c r="P314" i="39"/>
  <c r="N314" i="39"/>
  <c r="M314" i="39"/>
  <c r="P313" i="39"/>
  <c r="N313" i="39"/>
  <c r="M313" i="39"/>
  <c r="P312" i="39"/>
  <c r="N312" i="39"/>
  <c r="M312" i="39"/>
  <c r="P311" i="39"/>
  <c r="N311" i="39"/>
  <c r="M311" i="39"/>
  <c r="P310" i="39"/>
  <c r="N310" i="39"/>
  <c r="M310" i="39"/>
  <c r="P309" i="39"/>
  <c r="N309" i="39"/>
  <c r="M309" i="39"/>
  <c r="P308" i="39"/>
  <c r="N308" i="39"/>
  <c r="M308" i="39"/>
  <c r="P307" i="39"/>
  <c r="N307" i="39"/>
  <c r="M307" i="39"/>
  <c r="P306" i="39"/>
  <c r="N306" i="39"/>
  <c r="M306" i="39"/>
  <c r="P305" i="39"/>
  <c r="N305" i="39"/>
  <c r="M305" i="39"/>
  <c r="P304" i="39"/>
  <c r="N304" i="39"/>
  <c r="M304" i="39"/>
  <c r="P303" i="39"/>
  <c r="N303" i="39"/>
  <c r="M303" i="39"/>
  <c r="P302" i="39"/>
  <c r="N302" i="39"/>
  <c r="M302" i="39"/>
  <c r="P301" i="39"/>
  <c r="N301" i="39"/>
  <c r="M301" i="39"/>
  <c r="P300" i="39"/>
  <c r="N300" i="39"/>
  <c r="M300" i="39"/>
  <c r="P299" i="39"/>
  <c r="N299" i="39"/>
  <c r="M299" i="39"/>
  <c r="P298" i="39"/>
  <c r="N298" i="39"/>
  <c r="M298" i="39"/>
  <c r="P297" i="39"/>
  <c r="N297" i="39"/>
  <c r="M297" i="39"/>
  <c r="P296" i="39"/>
  <c r="N296" i="39"/>
  <c r="M296" i="39"/>
  <c r="P295" i="39"/>
  <c r="N295" i="39"/>
  <c r="M295" i="39"/>
  <c r="P294" i="39"/>
  <c r="N294" i="39"/>
  <c r="M294" i="39"/>
  <c r="P293" i="39"/>
  <c r="N293" i="39"/>
  <c r="M293" i="39"/>
  <c r="P292" i="39"/>
  <c r="N292" i="39"/>
  <c r="M292" i="39"/>
  <c r="P291" i="39"/>
  <c r="N291" i="39"/>
  <c r="M291" i="39"/>
  <c r="P290" i="39"/>
  <c r="N290" i="39"/>
  <c r="M290" i="39"/>
  <c r="P289" i="39"/>
  <c r="N289" i="39"/>
  <c r="M289" i="39"/>
  <c r="P288" i="39"/>
  <c r="N288" i="39"/>
  <c r="M288" i="39"/>
  <c r="P287" i="39"/>
  <c r="N287" i="39"/>
  <c r="M287" i="39"/>
  <c r="P286" i="39"/>
  <c r="N286" i="39"/>
  <c r="M286" i="39"/>
  <c r="P285" i="39"/>
  <c r="N285" i="39"/>
  <c r="M285" i="39"/>
  <c r="P284" i="39"/>
  <c r="N284" i="39"/>
  <c r="M284" i="39"/>
  <c r="P283" i="39"/>
  <c r="N283" i="39"/>
  <c r="M283" i="39"/>
  <c r="P282" i="39"/>
  <c r="N282" i="39"/>
  <c r="M282" i="39"/>
  <c r="P281" i="39"/>
  <c r="N281" i="39"/>
  <c r="M281" i="39"/>
  <c r="P280" i="39"/>
  <c r="N280" i="39"/>
  <c r="M280" i="39"/>
  <c r="P279" i="39"/>
  <c r="N279" i="39"/>
  <c r="M279" i="39"/>
  <c r="P278" i="39"/>
  <c r="N278" i="39"/>
  <c r="M278" i="39"/>
  <c r="P277" i="39"/>
  <c r="N277" i="39"/>
  <c r="M277" i="39"/>
  <c r="P276" i="39"/>
  <c r="N276" i="39"/>
  <c r="M276" i="39"/>
  <c r="P275" i="39"/>
  <c r="N275" i="39"/>
  <c r="M275" i="39"/>
  <c r="P274" i="39"/>
  <c r="N274" i="39"/>
  <c r="M274" i="39"/>
  <c r="P273" i="39"/>
  <c r="N273" i="39"/>
  <c r="M273" i="39"/>
  <c r="P379" i="39"/>
  <c r="N379" i="39"/>
  <c r="M379" i="39"/>
  <c r="P73" i="39"/>
  <c r="N73" i="39"/>
  <c r="M73" i="39"/>
  <c r="P210" i="39"/>
  <c r="N210" i="39"/>
  <c r="M210" i="39"/>
  <c r="P75" i="39"/>
  <c r="N75" i="39"/>
  <c r="M75" i="39"/>
  <c r="P211" i="39"/>
  <c r="N211" i="39"/>
  <c r="M211" i="39"/>
  <c r="P74" i="39"/>
  <c r="N74" i="39"/>
  <c r="M74" i="39"/>
  <c r="P14" i="39"/>
  <c r="N14" i="39"/>
  <c r="M14" i="39"/>
  <c r="P13" i="39"/>
  <c r="N13" i="39"/>
  <c r="M13" i="39"/>
  <c r="P371" i="39"/>
  <c r="N371" i="39"/>
  <c r="M371" i="39"/>
  <c r="P185" i="39"/>
  <c r="N185" i="39"/>
  <c r="M185" i="39"/>
  <c r="P186" i="39"/>
  <c r="N186" i="39"/>
  <c r="M186" i="39"/>
  <c r="P78" i="39"/>
  <c r="N78" i="39"/>
  <c r="M78" i="39"/>
  <c r="P216" i="39"/>
  <c r="N216" i="39"/>
  <c r="M216" i="39"/>
  <c r="P77" i="39"/>
  <c r="N77" i="39"/>
  <c r="M77" i="39"/>
  <c r="P53" i="39"/>
  <c r="N53" i="39"/>
  <c r="M53" i="39"/>
  <c r="P209" i="39"/>
  <c r="N209" i="39"/>
  <c r="M209" i="39"/>
  <c r="P54" i="39"/>
  <c r="N54" i="39"/>
  <c r="M54" i="39"/>
  <c r="P208" i="39"/>
  <c r="N208" i="39"/>
  <c r="M208" i="39"/>
  <c r="P52" i="39"/>
  <c r="N52" i="39"/>
  <c r="M52" i="39"/>
  <c r="P370" i="39"/>
  <c r="N370" i="39"/>
  <c r="M370" i="39"/>
  <c r="P113" i="39"/>
  <c r="N113" i="39"/>
  <c r="M113" i="39"/>
  <c r="P195" i="39"/>
  <c r="N195" i="39"/>
  <c r="M195" i="39"/>
  <c r="P67" i="39"/>
  <c r="N67" i="39"/>
  <c r="M67" i="39"/>
  <c r="P66" i="39"/>
  <c r="N66" i="39"/>
  <c r="M66" i="39"/>
  <c r="P65" i="39"/>
  <c r="N65" i="39"/>
  <c r="M65" i="39"/>
  <c r="P194" i="39"/>
  <c r="N194" i="39"/>
  <c r="M194" i="39"/>
  <c r="P377" i="39"/>
  <c r="N377" i="39"/>
  <c r="M377" i="39"/>
  <c r="P130" i="39"/>
  <c r="N130" i="39"/>
  <c r="M130" i="39"/>
  <c r="P118" i="39"/>
  <c r="N118" i="39"/>
  <c r="M118" i="39"/>
  <c r="P206" i="39"/>
  <c r="N206" i="39"/>
  <c r="M206" i="39"/>
  <c r="P119" i="39"/>
  <c r="N119" i="39"/>
  <c r="M119" i="39"/>
  <c r="P184" i="39"/>
  <c r="N184" i="39"/>
  <c r="M184" i="39"/>
  <c r="P108" i="39"/>
  <c r="N108" i="39"/>
  <c r="M108" i="39"/>
  <c r="P183" i="39"/>
  <c r="N183" i="39"/>
  <c r="M183" i="39"/>
  <c r="P51" i="39"/>
  <c r="N51" i="39"/>
  <c r="M51" i="39"/>
  <c r="P189" i="39"/>
  <c r="N189" i="39"/>
  <c r="M189" i="39"/>
  <c r="P55" i="39"/>
  <c r="N55" i="39"/>
  <c r="M55" i="39"/>
  <c r="P97" i="39"/>
  <c r="N97" i="39"/>
  <c r="M97" i="39"/>
  <c r="P112" i="39"/>
  <c r="N112" i="39"/>
  <c r="M112" i="39"/>
  <c r="P207" i="39"/>
  <c r="N207" i="39"/>
  <c r="M207" i="39"/>
  <c r="P376" i="39"/>
  <c r="N376" i="39"/>
  <c r="M376" i="39"/>
  <c r="P8" i="39"/>
  <c r="N8" i="39"/>
  <c r="M8" i="39"/>
  <c r="P63" i="39"/>
  <c r="N63" i="39"/>
  <c r="M63" i="39"/>
  <c r="P132" i="39"/>
  <c r="N132" i="39"/>
  <c r="M132" i="39"/>
  <c r="P79" i="39"/>
  <c r="N79" i="39"/>
  <c r="M79" i="39"/>
  <c r="P137" i="39"/>
  <c r="N137" i="39"/>
  <c r="M137" i="39"/>
  <c r="P110" i="39"/>
  <c r="N110" i="39"/>
  <c r="M110" i="39"/>
  <c r="P138" i="39"/>
  <c r="N138" i="39"/>
  <c r="M138" i="39"/>
  <c r="P136" i="39"/>
  <c r="N136" i="39"/>
  <c r="M136" i="39"/>
  <c r="P109" i="39"/>
  <c r="N109" i="39"/>
  <c r="M109" i="39"/>
  <c r="P139" i="39"/>
  <c r="N139" i="39"/>
  <c r="M139" i="39"/>
  <c r="P111" i="39"/>
  <c r="N111" i="39"/>
  <c r="M111" i="39"/>
  <c r="P122" i="39"/>
  <c r="N122" i="39"/>
  <c r="M122" i="39"/>
  <c r="P154" i="39"/>
  <c r="N154" i="39"/>
  <c r="M154" i="39"/>
  <c r="P3" i="39"/>
  <c r="N3" i="39"/>
  <c r="M3" i="39"/>
  <c r="P153" i="39"/>
  <c r="N153" i="39"/>
  <c r="M153" i="39"/>
  <c r="P2" i="39"/>
  <c r="N2" i="39"/>
  <c r="M2" i="39"/>
  <c r="P4" i="39"/>
  <c r="N4" i="39"/>
  <c r="M4" i="39"/>
  <c r="P107" i="39"/>
  <c r="N107" i="39"/>
  <c r="M107" i="39"/>
  <c r="P105" i="39"/>
  <c r="N105" i="39"/>
  <c r="M105" i="39"/>
  <c r="P214" i="39"/>
  <c r="N214" i="39"/>
  <c r="M214" i="39"/>
  <c r="P215" i="39"/>
  <c r="N215" i="39"/>
  <c r="M215" i="39"/>
  <c r="P213" i="39"/>
  <c r="N213" i="39"/>
  <c r="M213" i="39"/>
  <c r="P106" i="39"/>
  <c r="N106" i="39"/>
  <c r="M106" i="39"/>
  <c r="P104" i="39"/>
  <c r="N104" i="39"/>
  <c r="M104" i="39"/>
  <c r="P181" i="39"/>
  <c r="N181" i="39"/>
  <c r="M181" i="39"/>
  <c r="P182" i="39"/>
  <c r="N182" i="39"/>
  <c r="M182" i="39"/>
  <c r="P170" i="39"/>
  <c r="N170" i="39"/>
  <c r="M170" i="39"/>
  <c r="P169" i="39"/>
  <c r="N169" i="39"/>
  <c r="M169" i="39"/>
  <c r="P172" i="39"/>
  <c r="N172" i="39"/>
  <c r="M172" i="39"/>
  <c r="P60" i="39"/>
  <c r="N60" i="39"/>
  <c r="M60" i="39"/>
  <c r="P171" i="39"/>
  <c r="N171" i="39"/>
  <c r="M171" i="39"/>
  <c r="P59" i="39"/>
  <c r="N59" i="39"/>
  <c r="M59" i="39"/>
  <c r="P37" i="39"/>
  <c r="N37" i="39"/>
  <c r="M37" i="39"/>
  <c r="P39" i="39"/>
  <c r="N39" i="39"/>
  <c r="M39" i="39"/>
  <c r="P38" i="39"/>
  <c r="N38" i="39"/>
  <c r="M38" i="39"/>
  <c r="P190" i="39"/>
  <c r="N190" i="39"/>
  <c r="M190" i="39"/>
  <c r="P133" i="39"/>
  <c r="N133" i="39"/>
  <c r="M133" i="39"/>
  <c r="P10" i="39"/>
  <c r="N10" i="39"/>
  <c r="M10" i="39"/>
  <c r="P9" i="39"/>
  <c r="N9" i="39"/>
  <c r="M9" i="39"/>
  <c r="P135" i="39"/>
  <c r="N135" i="39"/>
  <c r="M135" i="39"/>
  <c r="P372" i="39"/>
  <c r="N372" i="39"/>
  <c r="M372" i="39"/>
  <c r="P134" i="39"/>
  <c r="N134" i="39"/>
  <c r="M134" i="39"/>
  <c r="P11" i="39"/>
  <c r="N11" i="39"/>
  <c r="M11" i="39"/>
  <c r="P12" i="39"/>
  <c r="N12" i="39"/>
  <c r="M12" i="39"/>
  <c r="P369" i="39"/>
  <c r="N369" i="39"/>
  <c r="M369" i="39"/>
  <c r="P378" i="39"/>
  <c r="N378" i="39"/>
  <c r="M378" i="39"/>
  <c r="P76" i="39"/>
  <c r="N76" i="39"/>
  <c r="M76" i="39"/>
  <c r="P149" i="39"/>
  <c r="N149" i="39"/>
  <c r="M149" i="39"/>
  <c r="P375" i="39"/>
  <c r="N375" i="39"/>
  <c r="M375" i="39"/>
  <c r="P125" i="39"/>
  <c r="N125" i="39"/>
  <c r="M125" i="39"/>
  <c r="P16" i="39"/>
  <c r="N16" i="39"/>
  <c r="M16" i="39"/>
  <c r="P15" i="39"/>
  <c r="N15" i="39"/>
  <c r="M15" i="39"/>
  <c r="P120" i="39"/>
  <c r="N120" i="39"/>
  <c r="M120" i="39"/>
  <c r="P71" i="39"/>
  <c r="N71" i="39"/>
  <c r="M71" i="39"/>
  <c r="P174" i="39"/>
  <c r="N174" i="39"/>
  <c r="M174" i="39"/>
  <c r="P70" i="39"/>
  <c r="N70" i="39"/>
  <c r="M70" i="39"/>
  <c r="P173" i="39"/>
  <c r="N173" i="39"/>
  <c r="M173" i="39"/>
  <c r="P150" i="39"/>
  <c r="N150" i="39"/>
  <c r="M150" i="39"/>
  <c r="P68" i="39"/>
  <c r="N68" i="39"/>
  <c r="M68" i="39"/>
  <c r="P179" i="39"/>
  <c r="N179" i="39"/>
  <c r="M179" i="39"/>
  <c r="P114" i="39"/>
  <c r="N114" i="39"/>
  <c r="M114" i="39"/>
  <c r="P81" i="39"/>
  <c r="N81" i="39"/>
  <c r="M81" i="39"/>
  <c r="P212" i="39"/>
  <c r="N212" i="39"/>
  <c r="M212" i="39"/>
  <c r="P117" i="39"/>
  <c r="N117" i="39"/>
  <c r="M117" i="39"/>
  <c r="P374" i="39"/>
  <c r="N374" i="39"/>
  <c r="M374" i="39"/>
  <c r="P217" i="39"/>
  <c r="N217" i="39"/>
  <c r="M217" i="39"/>
  <c r="P116" i="39"/>
  <c r="N116" i="39"/>
  <c r="M116" i="39"/>
  <c r="P218" i="39"/>
  <c r="N218" i="39"/>
  <c r="M218" i="39"/>
  <c r="P115" i="39"/>
  <c r="N115" i="39"/>
  <c r="M115" i="39"/>
  <c r="P62" i="39"/>
  <c r="N62" i="39"/>
  <c r="M62" i="39"/>
  <c r="P188" i="39"/>
  <c r="N188" i="39"/>
  <c r="M188" i="39"/>
  <c r="P56" i="39"/>
  <c r="N56" i="39"/>
  <c r="M56" i="39"/>
  <c r="P57" i="39"/>
  <c r="N57" i="39"/>
  <c r="M57" i="39"/>
  <c r="P58" i="39"/>
  <c r="N58" i="39"/>
  <c r="M58" i="39"/>
  <c r="P187" i="39"/>
  <c r="N187" i="39"/>
  <c r="M187" i="39"/>
  <c r="P99" i="39"/>
  <c r="N99" i="39"/>
  <c r="M99" i="39"/>
  <c r="P141" i="39"/>
  <c r="N141" i="39"/>
  <c r="M141" i="39"/>
  <c r="P100" i="39"/>
  <c r="N100" i="39"/>
  <c r="M100" i="39"/>
  <c r="P142" i="39"/>
  <c r="N142" i="39"/>
  <c r="M142" i="39"/>
  <c r="P61" i="39"/>
  <c r="N61" i="39"/>
  <c r="M61" i="39"/>
  <c r="P94" i="39"/>
  <c r="N94" i="39"/>
  <c r="M94" i="39"/>
  <c r="P92" i="39"/>
  <c r="N92" i="39"/>
  <c r="M92" i="39"/>
  <c r="P145" i="39"/>
  <c r="N145" i="39"/>
  <c r="M145" i="39"/>
  <c r="P147" i="39"/>
  <c r="N147" i="39"/>
  <c r="M147" i="39"/>
  <c r="P93" i="39"/>
  <c r="N93" i="39"/>
  <c r="M93" i="39"/>
  <c r="P96" i="39"/>
  <c r="N96" i="39"/>
  <c r="M96" i="39"/>
  <c r="P148" i="39"/>
  <c r="N148" i="39"/>
  <c r="M148" i="39"/>
  <c r="P146" i="39"/>
  <c r="N146" i="39"/>
  <c r="M146" i="39"/>
  <c r="P95" i="39"/>
  <c r="N95" i="39"/>
  <c r="M95" i="39"/>
  <c r="P193" i="39"/>
  <c r="N193" i="39"/>
  <c r="M193" i="39"/>
  <c r="P72" i="39"/>
  <c r="N72" i="39"/>
  <c r="M72" i="39"/>
  <c r="P127" i="39"/>
  <c r="N127" i="39"/>
  <c r="M127" i="39"/>
  <c r="P373" i="39"/>
  <c r="N373" i="39"/>
  <c r="M373" i="39"/>
  <c r="P5" i="39"/>
  <c r="N5" i="39"/>
  <c r="M5" i="39"/>
  <c r="P6" i="39"/>
  <c r="N6" i="39"/>
  <c r="M6" i="39"/>
  <c r="P126" i="39"/>
  <c r="N126" i="39"/>
  <c r="M126" i="39"/>
  <c r="P7" i="39"/>
  <c r="N7" i="39"/>
  <c r="M7" i="39"/>
  <c r="P90" i="39"/>
  <c r="N90" i="39"/>
  <c r="M90" i="39"/>
  <c r="P85" i="39"/>
  <c r="N85" i="39"/>
  <c r="M85" i="39"/>
  <c r="P89" i="39"/>
  <c r="N89" i="39"/>
  <c r="M89" i="39"/>
  <c r="P88" i="39"/>
  <c r="N88" i="39"/>
  <c r="M88" i="39"/>
  <c r="P368" i="39"/>
  <c r="N368" i="39"/>
  <c r="M368" i="39"/>
  <c r="P86" i="39"/>
  <c r="N86" i="39"/>
  <c r="M86" i="39"/>
  <c r="P201" i="39"/>
  <c r="N201" i="39"/>
  <c r="M201" i="39"/>
  <c r="P87" i="39"/>
  <c r="N87" i="39"/>
  <c r="M87" i="39"/>
  <c r="P200" i="39"/>
  <c r="N200" i="39"/>
  <c r="M200" i="39"/>
  <c r="P91" i="39"/>
  <c r="N91" i="39"/>
  <c r="M91" i="39"/>
  <c r="P197" i="39"/>
  <c r="N197" i="39"/>
  <c r="M197" i="39"/>
  <c r="P199" i="39"/>
  <c r="N199" i="39"/>
  <c r="M199" i="39"/>
  <c r="P82" i="39"/>
  <c r="N82" i="39"/>
  <c r="M82" i="39"/>
  <c r="P80" i="39"/>
  <c r="N80" i="39"/>
  <c r="M80" i="39"/>
  <c r="P198" i="39"/>
  <c r="N198" i="39"/>
  <c r="M198" i="39"/>
  <c r="P196" i="39"/>
  <c r="N196" i="39"/>
  <c r="M196" i="39"/>
  <c r="P69" i="39"/>
  <c r="N69" i="39"/>
  <c r="M69" i="39"/>
  <c r="P205" i="39"/>
  <c r="N205" i="39"/>
  <c r="M205" i="39"/>
  <c r="P84" i="39"/>
  <c r="N84" i="39"/>
  <c r="M84" i="39"/>
  <c r="P180" i="39"/>
  <c r="N180" i="39"/>
  <c r="M180" i="39"/>
  <c r="P83" i="39"/>
  <c r="N83" i="39"/>
  <c r="M83" i="39"/>
  <c r="P151" i="39"/>
  <c r="N151" i="39"/>
  <c r="M151" i="39"/>
  <c r="P121" i="39"/>
  <c r="N121" i="39"/>
  <c r="M121" i="39"/>
  <c r="P103" i="39"/>
  <c r="N103" i="39"/>
  <c r="M103" i="39"/>
  <c r="P101" i="39"/>
  <c r="N101" i="39"/>
  <c r="M101" i="39"/>
  <c r="P144" i="39"/>
  <c r="N144" i="39"/>
  <c r="M144" i="39"/>
  <c r="N143" i="39"/>
  <c r="M143" i="39"/>
  <c r="P143" i="39"/>
  <c r="CH102" i="39" l="1"/>
  <c r="CD102" i="39"/>
  <c r="BR102" i="39"/>
  <c r="BJ102" i="39"/>
  <c r="CB102" i="39"/>
  <c r="BK102" i="39"/>
  <c r="K261" i="41"/>
  <c r="K262" i="41"/>
  <c r="K263" i="41"/>
  <c r="K264" i="41"/>
  <c r="K265" i="41"/>
  <c r="K266" i="41"/>
  <c r="K267" i="41"/>
  <c r="K268" i="41"/>
  <c r="K269" i="41"/>
  <c r="K270" i="41"/>
  <c r="K271" i="41"/>
  <c r="K272" i="41"/>
  <c r="K273" i="41"/>
  <c r="K274" i="41"/>
  <c r="K275" i="41"/>
  <c r="K276" i="41"/>
  <c r="K277" i="41"/>
  <c r="K278" i="41"/>
  <c r="K279" i="41"/>
  <c r="K280" i="41"/>
  <c r="K281" i="41"/>
  <c r="K282" i="41"/>
  <c r="K283" i="41"/>
  <c r="K284" i="41"/>
  <c r="K285" i="41"/>
  <c r="K286" i="41"/>
  <c r="K287" i="41"/>
  <c r="K288" i="41"/>
  <c r="K289" i="41"/>
  <c r="K290" i="41"/>
  <c r="K291" i="41"/>
  <c r="K292" i="41"/>
  <c r="K293" i="41"/>
  <c r="K294" i="41"/>
  <c r="K295" i="41"/>
  <c r="K296" i="41"/>
  <c r="K297" i="41"/>
  <c r="K298" i="41"/>
  <c r="K299" i="41"/>
  <c r="K300" i="41"/>
  <c r="K301" i="41"/>
  <c r="K302" i="41"/>
  <c r="K303" i="41"/>
  <c r="K304" i="41"/>
  <c r="K305" i="41"/>
  <c r="K306" i="41"/>
  <c r="K307" i="41"/>
  <c r="K308" i="41"/>
  <c r="K309" i="41"/>
  <c r="K310" i="41"/>
  <c r="K311" i="41"/>
  <c r="K312" i="41"/>
  <c r="K313" i="41"/>
  <c r="K314" i="41"/>
  <c r="K315" i="41"/>
  <c r="K316" i="41"/>
  <c r="K317" i="41"/>
  <c r="K318" i="41"/>
  <c r="K319" i="41"/>
  <c r="K320" i="41"/>
  <c r="K321" i="41"/>
  <c r="K322" i="41"/>
  <c r="K323" i="41"/>
  <c r="K324" i="41"/>
  <c r="K325" i="41"/>
  <c r="K326" i="41"/>
  <c r="K327" i="41"/>
  <c r="K328" i="41"/>
  <c r="K329" i="41"/>
  <c r="K330" i="41"/>
  <c r="K331" i="41"/>
  <c r="K332" i="41"/>
  <c r="K333" i="41"/>
  <c r="K334" i="41"/>
  <c r="K335" i="41"/>
  <c r="K336" i="41"/>
  <c r="K337" i="41"/>
  <c r="K338" i="41"/>
  <c r="K339" i="41"/>
  <c r="K340" i="41"/>
  <c r="K341" i="41"/>
  <c r="K342" i="41"/>
  <c r="K343" i="41"/>
  <c r="K344" i="41"/>
  <c r="K345" i="41"/>
  <c r="K346" i="41"/>
  <c r="K347" i="41"/>
  <c r="K348" i="41"/>
  <c r="K349" i="41"/>
  <c r="K350" i="41"/>
  <c r="K351" i="41"/>
  <c r="K352" i="41"/>
  <c r="K353" i="41"/>
  <c r="K354" i="41"/>
  <c r="K355" i="41"/>
  <c r="K356" i="41"/>
  <c r="K357" i="41"/>
  <c r="K358" i="41"/>
  <c r="K359" i="41"/>
  <c r="K360" i="41"/>
  <c r="K361" i="41"/>
  <c r="K362" i="41"/>
  <c r="K363" i="41"/>
  <c r="K364" i="41"/>
  <c r="K365" i="41"/>
  <c r="K366" i="41"/>
  <c r="K367" i="41"/>
  <c r="K368" i="41"/>
  <c r="K369" i="41"/>
  <c r="K370" i="41"/>
  <c r="K371" i="41"/>
  <c r="K372" i="41"/>
  <c r="K373" i="41"/>
  <c r="K374" i="41"/>
  <c r="K375" i="41"/>
  <c r="K376" i="41"/>
  <c r="K377" i="41"/>
  <c r="K378" i="41"/>
  <c r="K379" i="41"/>
  <c r="K380" i="41"/>
  <c r="K381" i="41"/>
  <c r="K382" i="41"/>
  <c r="K383" i="41"/>
  <c r="K384" i="41"/>
  <c r="K385" i="41"/>
  <c r="K386" i="41"/>
  <c r="K387" i="41"/>
  <c r="K388" i="41"/>
  <c r="K389" i="41"/>
  <c r="K390" i="41"/>
  <c r="K391" i="41"/>
  <c r="K392" i="41"/>
  <c r="K393" i="41"/>
  <c r="K394" i="41"/>
  <c r="K395" i="41"/>
  <c r="K396" i="41"/>
  <c r="K397" i="41"/>
  <c r="K398" i="41"/>
  <c r="K399" i="41"/>
  <c r="K400" i="41"/>
  <c r="K401" i="41"/>
  <c r="K402" i="41"/>
  <c r="K403" i="41"/>
  <c r="K404" i="41"/>
  <c r="K405" i="41"/>
  <c r="K406" i="41"/>
  <c r="K407" i="41"/>
  <c r="K408" i="41"/>
  <c r="K409" i="41"/>
  <c r="K410" i="41"/>
  <c r="K411" i="41"/>
  <c r="K412" i="41"/>
  <c r="K413" i="41"/>
  <c r="K414" i="41"/>
  <c r="K415" i="41"/>
  <c r="K416" i="41"/>
  <c r="K417" i="41"/>
  <c r="K418" i="41"/>
  <c r="K419" i="41"/>
  <c r="K420" i="41"/>
  <c r="K421" i="41"/>
  <c r="K422" i="41"/>
  <c r="K423" i="41"/>
  <c r="K424" i="41"/>
  <c r="K425" i="41"/>
  <c r="K426" i="41"/>
  <c r="K427" i="41"/>
  <c r="K428" i="41"/>
  <c r="K429" i="41"/>
  <c r="K430" i="41"/>
  <c r="K431" i="41"/>
  <c r="K432" i="41"/>
  <c r="K433" i="41"/>
  <c r="K434" i="41"/>
  <c r="K435" i="41"/>
  <c r="K436" i="41"/>
  <c r="K437" i="41"/>
  <c r="K438" i="41"/>
  <c r="K439" i="41"/>
  <c r="K440" i="41"/>
  <c r="K441" i="41"/>
  <c r="K442" i="41"/>
  <c r="K443" i="41"/>
  <c r="K444" i="41"/>
  <c r="K445" i="41"/>
  <c r="K446" i="41"/>
  <c r="K447" i="41"/>
  <c r="K448" i="41"/>
  <c r="K449" i="41"/>
  <c r="K450" i="41"/>
  <c r="K451" i="41"/>
  <c r="K452" i="41"/>
  <c r="K453" i="41"/>
  <c r="K454" i="41"/>
  <c r="K455" i="41"/>
  <c r="K456" i="41"/>
  <c r="K457" i="41"/>
  <c r="K458" i="41"/>
  <c r="K459" i="41"/>
  <c r="K460" i="41"/>
  <c r="K461" i="41"/>
  <c r="K462" i="41"/>
  <c r="K463" i="41"/>
  <c r="K464" i="41"/>
  <c r="K465" i="41"/>
  <c r="K466" i="41"/>
  <c r="K467" i="41"/>
  <c r="K468" i="41"/>
  <c r="K469" i="41"/>
  <c r="K470" i="41"/>
  <c r="K471" i="41"/>
  <c r="K472" i="41"/>
  <c r="K473" i="41"/>
  <c r="K474" i="41"/>
  <c r="K475" i="41"/>
  <c r="K476" i="41"/>
  <c r="K477" i="41"/>
  <c r="K478" i="41"/>
  <c r="K479" i="41"/>
  <c r="K480" i="41"/>
  <c r="K481" i="41"/>
  <c r="K482" i="41"/>
  <c r="K483" i="41"/>
  <c r="K484" i="41"/>
  <c r="K485" i="41"/>
  <c r="K486" i="41"/>
  <c r="K487" i="41"/>
  <c r="K488" i="41"/>
  <c r="K489" i="41"/>
  <c r="K490" i="41"/>
  <c r="K491" i="41"/>
  <c r="K492" i="41"/>
  <c r="K493" i="41"/>
  <c r="K494" i="41"/>
  <c r="K495" i="41"/>
  <c r="K496" i="41"/>
  <c r="K497" i="41"/>
  <c r="K498" i="41"/>
  <c r="K499" i="41"/>
  <c r="K500" i="41"/>
  <c r="K501" i="41"/>
  <c r="K502" i="41"/>
  <c r="K503" i="41"/>
  <c r="K504" i="41"/>
  <c r="K505" i="41"/>
  <c r="K506" i="41"/>
  <c r="K507" i="41"/>
  <c r="K508" i="41"/>
  <c r="K509" i="41"/>
  <c r="K510" i="41"/>
  <c r="K511" i="41"/>
  <c r="K512" i="41"/>
  <c r="K513" i="41"/>
  <c r="K514" i="41"/>
  <c r="K515" i="41"/>
  <c r="K516" i="41"/>
  <c r="K517" i="41"/>
  <c r="K518" i="41"/>
  <c r="K519" i="41"/>
  <c r="K520" i="41"/>
  <c r="K521" i="41"/>
  <c r="K522" i="41"/>
  <c r="K523" i="41"/>
  <c r="K524" i="41"/>
  <c r="K525" i="41"/>
  <c r="K526" i="41"/>
  <c r="K527" i="41"/>
  <c r="K528" i="41"/>
  <c r="K529" i="41"/>
  <c r="K530" i="41"/>
  <c r="K531" i="41"/>
  <c r="K532" i="41"/>
  <c r="K533" i="41"/>
  <c r="K534" i="41"/>
  <c r="K535" i="41"/>
  <c r="K536" i="41"/>
  <c r="K537" i="41"/>
  <c r="K538" i="41"/>
  <c r="K539" i="41"/>
  <c r="K540" i="41"/>
  <c r="K541" i="41"/>
  <c r="K542" i="41"/>
  <c r="K543" i="41"/>
  <c r="K544" i="41"/>
  <c r="K545" i="41"/>
  <c r="K546" i="41"/>
  <c r="K547" i="41"/>
  <c r="K548" i="41"/>
  <c r="K549" i="41"/>
  <c r="K550" i="41"/>
  <c r="K551" i="41"/>
  <c r="K552" i="41"/>
  <c r="K553" i="41"/>
  <c r="K554" i="41"/>
  <c r="K555" i="41"/>
  <c r="K556" i="41"/>
  <c r="K557" i="41"/>
  <c r="K558" i="41"/>
  <c r="K559" i="41"/>
  <c r="K560" i="41"/>
  <c r="K561" i="41"/>
  <c r="K562" i="41"/>
  <c r="K563" i="41"/>
  <c r="K564" i="41"/>
  <c r="K565" i="41"/>
  <c r="K566" i="41"/>
  <c r="K567" i="41"/>
  <c r="K568" i="41"/>
  <c r="K569" i="41"/>
  <c r="K570" i="41"/>
  <c r="K571" i="41"/>
  <c r="K572" i="41"/>
  <c r="K573" i="41"/>
  <c r="K574" i="41"/>
  <c r="K575" i="41"/>
  <c r="K576" i="41"/>
  <c r="K577" i="41"/>
  <c r="K578" i="41"/>
  <c r="K579" i="41"/>
  <c r="K580" i="41"/>
  <c r="K581" i="41"/>
  <c r="K582" i="41"/>
  <c r="K583" i="41"/>
  <c r="K584" i="41"/>
  <c r="K585" i="41"/>
  <c r="K586" i="41"/>
  <c r="K587" i="41"/>
  <c r="K588" i="41"/>
  <c r="K589" i="41"/>
  <c r="K590" i="41"/>
  <c r="K591" i="41"/>
  <c r="K592" i="41"/>
  <c r="K593" i="41"/>
  <c r="K594" i="41"/>
  <c r="K595" i="41"/>
  <c r="K596" i="41"/>
  <c r="K597" i="41"/>
  <c r="K598" i="41"/>
  <c r="K599" i="41"/>
  <c r="K600" i="41"/>
  <c r="K601" i="41"/>
  <c r="K602" i="41"/>
  <c r="K603" i="41"/>
  <c r="K604" i="41"/>
  <c r="K605" i="41"/>
  <c r="K606" i="41"/>
  <c r="K607" i="41"/>
  <c r="K608" i="41"/>
  <c r="K609" i="41"/>
  <c r="K610" i="41"/>
  <c r="K611" i="41"/>
  <c r="K612" i="41"/>
  <c r="K613" i="41"/>
  <c r="K614" i="41"/>
  <c r="K615" i="41"/>
  <c r="K616" i="41"/>
  <c r="K617" i="41"/>
  <c r="K618" i="41"/>
  <c r="K619" i="41"/>
  <c r="K620" i="41"/>
  <c r="K621" i="41"/>
  <c r="K622" i="41"/>
  <c r="K623" i="41"/>
  <c r="K624" i="41"/>
  <c r="K625" i="41"/>
  <c r="K626" i="41"/>
  <c r="K627" i="41"/>
  <c r="K628" i="41"/>
  <c r="K629" i="41"/>
  <c r="K630" i="41"/>
  <c r="K631" i="41"/>
  <c r="K632" i="41"/>
  <c r="K633" i="41"/>
  <c r="K634" i="41"/>
  <c r="K635" i="41"/>
  <c r="K636" i="41"/>
  <c r="K637" i="41"/>
  <c r="K638" i="41"/>
  <c r="K639" i="41"/>
  <c r="K640" i="41"/>
  <c r="K641" i="41"/>
  <c r="K642" i="41"/>
  <c r="K643" i="41"/>
  <c r="K644" i="41"/>
  <c r="K645" i="41"/>
  <c r="K646" i="41"/>
  <c r="K647" i="41"/>
  <c r="K648" i="41"/>
  <c r="K649" i="41"/>
  <c r="K650" i="41"/>
  <c r="K651" i="41"/>
  <c r="K652" i="41"/>
  <c r="K653" i="41"/>
  <c r="K654" i="41"/>
  <c r="K655" i="41"/>
  <c r="K656" i="41"/>
  <c r="K657" i="41"/>
  <c r="K658" i="41"/>
  <c r="K659" i="41"/>
  <c r="K660" i="41"/>
  <c r="K661" i="41"/>
  <c r="K662" i="41"/>
  <c r="K663" i="41"/>
  <c r="K664" i="41"/>
  <c r="K665" i="41"/>
  <c r="K666" i="41"/>
  <c r="K667" i="41"/>
  <c r="K668" i="41"/>
  <c r="K669" i="41"/>
  <c r="K670" i="41"/>
  <c r="K671" i="41"/>
  <c r="K672" i="41"/>
  <c r="K673" i="41"/>
  <c r="K674" i="41"/>
  <c r="K675" i="41"/>
  <c r="K676" i="41"/>
  <c r="K677" i="41"/>
  <c r="K678" i="41"/>
  <c r="K679" i="41"/>
  <c r="K680" i="41"/>
  <c r="K681" i="41"/>
  <c r="K682" i="41"/>
  <c r="K683" i="41"/>
  <c r="K684" i="41"/>
  <c r="K685" i="41"/>
  <c r="K686" i="41"/>
  <c r="K687" i="41"/>
  <c r="K688" i="41"/>
  <c r="K689" i="41"/>
  <c r="K690" i="41"/>
  <c r="K691" i="41"/>
  <c r="K692" i="41"/>
  <c r="K693" i="41"/>
  <c r="K694" i="41"/>
  <c r="K695" i="41"/>
  <c r="K696" i="41"/>
  <c r="K697" i="41"/>
  <c r="K698" i="41"/>
  <c r="K699" i="41"/>
  <c r="K700" i="41"/>
  <c r="K701" i="41"/>
  <c r="K702" i="41"/>
  <c r="K703" i="41"/>
  <c r="K704" i="41"/>
  <c r="K705" i="41"/>
  <c r="K706" i="41"/>
  <c r="K707" i="41"/>
  <c r="K708" i="41"/>
  <c r="K709" i="41"/>
  <c r="K710" i="41"/>
  <c r="K711" i="41"/>
  <c r="K712" i="41"/>
  <c r="K713" i="41"/>
  <c r="K714" i="41"/>
  <c r="K715" i="41"/>
  <c r="K716" i="41"/>
  <c r="K717" i="41"/>
  <c r="K718" i="41"/>
  <c r="K719" i="41"/>
  <c r="K720" i="41"/>
  <c r="K721" i="41"/>
  <c r="K722" i="41"/>
  <c r="K723" i="41"/>
  <c r="K724" i="41"/>
  <c r="K725" i="41"/>
  <c r="K726" i="41"/>
  <c r="K727" i="41"/>
  <c r="K728" i="41"/>
  <c r="K729" i="41"/>
  <c r="K730" i="41"/>
  <c r="K731" i="41"/>
  <c r="K732" i="41"/>
  <c r="K733" i="41"/>
  <c r="K734" i="41"/>
  <c r="K735" i="41"/>
  <c r="K736" i="41"/>
  <c r="K737" i="41"/>
  <c r="K738" i="41"/>
  <c r="K739" i="41"/>
  <c r="K740" i="41"/>
  <c r="K741" i="41"/>
  <c r="K742" i="41"/>
  <c r="K743" i="41"/>
  <c r="K744" i="41"/>
  <c r="K745" i="41"/>
  <c r="K746" i="41"/>
  <c r="K747" i="41"/>
  <c r="K748" i="41"/>
  <c r="K749" i="41"/>
  <c r="K750" i="41"/>
  <c r="K751" i="41"/>
  <c r="K752" i="41"/>
  <c r="K753" i="41"/>
  <c r="K754" i="41"/>
  <c r="K755" i="41"/>
  <c r="K756" i="41"/>
  <c r="K757" i="41"/>
  <c r="K758" i="41"/>
  <c r="K759" i="41"/>
  <c r="K760" i="41"/>
  <c r="K761" i="41"/>
  <c r="K762" i="41"/>
  <c r="K763" i="41"/>
  <c r="K764" i="41"/>
  <c r="K765" i="41"/>
  <c r="K766" i="41"/>
  <c r="K767" i="41"/>
  <c r="K768" i="41"/>
  <c r="K769" i="41"/>
  <c r="K770" i="41"/>
  <c r="K771" i="41"/>
  <c r="K772" i="41"/>
  <c r="K773" i="41"/>
  <c r="K774" i="41"/>
  <c r="K775" i="41"/>
  <c r="K776" i="41"/>
  <c r="K777" i="41"/>
  <c r="K778" i="41"/>
  <c r="K779" i="41"/>
  <c r="K780" i="41"/>
  <c r="K781" i="41"/>
  <c r="K782" i="41"/>
  <c r="K783" i="41"/>
  <c r="K784" i="41"/>
  <c r="K785" i="41"/>
  <c r="K786" i="41"/>
  <c r="K787" i="41"/>
  <c r="K788" i="41"/>
  <c r="K789" i="41"/>
  <c r="K790" i="41"/>
  <c r="K791" i="41"/>
  <c r="K792" i="41"/>
  <c r="K793" i="41"/>
  <c r="K794" i="41"/>
  <c r="K795" i="41"/>
  <c r="K796" i="41"/>
  <c r="K797" i="41"/>
  <c r="K798" i="41"/>
  <c r="K799" i="41"/>
  <c r="K800" i="41"/>
  <c r="K801" i="41"/>
  <c r="K802" i="41"/>
  <c r="K803" i="41"/>
  <c r="K804" i="41"/>
  <c r="K805" i="41"/>
  <c r="K806" i="41"/>
  <c r="K807" i="41"/>
  <c r="K808" i="41"/>
  <c r="K809" i="41"/>
  <c r="K810" i="41"/>
  <c r="K811" i="41"/>
  <c r="K812" i="41"/>
  <c r="K813" i="41"/>
  <c r="K814" i="41"/>
  <c r="K815" i="41"/>
  <c r="K816" i="41"/>
  <c r="K817" i="41"/>
  <c r="K818" i="41"/>
  <c r="K819" i="41"/>
  <c r="K820" i="41"/>
  <c r="K821" i="41"/>
  <c r="K822" i="41"/>
  <c r="K823" i="41"/>
  <c r="K824" i="41"/>
  <c r="K825" i="41"/>
  <c r="K826" i="41"/>
  <c r="K827" i="41"/>
  <c r="K828" i="41"/>
  <c r="K829" i="41"/>
  <c r="K830" i="41"/>
  <c r="K831" i="41"/>
  <c r="K832" i="41"/>
  <c r="K833" i="41"/>
  <c r="K834" i="41"/>
  <c r="K835" i="41"/>
  <c r="K836" i="41"/>
  <c r="K837" i="41"/>
  <c r="K838" i="41"/>
  <c r="K839" i="41"/>
  <c r="K840" i="41"/>
  <c r="K841" i="41"/>
  <c r="K842" i="41"/>
  <c r="K843" i="41"/>
  <c r="K844" i="41"/>
  <c r="K845" i="41"/>
  <c r="K846" i="41"/>
  <c r="K847" i="41"/>
  <c r="K848" i="41"/>
  <c r="K849" i="41"/>
  <c r="K850" i="41"/>
  <c r="K851" i="41"/>
  <c r="K852" i="41"/>
  <c r="K853" i="41"/>
  <c r="K854" i="41"/>
  <c r="K855" i="41"/>
  <c r="K856" i="41"/>
  <c r="K857" i="41"/>
  <c r="K858" i="41"/>
  <c r="K859" i="41"/>
  <c r="K860" i="41"/>
  <c r="K861" i="41"/>
  <c r="K862" i="41"/>
  <c r="K863" i="41"/>
  <c r="K864" i="41"/>
  <c r="K865" i="41"/>
  <c r="K866" i="41"/>
  <c r="K867" i="41"/>
  <c r="K868" i="41"/>
  <c r="K869" i="41"/>
  <c r="K870" i="41"/>
  <c r="K871" i="41"/>
  <c r="K872" i="41"/>
  <c r="K873" i="41"/>
  <c r="K874" i="41"/>
  <c r="K875" i="41"/>
  <c r="K876" i="41"/>
  <c r="K877" i="41"/>
  <c r="K878" i="41"/>
  <c r="K879" i="41"/>
  <c r="K880" i="41"/>
  <c r="K881" i="41"/>
  <c r="K882" i="41"/>
  <c r="K883" i="41"/>
  <c r="K884" i="41"/>
  <c r="K885" i="41"/>
  <c r="K886" i="41"/>
  <c r="K887" i="41"/>
  <c r="K888" i="41"/>
  <c r="K889" i="41"/>
  <c r="K890" i="41"/>
  <c r="K891" i="41"/>
  <c r="K892" i="41"/>
  <c r="K893" i="41"/>
  <c r="K894" i="41"/>
  <c r="K895" i="41"/>
  <c r="K896" i="41"/>
  <c r="K897" i="41"/>
  <c r="K898" i="41"/>
  <c r="K899" i="41"/>
  <c r="K900" i="41"/>
  <c r="K901" i="41"/>
  <c r="K902" i="41"/>
  <c r="K903" i="41"/>
  <c r="K904" i="41"/>
  <c r="K905" i="41"/>
  <c r="K906" i="41"/>
  <c r="K907" i="41"/>
  <c r="K908" i="41"/>
  <c r="K909" i="41"/>
  <c r="K910" i="41"/>
  <c r="K911" i="41"/>
  <c r="K912" i="41"/>
  <c r="K913" i="41"/>
  <c r="K914" i="41"/>
  <c r="K915" i="41"/>
  <c r="K916" i="41"/>
  <c r="K917" i="41"/>
  <c r="K918" i="41"/>
  <c r="K919" i="41"/>
  <c r="K920" i="41"/>
  <c r="K921" i="41"/>
  <c r="K922" i="41"/>
  <c r="K923" i="41"/>
  <c r="K924" i="41"/>
  <c r="K925" i="41"/>
  <c r="K926" i="41"/>
  <c r="K927" i="41"/>
  <c r="K928" i="41"/>
  <c r="K929" i="41"/>
  <c r="K930" i="41"/>
  <c r="K931" i="41"/>
  <c r="K932" i="41"/>
  <c r="K933" i="41"/>
  <c r="K934" i="41"/>
  <c r="K935" i="41"/>
  <c r="K936" i="41"/>
  <c r="K937" i="41"/>
  <c r="K938" i="41"/>
  <c r="K939" i="41"/>
  <c r="K940" i="41"/>
  <c r="K941" i="41"/>
  <c r="K942" i="41"/>
  <c r="K943" i="41"/>
  <c r="K944" i="41"/>
  <c r="K945" i="41"/>
  <c r="K946" i="41"/>
  <c r="K947" i="41"/>
  <c r="K948" i="41"/>
  <c r="K949" i="41"/>
  <c r="K950" i="41"/>
  <c r="K951" i="41"/>
  <c r="K952" i="41"/>
  <c r="K953" i="41"/>
  <c r="K954" i="41"/>
  <c r="K955" i="41"/>
  <c r="K956" i="41"/>
  <c r="K957" i="41"/>
  <c r="K958" i="41"/>
  <c r="K959" i="41"/>
  <c r="K960" i="41"/>
  <c r="K961" i="41"/>
  <c r="K962" i="41"/>
  <c r="K963" i="41"/>
  <c r="K964" i="41"/>
  <c r="K965" i="41"/>
  <c r="K966" i="41"/>
  <c r="K967" i="41"/>
  <c r="K968" i="41"/>
  <c r="K969" i="41"/>
  <c r="K970" i="41"/>
  <c r="K971" i="41"/>
  <c r="K972" i="41"/>
  <c r="K973" i="41"/>
  <c r="K974" i="41"/>
  <c r="K975" i="41"/>
  <c r="K976" i="41"/>
  <c r="K977" i="41"/>
  <c r="K978" i="41"/>
  <c r="K979" i="41"/>
  <c r="K980" i="41"/>
  <c r="K981" i="41"/>
  <c r="K982" i="41"/>
  <c r="K983" i="41"/>
  <c r="K984" i="41"/>
  <c r="K985" i="41"/>
  <c r="K986" i="41"/>
  <c r="K987" i="41"/>
  <c r="K988" i="41"/>
  <c r="K989" i="41"/>
  <c r="K990" i="41"/>
  <c r="K991" i="41"/>
  <c r="K992" i="41"/>
  <c r="K993" i="41"/>
  <c r="K994" i="41"/>
  <c r="K995" i="41"/>
  <c r="K996" i="41"/>
  <c r="K997" i="41"/>
  <c r="K998" i="41"/>
  <c r="K999" i="41"/>
  <c r="K1000" i="41"/>
  <c r="K1001" i="41"/>
  <c r="K1002" i="41"/>
  <c r="K1003" i="41"/>
  <c r="K1004" i="41"/>
  <c r="K1005" i="41"/>
  <c r="K1006" i="41"/>
  <c r="K1007" i="41"/>
  <c r="K1008" i="41"/>
  <c r="K1009" i="41"/>
  <c r="K1010" i="41"/>
  <c r="K1011" i="41"/>
  <c r="K1012" i="41"/>
  <c r="K1013" i="41"/>
  <c r="K1014" i="41"/>
  <c r="K1015" i="41"/>
  <c r="K1016" i="41"/>
  <c r="K1017" i="41"/>
  <c r="K1018" i="41"/>
  <c r="K1019" i="41"/>
  <c r="K1020" i="41"/>
  <c r="K1021" i="41"/>
  <c r="K1022" i="41"/>
  <c r="K1023" i="41"/>
  <c r="K1024" i="41"/>
  <c r="K1025" i="41"/>
  <c r="K1026" i="41"/>
  <c r="K1027" i="41"/>
  <c r="K1028" i="41"/>
  <c r="K1029" i="41"/>
  <c r="K1030" i="41"/>
  <c r="K1031" i="41"/>
  <c r="K1032" i="41"/>
  <c r="K1033" i="41"/>
  <c r="K1034" i="41"/>
  <c r="K1035" i="41"/>
  <c r="K1036" i="41"/>
  <c r="K1037" i="41"/>
  <c r="K1038" i="41"/>
  <c r="K1039" i="41"/>
  <c r="K1040" i="41"/>
  <c r="K1041" i="41"/>
  <c r="K1042" i="41"/>
  <c r="K1043" i="41"/>
  <c r="K1044" i="41"/>
  <c r="K1045" i="41"/>
  <c r="K1046" i="41"/>
  <c r="K1047" i="41"/>
  <c r="K1048" i="41"/>
  <c r="K1049" i="41"/>
  <c r="K1050" i="41"/>
  <c r="K1051" i="41"/>
  <c r="K1052" i="41"/>
  <c r="K1053" i="41"/>
  <c r="K1054" i="41"/>
  <c r="K1055" i="41"/>
  <c r="K1056" i="41"/>
  <c r="K1057" i="41"/>
  <c r="K1058" i="41"/>
  <c r="K1059" i="41"/>
  <c r="K1060" i="41"/>
  <c r="K1061" i="41"/>
  <c r="K1062" i="41"/>
  <c r="K1063" i="41"/>
  <c r="K1064" i="41"/>
  <c r="K1065" i="41"/>
  <c r="K1066" i="41"/>
  <c r="K1067" i="41"/>
  <c r="K1068" i="41"/>
  <c r="K1069" i="41"/>
  <c r="K1070" i="41"/>
  <c r="K1071" i="41"/>
  <c r="K1072" i="41"/>
  <c r="K1073" i="41"/>
  <c r="K1074" i="41"/>
  <c r="K1075" i="41"/>
  <c r="K1076" i="41"/>
  <c r="K1077" i="41"/>
  <c r="K1078" i="41"/>
  <c r="K1079" i="41"/>
  <c r="K1080" i="41"/>
  <c r="K1081" i="41"/>
  <c r="K1082" i="41"/>
  <c r="K1083" i="41"/>
  <c r="K1084" i="41"/>
  <c r="K1085" i="41"/>
  <c r="K1086" i="41"/>
  <c r="K1087" i="41"/>
  <c r="K1088" i="41"/>
  <c r="K1089" i="41"/>
  <c r="K1090" i="41"/>
  <c r="K1091" i="41"/>
  <c r="K1092" i="41"/>
  <c r="K1093" i="41"/>
  <c r="K1094" i="41"/>
  <c r="K1095" i="41"/>
  <c r="K1096" i="41"/>
  <c r="K1097" i="41"/>
  <c r="K1098" i="41"/>
  <c r="K1099" i="41"/>
  <c r="K1100" i="41"/>
  <c r="K1101" i="41"/>
  <c r="K1102" i="41"/>
  <c r="K1103" i="41"/>
  <c r="K1104" i="41"/>
  <c r="K1105" i="41"/>
  <c r="K1106" i="41"/>
  <c r="K1107" i="41"/>
  <c r="K1108" i="41"/>
  <c r="K1109" i="41"/>
  <c r="K1110" i="41"/>
  <c r="K1111" i="41"/>
  <c r="K1112" i="41"/>
  <c r="K1113" i="41"/>
  <c r="K1114" i="41"/>
  <c r="K1115" i="41"/>
  <c r="K1116" i="41"/>
  <c r="K1117" i="41"/>
  <c r="K1118" i="41"/>
  <c r="K1119" i="41"/>
  <c r="K1120" i="41"/>
  <c r="K1121" i="41"/>
  <c r="K1122" i="41"/>
  <c r="K1123" i="41"/>
  <c r="K1124" i="41"/>
  <c r="K1125" i="41"/>
  <c r="K1126" i="41"/>
  <c r="K1127" i="41"/>
  <c r="K1128" i="41"/>
  <c r="K1129" i="41"/>
  <c r="K1130" i="41"/>
  <c r="K1131" i="41"/>
  <c r="K1132" i="41"/>
  <c r="K1133" i="41"/>
  <c r="K1134" i="41"/>
  <c r="K1135" i="41"/>
  <c r="K1136" i="41"/>
  <c r="K1137" i="41"/>
  <c r="K1138" i="41"/>
  <c r="K1139" i="41"/>
  <c r="K1140" i="41"/>
  <c r="K1141" i="41"/>
  <c r="K1142" i="41"/>
  <c r="K1143" i="41"/>
  <c r="K1144" i="41"/>
  <c r="K1145" i="41"/>
  <c r="K1146" i="41"/>
  <c r="K1147" i="41"/>
  <c r="K1148" i="41"/>
  <c r="K1149" i="41"/>
  <c r="K1150" i="41"/>
  <c r="K1151" i="41"/>
  <c r="K1152" i="41"/>
  <c r="K1153" i="41"/>
  <c r="K1154" i="41"/>
  <c r="K1155" i="41"/>
  <c r="K1156" i="41"/>
  <c r="K1157" i="41"/>
  <c r="K1158" i="41"/>
  <c r="K1159" i="41"/>
  <c r="K1160" i="41"/>
  <c r="K1161" i="41"/>
  <c r="K1162" i="41"/>
  <c r="K1163" i="41"/>
  <c r="K1164" i="41"/>
  <c r="K1165" i="41"/>
  <c r="K1166" i="41"/>
  <c r="K1167" i="41"/>
  <c r="K1168" i="41"/>
  <c r="K1169" i="41"/>
  <c r="K1170" i="41"/>
  <c r="K1171" i="41"/>
  <c r="K1172" i="41"/>
  <c r="K1173" i="41"/>
  <c r="K1174" i="41"/>
  <c r="K1175" i="41"/>
  <c r="K1176" i="41"/>
  <c r="K1177" i="41"/>
  <c r="K1178" i="41"/>
  <c r="K1179" i="41"/>
  <c r="K1180" i="41"/>
  <c r="K1181" i="41"/>
  <c r="K1182" i="41"/>
  <c r="K1183" i="41"/>
  <c r="K1184" i="41"/>
  <c r="K1185" i="41"/>
  <c r="K1186" i="41"/>
  <c r="K1187" i="41"/>
  <c r="K1188" i="41"/>
  <c r="K1189" i="41"/>
  <c r="K1190" i="41"/>
  <c r="K1191" i="41"/>
  <c r="K1192" i="41"/>
  <c r="K1193" i="41"/>
  <c r="K1194" i="41"/>
  <c r="K1195" i="41"/>
  <c r="K1196" i="41"/>
  <c r="K1197" i="41"/>
  <c r="K1198" i="41"/>
  <c r="K1199" i="41"/>
  <c r="K1200" i="41"/>
  <c r="K1201" i="41"/>
  <c r="K1202" i="41"/>
  <c r="K1203" i="41"/>
  <c r="CF102" i="39" l="1"/>
  <c r="BZ102" i="39" s="1"/>
  <c r="AY102" i="39" s="1"/>
  <c r="CI102" i="39" s="1"/>
  <c r="CJ102" i="39" s="1"/>
  <c r="CK102" i="39" s="1"/>
  <c r="A1203" i="41"/>
  <c r="AA1203" i="41" s="1"/>
  <c r="A1202" i="41"/>
  <c r="AA1202" i="41" s="1"/>
  <c r="A1201" i="41"/>
  <c r="AA1201" i="41" s="1"/>
  <c r="A1200" i="41"/>
  <c r="AA1200" i="41" s="1"/>
  <c r="A1199" i="41"/>
  <c r="AA1199" i="41" s="1"/>
  <c r="A1198" i="41"/>
  <c r="AA1198" i="41" s="1"/>
  <c r="A1197" i="41"/>
  <c r="AA1197" i="41" s="1"/>
  <c r="A1196" i="41"/>
  <c r="AA1196" i="41" s="1"/>
  <c r="A1195" i="41"/>
  <c r="AA1195" i="41" s="1"/>
  <c r="A1194" i="41"/>
  <c r="AA1194" i="41" s="1"/>
  <c r="A1193" i="41"/>
  <c r="AA1193" i="41" s="1"/>
  <c r="A1192" i="41"/>
  <c r="AA1192" i="41" s="1"/>
  <c r="A1191" i="41"/>
  <c r="AA1191" i="41" s="1"/>
  <c r="A1190" i="41"/>
  <c r="AA1190" i="41" s="1"/>
  <c r="A1189" i="41"/>
  <c r="AA1189" i="41" s="1"/>
  <c r="A1188" i="41"/>
  <c r="AA1188" i="41" s="1"/>
  <c r="A1187" i="41"/>
  <c r="AA1187" i="41" s="1"/>
  <c r="A1186" i="41"/>
  <c r="AA1186" i="41" s="1"/>
  <c r="A1185" i="41"/>
  <c r="AA1185" i="41" s="1"/>
  <c r="A1184" i="41"/>
  <c r="AA1184" i="41" s="1"/>
  <c r="A1183" i="41"/>
  <c r="AA1183" i="41" s="1"/>
  <c r="A1182" i="41"/>
  <c r="AA1182" i="41" s="1"/>
  <c r="A1181" i="41"/>
  <c r="AA1181" i="41" s="1"/>
  <c r="A1180" i="41"/>
  <c r="AA1180" i="41" s="1"/>
  <c r="A1179" i="41"/>
  <c r="AA1179" i="41" s="1"/>
  <c r="A1178" i="41"/>
  <c r="AA1178" i="41" s="1"/>
  <c r="A1177" i="41"/>
  <c r="AA1177" i="41" s="1"/>
  <c r="A1176" i="41"/>
  <c r="AA1176" i="41" s="1"/>
  <c r="A1175" i="41"/>
  <c r="AA1175" i="41" s="1"/>
  <c r="A1174" i="41"/>
  <c r="AA1174" i="41" s="1"/>
  <c r="A1173" i="41"/>
  <c r="AA1173" i="41" s="1"/>
  <c r="A1172" i="41"/>
  <c r="AA1172" i="41" s="1"/>
  <c r="A1171" i="41"/>
  <c r="AA1171" i="41" s="1"/>
  <c r="A1170" i="41"/>
  <c r="AA1170" i="41" s="1"/>
  <c r="A1169" i="41"/>
  <c r="AA1169" i="41" s="1"/>
  <c r="A1168" i="41"/>
  <c r="AA1168" i="41" s="1"/>
  <c r="A1167" i="41"/>
  <c r="AA1167" i="41" s="1"/>
  <c r="A1166" i="41"/>
  <c r="AA1166" i="41" s="1"/>
  <c r="A1165" i="41"/>
  <c r="AA1165" i="41" s="1"/>
  <c r="A1164" i="41"/>
  <c r="AA1164" i="41" s="1"/>
  <c r="A1163" i="41"/>
  <c r="AA1163" i="41" s="1"/>
  <c r="A1162" i="41"/>
  <c r="AA1162" i="41" s="1"/>
  <c r="A1161" i="41"/>
  <c r="AA1161" i="41" s="1"/>
  <c r="A1160" i="41"/>
  <c r="AA1160" i="41" s="1"/>
  <c r="A1159" i="41"/>
  <c r="AA1159" i="41" s="1"/>
  <c r="A1158" i="41"/>
  <c r="AA1158" i="41" s="1"/>
  <c r="A1157" i="41"/>
  <c r="AA1157" i="41" s="1"/>
  <c r="A1156" i="41"/>
  <c r="AA1156" i="41" s="1"/>
  <c r="A1155" i="41"/>
  <c r="AA1155" i="41" s="1"/>
  <c r="A1154" i="41"/>
  <c r="AA1154" i="41" s="1"/>
  <c r="A1153" i="41"/>
  <c r="AA1153" i="41" s="1"/>
  <c r="A1152" i="41"/>
  <c r="AA1152" i="41" s="1"/>
  <c r="A1151" i="41"/>
  <c r="AA1151" i="41" s="1"/>
  <c r="A1150" i="41"/>
  <c r="AA1150" i="41" s="1"/>
  <c r="A1149" i="41"/>
  <c r="AA1149" i="41" s="1"/>
  <c r="A1148" i="41"/>
  <c r="AA1148" i="41" s="1"/>
  <c r="A1147" i="41"/>
  <c r="AA1147" i="41" s="1"/>
  <c r="A1146" i="41"/>
  <c r="AA1146" i="41" s="1"/>
  <c r="A1145" i="41"/>
  <c r="AA1145" i="41" s="1"/>
  <c r="A1144" i="41"/>
  <c r="AA1144" i="41" s="1"/>
  <c r="A1143" i="41"/>
  <c r="AA1143" i="41" s="1"/>
  <c r="A1142" i="41"/>
  <c r="AA1142" i="41" s="1"/>
  <c r="A1141" i="41"/>
  <c r="AA1141" i="41" s="1"/>
  <c r="A1140" i="41"/>
  <c r="AA1140" i="41" s="1"/>
  <c r="A1139" i="41"/>
  <c r="AA1139" i="41" s="1"/>
  <c r="A1138" i="41"/>
  <c r="AA1138" i="41" s="1"/>
  <c r="A1137" i="41"/>
  <c r="AA1137" i="41" s="1"/>
  <c r="A1136" i="41"/>
  <c r="AA1136" i="41" s="1"/>
  <c r="A1135" i="41"/>
  <c r="AA1135" i="41" s="1"/>
  <c r="A1134" i="41"/>
  <c r="AA1134" i="41" s="1"/>
  <c r="A1133" i="41"/>
  <c r="AA1133" i="41" s="1"/>
  <c r="A1132" i="41"/>
  <c r="AA1132" i="41" s="1"/>
  <c r="A1131" i="41"/>
  <c r="AA1131" i="41" s="1"/>
  <c r="A1130" i="41"/>
  <c r="AA1130" i="41" s="1"/>
  <c r="A1129" i="41"/>
  <c r="AA1129" i="41" s="1"/>
  <c r="A1128" i="41"/>
  <c r="AA1128" i="41" s="1"/>
  <c r="A1127" i="41"/>
  <c r="AA1127" i="41" s="1"/>
  <c r="A1126" i="41"/>
  <c r="AA1126" i="41" s="1"/>
  <c r="A1125" i="41"/>
  <c r="AA1125" i="41" s="1"/>
  <c r="A1124" i="41"/>
  <c r="AA1124" i="41" s="1"/>
  <c r="A1123" i="41"/>
  <c r="AA1123" i="41" s="1"/>
  <c r="A1122" i="41"/>
  <c r="AA1122" i="41" s="1"/>
  <c r="A1121" i="41"/>
  <c r="AA1121" i="41" s="1"/>
  <c r="A1120" i="41"/>
  <c r="AA1120" i="41" s="1"/>
  <c r="A1119" i="41"/>
  <c r="AA1119" i="41" s="1"/>
  <c r="A1118" i="41"/>
  <c r="AA1118" i="41" s="1"/>
  <c r="A1117" i="41"/>
  <c r="AA1117" i="41" s="1"/>
  <c r="A1116" i="41"/>
  <c r="AA1116" i="41" s="1"/>
  <c r="A1115" i="41"/>
  <c r="AA1115" i="41" s="1"/>
  <c r="A1114" i="41"/>
  <c r="AA1114" i="41" s="1"/>
  <c r="A1113" i="41"/>
  <c r="AA1113" i="41" s="1"/>
  <c r="A1112" i="41"/>
  <c r="AA1112" i="41" s="1"/>
  <c r="A1111" i="41"/>
  <c r="AA1111" i="41" s="1"/>
  <c r="A1110" i="41"/>
  <c r="AA1110" i="41" s="1"/>
  <c r="A1109" i="41"/>
  <c r="AA1109" i="41" s="1"/>
  <c r="A1108" i="41"/>
  <c r="AA1108" i="41" s="1"/>
  <c r="A1107" i="41"/>
  <c r="AA1107" i="41" s="1"/>
  <c r="A1106" i="41"/>
  <c r="AA1106" i="41" s="1"/>
  <c r="A1105" i="41"/>
  <c r="AA1105" i="41" s="1"/>
  <c r="A1104" i="41"/>
  <c r="AA1104" i="41" s="1"/>
  <c r="A1103" i="41"/>
  <c r="AA1103" i="41" s="1"/>
  <c r="A1102" i="41"/>
  <c r="AA1102" i="41" s="1"/>
  <c r="A1101" i="41"/>
  <c r="AA1101" i="41" s="1"/>
  <c r="A1100" i="41"/>
  <c r="AA1100" i="41" s="1"/>
  <c r="A1099" i="41"/>
  <c r="AA1099" i="41" s="1"/>
  <c r="A1098" i="41"/>
  <c r="AA1098" i="41" s="1"/>
  <c r="A1097" i="41"/>
  <c r="AA1097" i="41" s="1"/>
  <c r="A1096" i="41"/>
  <c r="AA1096" i="41" s="1"/>
  <c r="A1095" i="41"/>
  <c r="AA1095" i="41" s="1"/>
  <c r="A1094" i="41"/>
  <c r="AA1094" i="41" s="1"/>
  <c r="A1093" i="41"/>
  <c r="AA1093" i="41" s="1"/>
  <c r="A1092" i="41"/>
  <c r="AA1092" i="41" s="1"/>
  <c r="A1091" i="41"/>
  <c r="AA1091" i="41" s="1"/>
  <c r="A1090" i="41"/>
  <c r="AA1090" i="41" s="1"/>
  <c r="A1089" i="41"/>
  <c r="AA1089" i="41" s="1"/>
  <c r="A1088" i="41"/>
  <c r="AA1088" i="41" s="1"/>
  <c r="A1087" i="41"/>
  <c r="AA1087" i="41" s="1"/>
  <c r="A1086" i="41"/>
  <c r="AA1086" i="41" s="1"/>
  <c r="A1085" i="41"/>
  <c r="AA1085" i="41" s="1"/>
  <c r="A1084" i="41"/>
  <c r="AA1084" i="41" s="1"/>
  <c r="A1083" i="41"/>
  <c r="AA1083" i="41" s="1"/>
  <c r="A1082" i="41"/>
  <c r="AA1082" i="41" s="1"/>
  <c r="A1081" i="41"/>
  <c r="AA1081" i="41" s="1"/>
  <c r="A1080" i="41"/>
  <c r="AA1080" i="41" s="1"/>
  <c r="A1079" i="41"/>
  <c r="AA1079" i="41" s="1"/>
  <c r="A1078" i="41"/>
  <c r="AA1078" i="41" s="1"/>
  <c r="A1077" i="41"/>
  <c r="AA1077" i="41" s="1"/>
  <c r="A1076" i="41"/>
  <c r="AA1076" i="41" s="1"/>
  <c r="A1075" i="41"/>
  <c r="AA1075" i="41" s="1"/>
  <c r="A1074" i="41"/>
  <c r="AA1074" i="41" s="1"/>
  <c r="I299" i="42"/>
  <c r="A319" i="41" s="1"/>
  <c r="AA319" i="41" s="1"/>
  <c r="I300" i="42"/>
  <c r="A320" i="41" s="1"/>
  <c r="AA320" i="41" s="1"/>
  <c r="I301" i="42"/>
  <c r="A321" i="41" s="1"/>
  <c r="AA321" i="41" s="1"/>
  <c r="I302" i="42"/>
  <c r="A322" i="41" s="1"/>
  <c r="AA322" i="41" s="1"/>
  <c r="I304" i="42"/>
  <c r="A324" i="41" s="1"/>
  <c r="AA324" i="41" s="1"/>
  <c r="I305" i="42"/>
  <c r="A325" i="41" s="1"/>
  <c r="AA325" i="41" s="1"/>
  <c r="I306" i="42"/>
  <c r="A326" i="41" s="1"/>
  <c r="AA326" i="41" s="1"/>
  <c r="I307" i="42"/>
  <c r="A327" i="41" s="1"/>
  <c r="AA327" i="41" s="1"/>
  <c r="I308" i="42"/>
  <c r="A328" i="41" s="1"/>
  <c r="AA328" i="41" s="1"/>
  <c r="I309" i="42"/>
  <c r="A329" i="41" s="1"/>
  <c r="AA329" i="41" s="1"/>
  <c r="I310" i="42"/>
  <c r="A330" i="41" s="1"/>
  <c r="AA330" i="41" s="1"/>
  <c r="I314" i="42"/>
  <c r="A334" i="41" s="1"/>
  <c r="AA334" i="41" s="1"/>
  <c r="I315" i="42"/>
  <c r="A335" i="41" s="1"/>
  <c r="AA335" i="41" s="1"/>
  <c r="I323" i="42"/>
  <c r="A343" i="41" s="1"/>
  <c r="AA343" i="41" s="1"/>
  <c r="I324" i="42"/>
  <c r="A344" i="41" s="1"/>
  <c r="AA344" i="41" s="1"/>
  <c r="I327" i="42"/>
  <c r="A347" i="41" s="1"/>
  <c r="AA347" i="41" s="1"/>
  <c r="I328" i="42"/>
  <c r="A348" i="41" s="1"/>
  <c r="AA348" i="41" s="1"/>
  <c r="I330" i="42"/>
  <c r="A350" i="41" s="1"/>
  <c r="AA350" i="41" s="1"/>
  <c r="I331" i="42"/>
  <c r="A351" i="41" s="1"/>
  <c r="AA351" i="41" s="1"/>
  <c r="I333" i="42"/>
  <c r="A353" i="41" s="1"/>
  <c r="AA353" i="41" s="1"/>
  <c r="I334" i="42"/>
  <c r="A354" i="41" s="1"/>
  <c r="AA354" i="41" s="1"/>
  <c r="I336" i="42"/>
  <c r="A356" i="41" s="1"/>
  <c r="AA356" i="41" s="1"/>
  <c r="I337" i="42"/>
  <c r="A357" i="41" s="1"/>
  <c r="AA357" i="41" s="1"/>
  <c r="I338" i="42"/>
  <c r="A358" i="41" s="1"/>
  <c r="AA358" i="41" s="1"/>
  <c r="I341" i="42"/>
  <c r="A361" i="41" s="1"/>
  <c r="AA361" i="41" s="1"/>
  <c r="I342" i="42"/>
  <c r="A362" i="41" s="1"/>
  <c r="AA362" i="41" s="1"/>
  <c r="I346" i="42"/>
  <c r="A366" i="41" s="1"/>
  <c r="AA366" i="41" s="1"/>
  <c r="I348" i="42"/>
  <c r="A368" i="41" s="1"/>
  <c r="AA368" i="41" s="1"/>
  <c r="I349" i="42"/>
  <c r="A369" i="41" s="1"/>
  <c r="AA369" i="41" s="1"/>
  <c r="I350" i="42"/>
  <c r="A370" i="41" s="1"/>
  <c r="AA370" i="41" s="1"/>
  <c r="I351" i="42"/>
  <c r="A371" i="41" s="1"/>
  <c r="AA371" i="41" s="1"/>
  <c r="I352" i="42"/>
  <c r="A372" i="41" s="1"/>
  <c r="AA372" i="41" s="1"/>
  <c r="I353" i="42"/>
  <c r="A373" i="41" s="1"/>
  <c r="AA373" i="41" s="1"/>
  <c r="I354" i="42"/>
  <c r="A374" i="41" s="1"/>
  <c r="AA374" i="41" s="1"/>
  <c r="I355" i="42"/>
  <c r="A375" i="41" s="1"/>
  <c r="AA375" i="41" s="1"/>
  <c r="I356" i="42"/>
  <c r="A376" i="41" s="1"/>
  <c r="AA376" i="41" s="1"/>
  <c r="I357" i="42"/>
  <c r="A377" i="41" s="1"/>
  <c r="AA377" i="41" s="1"/>
  <c r="I358" i="42"/>
  <c r="A378" i="41" s="1"/>
  <c r="AA378" i="41" s="1"/>
  <c r="I359" i="42"/>
  <c r="A379" i="41" s="1"/>
  <c r="AA379" i="41" s="1"/>
  <c r="I360" i="42"/>
  <c r="A380" i="41" s="1"/>
  <c r="AA380" i="41" s="1"/>
  <c r="I361" i="42"/>
  <c r="A381" i="41" s="1"/>
  <c r="AA381" i="41" s="1"/>
  <c r="I362" i="42"/>
  <c r="A382" i="41" s="1"/>
  <c r="AA382" i="41" s="1"/>
  <c r="I363" i="42"/>
  <c r="A383" i="41" s="1"/>
  <c r="AA383" i="41" s="1"/>
  <c r="I364" i="42"/>
  <c r="A384" i="41" s="1"/>
  <c r="AA384" i="41" s="1"/>
  <c r="I394" i="42"/>
  <c r="A4" i="41" s="1"/>
  <c r="AA4" i="41" s="1"/>
  <c r="I395" i="42"/>
  <c r="A5" i="41" s="1"/>
  <c r="AA5" i="41" s="1"/>
  <c r="I396" i="42"/>
  <c r="A6" i="41" s="1"/>
  <c r="AA6" i="41" s="1"/>
  <c r="I397" i="42"/>
  <c r="A7" i="41" s="1"/>
  <c r="AA7" i="41" s="1"/>
  <c r="I398" i="42"/>
  <c r="A8" i="41" s="1"/>
  <c r="AA8" i="41" s="1"/>
  <c r="I403" i="42"/>
  <c r="A13" i="41" s="1"/>
  <c r="AA13" i="41" s="1"/>
  <c r="I404" i="42"/>
  <c r="A14" i="41" s="1"/>
  <c r="AA14" i="41" s="1"/>
  <c r="I409" i="42"/>
  <c r="A19" i="41" s="1"/>
  <c r="AA19" i="41" s="1"/>
  <c r="I411" i="42"/>
  <c r="A21" i="41" s="1"/>
  <c r="AA21" i="41" s="1"/>
  <c r="I412" i="42"/>
  <c r="A413" i="41" s="1"/>
  <c r="AA413" i="41" s="1"/>
  <c r="I413" i="42"/>
  <c r="A414" i="41" s="1"/>
  <c r="AA414" i="41" s="1"/>
  <c r="I414" i="42"/>
  <c r="A415" i="41" s="1"/>
  <c r="AA415" i="41" s="1"/>
  <c r="I415" i="42"/>
  <c r="A416" i="41" s="1"/>
  <c r="AA416" i="41" s="1"/>
  <c r="I416" i="42"/>
  <c r="A417" i="41" s="1"/>
  <c r="AA417" i="41" s="1"/>
  <c r="I417" i="42"/>
  <c r="A418" i="41" s="1"/>
  <c r="AA418" i="41" s="1"/>
  <c r="I418" i="42"/>
  <c r="A419" i="41" s="1"/>
  <c r="AA419" i="41" s="1"/>
  <c r="I419" i="42"/>
  <c r="A420" i="41" s="1"/>
  <c r="AA420" i="41" s="1"/>
  <c r="I420" i="42"/>
  <c r="A421" i="41" s="1"/>
  <c r="AA421" i="41" s="1"/>
  <c r="I421" i="42"/>
  <c r="A422" i="41" s="1"/>
  <c r="AA422" i="41" s="1"/>
  <c r="I422" i="42"/>
  <c r="A423" i="41" s="1"/>
  <c r="AA423" i="41" s="1"/>
  <c r="I423" i="42"/>
  <c r="A424" i="41" s="1"/>
  <c r="AA424" i="41" s="1"/>
  <c r="I424" i="42"/>
  <c r="A425" i="41" s="1"/>
  <c r="AA425" i="41" s="1"/>
  <c r="I425" i="42"/>
  <c r="A426" i="41" s="1"/>
  <c r="AA426" i="41" s="1"/>
  <c r="I426" i="42"/>
  <c r="A427" i="41" s="1"/>
  <c r="AA427" i="41" s="1"/>
  <c r="I427" i="42"/>
  <c r="A428" i="41" s="1"/>
  <c r="AA428" i="41" s="1"/>
  <c r="I428" i="42"/>
  <c r="A429" i="41" s="1"/>
  <c r="AA429" i="41" s="1"/>
  <c r="I429" i="42"/>
  <c r="A430" i="41" s="1"/>
  <c r="AA430" i="41" s="1"/>
  <c r="I430" i="42"/>
  <c r="A431" i="41" s="1"/>
  <c r="AA431" i="41" s="1"/>
  <c r="I431" i="42"/>
  <c r="A432" i="41" s="1"/>
  <c r="AA432" i="41" s="1"/>
  <c r="I432" i="42"/>
  <c r="A433" i="41" s="1"/>
  <c r="AA433" i="41" s="1"/>
  <c r="I433" i="42"/>
  <c r="A434" i="41" s="1"/>
  <c r="AA434" i="41" s="1"/>
  <c r="I434" i="42"/>
  <c r="A435" i="41" s="1"/>
  <c r="AA435" i="41" s="1"/>
  <c r="I435" i="42"/>
  <c r="A436" i="41" s="1"/>
  <c r="AA436" i="41" s="1"/>
  <c r="I436" i="42"/>
  <c r="A437" i="41" s="1"/>
  <c r="AA437" i="41" s="1"/>
  <c r="I437" i="42"/>
  <c r="A438" i="41" s="1"/>
  <c r="AA438" i="41" s="1"/>
  <c r="I438" i="42"/>
  <c r="A439" i="41" s="1"/>
  <c r="AA439" i="41" s="1"/>
  <c r="I439" i="42"/>
  <c r="A440" i="41" s="1"/>
  <c r="AA440" i="41" s="1"/>
  <c r="I440" i="42"/>
  <c r="A441" i="41" s="1"/>
  <c r="AA441" i="41" s="1"/>
  <c r="I441" i="42"/>
  <c r="A442" i="41" s="1"/>
  <c r="AA442" i="41" s="1"/>
  <c r="I442" i="42"/>
  <c r="A443" i="41" s="1"/>
  <c r="AA443" i="41" s="1"/>
  <c r="I443" i="42"/>
  <c r="A444" i="41" s="1"/>
  <c r="AA444" i="41" s="1"/>
  <c r="I444" i="42"/>
  <c r="A445" i="41" s="1"/>
  <c r="AA445" i="41" s="1"/>
  <c r="I445" i="42"/>
  <c r="A446" i="41" s="1"/>
  <c r="AA446" i="41" s="1"/>
  <c r="I446" i="42"/>
  <c r="A447" i="41" s="1"/>
  <c r="AA447" i="41" s="1"/>
  <c r="I447" i="42"/>
  <c r="A448" i="41" s="1"/>
  <c r="AA448" i="41" s="1"/>
  <c r="I448" i="42"/>
  <c r="A449" i="41" s="1"/>
  <c r="AA449" i="41" s="1"/>
  <c r="I449" i="42"/>
  <c r="A450" i="41" s="1"/>
  <c r="AA450" i="41" s="1"/>
  <c r="I450" i="42"/>
  <c r="A451" i="41" s="1"/>
  <c r="AA451" i="41" s="1"/>
  <c r="I451" i="42"/>
  <c r="A452" i="41" s="1"/>
  <c r="AA452" i="41" s="1"/>
  <c r="I452" i="42"/>
  <c r="A453" i="41" s="1"/>
  <c r="AA453" i="41" s="1"/>
  <c r="I453" i="42"/>
  <c r="A454" i="41" s="1"/>
  <c r="AA454" i="41" s="1"/>
  <c r="I454" i="42"/>
  <c r="A455" i="41" s="1"/>
  <c r="AA455" i="41" s="1"/>
  <c r="I455" i="42"/>
  <c r="A456" i="41" s="1"/>
  <c r="AA456" i="41" s="1"/>
  <c r="I456" i="42"/>
  <c r="A457" i="41" s="1"/>
  <c r="AA457" i="41" s="1"/>
  <c r="I457" i="42"/>
  <c r="A458" i="41" s="1"/>
  <c r="AA458" i="41" s="1"/>
  <c r="I458" i="42"/>
  <c r="A459" i="41" s="1"/>
  <c r="AA459" i="41" s="1"/>
  <c r="I459" i="42"/>
  <c r="A460" i="41" s="1"/>
  <c r="AA460" i="41" s="1"/>
  <c r="I460" i="42"/>
  <c r="A461" i="41" s="1"/>
  <c r="AA461" i="41" s="1"/>
  <c r="I461" i="42"/>
  <c r="A462" i="41" s="1"/>
  <c r="AA462" i="41" s="1"/>
  <c r="I462" i="42"/>
  <c r="A463" i="41" s="1"/>
  <c r="AA463" i="41" s="1"/>
  <c r="I463" i="42"/>
  <c r="A464" i="41" s="1"/>
  <c r="AA464" i="41" s="1"/>
  <c r="I464" i="42"/>
  <c r="A465" i="41" s="1"/>
  <c r="AA465" i="41" s="1"/>
  <c r="I465" i="42"/>
  <c r="A466" i="41" s="1"/>
  <c r="AA466" i="41" s="1"/>
  <c r="I466" i="42"/>
  <c r="A467" i="41" s="1"/>
  <c r="AA467" i="41" s="1"/>
  <c r="I467" i="42"/>
  <c r="A468" i="41" s="1"/>
  <c r="AA468" i="41" s="1"/>
  <c r="I468" i="42"/>
  <c r="A469" i="41" s="1"/>
  <c r="AA469" i="41" s="1"/>
  <c r="I469" i="42"/>
  <c r="A470" i="41" s="1"/>
  <c r="AA470" i="41" s="1"/>
  <c r="I470" i="42"/>
  <c r="A471" i="41" s="1"/>
  <c r="AA471" i="41" s="1"/>
  <c r="I471" i="42"/>
  <c r="A472" i="41" s="1"/>
  <c r="AA472" i="41" s="1"/>
  <c r="I472" i="42"/>
  <c r="A473" i="41" s="1"/>
  <c r="AA473" i="41" s="1"/>
  <c r="I473" i="42"/>
  <c r="A474" i="41" s="1"/>
  <c r="AA474" i="41" s="1"/>
  <c r="I474" i="42"/>
  <c r="A475" i="41" s="1"/>
  <c r="AA475" i="41" s="1"/>
  <c r="I475" i="42"/>
  <c r="A476" i="41" s="1"/>
  <c r="AA476" i="41" s="1"/>
  <c r="I476" i="42"/>
  <c r="A477" i="41" s="1"/>
  <c r="AA477" i="41" s="1"/>
  <c r="I477" i="42"/>
  <c r="A478" i="41" s="1"/>
  <c r="AA478" i="41" s="1"/>
  <c r="I478" i="42"/>
  <c r="A479" i="41" s="1"/>
  <c r="AA479" i="41" s="1"/>
  <c r="I479" i="42"/>
  <c r="A480" i="41" s="1"/>
  <c r="AA480" i="41" s="1"/>
  <c r="I480" i="42"/>
  <c r="A481" i="41" s="1"/>
  <c r="AA481" i="41" s="1"/>
  <c r="I481" i="42"/>
  <c r="A482" i="41" s="1"/>
  <c r="AA482" i="41" s="1"/>
  <c r="I482" i="42"/>
  <c r="A483" i="41" s="1"/>
  <c r="AA483" i="41" s="1"/>
  <c r="I483" i="42"/>
  <c r="A484" i="41" s="1"/>
  <c r="AA484" i="41" s="1"/>
  <c r="I484" i="42"/>
  <c r="A485" i="41" s="1"/>
  <c r="AA485" i="41" s="1"/>
  <c r="I485" i="42"/>
  <c r="A486" i="41" s="1"/>
  <c r="AA486" i="41" s="1"/>
  <c r="I486" i="42"/>
  <c r="A487" i="41" s="1"/>
  <c r="AA487" i="41" s="1"/>
  <c r="I487" i="42"/>
  <c r="A488" i="41" s="1"/>
  <c r="AA488" i="41" s="1"/>
  <c r="I488" i="42"/>
  <c r="A489" i="41" s="1"/>
  <c r="AA489" i="41" s="1"/>
  <c r="I489" i="42"/>
  <c r="A490" i="41" s="1"/>
  <c r="AA490" i="41" s="1"/>
  <c r="I490" i="42"/>
  <c r="A491" i="41" s="1"/>
  <c r="AA491" i="41" s="1"/>
  <c r="I491" i="42"/>
  <c r="A492" i="41" s="1"/>
  <c r="AA492" i="41" s="1"/>
  <c r="I492" i="42"/>
  <c r="A493" i="41" s="1"/>
  <c r="AA493" i="41" s="1"/>
  <c r="I493" i="42"/>
  <c r="A494" i="41" s="1"/>
  <c r="AA494" i="41" s="1"/>
  <c r="I494" i="42"/>
  <c r="A495" i="41" s="1"/>
  <c r="AA495" i="41" s="1"/>
  <c r="I495" i="42"/>
  <c r="A496" i="41" s="1"/>
  <c r="AA496" i="41" s="1"/>
  <c r="I496" i="42"/>
  <c r="A497" i="41" s="1"/>
  <c r="AA497" i="41" s="1"/>
  <c r="I497" i="42"/>
  <c r="A498" i="41" s="1"/>
  <c r="AA498" i="41" s="1"/>
  <c r="I498" i="42"/>
  <c r="A499" i="41" s="1"/>
  <c r="AA499" i="41" s="1"/>
  <c r="I499" i="42"/>
  <c r="A500" i="41" s="1"/>
  <c r="AA500" i="41" s="1"/>
  <c r="I500" i="42"/>
  <c r="A501" i="41" s="1"/>
  <c r="AA501" i="41" s="1"/>
  <c r="I501" i="42"/>
  <c r="A502" i="41" s="1"/>
  <c r="AA502" i="41" s="1"/>
  <c r="I502" i="42"/>
  <c r="A503" i="41" s="1"/>
  <c r="AA503" i="41" s="1"/>
  <c r="I503" i="42"/>
  <c r="A504" i="41" s="1"/>
  <c r="AA504" i="41" s="1"/>
  <c r="I504" i="42"/>
  <c r="A505" i="41" s="1"/>
  <c r="AA505" i="41" s="1"/>
  <c r="I505" i="42"/>
  <c r="A506" i="41" s="1"/>
  <c r="AA506" i="41" s="1"/>
  <c r="I506" i="42"/>
  <c r="A507" i="41" s="1"/>
  <c r="AA507" i="41" s="1"/>
  <c r="I507" i="42"/>
  <c r="A508" i="41" s="1"/>
  <c r="AA508" i="41" s="1"/>
  <c r="I508" i="42"/>
  <c r="A509" i="41" s="1"/>
  <c r="AA509" i="41" s="1"/>
  <c r="I509" i="42"/>
  <c r="A510" i="41" s="1"/>
  <c r="AA510" i="41" s="1"/>
  <c r="I510" i="42"/>
  <c r="A511" i="41" s="1"/>
  <c r="AA511" i="41" s="1"/>
  <c r="I511" i="42"/>
  <c r="A512" i="41" s="1"/>
  <c r="AA512" i="41" s="1"/>
  <c r="I512" i="42"/>
  <c r="A513" i="41" s="1"/>
  <c r="AA513" i="41" s="1"/>
  <c r="I513" i="42"/>
  <c r="A514" i="41" s="1"/>
  <c r="AA514" i="41" s="1"/>
  <c r="I514" i="42"/>
  <c r="A515" i="41" s="1"/>
  <c r="AA515" i="41" s="1"/>
  <c r="I515" i="42"/>
  <c r="A516" i="41" s="1"/>
  <c r="AA516" i="41" s="1"/>
  <c r="I516" i="42"/>
  <c r="A517" i="41" s="1"/>
  <c r="AA517" i="41" s="1"/>
  <c r="I517" i="42"/>
  <c r="A518" i="41" s="1"/>
  <c r="AA518" i="41" s="1"/>
  <c r="I518" i="42"/>
  <c r="A519" i="41" s="1"/>
  <c r="AA519" i="41" s="1"/>
  <c r="I519" i="42"/>
  <c r="A520" i="41" s="1"/>
  <c r="AA520" i="41" s="1"/>
  <c r="I520" i="42"/>
  <c r="A521" i="41" s="1"/>
  <c r="AA521" i="41" s="1"/>
  <c r="I521" i="42"/>
  <c r="A522" i="41" s="1"/>
  <c r="AA522" i="41" s="1"/>
  <c r="I522" i="42"/>
  <c r="A523" i="41" s="1"/>
  <c r="AA523" i="41" s="1"/>
  <c r="I523" i="42"/>
  <c r="A524" i="41" s="1"/>
  <c r="AA524" i="41" s="1"/>
  <c r="I524" i="42"/>
  <c r="A525" i="41" s="1"/>
  <c r="AA525" i="41" s="1"/>
  <c r="I525" i="42"/>
  <c r="A526" i="41" s="1"/>
  <c r="AA526" i="41" s="1"/>
  <c r="I526" i="42"/>
  <c r="A527" i="41" s="1"/>
  <c r="AA527" i="41" s="1"/>
  <c r="I527" i="42"/>
  <c r="A528" i="41" s="1"/>
  <c r="AA528" i="41" s="1"/>
  <c r="I528" i="42"/>
  <c r="A529" i="41" s="1"/>
  <c r="AA529" i="41" s="1"/>
  <c r="I529" i="42"/>
  <c r="A530" i="41" s="1"/>
  <c r="AA530" i="41" s="1"/>
  <c r="I530" i="42"/>
  <c r="A531" i="41" s="1"/>
  <c r="AA531" i="41" s="1"/>
  <c r="I531" i="42"/>
  <c r="A532" i="41" s="1"/>
  <c r="AA532" i="41" s="1"/>
  <c r="I532" i="42"/>
  <c r="A533" i="41" s="1"/>
  <c r="AA533" i="41" s="1"/>
  <c r="I533" i="42"/>
  <c r="A534" i="41" s="1"/>
  <c r="AA534" i="41" s="1"/>
  <c r="I534" i="42"/>
  <c r="A535" i="41" s="1"/>
  <c r="AA535" i="41" s="1"/>
  <c r="I535" i="42"/>
  <c r="A536" i="41" s="1"/>
  <c r="AA536" i="41" s="1"/>
  <c r="I536" i="42"/>
  <c r="A537" i="41" s="1"/>
  <c r="AA537" i="41" s="1"/>
  <c r="I537" i="42"/>
  <c r="A538" i="41" s="1"/>
  <c r="AA538" i="41" s="1"/>
  <c r="I538" i="42"/>
  <c r="A539" i="41" s="1"/>
  <c r="AA539" i="41" s="1"/>
  <c r="I539" i="42"/>
  <c r="A540" i="41" s="1"/>
  <c r="AA540" i="41" s="1"/>
  <c r="I540" i="42"/>
  <c r="A541" i="41" s="1"/>
  <c r="AA541" i="41" s="1"/>
  <c r="I541" i="42"/>
  <c r="A542" i="41" s="1"/>
  <c r="AA542" i="41" s="1"/>
  <c r="I542" i="42"/>
  <c r="A543" i="41" s="1"/>
  <c r="AA543" i="41" s="1"/>
  <c r="I543" i="42"/>
  <c r="A544" i="41" s="1"/>
  <c r="AA544" i="41" s="1"/>
  <c r="I544" i="42"/>
  <c r="A545" i="41" s="1"/>
  <c r="AA545" i="41" s="1"/>
  <c r="I545" i="42"/>
  <c r="A546" i="41" s="1"/>
  <c r="AA546" i="41" s="1"/>
  <c r="I546" i="42"/>
  <c r="A547" i="41" s="1"/>
  <c r="AA547" i="41" s="1"/>
  <c r="I547" i="42"/>
  <c r="A548" i="41" s="1"/>
  <c r="AA548" i="41" s="1"/>
  <c r="I548" i="42"/>
  <c r="A549" i="41" s="1"/>
  <c r="AA549" i="41" s="1"/>
  <c r="I549" i="42"/>
  <c r="A550" i="41" s="1"/>
  <c r="AA550" i="41" s="1"/>
  <c r="I550" i="42"/>
  <c r="A551" i="41" s="1"/>
  <c r="AA551" i="41" s="1"/>
  <c r="I551" i="42"/>
  <c r="A552" i="41" s="1"/>
  <c r="AA552" i="41" s="1"/>
  <c r="I552" i="42"/>
  <c r="A553" i="41" s="1"/>
  <c r="AA553" i="41" s="1"/>
  <c r="I553" i="42"/>
  <c r="A554" i="41" s="1"/>
  <c r="AA554" i="41" s="1"/>
  <c r="I554" i="42"/>
  <c r="A555" i="41" s="1"/>
  <c r="AA555" i="41" s="1"/>
  <c r="I555" i="42"/>
  <c r="A556" i="41" s="1"/>
  <c r="AA556" i="41" s="1"/>
  <c r="I556" i="42"/>
  <c r="A557" i="41" s="1"/>
  <c r="AA557" i="41" s="1"/>
  <c r="I557" i="42"/>
  <c r="A558" i="41" s="1"/>
  <c r="AA558" i="41" s="1"/>
  <c r="I558" i="42"/>
  <c r="A559" i="41" s="1"/>
  <c r="AA559" i="41" s="1"/>
  <c r="I559" i="42"/>
  <c r="A560" i="41" s="1"/>
  <c r="AA560" i="41" s="1"/>
  <c r="I560" i="42"/>
  <c r="A561" i="41" s="1"/>
  <c r="AA561" i="41" s="1"/>
  <c r="I561" i="42"/>
  <c r="A562" i="41" s="1"/>
  <c r="AA562" i="41" s="1"/>
  <c r="I562" i="42"/>
  <c r="A563" i="41" s="1"/>
  <c r="AA563" i="41" s="1"/>
  <c r="I563" i="42"/>
  <c r="A564" i="41" s="1"/>
  <c r="AA564" i="41" s="1"/>
  <c r="I564" i="42"/>
  <c r="A565" i="41" s="1"/>
  <c r="AA565" i="41" s="1"/>
  <c r="I565" i="42"/>
  <c r="A566" i="41" s="1"/>
  <c r="AA566" i="41" s="1"/>
  <c r="I566" i="42"/>
  <c r="A567" i="41" s="1"/>
  <c r="AA567" i="41" s="1"/>
  <c r="I567" i="42"/>
  <c r="A568" i="41" s="1"/>
  <c r="AA568" i="41" s="1"/>
  <c r="I568" i="42"/>
  <c r="A569" i="41" s="1"/>
  <c r="AA569" i="41" s="1"/>
  <c r="I569" i="42"/>
  <c r="A570" i="41" s="1"/>
  <c r="AA570" i="41" s="1"/>
  <c r="I570" i="42"/>
  <c r="A571" i="41" s="1"/>
  <c r="AA571" i="41" s="1"/>
  <c r="I571" i="42"/>
  <c r="A572" i="41" s="1"/>
  <c r="AA572" i="41" s="1"/>
  <c r="I572" i="42"/>
  <c r="A573" i="41" s="1"/>
  <c r="AA573" i="41" s="1"/>
  <c r="I573" i="42"/>
  <c r="A574" i="41" s="1"/>
  <c r="AA574" i="41" s="1"/>
  <c r="I574" i="42"/>
  <c r="A575" i="41" s="1"/>
  <c r="AA575" i="41" s="1"/>
  <c r="I575" i="42"/>
  <c r="A576" i="41" s="1"/>
  <c r="AA576" i="41" s="1"/>
  <c r="I576" i="42"/>
  <c r="A577" i="41" s="1"/>
  <c r="AA577" i="41" s="1"/>
  <c r="I577" i="42"/>
  <c r="A578" i="41" s="1"/>
  <c r="AA578" i="41" s="1"/>
  <c r="I578" i="42"/>
  <c r="A579" i="41" s="1"/>
  <c r="AA579" i="41" s="1"/>
  <c r="I579" i="42"/>
  <c r="A580" i="41" s="1"/>
  <c r="AA580" i="41" s="1"/>
  <c r="I580" i="42"/>
  <c r="A581" i="41" s="1"/>
  <c r="AA581" i="41" s="1"/>
  <c r="I581" i="42"/>
  <c r="A582" i="41" s="1"/>
  <c r="AA582" i="41" s="1"/>
  <c r="I582" i="42"/>
  <c r="A583" i="41" s="1"/>
  <c r="AA583" i="41" s="1"/>
  <c r="I583" i="42"/>
  <c r="A584" i="41" s="1"/>
  <c r="AA584" i="41" s="1"/>
  <c r="I584" i="42"/>
  <c r="A585" i="41" s="1"/>
  <c r="AA585" i="41" s="1"/>
  <c r="I585" i="42"/>
  <c r="A586" i="41" s="1"/>
  <c r="AA586" i="41" s="1"/>
  <c r="I586" i="42"/>
  <c r="A587" i="41" s="1"/>
  <c r="AA587" i="41" s="1"/>
  <c r="I587" i="42"/>
  <c r="A588" i="41" s="1"/>
  <c r="AA588" i="41" s="1"/>
  <c r="I588" i="42"/>
  <c r="A589" i="41" s="1"/>
  <c r="AA589" i="41" s="1"/>
  <c r="I589" i="42"/>
  <c r="A590" i="41" s="1"/>
  <c r="AA590" i="41" s="1"/>
  <c r="I590" i="42"/>
  <c r="A591" i="41" s="1"/>
  <c r="AA591" i="41" s="1"/>
  <c r="I591" i="42"/>
  <c r="A592" i="41" s="1"/>
  <c r="AA592" i="41" s="1"/>
  <c r="I592" i="42"/>
  <c r="A593" i="41" s="1"/>
  <c r="AA593" i="41" s="1"/>
  <c r="I593" i="42"/>
  <c r="A594" i="41" s="1"/>
  <c r="AA594" i="41" s="1"/>
  <c r="I594" i="42"/>
  <c r="A595" i="41" s="1"/>
  <c r="AA595" i="41" s="1"/>
  <c r="I595" i="42"/>
  <c r="A596" i="41" s="1"/>
  <c r="AA596" i="41" s="1"/>
  <c r="I596" i="42"/>
  <c r="A597" i="41" s="1"/>
  <c r="AA597" i="41" s="1"/>
  <c r="I597" i="42"/>
  <c r="A598" i="41" s="1"/>
  <c r="AA598" i="41" s="1"/>
  <c r="I598" i="42"/>
  <c r="A599" i="41" s="1"/>
  <c r="AA599" i="41" s="1"/>
  <c r="I599" i="42"/>
  <c r="A600" i="41" s="1"/>
  <c r="AA600" i="41" s="1"/>
  <c r="I600" i="42"/>
  <c r="A601" i="41" s="1"/>
  <c r="AA601" i="41" s="1"/>
  <c r="I601" i="42"/>
  <c r="A602" i="41" s="1"/>
  <c r="AA602" i="41" s="1"/>
  <c r="I602" i="42"/>
  <c r="A603" i="41" s="1"/>
  <c r="AA603" i="41" s="1"/>
  <c r="I603" i="42"/>
  <c r="A604" i="41" s="1"/>
  <c r="AA604" i="41" s="1"/>
  <c r="I604" i="42"/>
  <c r="A605" i="41" s="1"/>
  <c r="AA605" i="41" s="1"/>
  <c r="I605" i="42"/>
  <c r="A606" i="41" s="1"/>
  <c r="AA606" i="41" s="1"/>
  <c r="I606" i="42"/>
  <c r="A607" i="41" s="1"/>
  <c r="AA607" i="41" s="1"/>
  <c r="I607" i="42"/>
  <c r="A608" i="41" s="1"/>
  <c r="AA608" i="41" s="1"/>
  <c r="I608" i="42"/>
  <c r="A609" i="41" s="1"/>
  <c r="AA609" i="41" s="1"/>
  <c r="I609" i="42"/>
  <c r="A610" i="41" s="1"/>
  <c r="AA610" i="41" s="1"/>
  <c r="I610" i="42"/>
  <c r="A611" i="41" s="1"/>
  <c r="AA611" i="41" s="1"/>
  <c r="I611" i="42"/>
  <c r="A612" i="41" s="1"/>
  <c r="AA612" i="41" s="1"/>
  <c r="I612" i="42"/>
  <c r="A613" i="41" s="1"/>
  <c r="AA613" i="41" s="1"/>
  <c r="I613" i="42"/>
  <c r="A614" i="41" s="1"/>
  <c r="AA614" i="41" s="1"/>
  <c r="I614" i="42"/>
  <c r="A615" i="41" s="1"/>
  <c r="AA615" i="41" s="1"/>
  <c r="I615" i="42"/>
  <c r="A616" i="41" s="1"/>
  <c r="AA616" i="41" s="1"/>
  <c r="I616" i="42"/>
  <c r="A617" i="41" s="1"/>
  <c r="AA617" i="41" s="1"/>
  <c r="I617" i="42"/>
  <c r="A618" i="41" s="1"/>
  <c r="AA618" i="41" s="1"/>
  <c r="I618" i="42"/>
  <c r="A619" i="41" s="1"/>
  <c r="AA619" i="41" s="1"/>
  <c r="I619" i="42"/>
  <c r="A620" i="41" s="1"/>
  <c r="AA620" i="41" s="1"/>
  <c r="I620" i="42"/>
  <c r="A621" i="41" s="1"/>
  <c r="AA621" i="41" s="1"/>
  <c r="I621" i="42"/>
  <c r="A622" i="41" s="1"/>
  <c r="AA622" i="41" s="1"/>
  <c r="I622" i="42"/>
  <c r="A623" i="41" s="1"/>
  <c r="AA623" i="41" s="1"/>
  <c r="I623" i="42"/>
  <c r="A624" i="41" s="1"/>
  <c r="AA624" i="41" s="1"/>
  <c r="I624" i="42"/>
  <c r="A625" i="41" s="1"/>
  <c r="AA625" i="41" s="1"/>
  <c r="I625" i="42"/>
  <c r="A626" i="41" s="1"/>
  <c r="AA626" i="41" s="1"/>
  <c r="I626" i="42"/>
  <c r="A627" i="41" s="1"/>
  <c r="AA627" i="41" s="1"/>
  <c r="I627" i="42"/>
  <c r="A628" i="41" s="1"/>
  <c r="AA628" i="41" s="1"/>
  <c r="I628" i="42"/>
  <c r="A629" i="41" s="1"/>
  <c r="AA629" i="41" s="1"/>
  <c r="I629" i="42"/>
  <c r="A630" i="41" s="1"/>
  <c r="AA630" i="41" s="1"/>
  <c r="I630" i="42"/>
  <c r="A631" i="41" s="1"/>
  <c r="AA631" i="41" s="1"/>
  <c r="I631" i="42"/>
  <c r="A632" i="41" s="1"/>
  <c r="AA632" i="41" s="1"/>
  <c r="I632" i="42"/>
  <c r="A633" i="41" s="1"/>
  <c r="AA633" i="41" s="1"/>
  <c r="I633" i="42"/>
  <c r="A634" i="41" s="1"/>
  <c r="AA634" i="41" s="1"/>
  <c r="I634" i="42"/>
  <c r="A635" i="41" s="1"/>
  <c r="AA635" i="41" s="1"/>
  <c r="I635" i="42"/>
  <c r="A636" i="41" s="1"/>
  <c r="AA636" i="41" s="1"/>
  <c r="I636" i="42"/>
  <c r="A637" i="41" s="1"/>
  <c r="AA637" i="41" s="1"/>
  <c r="I637" i="42"/>
  <c r="A638" i="41" s="1"/>
  <c r="AA638" i="41" s="1"/>
  <c r="I638" i="42"/>
  <c r="A639" i="41" s="1"/>
  <c r="AA639" i="41" s="1"/>
  <c r="I639" i="42"/>
  <c r="A640" i="41" s="1"/>
  <c r="AA640" i="41" s="1"/>
  <c r="I640" i="42"/>
  <c r="A641" i="41" s="1"/>
  <c r="AA641" i="41" s="1"/>
  <c r="I641" i="42"/>
  <c r="A642" i="41" s="1"/>
  <c r="AA642" i="41" s="1"/>
  <c r="I642" i="42"/>
  <c r="A643" i="41" s="1"/>
  <c r="AA643" i="41" s="1"/>
  <c r="I643" i="42"/>
  <c r="A644" i="41" s="1"/>
  <c r="AA644" i="41" s="1"/>
  <c r="I644" i="42"/>
  <c r="A645" i="41" s="1"/>
  <c r="AA645" i="41" s="1"/>
  <c r="I645" i="42"/>
  <c r="A646" i="41" s="1"/>
  <c r="AA646" i="41" s="1"/>
  <c r="I646" i="42"/>
  <c r="A647" i="41" s="1"/>
  <c r="AA647" i="41" s="1"/>
  <c r="I647" i="42"/>
  <c r="A648" i="41" s="1"/>
  <c r="AA648" i="41" s="1"/>
  <c r="I648" i="42"/>
  <c r="A649" i="41" s="1"/>
  <c r="AA649" i="41" s="1"/>
  <c r="I649" i="42"/>
  <c r="A650" i="41" s="1"/>
  <c r="AA650" i="41" s="1"/>
  <c r="I650" i="42"/>
  <c r="A651" i="41" s="1"/>
  <c r="AA651" i="41" s="1"/>
  <c r="I651" i="42"/>
  <c r="A652" i="41" s="1"/>
  <c r="AA652" i="41" s="1"/>
  <c r="I652" i="42"/>
  <c r="A653" i="41" s="1"/>
  <c r="AA653" i="41" s="1"/>
  <c r="I653" i="42"/>
  <c r="A654" i="41" s="1"/>
  <c r="AA654" i="41" s="1"/>
  <c r="I654" i="42"/>
  <c r="A655" i="41" s="1"/>
  <c r="AA655" i="41" s="1"/>
  <c r="I655" i="42"/>
  <c r="A656" i="41" s="1"/>
  <c r="AA656" i="41" s="1"/>
  <c r="I656" i="42"/>
  <c r="A657" i="41" s="1"/>
  <c r="AA657" i="41" s="1"/>
  <c r="I657" i="42"/>
  <c r="A658" i="41" s="1"/>
  <c r="AA658" i="41" s="1"/>
  <c r="I658" i="42"/>
  <c r="A659" i="41" s="1"/>
  <c r="AA659" i="41" s="1"/>
  <c r="I659" i="42"/>
  <c r="A660" i="41" s="1"/>
  <c r="AA660" i="41" s="1"/>
  <c r="I660" i="42"/>
  <c r="A661" i="41" s="1"/>
  <c r="AA661" i="41" s="1"/>
  <c r="I661" i="42"/>
  <c r="A662" i="41" s="1"/>
  <c r="AA662" i="41" s="1"/>
  <c r="I662" i="42"/>
  <c r="A663" i="41" s="1"/>
  <c r="AA663" i="41" s="1"/>
  <c r="I663" i="42"/>
  <c r="A664" i="41" s="1"/>
  <c r="AA664" i="41" s="1"/>
  <c r="I664" i="42"/>
  <c r="A665" i="41" s="1"/>
  <c r="AA665" i="41" s="1"/>
  <c r="I665" i="42"/>
  <c r="A666" i="41" s="1"/>
  <c r="AA666" i="41" s="1"/>
  <c r="I666" i="42"/>
  <c r="A667" i="41" s="1"/>
  <c r="AA667" i="41" s="1"/>
  <c r="I667" i="42"/>
  <c r="A668" i="41" s="1"/>
  <c r="AA668" i="41" s="1"/>
  <c r="I668" i="42"/>
  <c r="A669" i="41" s="1"/>
  <c r="AA669" i="41" s="1"/>
  <c r="I669" i="42"/>
  <c r="A670" i="41" s="1"/>
  <c r="AA670" i="41" s="1"/>
  <c r="I670" i="42"/>
  <c r="A671" i="41" s="1"/>
  <c r="AA671" i="41" s="1"/>
  <c r="I671" i="42"/>
  <c r="A672" i="41" s="1"/>
  <c r="AA672" i="41" s="1"/>
  <c r="I672" i="42"/>
  <c r="A673" i="41" s="1"/>
  <c r="AA673" i="41" s="1"/>
  <c r="I673" i="42"/>
  <c r="A674" i="41" s="1"/>
  <c r="AA674" i="41" s="1"/>
  <c r="I674" i="42"/>
  <c r="A675" i="41" s="1"/>
  <c r="AA675" i="41" s="1"/>
  <c r="I675" i="42"/>
  <c r="A676" i="41" s="1"/>
  <c r="AA676" i="41" s="1"/>
  <c r="I676" i="42"/>
  <c r="A677" i="41" s="1"/>
  <c r="AA677" i="41" s="1"/>
  <c r="I677" i="42"/>
  <c r="A678" i="41" s="1"/>
  <c r="AA678" i="41" s="1"/>
  <c r="I678" i="42"/>
  <c r="A679" i="41" s="1"/>
  <c r="AA679" i="41" s="1"/>
  <c r="I679" i="42"/>
  <c r="A680" i="41" s="1"/>
  <c r="AA680" i="41" s="1"/>
  <c r="I680" i="42"/>
  <c r="A681" i="41" s="1"/>
  <c r="AA681" i="41" s="1"/>
  <c r="I681" i="42"/>
  <c r="A682" i="41" s="1"/>
  <c r="AA682" i="41" s="1"/>
  <c r="I682" i="42"/>
  <c r="A683" i="41" s="1"/>
  <c r="AA683" i="41" s="1"/>
  <c r="I683" i="42"/>
  <c r="A684" i="41" s="1"/>
  <c r="AA684" i="41" s="1"/>
  <c r="I684" i="42"/>
  <c r="A685" i="41" s="1"/>
  <c r="AA685" i="41" s="1"/>
  <c r="I685" i="42"/>
  <c r="A686" i="41" s="1"/>
  <c r="AA686" i="41" s="1"/>
  <c r="I686" i="42"/>
  <c r="A687" i="41" s="1"/>
  <c r="AA687" i="41" s="1"/>
  <c r="I687" i="42"/>
  <c r="A688" i="41" s="1"/>
  <c r="AA688" i="41" s="1"/>
  <c r="I688" i="42"/>
  <c r="A689" i="41" s="1"/>
  <c r="AA689" i="41" s="1"/>
  <c r="I689" i="42"/>
  <c r="A690" i="41" s="1"/>
  <c r="AA690" i="41" s="1"/>
  <c r="I690" i="42"/>
  <c r="A691" i="41" s="1"/>
  <c r="AA691" i="41" s="1"/>
  <c r="I691" i="42"/>
  <c r="A692" i="41" s="1"/>
  <c r="AA692" i="41" s="1"/>
  <c r="I692" i="42"/>
  <c r="A693" i="41" s="1"/>
  <c r="AA693" i="41" s="1"/>
  <c r="I693" i="42"/>
  <c r="A694" i="41" s="1"/>
  <c r="AA694" i="41" s="1"/>
  <c r="I694" i="42"/>
  <c r="A695" i="41" s="1"/>
  <c r="AA695" i="41" s="1"/>
  <c r="I695" i="42"/>
  <c r="A696" i="41" s="1"/>
  <c r="AA696" i="41" s="1"/>
  <c r="I696" i="42"/>
  <c r="A697" i="41" s="1"/>
  <c r="AA697" i="41" s="1"/>
  <c r="I697" i="42"/>
  <c r="A698" i="41" s="1"/>
  <c r="AA698" i="41" s="1"/>
  <c r="I698" i="42"/>
  <c r="A699" i="41" s="1"/>
  <c r="AA699" i="41" s="1"/>
  <c r="I699" i="42"/>
  <c r="A700" i="41" s="1"/>
  <c r="AA700" i="41" s="1"/>
  <c r="I700" i="42"/>
  <c r="A701" i="41" s="1"/>
  <c r="AA701" i="41" s="1"/>
  <c r="I701" i="42"/>
  <c r="A702" i="41" s="1"/>
  <c r="AA702" i="41" s="1"/>
  <c r="I702" i="42"/>
  <c r="A703" i="41" s="1"/>
  <c r="AA703" i="41" s="1"/>
  <c r="I703" i="42"/>
  <c r="A704" i="41" s="1"/>
  <c r="AA704" i="41" s="1"/>
  <c r="I704" i="42"/>
  <c r="A705" i="41" s="1"/>
  <c r="AA705" i="41" s="1"/>
  <c r="I705" i="42"/>
  <c r="A706" i="41" s="1"/>
  <c r="AA706" i="41" s="1"/>
  <c r="I706" i="42"/>
  <c r="A707" i="41" s="1"/>
  <c r="AA707" i="41" s="1"/>
  <c r="I707" i="42"/>
  <c r="A708" i="41" s="1"/>
  <c r="AA708" i="41" s="1"/>
  <c r="I708" i="42"/>
  <c r="A709" i="41" s="1"/>
  <c r="AA709" i="41" s="1"/>
  <c r="I709" i="42"/>
  <c r="A710" i="41" s="1"/>
  <c r="AA710" i="41" s="1"/>
  <c r="I710" i="42"/>
  <c r="A711" i="41" s="1"/>
  <c r="AA711" i="41" s="1"/>
  <c r="I711" i="42"/>
  <c r="A712" i="41" s="1"/>
  <c r="AA712" i="41" s="1"/>
  <c r="I712" i="42"/>
  <c r="A713" i="41" s="1"/>
  <c r="AA713" i="41" s="1"/>
  <c r="I713" i="42"/>
  <c r="A714" i="41" s="1"/>
  <c r="AA714" i="41" s="1"/>
  <c r="I714" i="42"/>
  <c r="A715" i="41" s="1"/>
  <c r="AA715" i="41" s="1"/>
  <c r="I715" i="42"/>
  <c r="A716" i="41" s="1"/>
  <c r="AA716" i="41" s="1"/>
  <c r="I716" i="42"/>
  <c r="A717" i="41" s="1"/>
  <c r="AA717" i="41" s="1"/>
  <c r="I717" i="42"/>
  <c r="A718" i="41" s="1"/>
  <c r="AA718" i="41" s="1"/>
  <c r="I718" i="42"/>
  <c r="A719" i="41" s="1"/>
  <c r="AA719" i="41" s="1"/>
  <c r="I719" i="42"/>
  <c r="A720" i="41" s="1"/>
  <c r="AA720" i="41" s="1"/>
  <c r="I720" i="42"/>
  <c r="A721" i="41" s="1"/>
  <c r="AA721" i="41" s="1"/>
  <c r="I721" i="42"/>
  <c r="A722" i="41" s="1"/>
  <c r="AA722" i="41" s="1"/>
  <c r="I722" i="42"/>
  <c r="A723" i="41" s="1"/>
  <c r="AA723" i="41" s="1"/>
  <c r="I723" i="42"/>
  <c r="A724" i="41" s="1"/>
  <c r="AA724" i="41" s="1"/>
  <c r="I724" i="42"/>
  <c r="A725" i="41" s="1"/>
  <c r="AA725" i="41" s="1"/>
  <c r="I725" i="42"/>
  <c r="A726" i="41" s="1"/>
  <c r="AA726" i="41" s="1"/>
  <c r="I726" i="42"/>
  <c r="A727" i="41" s="1"/>
  <c r="AA727" i="41" s="1"/>
  <c r="I727" i="42"/>
  <c r="A728" i="41" s="1"/>
  <c r="AA728" i="41" s="1"/>
  <c r="I728" i="42"/>
  <c r="A729" i="41" s="1"/>
  <c r="AA729" i="41" s="1"/>
  <c r="I729" i="42"/>
  <c r="A730" i="41" s="1"/>
  <c r="AA730" i="41" s="1"/>
  <c r="I730" i="42"/>
  <c r="A731" i="41" s="1"/>
  <c r="AA731" i="41" s="1"/>
  <c r="I731" i="42"/>
  <c r="A732" i="41" s="1"/>
  <c r="AA732" i="41" s="1"/>
  <c r="I732" i="42"/>
  <c r="A733" i="41" s="1"/>
  <c r="AA733" i="41" s="1"/>
  <c r="I733" i="42"/>
  <c r="A734" i="41" s="1"/>
  <c r="AA734" i="41" s="1"/>
  <c r="I734" i="42"/>
  <c r="A735" i="41" s="1"/>
  <c r="AA735" i="41" s="1"/>
  <c r="I735" i="42"/>
  <c r="A736" i="41" s="1"/>
  <c r="AA736" i="41" s="1"/>
  <c r="I736" i="42"/>
  <c r="A737" i="41" s="1"/>
  <c r="AA737" i="41" s="1"/>
  <c r="I737" i="42"/>
  <c r="A738" i="41" s="1"/>
  <c r="AA738" i="41" s="1"/>
  <c r="I738" i="42"/>
  <c r="A739" i="41" s="1"/>
  <c r="AA739" i="41" s="1"/>
  <c r="I739" i="42"/>
  <c r="A740" i="41" s="1"/>
  <c r="AA740" i="41" s="1"/>
  <c r="I740" i="42"/>
  <c r="A741" i="41" s="1"/>
  <c r="AA741" i="41" s="1"/>
  <c r="I741" i="42"/>
  <c r="A742" i="41" s="1"/>
  <c r="AA742" i="41" s="1"/>
  <c r="I742" i="42"/>
  <c r="A743" i="41" s="1"/>
  <c r="AA743" i="41" s="1"/>
  <c r="I743" i="42"/>
  <c r="A744" i="41" s="1"/>
  <c r="AA744" i="41" s="1"/>
  <c r="I744" i="42"/>
  <c r="A745" i="41" s="1"/>
  <c r="AA745" i="41" s="1"/>
  <c r="I745" i="42"/>
  <c r="A746" i="41" s="1"/>
  <c r="AA746" i="41" s="1"/>
  <c r="I746" i="42"/>
  <c r="A747" i="41" s="1"/>
  <c r="AA747" i="41" s="1"/>
  <c r="I747" i="42"/>
  <c r="A748" i="41" s="1"/>
  <c r="AA748" i="41" s="1"/>
  <c r="I748" i="42"/>
  <c r="A749" i="41" s="1"/>
  <c r="AA749" i="41" s="1"/>
  <c r="I749" i="42"/>
  <c r="A750" i="41" s="1"/>
  <c r="AA750" i="41" s="1"/>
  <c r="I750" i="42"/>
  <c r="A751" i="41" s="1"/>
  <c r="AA751" i="41" s="1"/>
  <c r="I751" i="42"/>
  <c r="A752" i="41" s="1"/>
  <c r="AA752" i="41" s="1"/>
  <c r="I752" i="42"/>
  <c r="A753" i="41" s="1"/>
  <c r="AA753" i="41" s="1"/>
  <c r="I753" i="42"/>
  <c r="A754" i="41" s="1"/>
  <c r="AA754" i="41" s="1"/>
  <c r="I754" i="42"/>
  <c r="A755" i="41" s="1"/>
  <c r="AA755" i="41" s="1"/>
  <c r="I755" i="42"/>
  <c r="A756" i="41" s="1"/>
  <c r="AA756" i="41" s="1"/>
  <c r="I756" i="42"/>
  <c r="A757" i="41" s="1"/>
  <c r="AA757" i="41" s="1"/>
  <c r="I757" i="42"/>
  <c r="A758" i="41" s="1"/>
  <c r="AA758" i="41" s="1"/>
  <c r="I758" i="42"/>
  <c r="A759" i="41" s="1"/>
  <c r="AA759" i="41" s="1"/>
  <c r="I759" i="42"/>
  <c r="A760" i="41" s="1"/>
  <c r="AA760" i="41" s="1"/>
  <c r="I760" i="42"/>
  <c r="A761" i="41" s="1"/>
  <c r="AA761" i="41" s="1"/>
  <c r="I761" i="42"/>
  <c r="A762" i="41" s="1"/>
  <c r="AA762" i="41" s="1"/>
  <c r="I762" i="42"/>
  <c r="A763" i="41" s="1"/>
  <c r="AA763" i="41" s="1"/>
  <c r="I763" i="42"/>
  <c r="A764" i="41" s="1"/>
  <c r="AA764" i="41" s="1"/>
  <c r="I764" i="42"/>
  <c r="A765" i="41" s="1"/>
  <c r="AA765" i="41" s="1"/>
  <c r="I765" i="42"/>
  <c r="A766" i="41" s="1"/>
  <c r="AA766" i="41" s="1"/>
  <c r="I766" i="42"/>
  <c r="A767" i="41" s="1"/>
  <c r="AA767" i="41" s="1"/>
  <c r="I767" i="42"/>
  <c r="A768" i="41" s="1"/>
  <c r="AA768" i="41" s="1"/>
  <c r="I768" i="42"/>
  <c r="A769" i="41" s="1"/>
  <c r="AA769" i="41" s="1"/>
  <c r="I769" i="42"/>
  <c r="A770" i="41" s="1"/>
  <c r="AA770" i="41" s="1"/>
  <c r="I770" i="42"/>
  <c r="A771" i="41" s="1"/>
  <c r="AA771" i="41" s="1"/>
  <c r="I771" i="42"/>
  <c r="A772" i="41" s="1"/>
  <c r="AA772" i="41" s="1"/>
  <c r="I772" i="42"/>
  <c r="A773" i="41" s="1"/>
  <c r="AA773" i="41" s="1"/>
  <c r="I773" i="42"/>
  <c r="A774" i="41" s="1"/>
  <c r="AA774" i="41" s="1"/>
  <c r="I774" i="42"/>
  <c r="A775" i="41" s="1"/>
  <c r="AA775" i="41" s="1"/>
  <c r="I775" i="42"/>
  <c r="A776" i="41" s="1"/>
  <c r="AA776" i="41" s="1"/>
  <c r="I776" i="42"/>
  <c r="A777" i="41" s="1"/>
  <c r="AA777" i="41" s="1"/>
  <c r="I777" i="42"/>
  <c r="A778" i="41" s="1"/>
  <c r="AA778" i="41" s="1"/>
  <c r="I778" i="42"/>
  <c r="A779" i="41" s="1"/>
  <c r="AA779" i="41" s="1"/>
  <c r="I779" i="42"/>
  <c r="A780" i="41" s="1"/>
  <c r="AA780" i="41" s="1"/>
  <c r="I780" i="42"/>
  <c r="A781" i="41" s="1"/>
  <c r="AA781" i="41" s="1"/>
  <c r="I781" i="42"/>
  <c r="A782" i="41" s="1"/>
  <c r="AA782" i="41" s="1"/>
  <c r="I782" i="42"/>
  <c r="A783" i="41" s="1"/>
  <c r="AA783" i="41" s="1"/>
  <c r="I783" i="42"/>
  <c r="A784" i="41" s="1"/>
  <c r="AA784" i="41" s="1"/>
  <c r="I784" i="42"/>
  <c r="A785" i="41" s="1"/>
  <c r="AA785" i="41" s="1"/>
  <c r="I785" i="42"/>
  <c r="A786" i="41" s="1"/>
  <c r="AA786" i="41" s="1"/>
  <c r="I786" i="42"/>
  <c r="A787" i="41" s="1"/>
  <c r="AA787" i="41" s="1"/>
  <c r="I787" i="42"/>
  <c r="A788" i="41" s="1"/>
  <c r="AA788" i="41" s="1"/>
  <c r="I788" i="42"/>
  <c r="A789" i="41" s="1"/>
  <c r="AA789" i="41" s="1"/>
  <c r="I789" i="42"/>
  <c r="A790" i="41" s="1"/>
  <c r="AA790" i="41" s="1"/>
  <c r="I790" i="42"/>
  <c r="A791" i="41" s="1"/>
  <c r="AA791" i="41" s="1"/>
  <c r="I791" i="42"/>
  <c r="A792" i="41" s="1"/>
  <c r="AA792" i="41" s="1"/>
  <c r="I792" i="42"/>
  <c r="A793" i="41" s="1"/>
  <c r="AA793" i="41" s="1"/>
  <c r="I793" i="42"/>
  <c r="A794" i="41" s="1"/>
  <c r="AA794" i="41" s="1"/>
  <c r="I794" i="42"/>
  <c r="A795" i="41" s="1"/>
  <c r="AA795" i="41" s="1"/>
  <c r="I795" i="42"/>
  <c r="A796" i="41" s="1"/>
  <c r="AA796" i="41" s="1"/>
  <c r="I796" i="42"/>
  <c r="A797" i="41" s="1"/>
  <c r="AA797" i="41" s="1"/>
  <c r="I797" i="42"/>
  <c r="A798" i="41" s="1"/>
  <c r="AA798" i="41" s="1"/>
  <c r="I798" i="42"/>
  <c r="A799" i="41" s="1"/>
  <c r="AA799" i="41" s="1"/>
  <c r="I799" i="42"/>
  <c r="A800" i="41" s="1"/>
  <c r="AA800" i="41" s="1"/>
  <c r="I800" i="42"/>
  <c r="A801" i="41" s="1"/>
  <c r="AA801" i="41" s="1"/>
  <c r="I801" i="42"/>
  <c r="A802" i="41" s="1"/>
  <c r="AA802" i="41" s="1"/>
  <c r="I802" i="42"/>
  <c r="A803" i="41" s="1"/>
  <c r="AA803" i="41" s="1"/>
  <c r="I803" i="42"/>
  <c r="A804" i="41" s="1"/>
  <c r="AA804" i="41" s="1"/>
  <c r="I804" i="42"/>
  <c r="A805" i="41" s="1"/>
  <c r="AA805" i="41" s="1"/>
  <c r="I805" i="42"/>
  <c r="A806" i="41" s="1"/>
  <c r="AA806" i="41" s="1"/>
  <c r="I806" i="42"/>
  <c r="A807" i="41" s="1"/>
  <c r="AA807" i="41" s="1"/>
  <c r="I807" i="42"/>
  <c r="A808" i="41" s="1"/>
  <c r="AA808" i="41" s="1"/>
  <c r="I808" i="42"/>
  <c r="A809" i="41" s="1"/>
  <c r="AA809" i="41" s="1"/>
  <c r="I809" i="42"/>
  <c r="A810" i="41" s="1"/>
  <c r="AA810" i="41" s="1"/>
  <c r="I810" i="42"/>
  <c r="A811" i="41" s="1"/>
  <c r="AA811" i="41" s="1"/>
  <c r="I811" i="42"/>
  <c r="A812" i="41" s="1"/>
  <c r="AA812" i="41" s="1"/>
  <c r="I812" i="42"/>
  <c r="A813" i="41" s="1"/>
  <c r="AA813" i="41" s="1"/>
  <c r="I813" i="42"/>
  <c r="A814" i="41" s="1"/>
  <c r="AA814" i="41" s="1"/>
  <c r="I814" i="42"/>
  <c r="A815" i="41" s="1"/>
  <c r="AA815" i="41" s="1"/>
  <c r="I815" i="42"/>
  <c r="A816" i="41" s="1"/>
  <c r="AA816" i="41" s="1"/>
  <c r="I816" i="42"/>
  <c r="A817" i="41" s="1"/>
  <c r="AA817" i="41" s="1"/>
  <c r="I817" i="42"/>
  <c r="A818" i="41" s="1"/>
  <c r="AA818" i="41" s="1"/>
  <c r="I818" i="42"/>
  <c r="A819" i="41" s="1"/>
  <c r="AA819" i="41" s="1"/>
  <c r="I819" i="42"/>
  <c r="A820" i="41" s="1"/>
  <c r="AA820" i="41" s="1"/>
  <c r="I820" i="42"/>
  <c r="A821" i="41" s="1"/>
  <c r="AA821" i="41" s="1"/>
  <c r="I821" i="42"/>
  <c r="A822" i="41" s="1"/>
  <c r="AA822" i="41" s="1"/>
  <c r="I822" i="42"/>
  <c r="A823" i="41" s="1"/>
  <c r="AA823" i="41" s="1"/>
  <c r="I823" i="42"/>
  <c r="A824" i="41" s="1"/>
  <c r="AA824" i="41" s="1"/>
  <c r="I824" i="42"/>
  <c r="A825" i="41" s="1"/>
  <c r="AA825" i="41" s="1"/>
  <c r="I825" i="42"/>
  <c r="A826" i="41" s="1"/>
  <c r="AA826" i="41" s="1"/>
  <c r="I826" i="42"/>
  <c r="A827" i="41" s="1"/>
  <c r="AA827" i="41" s="1"/>
  <c r="I827" i="42"/>
  <c r="A828" i="41" s="1"/>
  <c r="AA828" i="41" s="1"/>
  <c r="I828" i="42"/>
  <c r="A829" i="41" s="1"/>
  <c r="AA829" i="41" s="1"/>
  <c r="I829" i="42"/>
  <c r="A830" i="41" s="1"/>
  <c r="AA830" i="41" s="1"/>
  <c r="I830" i="42"/>
  <c r="A831" i="41" s="1"/>
  <c r="AA831" i="41" s="1"/>
  <c r="I831" i="42"/>
  <c r="A832" i="41" s="1"/>
  <c r="AA832" i="41" s="1"/>
  <c r="I832" i="42"/>
  <c r="A833" i="41" s="1"/>
  <c r="AA833" i="41" s="1"/>
  <c r="I833" i="42"/>
  <c r="A834" i="41" s="1"/>
  <c r="AA834" i="41" s="1"/>
  <c r="I834" i="42"/>
  <c r="A835" i="41" s="1"/>
  <c r="AA835" i="41" s="1"/>
  <c r="I835" i="42"/>
  <c r="A836" i="41" s="1"/>
  <c r="AA836" i="41" s="1"/>
  <c r="I836" i="42"/>
  <c r="A837" i="41" s="1"/>
  <c r="AA837" i="41" s="1"/>
  <c r="I837" i="42"/>
  <c r="A838" i="41" s="1"/>
  <c r="AA838" i="41" s="1"/>
  <c r="I838" i="42"/>
  <c r="A839" i="41" s="1"/>
  <c r="AA839" i="41" s="1"/>
  <c r="I839" i="42"/>
  <c r="A840" i="41" s="1"/>
  <c r="AA840" i="41" s="1"/>
  <c r="I840" i="42"/>
  <c r="A841" i="41" s="1"/>
  <c r="AA841" i="41" s="1"/>
  <c r="I841" i="42"/>
  <c r="A842" i="41" s="1"/>
  <c r="AA842" i="41" s="1"/>
  <c r="I842" i="42"/>
  <c r="A843" i="41" s="1"/>
  <c r="AA843" i="41" s="1"/>
  <c r="I843" i="42"/>
  <c r="A844" i="41" s="1"/>
  <c r="AA844" i="41" s="1"/>
  <c r="I844" i="42"/>
  <c r="A845" i="41" s="1"/>
  <c r="AA845" i="41" s="1"/>
  <c r="I845" i="42"/>
  <c r="A846" i="41" s="1"/>
  <c r="AA846" i="41" s="1"/>
  <c r="I846" i="42"/>
  <c r="A847" i="41" s="1"/>
  <c r="AA847" i="41" s="1"/>
  <c r="I847" i="42"/>
  <c r="A848" i="41" s="1"/>
  <c r="AA848" i="41" s="1"/>
  <c r="I848" i="42"/>
  <c r="A849" i="41" s="1"/>
  <c r="AA849" i="41" s="1"/>
  <c r="I849" i="42"/>
  <c r="A850" i="41" s="1"/>
  <c r="AA850" i="41" s="1"/>
  <c r="I850" i="42"/>
  <c r="A851" i="41" s="1"/>
  <c r="AA851" i="41" s="1"/>
  <c r="I851" i="42"/>
  <c r="A852" i="41" s="1"/>
  <c r="AA852" i="41" s="1"/>
  <c r="I852" i="42"/>
  <c r="A853" i="41" s="1"/>
  <c r="AA853" i="41" s="1"/>
  <c r="I853" i="42"/>
  <c r="A854" i="41" s="1"/>
  <c r="AA854" i="41" s="1"/>
  <c r="I854" i="42"/>
  <c r="A855" i="41" s="1"/>
  <c r="AA855" i="41" s="1"/>
  <c r="I855" i="42"/>
  <c r="A856" i="41" s="1"/>
  <c r="AA856" i="41" s="1"/>
  <c r="I856" i="42"/>
  <c r="A857" i="41" s="1"/>
  <c r="AA857" i="41" s="1"/>
  <c r="I857" i="42"/>
  <c r="A858" i="41" s="1"/>
  <c r="AA858" i="41" s="1"/>
  <c r="I858" i="42"/>
  <c r="A859" i="41" s="1"/>
  <c r="AA859" i="41" s="1"/>
  <c r="I859" i="42"/>
  <c r="A860" i="41" s="1"/>
  <c r="AA860" i="41" s="1"/>
  <c r="I860" i="42"/>
  <c r="A861" i="41" s="1"/>
  <c r="AA861" i="41" s="1"/>
  <c r="I861" i="42"/>
  <c r="A862" i="41" s="1"/>
  <c r="AA862" i="41" s="1"/>
  <c r="I862" i="42"/>
  <c r="A863" i="41" s="1"/>
  <c r="AA863" i="41" s="1"/>
  <c r="I863" i="42"/>
  <c r="A864" i="41" s="1"/>
  <c r="AA864" i="41" s="1"/>
  <c r="I864" i="42"/>
  <c r="A865" i="41" s="1"/>
  <c r="AA865" i="41" s="1"/>
  <c r="I865" i="42"/>
  <c r="A866" i="41" s="1"/>
  <c r="AA866" i="41" s="1"/>
  <c r="I866" i="42"/>
  <c r="A867" i="41" s="1"/>
  <c r="AA867" i="41" s="1"/>
  <c r="I867" i="42"/>
  <c r="A868" i="41" s="1"/>
  <c r="AA868" i="41" s="1"/>
  <c r="I868" i="42"/>
  <c r="A869" i="41" s="1"/>
  <c r="AA869" i="41" s="1"/>
  <c r="I869" i="42"/>
  <c r="A870" i="41" s="1"/>
  <c r="AA870" i="41" s="1"/>
  <c r="I870" i="42"/>
  <c r="A871" i="41" s="1"/>
  <c r="AA871" i="41" s="1"/>
  <c r="I871" i="42"/>
  <c r="A872" i="41" s="1"/>
  <c r="AA872" i="41" s="1"/>
  <c r="I872" i="42"/>
  <c r="A873" i="41" s="1"/>
  <c r="AA873" i="41" s="1"/>
  <c r="I873" i="42"/>
  <c r="A874" i="41" s="1"/>
  <c r="AA874" i="41" s="1"/>
  <c r="I874" i="42"/>
  <c r="A875" i="41" s="1"/>
  <c r="AA875" i="41" s="1"/>
  <c r="I875" i="42"/>
  <c r="A876" i="41" s="1"/>
  <c r="AA876" i="41" s="1"/>
  <c r="I876" i="42"/>
  <c r="A877" i="41" s="1"/>
  <c r="AA877" i="41" s="1"/>
  <c r="I877" i="42"/>
  <c r="A878" i="41" s="1"/>
  <c r="AA878" i="41" s="1"/>
  <c r="I878" i="42"/>
  <c r="A879" i="41" s="1"/>
  <c r="AA879" i="41" s="1"/>
  <c r="I879" i="42"/>
  <c r="A880" i="41" s="1"/>
  <c r="AA880" i="41" s="1"/>
  <c r="I880" i="42"/>
  <c r="A881" i="41" s="1"/>
  <c r="AA881" i="41" s="1"/>
  <c r="I881" i="42"/>
  <c r="A882" i="41" s="1"/>
  <c r="AA882" i="41" s="1"/>
  <c r="I882" i="42"/>
  <c r="A883" i="41" s="1"/>
  <c r="AA883" i="41" s="1"/>
  <c r="I883" i="42"/>
  <c r="A884" i="41" s="1"/>
  <c r="AA884" i="41" s="1"/>
  <c r="I884" i="42"/>
  <c r="A885" i="41" s="1"/>
  <c r="AA885" i="41" s="1"/>
  <c r="I885" i="42"/>
  <c r="A886" i="41" s="1"/>
  <c r="AA886" i="41" s="1"/>
  <c r="I886" i="42"/>
  <c r="A887" i="41" s="1"/>
  <c r="AA887" i="41" s="1"/>
  <c r="I887" i="42"/>
  <c r="A888" i="41" s="1"/>
  <c r="AA888" i="41" s="1"/>
  <c r="I888" i="42"/>
  <c r="A889" i="41" s="1"/>
  <c r="AA889" i="41" s="1"/>
  <c r="I889" i="42"/>
  <c r="A890" i="41" s="1"/>
  <c r="AA890" i="41" s="1"/>
  <c r="I890" i="42"/>
  <c r="A891" i="41" s="1"/>
  <c r="AA891" i="41" s="1"/>
  <c r="I891" i="42"/>
  <c r="A892" i="41" s="1"/>
  <c r="AA892" i="41" s="1"/>
  <c r="I892" i="42"/>
  <c r="A893" i="41" s="1"/>
  <c r="AA893" i="41" s="1"/>
  <c r="I893" i="42"/>
  <c r="A894" i="41" s="1"/>
  <c r="AA894" i="41" s="1"/>
  <c r="I894" i="42"/>
  <c r="A895" i="41" s="1"/>
  <c r="AA895" i="41" s="1"/>
  <c r="I895" i="42"/>
  <c r="A896" i="41" s="1"/>
  <c r="AA896" i="41" s="1"/>
  <c r="I896" i="42"/>
  <c r="A897" i="41" s="1"/>
  <c r="AA897" i="41" s="1"/>
  <c r="I897" i="42"/>
  <c r="A898" i="41" s="1"/>
  <c r="AA898" i="41" s="1"/>
  <c r="I898" i="42"/>
  <c r="A899" i="41" s="1"/>
  <c r="AA899" i="41" s="1"/>
  <c r="I899" i="42"/>
  <c r="A900" i="41" s="1"/>
  <c r="AA900" i="41" s="1"/>
  <c r="I900" i="42"/>
  <c r="A901" i="41" s="1"/>
  <c r="AA901" i="41" s="1"/>
  <c r="I901" i="42"/>
  <c r="A902" i="41" s="1"/>
  <c r="AA902" i="41" s="1"/>
  <c r="I902" i="42"/>
  <c r="A903" i="41" s="1"/>
  <c r="AA903" i="41" s="1"/>
  <c r="I903" i="42"/>
  <c r="A904" i="41" s="1"/>
  <c r="AA904" i="41" s="1"/>
  <c r="I904" i="42"/>
  <c r="A905" i="41" s="1"/>
  <c r="AA905" i="41" s="1"/>
  <c r="I905" i="42"/>
  <c r="A906" i="41" s="1"/>
  <c r="AA906" i="41" s="1"/>
  <c r="I906" i="42"/>
  <c r="A907" i="41" s="1"/>
  <c r="AA907" i="41" s="1"/>
  <c r="I907" i="42"/>
  <c r="A908" i="41" s="1"/>
  <c r="AA908" i="41" s="1"/>
  <c r="I908" i="42"/>
  <c r="A909" i="41" s="1"/>
  <c r="AA909" i="41" s="1"/>
  <c r="I909" i="42"/>
  <c r="A910" i="41" s="1"/>
  <c r="AA910" i="41" s="1"/>
  <c r="I910" i="42"/>
  <c r="A911" i="41" s="1"/>
  <c r="AA911" i="41" s="1"/>
  <c r="I911" i="42"/>
  <c r="A912" i="41" s="1"/>
  <c r="AA912" i="41" s="1"/>
  <c r="I912" i="42"/>
  <c r="A913" i="41" s="1"/>
  <c r="AA913" i="41" s="1"/>
  <c r="I913" i="42"/>
  <c r="A914" i="41" s="1"/>
  <c r="AA914" i="41" s="1"/>
  <c r="I914" i="42"/>
  <c r="A915" i="41" s="1"/>
  <c r="AA915" i="41" s="1"/>
  <c r="I915" i="42"/>
  <c r="A916" i="41" s="1"/>
  <c r="AA916" i="41" s="1"/>
  <c r="I916" i="42"/>
  <c r="A917" i="41" s="1"/>
  <c r="AA917" i="41" s="1"/>
  <c r="I917" i="42"/>
  <c r="A918" i="41" s="1"/>
  <c r="AA918" i="41" s="1"/>
  <c r="I918" i="42"/>
  <c r="A919" i="41" s="1"/>
  <c r="AA919" i="41" s="1"/>
  <c r="I919" i="42"/>
  <c r="A920" i="41" s="1"/>
  <c r="AA920" i="41" s="1"/>
  <c r="I920" i="42"/>
  <c r="A921" i="41" s="1"/>
  <c r="AA921" i="41" s="1"/>
  <c r="I921" i="42"/>
  <c r="A922" i="41" s="1"/>
  <c r="AA922" i="41" s="1"/>
  <c r="I922" i="42"/>
  <c r="A923" i="41" s="1"/>
  <c r="AA923" i="41" s="1"/>
  <c r="I923" i="42"/>
  <c r="A924" i="41" s="1"/>
  <c r="AA924" i="41" s="1"/>
  <c r="I924" i="42"/>
  <c r="A925" i="41" s="1"/>
  <c r="AA925" i="41" s="1"/>
  <c r="I925" i="42"/>
  <c r="A926" i="41" s="1"/>
  <c r="AA926" i="41" s="1"/>
  <c r="I926" i="42"/>
  <c r="A927" i="41" s="1"/>
  <c r="AA927" i="41" s="1"/>
  <c r="I927" i="42"/>
  <c r="A928" i="41" s="1"/>
  <c r="AA928" i="41" s="1"/>
  <c r="I928" i="42"/>
  <c r="A929" i="41" s="1"/>
  <c r="AA929" i="41" s="1"/>
  <c r="I929" i="42"/>
  <c r="A930" i="41" s="1"/>
  <c r="AA930" i="41" s="1"/>
  <c r="I930" i="42"/>
  <c r="A931" i="41" s="1"/>
  <c r="AA931" i="41" s="1"/>
  <c r="I931" i="42"/>
  <c r="A932" i="41" s="1"/>
  <c r="AA932" i="41" s="1"/>
  <c r="I932" i="42"/>
  <c r="A933" i="41" s="1"/>
  <c r="AA933" i="41" s="1"/>
  <c r="I933" i="42"/>
  <c r="A934" i="41" s="1"/>
  <c r="AA934" i="41" s="1"/>
  <c r="I934" i="42"/>
  <c r="A935" i="41" s="1"/>
  <c r="AA935" i="41" s="1"/>
  <c r="I935" i="42"/>
  <c r="A936" i="41" s="1"/>
  <c r="AA936" i="41" s="1"/>
  <c r="I936" i="42"/>
  <c r="A937" i="41" s="1"/>
  <c r="AA937" i="41" s="1"/>
  <c r="I937" i="42"/>
  <c r="A938" i="41" s="1"/>
  <c r="AA938" i="41" s="1"/>
  <c r="I938" i="42"/>
  <c r="A939" i="41" s="1"/>
  <c r="AA939" i="41" s="1"/>
  <c r="I939" i="42"/>
  <c r="A940" i="41" s="1"/>
  <c r="AA940" i="41" s="1"/>
  <c r="I940" i="42"/>
  <c r="A941" i="41" s="1"/>
  <c r="AA941" i="41" s="1"/>
  <c r="I941" i="42"/>
  <c r="A942" i="41" s="1"/>
  <c r="AA942" i="41" s="1"/>
  <c r="I942" i="42"/>
  <c r="A943" i="41" s="1"/>
  <c r="AA943" i="41" s="1"/>
  <c r="I943" i="42"/>
  <c r="A944" i="41" s="1"/>
  <c r="AA944" i="41" s="1"/>
  <c r="I944" i="42"/>
  <c r="A945" i="41" s="1"/>
  <c r="AA945" i="41" s="1"/>
  <c r="I945" i="42"/>
  <c r="A946" i="41" s="1"/>
  <c r="AA946" i="41" s="1"/>
  <c r="I946" i="42"/>
  <c r="A947" i="41" s="1"/>
  <c r="AA947" i="41" s="1"/>
  <c r="I947" i="42"/>
  <c r="A948" i="41" s="1"/>
  <c r="AA948" i="41" s="1"/>
  <c r="I948" i="42"/>
  <c r="A949" i="41" s="1"/>
  <c r="AA949" i="41" s="1"/>
  <c r="I949" i="42"/>
  <c r="A950" i="41" s="1"/>
  <c r="AA950" i="41" s="1"/>
  <c r="I950" i="42"/>
  <c r="A951" i="41" s="1"/>
  <c r="AA951" i="41" s="1"/>
  <c r="I951" i="42"/>
  <c r="A952" i="41" s="1"/>
  <c r="AA952" i="41" s="1"/>
  <c r="I952" i="42"/>
  <c r="A953" i="41" s="1"/>
  <c r="AA953" i="41" s="1"/>
  <c r="I953" i="42"/>
  <c r="A954" i="41" s="1"/>
  <c r="AA954" i="41" s="1"/>
  <c r="I954" i="42"/>
  <c r="A955" i="41" s="1"/>
  <c r="AA955" i="41" s="1"/>
  <c r="I955" i="42"/>
  <c r="A956" i="41" s="1"/>
  <c r="AA956" i="41" s="1"/>
  <c r="I956" i="42"/>
  <c r="A957" i="41" s="1"/>
  <c r="AA957" i="41" s="1"/>
  <c r="I957" i="42"/>
  <c r="A958" i="41" s="1"/>
  <c r="AA958" i="41" s="1"/>
  <c r="I958" i="42"/>
  <c r="A959" i="41" s="1"/>
  <c r="AA959" i="41" s="1"/>
  <c r="I959" i="42"/>
  <c r="A960" i="41" s="1"/>
  <c r="AA960" i="41" s="1"/>
  <c r="I960" i="42"/>
  <c r="A961" i="41" s="1"/>
  <c r="AA961" i="41" s="1"/>
  <c r="I961" i="42"/>
  <c r="A962" i="41" s="1"/>
  <c r="AA962" i="41" s="1"/>
  <c r="I962" i="42"/>
  <c r="A963" i="41" s="1"/>
  <c r="AA963" i="41" s="1"/>
  <c r="I963" i="42"/>
  <c r="A964" i="41" s="1"/>
  <c r="AA964" i="41" s="1"/>
  <c r="I964" i="42"/>
  <c r="A965" i="41" s="1"/>
  <c r="AA965" i="41" s="1"/>
  <c r="I965" i="42"/>
  <c r="A966" i="41" s="1"/>
  <c r="AA966" i="41" s="1"/>
  <c r="I966" i="42"/>
  <c r="A967" i="41" s="1"/>
  <c r="AA967" i="41" s="1"/>
  <c r="I967" i="42"/>
  <c r="A968" i="41" s="1"/>
  <c r="AA968" i="41" s="1"/>
  <c r="I968" i="42"/>
  <c r="A969" i="41" s="1"/>
  <c r="AA969" i="41" s="1"/>
  <c r="I969" i="42"/>
  <c r="A970" i="41" s="1"/>
  <c r="AA970" i="41" s="1"/>
  <c r="I970" i="42"/>
  <c r="A971" i="41" s="1"/>
  <c r="AA971" i="41" s="1"/>
  <c r="I971" i="42"/>
  <c r="A972" i="41" s="1"/>
  <c r="AA972" i="41" s="1"/>
  <c r="I972" i="42"/>
  <c r="A973" i="41" s="1"/>
  <c r="AA973" i="41" s="1"/>
  <c r="I973" i="42"/>
  <c r="A974" i="41" s="1"/>
  <c r="AA974" i="41" s="1"/>
  <c r="I974" i="42"/>
  <c r="A975" i="41" s="1"/>
  <c r="AA975" i="41" s="1"/>
  <c r="I975" i="42"/>
  <c r="A976" i="41" s="1"/>
  <c r="AA976" i="41" s="1"/>
  <c r="I976" i="42"/>
  <c r="A977" i="41" s="1"/>
  <c r="AA977" i="41" s="1"/>
  <c r="I977" i="42"/>
  <c r="A978" i="41" s="1"/>
  <c r="AA978" i="41" s="1"/>
  <c r="I978" i="42"/>
  <c r="A979" i="41" s="1"/>
  <c r="AA979" i="41" s="1"/>
  <c r="I979" i="42"/>
  <c r="A980" i="41" s="1"/>
  <c r="AA980" i="41" s="1"/>
  <c r="I980" i="42"/>
  <c r="A981" i="41" s="1"/>
  <c r="AA981" i="41" s="1"/>
  <c r="I981" i="42"/>
  <c r="A982" i="41" s="1"/>
  <c r="AA982" i="41" s="1"/>
  <c r="I982" i="42"/>
  <c r="A983" i="41" s="1"/>
  <c r="AA983" i="41" s="1"/>
  <c r="I983" i="42"/>
  <c r="A984" i="41" s="1"/>
  <c r="AA984" i="41" s="1"/>
  <c r="I984" i="42"/>
  <c r="A985" i="41" s="1"/>
  <c r="AA985" i="41" s="1"/>
  <c r="I985" i="42"/>
  <c r="A986" i="41" s="1"/>
  <c r="AA986" i="41" s="1"/>
  <c r="I986" i="42"/>
  <c r="A987" i="41" s="1"/>
  <c r="AA987" i="41" s="1"/>
  <c r="I987" i="42"/>
  <c r="A988" i="41" s="1"/>
  <c r="AA988" i="41" s="1"/>
  <c r="I988" i="42"/>
  <c r="A989" i="41" s="1"/>
  <c r="AA989" i="41" s="1"/>
  <c r="I989" i="42"/>
  <c r="A990" i="41" s="1"/>
  <c r="AA990" i="41" s="1"/>
  <c r="I990" i="42"/>
  <c r="A991" i="41" s="1"/>
  <c r="AA991" i="41" s="1"/>
  <c r="I991" i="42"/>
  <c r="A992" i="41" s="1"/>
  <c r="AA992" i="41" s="1"/>
  <c r="I992" i="42"/>
  <c r="A993" i="41" s="1"/>
  <c r="AA993" i="41" s="1"/>
  <c r="I993" i="42"/>
  <c r="A994" i="41" s="1"/>
  <c r="AA994" i="41" s="1"/>
  <c r="I994" i="42"/>
  <c r="A995" i="41" s="1"/>
  <c r="AA995" i="41" s="1"/>
  <c r="I995" i="42"/>
  <c r="A996" i="41" s="1"/>
  <c r="AA996" i="41" s="1"/>
  <c r="I996" i="42"/>
  <c r="A997" i="41" s="1"/>
  <c r="AA997" i="41" s="1"/>
  <c r="I997" i="42"/>
  <c r="A998" i="41" s="1"/>
  <c r="AA998" i="41" s="1"/>
  <c r="I998" i="42"/>
  <c r="A999" i="41" s="1"/>
  <c r="AA999" i="41" s="1"/>
  <c r="I999" i="42"/>
  <c r="A1000" i="41" s="1"/>
  <c r="AA1000" i="41" s="1"/>
  <c r="I1000" i="42"/>
  <c r="A1001" i="41" s="1"/>
  <c r="AA1001" i="41" s="1"/>
  <c r="I1001" i="42"/>
  <c r="A1002" i="41" s="1"/>
  <c r="AA1002" i="41" s="1"/>
  <c r="I1002" i="42"/>
  <c r="A1003" i="41" s="1"/>
  <c r="AA1003" i="41" s="1"/>
  <c r="I1003" i="42"/>
  <c r="A1004" i="41" s="1"/>
  <c r="AA1004" i="41" s="1"/>
  <c r="I1004" i="42"/>
  <c r="A1005" i="41" s="1"/>
  <c r="AA1005" i="41" s="1"/>
  <c r="I1005" i="42"/>
  <c r="A1006" i="41" s="1"/>
  <c r="AA1006" i="41" s="1"/>
  <c r="I1006" i="42"/>
  <c r="A1007" i="41" s="1"/>
  <c r="AA1007" i="41" s="1"/>
  <c r="I1007" i="42"/>
  <c r="A1008" i="41" s="1"/>
  <c r="AA1008" i="41" s="1"/>
  <c r="I1008" i="42"/>
  <c r="A1009" i="41" s="1"/>
  <c r="AA1009" i="41" s="1"/>
  <c r="I1009" i="42"/>
  <c r="A1010" i="41" s="1"/>
  <c r="AA1010" i="41" s="1"/>
  <c r="I1010" i="42"/>
  <c r="A1011" i="41" s="1"/>
  <c r="AA1011" i="41" s="1"/>
  <c r="I1011" i="42"/>
  <c r="A1012" i="41" s="1"/>
  <c r="AA1012" i="41" s="1"/>
  <c r="I1012" i="42"/>
  <c r="A1013" i="41" s="1"/>
  <c r="AA1013" i="41" s="1"/>
  <c r="I1013" i="42"/>
  <c r="A1014" i="41" s="1"/>
  <c r="AA1014" i="41" s="1"/>
  <c r="I1014" i="42"/>
  <c r="A1015" i="41" s="1"/>
  <c r="AA1015" i="41" s="1"/>
  <c r="I1015" i="42"/>
  <c r="A1016" i="41" s="1"/>
  <c r="AA1016" i="41" s="1"/>
  <c r="I1016" i="42"/>
  <c r="A1017" i="41" s="1"/>
  <c r="AA1017" i="41" s="1"/>
  <c r="I1017" i="42"/>
  <c r="A1018" i="41" s="1"/>
  <c r="AA1018" i="41" s="1"/>
  <c r="I1018" i="42"/>
  <c r="A1019" i="41" s="1"/>
  <c r="AA1019" i="41" s="1"/>
  <c r="I1019" i="42"/>
  <c r="A1020" i="41" s="1"/>
  <c r="AA1020" i="41" s="1"/>
  <c r="I1020" i="42"/>
  <c r="A1021" i="41" s="1"/>
  <c r="AA1021" i="41" s="1"/>
  <c r="I1021" i="42"/>
  <c r="A1022" i="41" s="1"/>
  <c r="AA1022" i="41" s="1"/>
  <c r="I1022" i="42"/>
  <c r="A1023" i="41" s="1"/>
  <c r="AA1023" i="41" s="1"/>
  <c r="I1023" i="42"/>
  <c r="A1024" i="41" s="1"/>
  <c r="AA1024" i="41" s="1"/>
  <c r="I1024" i="42"/>
  <c r="A1025" i="41" s="1"/>
  <c r="AA1025" i="41" s="1"/>
  <c r="I1025" i="42"/>
  <c r="A1026" i="41" s="1"/>
  <c r="AA1026" i="41" s="1"/>
  <c r="I1026" i="42"/>
  <c r="A1027" i="41" s="1"/>
  <c r="AA1027" i="41" s="1"/>
  <c r="I1027" i="42"/>
  <c r="A1028" i="41" s="1"/>
  <c r="AA1028" i="41" s="1"/>
  <c r="I1028" i="42"/>
  <c r="A1029" i="41" s="1"/>
  <c r="AA1029" i="41" s="1"/>
  <c r="I1029" i="42"/>
  <c r="A1030" i="41" s="1"/>
  <c r="AA1030" i="41" s="1"/>
  <c r="I1030" i="42"/>
  <c r="A1031" i="41" s="1"/>
  <c r="AA1031" i="41" s="1"/>
  <c r="I1031" i="42"/>
  <c r="A1032" i="41" s="1"/>
  <c r="AA1032" i="41" s="1"/>
  <c r="I1032" i="42"/>
  <c r="A1033" i="41" s="1"/>
  <c r="AA1033" i="41" s="1"/>
  <c r="I1033" i="42"/>
  <c r="A1034" i="41" s="1"/>
  <c r="AA1034" i="41" s="1"/>
  <c r="I1034" i="42"/>
  <c r="A1035" i="41" s="1"/>
  <c r="AA1035" i="41" s="1"/>
  <c r="I1035" i="42"/>
  <c r="A1036" i="41" s="1"/>
  <c r="AA1036" i="41" s="1"/>
  <c r="I1036" i="42"/>
  <c r="A1037" i="41" s="1"/>
  <c r="AA1037" i="41" s="1"/>
  <c r="I1037" i="42"/>
  <c r="A1038" i="41" s="1"/>
  <c r="AA1038" i="41" s="1"/>
  <c r="I1038" i="42"/>
  <c r="A1039" i="41" s="1"/>
  <c r="AA1039" i="41" s="1"/>
  <c r="I1039" i="42"/>
  <c r="A1040" i="41" s="1"/>
  <c r="AA1040" i="41" s="1"/>
  <c r="I1040" i="42"/>
  <c r="A1041" i="41" s="1"/>
  <c r="AA1041" i="41" s="1"/>
  <c r="I1041" i="42"/>
  <c r="A1042" i="41" s="1"/>
  <c r="AA1042" i="41" s="1"/>
  <c r="I1042" i="42"/>
  <c r="A1043" i="41" s="1"/>
  <c r="AA1043" i="41" s="1"/>
  <c r="I1043" i="42"/>
  <c r="A1044" i="41" s="1"/>
  <c r="AA1044" i="41" s="1"/>
  <c r="I1044" i="42"/>
  <c r="A1045" i="41" s="1"/>
  <c r="AA1045" i="41" s="1"/>
  <c r="I1045" i="42"/>
  <c r="A1046" i="41" s="1"/>
  <c r="AA1046" i="41" s="1"/>
  <c r="I1046" i="42"/>
  <c r="A1047" i="41" s="1"/>
  <c r="AA1047" i="41" s="1"/>
  <c r="I1047" i="42"/>
  <c r="A1048" i="41" s="1"/>
  <c r="AA1048" i="41" s="1"/>
  <c r="I1048" i="42"/>
  <c r="A1049" i="41" s="1"/>
  <c r="AA1049" i="41" s="1"/>
  <c r="I1049" i="42"/>
  <c r="A1050" i="41" s="1"/>
  <c r="AA1050" i="41" s="1"/>
  <c r="I1050" i="42"/>
  <c r="A1051" i="41" s="1"/>
  <c r="AA1051" i="41" s="1"/>
  <c r="I1051" i="42"/>
  <c r="A1052" i="41" s="1"/>
  <c r="AA1052" i="41" s="1"/>
  <c r="I1052" i="42"/>
  <c r="A1053" i="41" s="1"/>
  <c r="AA1053" i="41" s="1"/>
  <c r="I1053" i="42"/>
  <c r="A1054" i="41" s="1"/>
  <c r="AA1054" i="41" s="1"/>
  <c r="I1054" i="42"/>
  <c r="A1055" i="41" s="1"/>
  <c r="AA1055" i="41" s="1"/>
  <c r="I1055" i="42"/>
  <c r="A1056" i="41" s="1"/>
  <c r="AA1056" i="41" s="1"/>
  <c r="I1056" i="42"/>
  <c r="A1057" i="41" s="1"/>
  <c r="AA1057" i="41" s="1"/>
  <c r="I1057" i="42"/>
  <c r="A1058" i="41" s="1"/>
  <c r="AA1058" i="41" s="1"/>
  <c r="I1058" i="42"/>
  <c r="A1059" i="41" s="1"/>
  <c r="AA1059" i="41" s="1"/>
  <c r="I1059" i="42"/>
  <c r="A1060" i="41" s="1"/>
  <c r="AA1060" i="41" s="1"/>
  <c r="I1060" i="42"/>
  <c r="A1061" i="41" s="1"/>
  <c r="AA1061" i="41" s="1"/>
  <c r="I1061" i="42"/>
  <c r="A1062" i="41" s="1"/>
  <c r="AA1062" i="41" s="1"/>
  <c r="I1062" i="42"/>
  <c r="A1063" i="41" s="1"/>
  <c r="AA1063" i="41" s="1"/>
  <c r="I1063" i="42"/>
  <c r="A1064" i="41" s="1"/>
  <c r="AA1064" i="41" s="1"/>
  <c r="I1064" i="42"/>
  <c r="A1065" i="41" s="1"/>
  <c r="AA1065" i="41" s="1"/>
  <c r="I1065" i="42"/>
  <c r="A1066" i="41" s="1"/>
  <c r="AA1066" i="41" s="1"/>
  <c r="I1066" i="42"/>
  <c r="A1067" i="41" s="1"/>
  <c r="AA1067" i="41" s="1"/>
  <c r="I1067" i="42"/>
  <c r="A1068" i="41" s="1"/>
  <c r="AA1068" i="41" s="1"/>
  <c r="I1068" i="42"/>
  <c r="A1069" i="41" s="1"/>
  <c r="AA1069" i="41" s="1"/>
  <c r="I1069" i="42"/>
  <c r="A1070" i="41" s="1"/>
  <c r="AA1070" i="41" s="1"/>
  <c r="I1070" i="42"/>
  <c r="A1071" i="41" s="1"/>
  <c r="AA1071" i="41" s="1"/>
  <c r="I1071" i="42"/>
  <c r="A1072" i="41" s="1"/>
  <c r="AA1072" i="41" s="1"/>
  <c r="I1072" i="42"/>
  <c r="A1073" i="41" s="1"/>
  <c r="AA1073" i="41" s="1"/>
  <c r="CC272" i="39" l="1"/>
  <c r="BZ272" i="39"/>
  <c r="AY272" i="39" s="1"/>
  <c r="CI272" i="39" s="1"/>
  <c r="BX272" i="39"/>
  <c r="BV272" i="39"/>
  <c r="BU272" i="39"/>
  <c r="BT272" i="39"/>
  <c r="CH272" i="39" s="1"/>
  <c r="BQ272" i="39"/>
  <c r="BL272" i="39"/>
  <c r="BG272" i="39"/>
  <c r="BC272" i="39"/>
  <c r="AK272" i="39"/>
  <c r="Y272" i="39"/>
  <c r="E272" i="39"/>
  <c r="P22" i="24"/>
  <c r="R22" i="24" s="1"/>
  <c r="P23" i="24"/>
  <c r="R23" i="24" s="1"/>
  <c r="P25" i="24"/>
  <c r="R25" i="24" s="1"/>
  <c r="P26" i="24"/>
  <c r="R26" i="24" s="1"/>
  <c r="P21" i="24"/>
  <c r="R21" i="24" s="1"/>
  <c r="P20" i="24"/>
  <c r="R20" i="24" s="1"/>
  <c r="P19" i="24"/>
  <c r="R19" i="24" s="1"/>
  <c r="P16" i="24"/>
  <c r="R16" i="24" s="1"/>
  <c r="P17" i="24"/>
  <c r="R17" i="24" s="1"/>
  <c r="CT272" i="39" l="1"/>
  <c r="AX272" i="39" s="1"/>
  <c r="F272" i="39"/>
  <c r="BF272" i="39"/>
  <c r="BO272" i="39"/>
  <c r="K272" i="39"/>
  <c r="CE272" i="39" s="1"/>
  <c r="B272" i="39"/>
  <c r="S272" i="39"/>
  <c r="CO272" i="39" s="1"/>
  <c r="Q272" i="39"/>
  <c r="N272" i="39" s="1"/>
  <c r="G272" i="39"/>
  <c r="J272" i="39" s="1"/>
  <c r="L272" i="39"/>
  <c r="O272" i="39" s="1"/>
  <c r="BH272" i="39" s="1"/>
  <c r="CP272" i="39"/>
  <c r="P272" i="39"/>
  <c r="P5" i="24"/>
  <c r="R5" i="24" s="1"/>
  <c r="P4" i="24"/>
  <c r="R4" i="24" s="1"/>
  <c r="M272" i="39" l="1"/>
  <c r="CM272" i="39"/>
  <c r="BN272" i="39"/>
  <c r="CA272" i="39"/>
  <c r="CJ272" i="39"/>
  <c r="CK272" i="39" s="1"/>
  <c r="BJ272" i="39"/>
  <c r="BI272" i="39"/>
  <c r="BK272" i="39"/>
  <c r="CR272" i="39"/>
  <c r="A272" i="39" s="1"/>
  <c r="AQ272" i="39" s="1"/>
  <c r="BS272" i="39"/>
  <c r="CD272" i="39" s="1"/>
  <c r="BP272" i="39"/>
  <c r="AK380" i="39"/>
  <c r="AK35" i="39"/>
  <c r="AK381" i="39"/>
  <c r="AK33" i="39"/>
  <c r="AK382" i="39"/>
  <c r="AK383" i="39"/>
  <c r="AK48" i="39"/>
  <c r="AK384" i="39"/>
  <c r="AK385" i="39"/>
  <c r="AK23" i="39"/>
  <c r="AK168" i="39"/>
  <c r="AK161" i="39"/>
  <c r="AK40" i="39"/>
  <c r="AK386" i="39"/>
  <c r="AK27" i="39"/>
  <c r="AK387" i="39"/>
  <c r="AK388" i="39"/>
  <c r="AK28" i="39"/>
  <c r="AK389" i="39"/>
  <c r="AK64" i="39"/>
  <c r="AK21" i="39"/>
  <c r="AK390" i="39"/>
  <c r="AK391" i="39"/>
  <c r="AK41" i="39"/>
  <c r="AK160" i="39"/>
  <c r="AK44" i="39"/>
  <c r="AK392" i="39"/>
  <c r="AK50" i="39"/>
  <c r="AK24" i="39"/>
  <c r="AK393" i="39"/>
  <c r="AK176" i="39"/>
  <c r="AK30" i="39"/>
  <c r="AK191" i="39"/>
  <c r="AK158" i="39"/>
  <c r="AK220" i="39"/>
  <c r="AK221" i="39"/>
  <c r="AK222" i="39"/>
  <c r="AK223" i="39"/>
  <c r="AK224" i="39"/>
  <c r="AK225" i="39"/>
  <c r="AK226" i="39"/>
  <c r="AK227" i="39"/>
  <c r="AK228" i="39"/>
  <c r="AK229" i="39"/>
  <c r="AK230" i="39"/>
  <c r="AK231" i="39"/>
  <c r="AK232" i="39"/>
  <c r="AK233" i="39"/>
  <c r="AK234" i="39"/>
  <c r="AK235" i="39"/>
  <c r="AK236" i="39"/>
  <c r="AK237" i="39"/>
  <c r="AK238" i="39"/>
  <c r="AK239" i="39"/>
  <c r="AK240" i="39"/>
  <c r="AK241" i="39"/>
  <c r="AK242" i="39"/>
  <c r="AK243" i="39"/>
  <c r="AK244" i="39"/>
  <c r="AK245" i="39"/>
  <c r="AK246" i="39"/>
  <c r="AK247" i="39"/>
  <c r="AK248" i="39"/>
  <c r="AK249" i="39"/>
  <c r="AK250" i="39"/>
  <c r="AK251" i="39"/>
  <c r="AK252" i="39"/>
  <c r="AK253" i="39"/>
  <c r="AK254" i="39"/>
  <c r="AK255" i="39"/>
  <c r="AK256" i="39"/>
  <c r="AK257" i="39"/>
  <c r="AK258" i="39"/>
  <c r="AK259" i="39"/>
  <c r="AK260" i="39"/>
  <c r="AK261" i="39"/>
  <c r="AK262" i="39"/>
  <c r="AK263" i="39"/>
  <c r="AK264" i="39"/>
  <c r="AK265" i="39"/>
  <c r="AK266" i="39"/>
  <c r="AK267" i="39"/>
  <c r="AK268" i="39"/>
  <c r="AK269" i="39"/>
  <c r="AK270" i="39"/>
  <c r="AK271" i="39"/>
  <c r="AK121" i="39"/>
  <c r="AK151" i="39"/>
  <c r="AK69" i="39"/>
  <c r="AK196" i="39"/>
  <c r="AK82" i="39"/>
  <c r="AK368" i="39"/>
  <c r="AK5" i="39"/>
  <c r="AK373" i="39"/>
  <c r="AK193" i="39"/>
  <c r="AK61" i="39"/>
  <c r="AK187" i="39"/>
  <c r="AK58" i="39"/>
  <c r="AK56" i="39"/>
  <c r="AK62" i="39"/>
  <c r="AK115" i="39"/>
  <c r="AK218" i="39"/>
  <c r="AK217" i="39"/>
  <c r="AK374" i="39"/>
  <c r="AK212" i="39"/>
  <c r="AK114" i="39"/>
  <c r="AK179" i="39"/>
  <c r="AK68" i="39"/>
  <c r="AK150" i="39"/>
  <c r="AK70" i="39"/>
  <c r="AK174" i="39"/>
  <c r="AK71" i="39"/>
  <c r="AK120" i="39"/>
  <c r="AK16" i="39"/>
  <c r="AK375" i="39"/>
  <c r="AK149" i="39"/>
  <c r="AK76" i="39"/>
  <c r="AK378" i="39"/>
  <c r="AK12" i="39"/>
  <c r="AK372" i="39"/>
  <c r="AK135" i="39"/>
  <c r="AK9" i="39"/>
  <c r="AK190" i="39"/>
  <c r="AK59" i="39"/>
  <c r="AK4" i="39"/>
  <c r="AK153" i="39"/>
  <c r="AK3" i="39"/>
  <c r="AK122" i="39"/>
  <c r="AK79" i="39"/>
  <c r="AK376" i="39"/>
  <c r="AK112" i="39"/>
  <c r="AK97" i="39"/>
  <c r="AK189" i="39"/>
  <c r="AK51" i="39"/>
  <c r="AK119" i="39"/>
  <c r="AK206" i="39"/>
  <c r="AK377" i="39"/>
  <c r="AK370" i="39"/>
  <c r="AK52" i="39"/>
  <c r="AK77" i="39"/>
  <c r="AK216" i="39"/>
  <c r="AK78" i="39"/>
  <c r="AK186" i="39"/>
  <c r="AK13" i="39"/>
  <c r="AK75" i="39"/>
  <c r="AK210" i="39"/>
  <c r="AK73" i="39"/>
  <c r="AK273" i="39"/>
  <c r="AK274" i="39"/>
  <c r="AK275" i="39"/>
  <c r="AK276" i="39"/>
  <c r="AK277" i="39"/>
  <c r="AK278" i="39"/>
  <c r="AK279" i="39"/>
  <c r="AK280" i="39"/>
  <c r="AK281" i="39"/>
  <c r="AK282" i="39"/>
  <c r="AK283" i="39"/>
  <c r="AK284" i="39"/>
  <c r="AK285" i="39"/>
  <c r="AK286" i="39"/>
  <c r="AK287" i="39"/>
  <c r="AK288" i="39"/>
  <c r="AK289" i="39"/>
  <c r="AK290" i="39"/>
  <c r="AK291" i="39"/>
  <c r="AK292" i="39"/>
  <c r="AK293" i="39"/>
  <c r="AK294" i="39"/>
  <c r="AK295" i="39"/>
  <c r="AK296" i="39"/>
  <c r="AK297" i="39"/>
  <c r="AK298" i="39"/>
  <c r="AK299" i="39"/>
  <c r="AK300" i="39"/>
  <c r="AK301" i="39"/>
  <c r="AK302" i="39"/>
  <c r="AK303" i="39"/>
  <c r="AK304" i="39"/>
  <c r="AK305" i="39"/>
  <c r="AK306" i="39"/>
  <c r="AK307" i="39"/>
  <c r="AK308" i="39"/>
  <c r="AK309" i="39"/>
  <c r="AK310" i="39"/>
  <c r="AK311" i="39"/>
  <c r="AK312" i="39"/>
  <c r="AK313" i="39"/>
  <c r="AK314" i="39"/>
  <c r="AK315" i="39"/>
  <c r="AK316" i="39"/>
  <c r="AK317" i="39"/>
  <c r="AK318" i="39"/>
  <c r="AK319" i="39"/>
  <c r="AK320" i="39"/>
  <c r="AK321" i="39"/>
  <c r="AK322" i="39"/>
  <c r="AK323" i="39"/>
  <c r="AK324" i="39"/>
  <c r="AK325" i="39"/>
  <c r="AK326" i="39"/>
  <c r="AK327" i="39"/>
  <c r="AK328" i="39"/>
  <c r="AK329" i="39"/>
  <c r="AK330" i="39"/>
  <c r="AK331" i="39"/>
  <c r="AK332" i="39"/>
  <c r="AK333" i="39"/>
  <c r="AK334" i="39"/>
  <c r="AK335" i="39"/>
  <c r="AK336" i="39"/>
  <c r="AK337" i="39"/>
  <c r="AK338" i="39"/>
  <c r="AK339" i="39"/>
  <c r="AK340" i="39"/>
  <c r="AK341" i="39"/>
  <c r="AK342" i="39"/>
  <c r="AK343" i="39"/>
  <c r="AK344" i="39"/>
  <c r="AK345" i="39"/>
  <c r="AK346" i="39"/>
  <c r="AK347" i="39"/>
  <c r="AK348" i="39"/>
  <c r="AK349" i="39"/>
  <c r="AK350" i="39"/>
  <c r="AK351" i="39"/>
  <c r="AK352" i="39"/>
  <c r="AK353" i="39"/>
  <c r="AK354" i="39"/>
  <c r="AK355" i="39"/>
  <c r="AK356" i="39"/>
  <c r="AK357" i="39"/>
  <c r="AK358" i="39"/>
  <c r="AK359" i="39"/>
  <c r="AK360" i="39"/>
  <c r="AK361" i="39"/>
  <c r="AK362" i="39"/>
  <c r="AK363" i="39"/>
  <c r="AK364" i="39"/>
  <c r="AK365" i="39"/>
  <c r="AK366" i="39"/>
  <c r="AK367" i="39"/>
  <c r="AK394" i="39"/>
  <c r="AK395" i="39"/>
  <c r="AK396" i="39"/>
  <c r="AK397" i="39"/>
  <c r="AK398" i="39"/>
  <c r="AK399" i="39"/>
  <c r="AK400" i="39"/>
  <c r="AK401" i="39"/>
  <c r="AK402" i="39"/>
  <c r="AK403" i="39"/>
  <c r="AK404" i="39"/>
  <c r="AK405" i="39"/>
  <c r="AK406" i="39"/>
  <c r="AK407" i="39"/>
  <c r="AK408" i="39"/>
  <c r="AK409" i="39"/>
  <c r="AK410" i="39"/>
  <c r="AK411" i="39"/>
  <c r="U143" i="39"/>
  <c r="V143" i="39"/>
  <c r="U144" i="39"/>
  <c r="V144" i="39"/>
  <c r="Y144" i="39"/>
  <c r="U101" i="39"/>
  <c r="V101" i="39"/>
  <c r="BR272" i="39" l="1"/>
  <c r="CB272" i="39"/>
  <c r="CF272" i="39" s="1"/>
  <c r="E34" i="39"/>
  <c r="F34" i="39" s="1"/>
  <c r="E36" i="39"/>
  <c r="F36" i="39" s="1"/>
  <c r="E175" i="39"/>
  <c r="F175" i="39" s="1"/>
  <c r="E177" i="39"/>
  <c r="F177" i="39" s="1"/>
  <c r="E380" i="39"/>
  <c r="F380" i="39" s="1"/>
  <c r="E35" i="39"/>
  <c r="F35" i="39" s="1"/>
  <c r="E381" i="39"/>
  <c r="F381" i="39" s="1"/>
  <c r="E33" i="39"/>
  <c r="E382" i="39"/>
  <c r="F382" i="39" s="1"/>
  <c r="E383" i="39"/>
  <c r="F383" i="39" s="1"/>
  <c r="E32" i="39"/>
  <c r="F32" i="39" s="1"/>
  <c r="E167" i="39"/>
  <c r="F167" i="39" s="1"/>
  <c r="E31" i="39"/>
  <c r="E163" i="39"/>
  <c r="F163" i="39" s="1"/>
  <c r="E162" i="39"/>
  <c r="F162" i="39" s="1"/>
  <c r="E203" i="39"/>
  <c r="F203" i="39" s="1"/>
  <c r="E204" i="39"/>
  <c r="F204" i="39" s="1"/>
  <c r="E49" i="39"/>
  <c r="F49" i="39" s="1"/>
  <c r="E202" i="39"/>
  <c r="F202" i="39" s="1"/>
  <c r="E48" i="39"/>
  <c r="F48" i="39" s="1"/>
  <c r="E384" i="39"/>
  <c r="F384" i="39" s="1"/>
  <c r="E385" i="39"/>
  <c r="F385" i="39" s="1"/>
  <c r="E23" i="39"/>
  <c r="F23" i="39" s="1"/>
  <c r="E168" i="39"/>
  <c r="E161" i="39"/>
  <c r="F161" i="39" s="1"/>
  <c r="E40" i="39"/>
  <c r="F40" i="39" s="1"/>
  <c r="E386" i="39"/>
  <c r="F386" i="39" s="1"/>
  <c r="E26" i="39"/>
  <c r="F26" i="39" s="1"/>
  <c r="E131" i="39"/>
  <c r="F131" i="39" s="1"/>
  <c r="E27" i="39"/>
  <c r="F27" i="39" s="1"/>
  <c r="E387" i="39"/>
  <c r="F387" i="39" s="1"/>
  <c r="E388" i="39"/>
  <c r="F388" i="39" s="1"/>
  <c r="E129" i="39"/>
  <c r="F129" i="39" s="1"/>
  <c r="E128" i="39"/>
  <c r="F128" i="39" s="1"/>
  <c r="E28" i="39"/>
  <c r="F28" i="39" s="1"/>
  <c r="E389" i="39"/>
  <c r="F389" i="39" s="1"/>
  <c r="E164" i="39"/>
  <c r="F164" i="39" s="1"/>
  <c r="E29" i="39"/>
  <c r="F29" i="39" s="1"/>
  <c r="E166" i="39"/>
  <c r="F166" i="39" s="1"/>
  <c r="E64" i="39"/>
  <c r="F64" i="39" s="1"/>
  <c r="E165" i="39"/>
  <c r="F165" i="39" s="1"/>
  <c r="E152" i="39"/>
  <c r="F152" i="39" s="1"/>
  <c r="E156" i="39"/>
  <c r="F156" i="39" s="1"/>
  <c r="E22" i="39"/>
  <c r="F22" i="39" s="1"/>
  <c r="E155" i="39"/>
  <c r="F155" i="39" s="1"/>
  <c r="E21" i="39"/>
  <c r="F21" i="39" s="1"/>
  <c r="E390" i="39"/>
  <c r="F390" i="39" s="1"/>
  <c r="E391" i="39"/>
  <c r="F391" i="39" s="1"/>
  <c r="E19" i="39"/>
  <c r="F19" i="39" s="1"/>
  <c r="E20" i="39"/>
  <c r="F20" i="39" s="1"/>
  <c r="E159" i="39"/>
  <c r="F159" i="39" s="1"/>
  <c r="E42" i="39"/>
  <c r="F42" i="39" s="1"/>
  <c r="E43" i="39"/>
  <c r="F43" i="39" s="1"/>
  <c r="E41" i="39"/>
  <c r="F41" i="39" s="1"/>
  <c r="E160" i="39"/>
  <c r="F160" i="39" s="1"/>
  <c r="E157" i="39"/>
  <c r="F157" i="39" s="1"/>
  <c r="E45" i="39"/>
  <c r="F45" i="39" s="1"/>
  <c r="E44" i="39"/>
  <c r="F44" i="39" s="1"/>
  <c r="E46" i="39"/>
  <c r="F46" i="39" s="1"/>
  <c r="E392" i="39"/>
  <c r="F392" i="39" s="1"/>
  <c r="E17" i="39"/>
  <c r="F17" i="39" s="1"/>
  <c r="E124" i="39"/>
  <c r="F124" i="39" s="1"/>
  <c r="E18" i="39"/>
  <c r="F18" i="39" s="1"/>
  <c r="E219" i="39"/>
  <c r="F219" i="39" s="1"/>
  <c r="E25" i="39"/>
  <c r="F25" i="39" s="1"/>
  <c r="E50" i="39"/>
  <c r="F50" i="39" s="1"/>
  <c r="E24" i="39"/>
  <c r="F24" i="39" s="1"/>
  <c r="E393" i="39"/>
  <c r="F393" i="39" s="1"/>
  <c r="E123" i="39"/>
  <c r="F123" i="39" s="1"/>
  <c r="E176" i="39"/>
  <c r="F176" i="39" s="1"/>
  <c r="E30" i="39"/>
  <c r="F30" i="39" s="1"/>
  <c r="E192" i="39"/>
  <c r="F192" i="39" s="1"/>
  <c r="E191" i="39"/>
  <c r="F191" i="39" s="1"/>
  <c r="E158" i="39"/>
  <c r="F158" i="39" s="1"/>
  <c r="E98" i="39"/>
  <c r="F98" i="39" s="1"/>
  <c r="E47" i="39"/>
  <c r="F47" i="39" s="1"/>
  <c r="E220" i="39"/>
  <c r="F220" i="39" s="1"/>
  <c r="E221" i="39"/>
  <c r="F221" i="39" s="1"/>
  <c r="E222" i="39"/>
  <c r="F222" i="39" s="1"/>
  <c r="E223" i="39"/>
  <c r="F223" i="39" s="1"/>
  <c r="E224" i="39"/>
  <c r="F224" i="39" s="1"/>
  <c r="E225" i="39"/>
  <c r="F225" i="39" s="1"/>
  <c r="E226" i="39"/>
  <c r="F226" i="39" s="1"/>
  <c r="E227" i="39"/>
  <c r="F227" i="39" s="1"/>
  <c r="E228" i="39"/>
  <c r="F228" i="39" s="1"/>
  <c r="E229" i="39"/>
  <c r="F229" i="39" s="1"/>
  <c r="E230" i="39"/>
  <c r="F230" i="39" s="1"/>
  <c r="E231" i="39"/>
  <c r="F231" i="39" s="1"/>
  <c r="E232" i="39"/>
  <c r="F232" i="39" s="1"/>
  <c r="E233" i="39"/>
  <c r="F233" i="39" s="1"/>
  <c r="E234" i="39"/>
  <c r="F234" i="39" s="1"/>
  <c r="E235" i="39"/>
  <c r="F235" i="39" s="1"/>
  <c r="E236" i="39"/>
  <c r="F236" i="39" s="1"/>
  <c r="E237" i="39"/>
  <c r="F237" i="39" s="1"/>
  <c r="E238" i="39"/>
  <c r="F238" i="39" s="1"/>
  <c r="E239" i="39"/>
  <c r="F239" i="39" s="1"/>
  <c r="E240" i="39"/>
  <c r="F240" i="39" s="1"/>
  <c r="E241" i="39"/>
  <c r="E242" i="39"/>
  <c r="E243" i="39"/>
  <c r="E244" i="39"/>
  <c r="E245" i="39"/>
  <c r="E246" i="39"/>
  <c r="E247" i="39"/>
  <c r="E248" i="39"/>
  <c r="E249" i="39"/>
  <c r="E250" i="39"/>
  <c r="E251" i="39"/>
  <c r="E252" i="39"/>
  <c r="E253" i="39"/>
  <c r="E254" i="39"/>
  <c r="E255" i="39"/>
  <c r="F255" i="39" s="1"/>
  <c r="E256" i="39"/>
  <c r="E257" i="39"/>
  <c r="E258" i="39"/>
  <c r="E259" i="39"/>
  <c r="E260" i="39"/>
  <c r="E261" i="39"/>
  <c r="E262" i="39"/>
  <c r="E263" i="39"/>
  <c r="E264" i="39"/>
  <c r="E265" i="39"/>
  <c r="E266" i="39"/>
  <c r="E267" i="39"/>
  <c r="E268" i="39"/>
  <c r="E269" i="39"/>
  <c r="F269" i="39" s="1"/>
  <c r="E270" i="39"/>
  <c r="E271" i="39"/>
  <c r="E178" i="39"/>
  <c r="CC271" i="39"/>
  <c r="BZ271" i="39"/>
  <c r="AY271" i="39" s="1"/>
  <c r="CI271" i="39" s="1"/>
  <c r="BX271" i="39"/>
  <c r="BV271" i="39"/>
  <c r="BU271" i="39"/>
  <c r="BT271" i="39"/>
  <c r="CH271" i="39" s="1"/>
  <c r="BQ271" i="39"/>
  <c r="BL271" i="39"/>
  <c r="BG271" i="39"/>
  <c r="BC271" i="39"/>
  <c r="Y271" i="39"/>
  <c r="CC270" i="39"/>
  <c r="BZ270" i="39"/>
  <c r="AY270" i="39" s="1"/>
  <c r="CI270" i="39" s="1"/>
  <c r="BX270" i="39"/>
  <c r="BV270" i="39"/>
  <c r="BU270" i="39"/>
  <c r="BT270" i="39"/>
  <c r="CH270" i="39" s="1"/>
  <c r="BQ270" i="39"/>
  <c r="BL270" i="39"/>
  <c r="BG270" i="39"/>
  <c r="BC270" i="39"/>
  <c r="Y270" i="39"/>
  <c r="CC269" i="39"/>
  <c r="BZ269" i="39"/>
  <c r="AY269" i="39" s="1"/>
  <c r="CI269" i="39" s="1"/>
  <c r="BX269" i="39"/>
  <c r="BV269" i="39"/>
  <c r="BU269" i="39"/>
  <c r="BT269" i="39"/>
  <c r="CH269" i="39" s="1"/>
  <c r="BQ269" i="39"/>
  <c r="BL269" i="39"/>
  <c r="BG269" i="39"/>
  <c r="BC269" i="39"/>
  <c r="Y269" i="39"/>
  <c r="CC268" i="39"/>
  <c r="BZ268" i="39"/>
  <c r="AY268" i="39" s="1"/>
  <c r="CI268" i="39" s="1"/>
  <c r="BX268" i="39"/>
  <c r="BV268" i="39"/>
  <c r="BU268" i="39"/>
  <c r="BT268" i="39"/>
  <c r="CH268" i="39" s="1"/>
  <c r="BQ268" i="39"/>
  <c r="BL268" i="39"/>
  <c r="BG268" i="39"/>
  <c r="BC268" i="39"/>
  <c r="Y268" i="39"/>
  <c r="CC267" i="39"/>
  <c r="BZ267" i="39"/>
  <c r="AY267" i="39" s="1"/>
  <c r="CI267" i="39" s="1"/>
  <c r="BX267" i="39"/>
  <c r="BV267" i="39"/>
  <c r="BU267" i="39"/>
  <c r="BT267" i="39"/>
  <c r="CH267" i="39" s="1"/>
  <c r="BQ267" i="39"/>
  <c r="BL267" i="39"/>
  <c r="BG267" i="39"/>
  <c r="BC267" i="39"/>
  <c r="Y267" i="39"/>
  <c r="CC266" i="39"/>
  <c r="BZ266" i="39"/>
  <c r="AY266" i="39" s="1"/>
  <c r="CI266" i="39" s="1"/>
  <c r="BX266" i="39"/>
  <c r="BV266" i="39"/>
  <c r="BU266" i="39"/>
  <c r="BT266" i="39"/>
  <c r="CH266" i="39" s="1"/>
  <c r="BQ266" i="39"/>
  <c r="BL266" i="39"/>
  <c r="BG266" i="39"/>
  <c r="BC266" i="39"/>
  <c r="Y266" i="39"/>
  <c r="CC265" i="39"/>
  <c r="BZ265" i="39"/>
  <c r="AY265" i="39" s="1"/>
  <c r="CI265" i="39" s="1"/>
  <c r="BX265" i="39"/>
  <c r="BV265" i="39"/>
  <c r="BU265" i="39"/>
  <c r="BT265" i="39"/>
  <c r="CH265" i="39" s="1"/>
  <c r="BQ265" i="39"/>
  <c r="BL265" i="39"/>
  <c r="BG265" i="39"/>
  <c r="BC265" i="39"/>
  <c r="Y265" i="39"/>
  <c r="CC264" i="39"/>
  <c r="BZ264" i="39"/>
  <c r="AY264" i="39" s="1"/>
  <c r="CI264" i="39" s="1"/>
  <c r="BX264" i="39"/>
  <c r="BV264" i="39"/>
  <c r="BU264" i="39"/>
  <c r="BT264" i="39"/>
  <c r="CH264" i="39" s="1"/>
  <c r="BQ264" i="39"/>
  <c r="BL264" i="39"/>
  <c r="BG264" i="39"/>
  <c r="BC264" i="39"/>
  <c r="Y264" i="39"/>
  <c r="CC263" i="39"/>
  <c r="BZ263" i="39"/>
  <c r="AY263" i="39" s="1"/>
  <c r="CI263" i="39" s="1"/>
  <c r="BX263" i="39"/>
  <c r="BV263" i="39"/>
  <c r="BU263" i="39"/>
  <c r="BT263" i="39"/>
  <c r="CH263" i="39" s="1"/>
  <c r="BQ263" i="39"/>
  <c r="BL263" i="39"/>
  <c r="BG263" i="39"/>
  <c r="BC263" i="39"/>
  <c r="Y263" i="39"/>
  <c r="CC262" i="39"/>
  <c r="BZ262" i="39"/>
  <c r="AY262" i="39" s="1"/>
  <c r="CI262" i="39" s="1"/>
  <c r="BX262" i="39"/>
  <c r="BV262" i="39"/>
  <c r="BU262" i="39"/>
  <c r="BT262" i="39"/>
  <c r="CH262" i="39" s="1"/>
  <c r="BQ262" i="39"/>
  <c r="BL262" i="39"/>
  <c r="BG262" i="39"/>
  <c r="BC262" i="39"/>
  <c r="Y262" i="39"/>
  <c r="CC261" i="39"/>
  <c r="BZ261" i="39"/>
  <c r="AY261" i="39" s="1"/>
  <c r="CI261" i="39" s="1"/>
  <c r="BX261" i="39"/>
  <c r="BV261" i="39"/>
  <c r="BU261" i="39"/>
  <c r="BT261" i="39"/>
  <c r="CH261" i="39" s="1"/>
  <c r="BQ261" i="39"/>
  <c r="BL261" i="39"/>
  <c r="BG261" i="39"/>
  <c r="BC261" i="39"/>
  <c r="Y261" i="39"/>
  <c r="CC260" i="39"/>
  <c r="BZ260" i="39"/>
  <c r="AY260" i="39" s="1"/>
  <c r="CI260" i="39" s="1"/>
  <c r="BX260" i="39"/>
  <c r="BV260" i="39"/>
  <c r="BU260" i="39"/>
  <c r="BT260" i="39"/>
  <c r="CH260" i="39" s="1"/>
  <c r="BQ260" i="39"/>
  <c r="BL260" i="39"/>
  <c r="BG260" i="39"/>
  <c r="BC260" i="39"/>
  <c r="Y260" i="39"/>
  <c r="CC259" i="39"/>
  <c r="BZ259" i="39"/>
  <c r="AY259" i="39" s="1"/>
  <c r="CI259" i="39" s="1"/>
  <c r="BX259" i="39"/>
  <c r="BV259" i="39"/>
  <c r="BU259" i="39"/>
  <c r="BT259" i="39"/>
  <c r="CH259" i="39" s="1"/>
  <c r="BQ259" i="39"/>
  <c r="BL259" i="39"/>
  <c r="BG259" i="39"/>
  <c r="BC259" i="39"/>
  <c r="Y259" i="39"/>
  <c r="CC258" i="39"/>
  <c r="BZ258" i="39"/>
  <c r="AY258" i="39" s="1"/>
  <c r="CI258" i="39" s="1"/>
  <c r="BX258" i="39"/>
  <c r="BV258" i="39"/>
  <c r="BU258" i="39"/>
  <c r="BT258" i="39"/>
  <c r="CH258" i="39" s="1"/>
  <c r="BQ258" i="39"/>
  <c r="BL258" i="39"/>
  <c r="BG258" i="39"/>
  <c r="BC258" i="39"/>
  <c r="Y258" i="39"/>
  <c r="CC257" i="39"/>
  <c r="BZ257" i="39"/>
  <c r="AY257" i="39" s="1"/>
  <c r="CI257" i="39" s="1"/>
  <c r="BX257" i="39"/>
  <c r="BV257" i="39"/>
  <c r="BU257" i="39"/>
  <c r="BT257" i="39"/>
  <c r="CH257" i="39" s="1"/>
  <c r="BQ257" i="39"/>
  <c r="BL257" i="39"/>
  <c r="BG257" i="39"/>
  <c r="BC257" i="39"/>
  <c r="Y257" i="39"/>
  <c r="CC256" i="39"/>
  <c r="BZ256" i="39"/>
  <c r="AY256" i="39" s="1"/>
  <c r="CI256" i="39" s="1"/>
  <c r="BX256" i="39"/>
  <c r="BV256" i="39"/>
  <c r="BU256" i="39"/>
  <c r="BT256" i="39"/>
  <c r="CH256" i="39" s="1"/>
  <c r="BQ256" i="39"/>
  <c r="BL256" i="39"/>
  <c r="BG256" i="39"/>
  <c r="BC256" i="39"/>
  <c r="Y256" i="39"/>
  <c r="CC255" i="39"/>
  <c r="BZ255" i="39"/>
  <c r="AY255" i="39" s="1"/>
  <c r="CI255" i="39" s="1"/>
  <c r="BX255" i="39"/>
  <c r="BV255" i="39"/>
  <c r="BU255" i="39"/>
  <c r="BT255" i="39"/>
  <c r="CH255" i="39" s="1"/>
  <c r="BQ255" i="39"/>
  <c r="BL255" i="39"/>
  <c r="BG255" i="39"/>
  <c r="BC255" i="39"/>
  <c r="Y255" i="39"/>
  <c r="CC254" i="39"/>
  <c r="BZ254" i="39"/>
  <c r="AY254" i="39" s="1"/>
  <c r="CI254" i="39" s="1"/>
  <c r="BX254" i="39"/>
  <c r="BV254" i="39"/>
  <c r="BU254" i="39"/>
  <c r="BT254" i="39"/>
  <c r="CH254" i="39" s="1"/>
  <c r="BQ254" i="39"/>
  <c r="BL254" i="39"/>
  <c r="BG254" i="39"/>
  <c r="BC254" i="39"/>
  <c r="Y254" i="39"/>
  <c r="CC253" i="39"/>
  <c r="BZ253" i="39"/>
  <c r="AY253" i="39" s="1"/>
  <c r="CI253" i="39" s="1"/>
  <c r="BX253" i="39"/>
  <c r="BV253" i="39"/>
  <c r="BU253" i="39"/>
  <c r="BT253" i="39"/>
  <c r="CH253" i="39" s="1"/>
  <c r="BQ253" i="39"/>
  <c r="BL253" i="39"/>
  <c r="BG253" i="39"/>
  <c r="BC253" i="39"/>
  <c r="Y253" i="39"/>
  <c r="CC252" i="39"/>
  <c r="BZ252" i="39"/>
  <c r="AY252" i="39" s="1"/>
  <c r="CI252" i="39" s="1"/>
  <c r="BX252" i="39"/>
  <c r="BV252" i="39"/>
  <c r="BU252" i="39"/>
  <c r="BT252" i="39"/>
  <c r="CH252" i="39" s="1"/>
  <c r="BQ252" i="39"/>
  <c r="BL252" i="39"/>
  <c r="BG252" i="39"/>
  <c r="BC252" i="39"/>
  <c r="Y252" i="39"/>
  <c r="CC251" i="39"/>
  <c r="BZ251" i="39"/>
  <c r="AY251" i="39" s="1"/>
  <c r="CI251" i="39" s="1"/>
  <c r="BX251" i="39"/>
  <c r="BV251" i="39"/>
  <c r="BU251" i="39"/>
  <c r="BT251" i="39"/>
  <c r="CH251" i="39" s="1"/>
  <c r="BQ251" i="39"/>
  <c r="BL251" i="39"/>
  <c r="BG251" i="39"/>
  <c r="BC251" i="39"/>
  <c r="Y251" i="39"/>
  <c r="E55" i="40"/>
  <c r="D55" i="40"/>
  <c r="C55" i="40"/>
  <c r="B55" i="40"/>
  <c r="E54" i="40"/>
  <c r="D54" i="40"/>
  <c r="C54" i="40"/>
  <c r="B54" i="40"/>
  <c r="E53" i="40"/>
  <c r="D53" i="40"/>
  <c r="C53" i="40"/>
  <c r="B53" i="40"/>
  <c r="E52" i="40"/>
  <c r="D52" i="40"/>
  <c r="C52" i="40"/>
  <c r="B52" i="40"/>
  <c r="E51" i="40"/>
  <c r="D51" i="40"/>
  <c r="C51" i="40"/>
  <c r="B51" i="40"/>
  <c r="E50" i="40"/>
  <c r="D50" i="40"/>
  <c r="C50" i="40"/>
  <c r="B50" i="40"/>
  <c r="E49" i="40"/>
  <c r="D49" i="40"/>
  <c r="C49" i="40"/>
  <c r="B49" i="40"/>
  <c r="E48" i="40"/>
  <c r="D48" i="40"/>
  <c r="C48" i="40"/>
  <c r="B48" i="40"/>
  <c r="E47" i="40"/>
  <c r="D47" i="40"/>
  <c r="C47" i="40"/>
  <c r="B47" i="40"/>
  <c r="E46" i="40"/>
  <c r="D46" i="40"/>
  <c r="C46" i="40"/>
  <c r="B46" i="40"/>
  <c r="E45" i="40"/>
  <c r="D45" i="40"/>
  <c r="C45" i="40"/>
  <c r="B45" i="40"/>
  <c r="E44" i="40"/>
  <c r="D44" i="40"/>
  <c r="C44" i="40"/>
  <c r="B44" i="40"/>
  <c r="E43" i="40"/>
  <c r="D43" i="40"/>
  <c r="C43" i="40"/>
  <c r="B43" i="40"/>
  <c r="E42" i="40"/>
  <c r="D42" i="40"/>
  <c r="C42" i="40"/>
  <c r="B42" i="40"/>
  <c r="E41" i="40"/>
  <c r="D41" i="40"/>
  <c r="C41" i="40"/>
  <c r="B41" i="40"/>
  <c r="E40" i="40"/>
  <c r="D40" i="40"/>
  <c r="C40" i="40"/>
  <c r="B40" i="40"/>
  <c r="E97" i="40"/>
  <c r="D97" i="40"/>
  <c r="C97" i="40"/>
  <c r="B97" i="40"/>
  <c r="E96" i="40"/>
  <c r="D96" i="40"/>
  <c r="C96" i="40"/>
  <c r="B96" i="40"/>
  <c r="E95" i="40"/>
  <c r="D95" i="40"/>
  <c r="C95" i="40"/>
  <c r="B95" i="40"/>
  <c r="E94" i="40"/>
  <c r="D94" i="40"/>
  <c r="C94" i="40"/>
  <c r="B94" i="40"/>
  <c r="E93" i="40"/>
  <c r="D93" i="40"/>
  <c r="C93" i="40"/>
  <c r="B93" i="40"/>
  <c r="E92" i="40"/>
  <c r="D92" i="40"/>
  <c r="C92" i="40"/>
  <c r="B92" i="40"/>
  <c r="E91" i="40"/>
  <c r="D91" i="40"/>
  <c r="C91" i="40"/>
  <c r="B91" i="40"/>
  <c r="E90" i="40"/>
  <c r="D90" i="40"/>
  <c r="C90" i="40"/>
  <c r="B90" i="40"/>
  <c r="E89" i="40"/>
  <c r="D89" i="40"/>
  <c r="C89" i="40"/>
  <c r="B89" i="40"/>
  <c r="E88" i="40"/>
  <c r="D88" i="40"/>
  <c r="C88" i="40"/>
  <c r="B88" i="40"/>
  <c r="E87" i="40"/>
  <c r="D87" i="40"/>
  <c r="C87" i="40"/>
  <c r="B87" i="40"/>
  <c r="E86" i="40"/>
  <c r="D86" i="40"/>
  <c r="C86" i="40"/>
  <c r="B86" i="40"/>
  <c r="E85" i="40"/>
  <c r="D85" i="40"/>
  <c r="C85" i="40"/>
  <c r="B85" i="40"/>
  <c r="E84" i="40"/>
  <c r="D84" i="40"/>
  <c r="C84" i="40"/>
  <c r="B84" i="40"/>
  <c r="E83" i="40"/>
  <c r="D83" i="40"/>
  <c r="C83" i="40"/>
  <c r="B83" i="40"/>
  <c r="E82" i="40"/>
  <c r="D82" i="40"/>
  <c r="C82" i="40"/>
  <c r="B82" i="40"/>
  <c r="E81" i="40"/>
  <c r="D81" i="40"/>
  <c r="C81" i="40"/>
  <c r="B81" i="40"/>
  <c r="E80" i="40"/>
  <c r="D80" i="40"/>
  <c r="C80" i="40"/>
  <c r="B80" i="40"/>
  <c r="E79" i="40"/>
  <c r="D79" i="40"/>
  <c r="C79" i="40"/>
  <c r="B79" i="40"/>
  <c r="E78" i="40"/>
  <c r="D78" i="40"/>
  <c r="C78" i="40"/>
  <c r="B78" i="40"/>
  <c r="E77" i="40"/>
  <c r="D77" i="40"/>
  <c r="C77" i="40"/>
  <c r="B77" i="40"/>
  <c r="E76" i="40"/>
  <c r="D76" i="40"/>
  <c r="C76" i="40"/>
  <c r="B76" i="40"/>
  <c r="E75" i="40"/>
  <c r="D75" i="40"/>
  <c r="C75" i="40"/>
  <c r="B75" i="40"/>
  <c r="AC6" i="40" l="1"/>
  <c r="Y6" i="40"/>
  <c r="X6" i="40"/>
  <c r="R6" i="40"/>
  <c r="P6" i="40"/>
  <c r="H6" i="40"/>
  <c r="J6" i="40"/>
  <c r="F31" i="39"/>
  <c r="AP102" i="39"/>
  <c r="B265" i="39"/>
  <c r="F265" i="39"/>
  <c r="Q251" i="39"/>
  <c r="N251" i="39" s="1"/>
  <c r="F251" i="39"/>
  <c r="F168" i="39"/>
  <c r="P264" i="39"/>
  <c r="F264" i="39"/>
  <c r="AP250" i="39"/>
  <c r="F250" i="39"/>
  <c r="BF263" i="39"/>
  <c r="F263" i="39"/>
  <c r="AP249" i="39"/>
  <c r="F249" i="39"/>
  <c r="F33" i="39"/>
  <c r="Q253" i="39"/>
  <c r="N253" i="39" s="1"/>
  <c r="F253" i="39"/>
  <c r="Q261" i="39"/>
  <c r="N261" i="39" s="1"/>
  <c r="F261" i="39"/>
  <c r="AP247" i="39"/>
  <c r="F247" i="39"/>
  <c r="CT267" i="39"/>
  <c r="AX267" i="39" s="1"/>
  <c r="F267" i="39"/>
  <c r="AP252" i="39"/>
  <c r="F252" i="39"/>
  <c r="G260" i="39"/>
  <c r="J260" i="39" s="1"/>
  <c r="F260" i="39"/>
  <c r="Q246" i="39"/>
  <c r="N246" i="39" s="1"/>
  <c r="F246" i="39"/>
  <c r="CP259" i="39"/>
  <c r="F259" i="39"/>
  <c r="AP245" i="39"/>
  <c r="F245" i="39"/>
  <c r="F178" i="39"/>
  <c r="J120" i="40"/>
  <c r="H118" i="40"/>
  <c r="AC116" i="40"/>
  <c r="AB115" i="40"/>
  <c r="Z114" i="40"/>
  <c r="Y113" i="40"/>
  <c r="X112" i="40"/>
  <c r="W111" i="40"/>
  <c r="AC117" i="40"/>
  <c r="Z116" i="40"/>
  <c r="X115" i="40"/>
  <c r="R114" i="40"/>
  <c r="P113" i="40"/>
  <c r="J112" i="40"/>
  <c r="H111" i="40"/>
  <c r="AC109" i="40"/>
  <c r="AB108" i="40"/>
  <c r="Z107" i="40"/>
  <c r="Y106" i="40"/>
  <c r="X105" i="40"/>
  <c r="W104" i="40"/>
  <c r="R103" i="40"/>
  <c r="Q102" i="40"/>
  <c r="P101" i="40"/>
  <c r="J99" i="40"/>
  <c r="H97" i="40"/>
  <c r="AC95" i="40"/>
  <c r="AB94" i="40"/>
  <c r="Z93" i="40"/>
  <c r="Y92" i="40"/>
  <c r="X91" i="40"/>
  <c r="W90" i="40"/>
  <c r="R89" i="40"/>
  <c r="Q88" i="40"/>
  <c r="P87" i="40"/>
  <c r="J85" i="40"/>
  <c r="H83" i="40"/>
  <c r="AC81" i="40"/>
  <c r="AB80" i="40"/>
  <c r="Z79" i="40"/>
  <c r="Y78" i="40"/>
  <c r="W76" i="40"/>
  <c r="R75" i="40"/>
  <c r="Q74" i="40"/>
  <c r="J71" i="40"/>
  <c r="AC67" i="40"/>
  <c r="AB66" i="40"/>
  <c r="Z65" i="40"/>
  <c r="Y64" i="40"/>
  <c r="W62" i="40"/>
  <c r="R61" i="40"/>
  <c r="Q60" i="40"/>
  <c r="J57" i="40"/>
  <c r="AC53" i="40"/>
  <c r="AB52" i="40"/>
  <c r="Z51" i="40"/>
  <c r="Y50" i="40"/>
  <c r="W48" i="40"/>
  <c r="R47" i="40"/>
  <c r="Q46" i="40"/>
  <c r="J43" i="40"/>
  <c r="AC39" i="40"/>
  <c r="AB38" i="40"/>
  <c r="Z37" i="40"/>
  <c r="Y36" i="40"/>
  <c r="W34" i="40"/>
  <c r="R33" i="40"/>
  <c r="Q32" i="40"/>
  <c r="J29" i="40"/>
  <c r="AC25" i="40"/>
  <c r="AB24" i="40"/>
  <c r="Y22" i="40"/>
  <c r="H120" i="40"/>
  <c r="AC118" i="40"/>
  <c r="Z117" i="40"/>
  <c r="X116" i="40"/>
  <c r="R115" i="40"/>
  <c r="P114" i="40"/>
  <c r="J113" i="40"/>
  <c r="H112" i="40"/>
  <c r="AB110" i="40"/>
  <c r="Z109" i="40"/>
  <c r="Y108" i="40"/>
  <c r="X107" i="40"/>
  <c r="W106" i="40"/>
  <c r="R105" i="40"/>
  <c r="Q104" i="40"/>
  <c r="P103" i="40"/>
  <c r="J101" i="40"/>
  <c r="H99" i="40"/>
  <c r="AC97" i="40"/>
  <c r="AB96" i="40"/>
  <c r="Z95" i="40"/>
  <c r="Y94" i="40"/>
  <c r="X93" i="40"/>
  <c r="W92" i="40"/>
  <c r="R91" i="40"/>
  <c r="Q90" i="40"/>
  <c r="P89" i="40"/>
  <c r="J87" i="40"/>
  <c r="H85" i="40"/>
  <c r="AC83" i="40"/>
  <c r="AB82" i="40"/>
  <c r="Y80" i="40"/>
  <c r="W78" i="40"/>
  <c r="R77" i="40"/>
  <c r="Q76" i="40"/>
  <c r="J73" i="40"/>
  <c r="AC69" i="40"/>
  <c r="AB68" i="40"/>
  <c r="Y66" i="40"/>
  <c r="W64" i="40"/>
  <c r="R63" i="40"/>
  <c r="Q62" i="40"/>
  <c r="J59" i="40"/>
  <c r="AC55" i="40"/>
  <c r="AB54" i="40"/>
  <c r="Z53" i="40"/>
  <c r="Y52" i="40"/>
  <c r="W50" i="40"/>
  <c r="R49" i="40"/>
  <c r="Q48" i="40"/>
  <c r="J45" i="40"/>
  <c r="AC41" i="40"/>
  <c r="AB40" i="40"/>
  <c r="Y38" i="40"/>
  <c r="W36" i="40"/>
  <c r="R35" i="40"/>
  <c r="Q34" i="40"/>
  <c r="J31" i="40"/>
  <c r="AC27" i="40"/>
  <c r="AB26" i="40"/>
  <c r="Z25" i="40"/>
  <c r="Y24" i="40"/>
  <c r="W22" i="40"/>
  <c r="AC119" i="40"/>
  <c r="AB118" i="40"/>
  <c r="Y117" i="40"/>
  <c r="W116" i="40"/>
  <c r="Q115" i="40"/>
  <c r="AC111" i="40"/>
  <c r="Z110" i="40"/>
  <c r="Y109" i="40"/>
  <c r="X108" i="40"/>
  <c r="W107" i="40"/>
  <c r="R106" i="40"/>
  <c r="Q105" i="40"/>
  <c r="P104" i="40"/>
  <c r="J102" i="40"/>
  <c r="H100" i="40"/>
  <c r="AC98" i="40"/>
  <c r="AB97" i="40"/>
  <c r="Z96" i="40"/>
  <c r="Y95" i="40"/>
  <c r="X94" i="40"/>
  <c r="W93" i="40"/>
  <c r="R92" i="40"/>
  <c r="Q91" i="40"/>
  <c r="P90" i="40"/>
  <c r="J88" i="40"/>
  <c r="H86" i="40"/>
  <c r="AC84" i="40"/>
  <c r="AB83" i="40"/>
  <c r="Z82" i="40"/>
  <c r="Y81" i="40"/>
  <c r="W79" i="40"/>
  <c r="R78" i="40"/>
  <c r="Q77" i="40"/>
  <c r="J74" i="40"/>
  <c r="AC70" i="40"/>
  <c r="AB69" i="40"/>
  <c r="Y67" i="40"/>
  <c r="W65" i="40"/>
  <c r="R64" i="40"/>
  <c r="Q63" i="40"/>
  <c r="J60" i="40"/>
  <c r="AC56" i="40"/>
  <c r="AB55" i="40"/>
  <c r="Y53" i="40"/>
  <c r="W51" i="40"/>
  <c r="R50" i="40"/>
  <c r="Q49" i="40"/>
  <c r="J46" i="40"/>
  <c r="AC42" i="40"/>
  <c r="AB41" i="40"/>
  <c r="Z40" i="40"/>
  <c r="Y39" i="40"/>
  <c r="W37" i="40"/>
  <c r="R36" i="40"/>
  <c r="Q35" i="40"/>
  <c r="J32" i="40"/>
  <c r="AC28" i="40"/>
  <c r="AB27" i="40"/>
  <c r="Z26" i="40"/>
  <c r="Y25" i="40"/>
  <c r="W23" i="40"/>
  <c r="R22" i="40"/>
  <c r="Q21" i="40"/>
  <c r="AB119" i="40"/>
  <c r="Z118" i="40"/>
  <c r="X117" i="40"/>
  <c r="R116" i="40"/>
  <c r="P115" i="40"/>
  <c r="J114" i="40"/>
  <c r="H113" i="40"/>
  <c r="AB111" i="40"/>
  <c r="Y110" i="40"/>
  <c r="X109" i="40"/>
  <c r="W108" i="40"/>
  <c r="R107" i="40"/>
  <c r="Q106" i="40"/>
  <c r="P105" i="40"/>
  <c r="J103" i="40"/>
  <c r="H101" i="40"/>
  <c r="AC99" i="40"/>
  <c r="AB98" i="40"/>
  <c r="Z97" i="40"/>
  <c r="Y96" i="40"/>
  <c r="X95" i="40"/>
  <c r="W94" i="40"/>
  <c r="R93" i="40"/>
  <c r="Q92" i="40"/>
  <c r="P91" i="40"/>
  <c r="J89" i="40"/>
  <c r="H87" i="40"/>
  <c r="AC85" i="40"/>
  <c r="AB84" i="40"/>
  <c r="Z83" i="40"/>
  <c r="Y82" i="40"/>
  <c r="W80" i="40"/>
  <c r="R79" i="40"/>
  <c r="Q78" i="40"/>
  <c r="J75" i="40"/>
  <c r="AC71" i="40"/>
  <c r="AB70" i="40"/>
  <c r="Y68" i="40"/>
  <c r="W66" i="40"/>
  <c r="R65" i="40"/>
  <c r="Q64" i="40"/>
  <c r="J61" i="40"/>
  <c r="AC57" i="40"/>
  <c r="AB56" i="40"/>
  <c r="Y54" i="40"/>
  <c r="W52" i="40"/>
  <c r="R51" i="40"/>
  <c r="Q50" i="40"/>
  <c r="J47" i="40"/>
  <c r="AC43" i="40"/>
  <c r="AB42" i="40"/>
  <c r="Z41" i="40"/>
  <c r="Y40" i="40"/>
  <c r="W38" i="40"/>
  <c r="R37" i="40"/>
  <c r="Q36" i="40"/>
  <c r="J33" i="40"/>
  <c r="AC29" i="40"/>
  <c r="AB28" i="40"/>
  <c r="Z27" i="40"/>
  <c r="Y26" i="40"/>
  <c r="W24" i="40"/>
  <c r="R23" i="40"/>
  <c r="Q22" i="40"/>
  <c r="AC120" i="40"/>
  <c r="Z119" i="40"/>
  <c r="Y118" i="40"/>
  <c r="W117" i="40"/>
  <c r="Q116" i="40"/>
  <c r="AC112" i="40"/>
  <c r="Z111" i="40"/>
  <c r="X110" i="40"/>
  <c r="W109" i="40"/>
  <c r="R108" i="40"/>
  <c r="Q107" i="40"/>
  <c r="P106" i="40"/>
  <c r="J104" i="40"/>
  <c r="H102" i="40"/>
  <c r="AC100" i="40"/>
  <c r="AB99" i="40"/>
  <c r="Z98" i="40"/>
  <c r="Y97" i="40"/>
  <c r="X96" i="40"/>
  <c r="W95" i="40"/>
  <c r="R94" i="40"/>
  <c r="Q93" i="40"/>
  <c r="P92" i="40"/>
  <c r="J90" i="40"/>
  <c r="H88" i="40"/>
  <c r="AC86" i="40"/>
  <c r="AB85" i="40"/>
  <c r="Z84" i="40"/>
  <c r="Y83" i="40"/>
  <c r="X82" i="40"/>
  <c r="W81" i="40"/>
  <c r="R80" i="40"/>
  <c r="Q79" i="40"/>
  <c r="J76" i="40"/>
  <c r="AC72" i="40"/>
  <c r="AB71" i="40"/>
  <c r="Y69" i="40"/>
  <c r="W67" i="40"/>
  <c r="R66" i="40"/>
  <c r="Q65" i="40"/>
  <c r="J62" i="40"/>
  <c r="AC58" i="40"/>
  <c r="AB57" i="40"/>
  <c r="Y55" i="40"/>
  <c r="W53" i="40"/>
  <c r="R52" i="40"/>
  <c r="Q51" i="40"/>
  <c r="J48" i="40"/>
  <c r="AC44" i="40"/>
  <c r="AB43" i="40"/>
  <c r="Y41" i="40"/>
  <c r="W39" i="40"/>
  <c r="R38" i="40"/>
  <c r="Q37" i="40"/>
  <c r="J34" i="40"/>
  <c r="AC30" i="40"/>
  <c r="AB29" i="40"/>
  <c r="Z28" i="40"/>
  <c r="Y27" i="40"/>
  <c r="W25" i="40"/>
  <c r="R24" i="40"/>
  <c r="Q23" i="40"/>
  <c r="J20" i="40"/>
  <c r="X120" i="40"/>
  <c r="R119" i="40"/>
  <c r="Q118" i="40"/>
  <c r="AC114" i="40"/>
  <c r="Z113" i="40"/>
  <c r="W112" i="40"/>
  <c r="Q111" i="40"/>
  <c r="P110" i="40"/>
  <c r="J108" i="40"/>
  <c r="H106" i="40"/>
  <c r="AC104" i="40"/>
  <c r="AB103" i="40"/>
  <c r="Z102" i="40"/>
  <c r="Y101" i="40"/>
  <c r="X100" i="40"/>
  <c r="W99" i="40"/>
  <c r="R98" i="40"/>
  <c r="Q97" i="40"/>
  <c r="P96" i="40"/>
  <c r="J94" i="40"/>
  <c r="H92" i="40"/>
  <c r="AC90" i="40"/>
  <c r="AB89" i="40"/>
  <c r="Z88" i="40"/>
  <c r="Y87" i="40"/>
  <c r="X86" i="40"/>
  <c r="W85" i="40"/>
  <c r="R84" i="40"/>
  <c r="Q83" i="40"/>
  <c r="P82" i="40"/>
  <c r="J80" i="40"/>
  <c r="AC76" i="40"/>
  <c r="AB75" i="40"/>
  <c r="Y73" i="40"/>
  <c r="W71" i="40"/>
  <c r="R70" i="40"/>
  <c r="Q69" i="40"/>
  <c r="J66" i="40"/>
  <c r="AC62" i="40"/>
  <c r="AB61" i="40"/>
  <c r="Z60" i="40"/>
  <c r="Y59" i="40"/>
  <c r="W57" i="40"/>
  <c r="R56" i="40"/>
  <c r="Q55" i="40"/>
  <c r="J52" i="40"/>
  <c r="AC48" i="40"/>
  <c r="AB47" i="40"/>
  <c r="Y45" i="40"/>
  <c r="W43" i="40"/>
  <c r="R42" i="40"/>
  <c r="Q41" i="40"/>
  <c r="J38" i="40"/>
  <c r="AC34" i="40"/>
  <c r="AB33" i="40"/>
  <c r="Z32" i="40"/>
  <c r="Y31" i="40"/>
  <c r="W29" i="40"/>
  <c r="R28" i="40"/>
  <c r="Q27" i="40"/>
  <c r="J24" i="40"/>
  <c r="AC20" i="40"/>
  <c r="AB19" i="40"/>
  <c r="W120" i="40"/>
  <c r="Q119" i="40"/>
  <c r="P118" i="40"/>
  <c r="J117" i="40"/>
  <c r="H116" i="40"/>
  <c r="AB114" i="40"/>
  <c r="X113" i="40"/>
  <c r="R112" i="40"/>
  <c r="P111" i="40"/>
  <c r="J109" i="40"/>
  <c r="H107" i="40"/>
  <c r="AC105" i="40"/>
  <c r="AB104" i="40"/>
  <c r="Z103" i="40"/>
  <c r="Y102" i="40"/>
  <c r="X101" i="40"/>
  <c r="W100" i="40"/>
  <c r="R99" i="40"/>
  <c r="Q98" i="40"/>
  <c r="P97" i="40"/>
  <c r="J95" i="40"/>
  <c r="H93" i="40"/>
  <c r="AC91" i="40"/>
  <c r="AB90" i="40"/>
  <c r="Z89" i="40"/>
  <c r="Y88" i="40"/>
  <c r="X87" i="40"/>
  <c r="W86" i="40"/>
  <c r="R85" i="40"/>
  <c r="Q84" i="40"/>
  <c r="P83" i="40"/>
  <c r="J81" i="40"/>
  <c r="AC77" i="40"/>
  <c r="AB76" i="40"/>
  <c r="Z75" i="40"/>
  <c r="Y74" i="40"/>
  <c r="W72" i="40"/>
  <c r="R71" i="40"/>
  <c r="Q70" i="40"/>
  <c r="J67" i="40"/>
  <c r="AC63" i="40"/>
  <c r="AB62" i="40"/>
  <c r="Y60" i="40"/>
  <c r="W58" i="40"/>
  <c r="R57" i="40"/>
  <c r="Q56" i="40"/>
  <c r="J53" i="40"/>
  <c r="AC49" i="40"/>
  <c r="AB48" i="40"/>
  <c r="Y46" i="40"/>
  <c r="W44" i="40"/>
  <c r="R43" i="40"/>
  <c r="Q42" i="40"/>
  <c r="J39" i="40"/>
  <c r="AC35" i="40"/>
  <c r="AB34" i="40"/>
  <c r="Y32" i="40"/>
  <c r="W30" i="40"/>
  <c r="R29" i="40"/>
  <c r="Q28" i="40"/>
  <c r="J25" i="40"/>
  <c r="AC21" i="40"/>
  <c r="AB20" i="40"/>
  <c r="R120" i="40"/>
  <c r="P119" i="40"/>
  <c r="AC115" i="40"/>
  <c r="Y114" i="40"/>
  <c r="W113" i="40"/>
  <c r="Q112" i="40"/>
  <c r="J110" i="40"/>
  <c r="H108" i="40"/>
  <c r="AC106" i="40"/>
  <c r="AB105" i="40"/>
  <c r="Z104" i="40"/>
  <c r="Y103" i="40"/>
  <c r="X102" i="40"/>
  <c r="W101" i="40"/>
  <c r="R100" i="40"/>
  <c r="Q99" i="40"/>
  <c r="P98" i="40"/>
  <c r="J96" i="40"/>
  <c r="H94" i="40"/>
  <c r="AC92" i="40"/>
  <c r="AB91" i="40"/>
  <c r="Z90" i="40"/>
  <c r="Y89" i="40"/>
  <c r="X88" i="40"/>
  <c r="W87" i="40"/>
  <c r="R86" i="40"/>
  <c r="Q85" i="40"/>
  <c r="P84" i="40"/>
  <c r="J82" i="40"/>
  <c r="AC78" i="40"/>
  <c r="AB77" i="40"/>
  <c r="Z76" i="40"/>
  <c r="Y75" i="40"/>
  <c r="W73" i="40"/>
  <c r="R72" i="40"/>
  <c r="Q71" i="40"/>
  <c r="J68" i="40"/>
  <c r="AC64" i="40"/>
  <c r="AB63" i="40"/>
  <c r="Y61" i="40"/>
  <c r="W59" i="40"/>
  <c r="R58" i="40"/>
  <c r="Q57" i="40"/>
  <c r="J54" i="40"/>
  <c r="AC50" i="40"/>
  <c r="AB49" i="40"/>
  <c r="Y47" i="40"/>
  <c r="W45" i="40"/>
  <c r="R44" i="40"/>
  <c r="Q43" i="40"/>
  <c r="J40" i="40"/>
  <c r="AC36" i="40"/>
  <c r="AB35" i="40"/>
  <c r="Y33" i="40"/>
  <c r="W31" i="40"/>
  <c r="R30" i="40"/>
  <c r="Q29" i="40"/>
  <c r="J26" i="40"/>
  <c r="AC22" i="40"/>
  <c r="AB21" i="40"/>
  <c r="Y19" i="40"/>
  <c r="P120" i="40"/>
  <c r="J119" i="40"/>
  <c r="AB116" i="40"/>
  <c r="Y115" i="40"/>
  <c r="W114" i="40"/>
  <c r="Q113" i="40"/>
  <c r="H110" i="40"/>
  <c r="AC108" i="40"/>
  <c r="AB107" i="40"/>
  <c r="Z106" i="40"/>
  <c r="Y105" i="40"/>
  <c r="X104" i="40"/>
  <c r="W103" i="40"/>
  <c r="R102" i="40"/>
  <c r="Q101" i="40"/>
  <c r="P100" i="40"/>
  <c r="J98" i="40"/>
  <c r="H96" i="40"/>
  <c r="AC94" i="40"/>
  <c r="AB93" i="40"/>
  <c r="Z92" i="40"/>
  <c r="Y91" i="40"/>
  <c r="X90" i="40"/>
  <c r="W89" i="40"/>
  <c r="R88" i="40"/>
  <c r="Q87" i="40"/>
  <c r="P86" i="40"/>
  <c r="J84" i="40"/>
  <c r="H82" i="40"/>
  <c r="AC80" i="40"/>
  <c r="AB79" i="40"/>
  <c r="Z78" i="40"/>
  <c r="Y77" i="40"/>
  <c r="W75" i="40"/>
  <c r="R74" i="40"/>
  <c r="Q73" i="40"/>
  <c r="J70" i="40"/>
  <c r="AC66" i="40"/>
  <c r="AB65" i="40"/>
  <c r="Y63" i="40"/>
  <c r="W61" i="40"/>
  <c r="R60" i="40"/>
  <c r="Q59" i="40"/>
  <c r="J56" i="40"/>
  <c r="AC52" i="40"/>
  <c r="AB51" i="40"/>
  <c r="Y49" i="40"/>
  <c r="W47" i="40"/>
  <c r="R46" i="40"/>
  <c r="Q45" i="40"/>
  <c r="J42" i="40"/>
  <c r="AC38" i="40"/>
  <c r="AB37" i="40"/>
  <c r="Z36" i="40"/>
  <c r="Y35" i="40"/>
  <c r="W33" i="40"/>
  <c r="R32" i="40"/>
  <c r="Q31" i="40"/>
  <c r="J28" i="40"/>
  <c r="AC24" i="40"/>
  <c r="AB23" i="40"/>
  <c r="Y21" i="40"/>
  <c r="Y119" i="40"/>
  <c r="Q117" i="40"/>
  <c r="Y112" i="40"/>
  <c r="AC107" i="40"/>
  <c r="J105" i="40"/>
  <c r="AC102" i="40"/>
  <c r="Y100" i="40"/>
  <c r="Y93" i="40"/>
  <c r="AB88" i="40"/>
  <c r="Q86" i="40"/>
  <c r="AB81" i="40"/>
  <c r="W74" i="40"/>
  <c r="R67" i="40"/>
  <c r="Y62" i="40"/>
  <c r="J58" i="40"/>
  <c r="Q53" i="40"/>
  <c r="J51" i="40"/>
  <c r="R48" i="40"/>
  <c r="W41" i="40"/>
  <c r="Z29" i="40"/>
  <c r="R27" i="40"/>
  <c r="AB22" i="40"/>
  <c r="W20" i="40"/>
  <c r="J19" i="40"/>
  <c r="AC15" i="40"/>
  <c r="AB14" i="40"/>
  <c r="Z13" i="40"/>
  <c r="Y12" i="40"/>
  <c r="W10" i="40"/>
  <c r="R9" i="40"/>
  <c r="Q8" i="40"/>
  <c r="X119" i="40"/>
  <c r="P117" i="40"/>
  <c r="H115" i="40"/>
  <c r="P112" i="40"/>
  <c r="Y107" i="40"/>
  <c r="AB102" i="40"/>
  <c r="Q100" i="40"/>
  <c r="AB95" i="40"/>
  <c r="P93" i="40"/>
  <c r="H91" i="40"/>
  <c r="W88" i="40"/>
  <c r="H84" i="40"/>
  <c r="R81" i="40"/>
  <c r="Y76" i="40"/>
  <c r="J72" i="40"/>
  <c r="Q67" i="40"/>
  <c r="J65" i="40"/>
  <c r="R62" i="40"/>
  <c r="W55" i="40"/>
  <c r="R41" i="40"/>
  <c r="AB36" i="40"/>
  <c r="AC31" i="40"/>
  <c r="Y29" i="40"/>
  <c r="R20" i="40"/>
  <c r="AC16" i="40"/>
  <c r="AB15" i="40"/>
  <c r="Z14" i="40"/>
  <c r="Y13" i="40"/>
  <c r="W11" i="40"/>
  <c r="R10" i="40"/>
  <c r="Q9" i="40"/>
  <c r="W119" i="40"/>
  <c r="X114" i="40"/>
  <c r="AB109" i="40"/>
  <c r="P107" i="40"/>
  <c r="H105" i="40"/>
  <c r="W102" i="40"/>
  <c r="H98" i="40"/>
  <c r="R95" i="40"/>
  <c r="Y90" i="40"/>
  <c r="P88" i="40"/>
  <c r="J86" i="40"/>
  <c r="X83" i="40"/>
  <c r="Q81" i="40"/>
  <c r="J79" i="40"/>
  <c r="R76" i="40"/>
  <c r="W69" i="40"/>
  <c r="R55" i="40"/>
  <c r="AB50" i="40"/>
  <c r="AC45" i="40"/>
  <c r="Y43" i="40"/>
  <c r="AB31" i="40"/>
  <c r="J27" i="40"/>
  <c r="Q20" i="40"/>
  <c r="AC17" i="40"/>
  <c r="AB16" i="40"/>
  <c r="Z15" i="40"/>
  <c r="Y14" i="40"/>
  <c r="W12" i="40"/>
  <c r="R11" i="40"/>
  <c r="Q10" i="40"/>
  <c r="J7" i="40"/>
  <c r="Q114" i="40"/>
  <c r="R109" i="40"/>
  <c r="Y104" i="40"/>
  <c r="P102" i="40"/>
  <c r="J100" i="40"/>
  <c r="X97" i="40"/>
  <c r="Q95" i="40"/>
  <c r="J93" i="40"/>
  <c r="R90" i="40"/>
  <c r="W83" i="40"/>
  <c r="Z71" i="40"/>
  <c r="R69" i="40"/>
  <c r="AB64" i="40"/>
  <c r="AC59" i="40"/>
  <c r="Y57" i="40"/>
  <c r="AB45" i="40"/>
  <c r="J41" i="40"/>
  <c r="AC33" i="40"/>
  <c r="Z31" i="40"/>
  <c r="J22" i="40"/>
  <c r="AC18" i="40"/>
  <c r="AB17" i="40"/>
  <c r="Y15" i="40"/>
  <c r="W13" i="40"/>
  <c r="R12" i="40"/>
  <c r="Q11" i="40"/>
  <c r="J8" i="40"/>
  <c r="H117" i="40"/>
  <c r="Y111" i="40"/>
  <c r="Q109" i="40"/>
  <c r="J107" i="40"/>
  <c r="R104" i="40"/>
  <c r="W97" i="40"/>
  <c r="P95" i="40"/>
  <c r="Z85" i="40"/>
  <c r="R83" i="40"/>
  <c r="AB78" i="40"/>
  <c r="AC73" i="40"/>
  <c r="Y71" i="40"/>
  <c r="AB59" i="40"/>
  <c r="J55" i="40"/>
  <c r="AC47" i="40"/>
  <c r="Z45" i="40"/>
  <c r="J36" i="40"/>
  <c r="R31" i="40"/>
  <c r="AC26" i="40"/>
  <c r="Q24" i="40"/>
  <c r="AB18" i="40"/>
  <c r="Y16" i="40"/>
  <c r="W14" i="40"/>
  <c r="R13" i="40"/>
  <c r="Q12" i="40"/>
  <c r="J9" i="40"/>
  <c r="AC5" i="40"/>
  <c r="H119" i="40"/>
  <c r="Y116" i="40"/>
  <c r="X111" i="40"/>
  <c r="P109" i="40"/>
  <c r="Z99" i="40"/>
  <c r="R97" i="40"/>
  <c r="AB92" i="40"/>
  <c r="AC87" i="40"/>
  <c r="Y85" i="40"/>
  <c r="AB73" i="40"/>
  <c r="J69" i="40"/>
  <c r="AC61" i="40"/>
  <c r="Z59" i="40"/>
  <c r="Z52" i="40"/>
  <c r="J50" i="40"/>
  <c r="R45" i="40"/>
  <c r="AC40" i="40"/>
  <c r="Q38" i="40"/>
  <c r="Q33" i="40"/>
  <c r="W26" i="40"/>
  <c r="Y17" i="40"/>
  <c r="W15" i="40"/>
  <c r="R14" i="40"/>
  <c r="Q13" i="40"/>
  <c r="J10" i="40"/>
  <c r="AB5" i="40"/>
  <c r="X118" i="40"/>
  <c r="P116" i="40"/>
  <c r="H114" i="40"/>
  <c r="R111" i="40"/>
  <c r="AB106" i="40"/>
  <c r="AC101" i="40"/>
  <c r="Y99" i="40"/>
  <c r="X92" i="40"/>
  <c r="H90" i="40"/>
  <c r="AB87" i="40"/>
  <c r="X85" i="40"/>
  <c r="J83" i="40"/>
  <c r="AC75" i="40"/>
  <c r="Z73" i="40"/>
  <c r="J64" i="40"/>
  <c r="R59" i="40"/>
  <c r="AC54" i="40"/>
  <c r="Q52" i="40"/>
  <c r="Q47" i="40"/>
  <c r="W40" i="40"/>
  <c r="Z35" i="40"/>
  <c r="Y28" i="40"/>
  <c r="R26" i="40"/>
  <c r="W21" i="40"/>
  <c r="Y18" i="40"/>
  <c r="W16" i="40"/>
  <c r="R15" i="40"/>
  <c r="Q14" i="40"/>
  <c r="J11" i="40"/>
  <c r="AC7" i="40"/>
  <c r="W118" i="40"/>
  <c r="AC113" i="40"/>
  <c r="X106" i="40"/>
  <c r="H104" i="40"/>
  <c r="AB101" i="40"/>
  <c r="X99" i="40"/>
  <c r="J97" i="40"/>
  <c r="H95" i="40"/>
  <c r="AC89" i="40"/>
  <c r="Z87" i="40"/>
  <c r="P85" i="40"/>
  <c r="J78" i="40"/>
  <c r="R73" i="40"/>
  <c r="AC68" i="40"/>
  <c r="Q66" i="40"/>
  <c r="Q61" i="40"/>
  <c r="W54" i="40"/>
  <c r="Y42" i="40"/>
  <c r="R40" i="40"/>
  <c r="W35" i="40"/>
  <c r="AB30" i="40"/>
  <c r="Q26" i="40"/>
  <c r="R21" i="40"/>
  <c r="AC19" i="40"/>
  <c r="W17" i="40"/>
  <c r="R16" i="40"/>
  <c r="Q15" i="40"/>
  <c r="J12" i="40"/>
  <c r="AC8" i="40"/>
  <c r="AB7" i="40"/>
  <c r="Y5" i="40"/>
  <c r="AB120" i="40"/>
  <c r="R118" i="40"/>
  <c r="J116" i="40"/>
  <c r="AB113" i="40"/>
  <c r="J111" i="40"/>
  <c r="H109" i="40"/>
  <c r="AC103" i="40"/>
  <c r="Z101" i="40"/>
  <c r="P99" i="40"/>
  <c r="Z94" i="40"/>
  <c r="J92" i="40"/>
  <c r="X89" i="40"/>
  <c r="R87" i="40"/>
  <c r="AC82" i="40"/>
  <c r="Q80" i="40"/>
  <c r="Q75" i="40"/>
  <c r="W68" i="40"/>
  <c r="Z63" i="40"/>
  <c r="Y56" i="40"/>
  <c r="R54" i="40"/>
  <c r="W49" i="40"/>
  <c r="AB44" i="40"/>
  <c r="Q40" i="40"/>
  <c r="Z30" i="40"/>
  <c r="W28" i="40"/>
  <c r="AC23" i="40"/>
  <c r="W18" i="40"/>
  <c r="R17" i="40"/>
  <c r="Q16" i="40"/>
  <c r="J13" i="40"/>
  <c r="AC9" i="40"/>
  <c r="AB8" i="40"/>
  <c r="Z120" i="40"/>
  <c r="R113" i="40"/>
  <c r="Z108" i="40"/>
  <c r="J106" i="40"/>
  <c r="X103" i="40"/>
  <c r="R101" i="40"/>
  <c r="AC96" i="40"/>
  <c r="Q94" i="40"/>
  <c r="Q89" i="40"/>
  <c r="W82" i="40"/>
  <c r="Y70" i="40"/>
  <c r="R68" i="40"/>
  <c r="W63" i="40"/>
  <c r="AB58" i="40"/>
  <c r="Q54" i="40"/>
  <c r="W42" i="40"/>
  <c r="AC37" i="40"/>
  <c r="J35" i="40"/>
  <c r="AC32" i="40"/>
  <c r="Y30" i="40"/>
  <c r="Y23" i="40"/>
  <c r="J21" i="40"/>
  <c r="W19" i="40"/>
  <c r="R18" i="40"/>
  <c r="Q17" i="40"/>
  <c r="J14" i="40"/>
  <c r="AC10" i="40"/>
  <c r="AB9" i="40"/>
  <c r="Y7" i="40"/>
  <c r="W5" i="40"/>
  <c r="Y120" i="40"/>
  <c r="J118" i="40"/>
  <c r="Z115" i="40"/>
  <c r="AC110" i="40"/>
  <c r="Q108" i="40"/>
  <c r="Q103" i="40"/>
  <c r="W96" i="40"/>
  <c r="P94" i="40"/>
  <c r="Z91" i="40"/>
  <c r="Y84" i="40"/>
  <c r="R82" i="40"/>
  <c r="W77" i="40"/>
  <c r="AB72" i="40"/>
  <c r="Q68" i="40"/>
  <c r="W56" i="40"/>
  <c r="AC51" i="40"/>
  <c r="J49" i="40"/>
  <c r="AC46" i="40"/>
  <c r="Y44" i="40"/>
  <c r="Y37" i="40"/>
  <c r="AB32" i="40"/>
  <c r="Q30" i="40"/>
  <c r="AB25" i="40"/>
  <c r="R19" i="40"/>
  <c r="Q18" i="40"/>
  <c r="J15" i="40"/>
  <c r="AC11" i="40"/>
  <c r="AB10" i="40"/>
  <c r="Y8" i="40"/>
  <c r="R5" i="40"/>
  <c r="Q120" i="40"/>
  <c r="W115" i="40"/>
  <c r="W110" i="40"/>
  <c r="P108" i="40"/>
  <c r="Z105" i="40"/>
  <c r="Y98" i="40"/>
  <c r="R96" i="40"/>
  <c r="W91" i="40"/>
  <c r="AB86" i="40"/>
  <c r="X84" i="40"/>
  <c r="Q82" i="40"/>
  <c r="Z72" i="40"/>
  <c r="W70" i="40"/>
  <c r="AC65" i="40"/>
  <c r="J63" i="40"/>
  <c r="AC60" i="40"/>
  <c r="Y58" i="40"/>
  <c r="Y51" i="40"/>
  <c r="AB46" i="40"/>
  <c r="Q44" i="40"/>
  <c r="AB39" i="40"/>
  <c r="W32" i="40"/>
  <c r="R25" i="40"/>
  <c r="Q19" i="40"/>
  <c r="J16" i="40"/>
  <c r="AC12" i="40"/>
  <c r="AB11" i="40"/>
  <c r="Y9" i="40"/>
  <c r="W7" i="40"/>
  <c r="Q5" i="40"/>
  <c r="AB117" i="40"/>
  <c r="AB112" i="40"/>
  <c r="R110" i="40"/>
  <c r="W105" i="40"/>
  <c r="AB100" i="40"/>
  <c r="X98" i="40"/>
  <c r="Q96" i="40"/>
  <c r="H89" i="40"/>
  <c r="Z86" i="40"/>
  <c r="W84" i="40"/>
  <c r="AC79" i="40"/>
  <c r="J77" i="40"/>
  <c r="AC74" i="40"/>
  <c r="Y72" i="40"/>
  <c r="Y65" i="40"/>
  <c r="AB60" i="40"/>
  <c r="Q58" i="40"/>
  <c r="AB53" i="40"/>
  <c r="W46" i="40"/>
  <c r="R39" i="40"/>
  <c r="Y34" i="40"/>
  <c r="J30" i="40"/>
  <c r="Q25" i="40"/>
  <c r="J23" i="40"/>
  <c r="Y20" i="40"/>
  <c r="J17" i="40"/>
  <c r="AC13" i="40"/>
  <c r="AB12" i="40"/>
  <c r="Z11" i="40"/>
  <c r="Y10" i="40"/>
  <c r="W8" i="40"/>
  <c r="R7" i="40"/>
  <c r="R117" i="40"/>
  <c r="J115" i="40"/>
  <c r="Z112" i="40"/>
  <c r="Q110" i="40"/>
  <c r="H103" i="40"/>
  <c r="Z100" i="40"/>
  <c r="W98" i="40"/>
  <c r="AC93" i="40"/>
  <c r="J91" i="40"/>
  <c r="AC88" i="40"/>
  <c r="Y86" i="40"/>
  <c r="Y79" i="40"/>
  <c r="AB74" i="40"/>
  <c r="Q72" i="40"/>
  <c r="AB67" i="40"/>
  <c r="W60" i="40"/>
  <c r="R53" i="40"/>
  <c r="Y48" i="40"/>
  <c r="J44" i="40"/>
  <c r="Q39" i="40"/>
  <c r="J37" i="40"/>
  <c r="R34" i="40"/>
  <c r="W27" i="40"/>
  <c r="J18" i="40"/>
  <c r="AC14" i="40"/>
  <c r="AB13" i="40"/>
  <c r="Z12" i="40"/>
  <c r="Y11" i="40"/>
  <c r="W9" i="40"/>
  <c r="R8" i="40"/>
  <c r="Q7" i="40"/>
  <c r="J5" i="40"/>
  <c r="CP258" i="39"/>
  <c r="F258" i="39"/>
  <c r="AP244" i="39"/>
  <c r="F244" i="39"/>
  <c r="CP266" i="39"/>
  <c r="F266" i="39"/>
  <c r="BO271" i="39"/>
  <c r="F271" i="39"/>
  <c r="Q257" i="39"/>
  <c r="N257" i="39" s="1"/>
  <c r="F257" i="39"/>
  <c r="AP243" i="39"/>
  <c r="F243" i="39"/>
  <c r="Q270" i="39"/>
  <c r="N270" i="39" s="1"/>
  <c r="F270" i="39"/>
  <c r="AP256" i="39"/>
  <c r="F256" i="39"/>
  <c r="AP242" i="39"/>
  <c r="F242" i="39"/>
  <c r="AP241" i="39"/>
  <c r="F241" i="39"/>
  <c r="B262" i="39"/>
  <c r="F262" i="39"/>
  <c r="AP248" i="39"/>
  <c r="F248" i="39"/>
  <c r="P268" i="39"/>
  <c r="F268" i="39"/>
  <c r="AP254" i="39"/>
  <c r="F254" i="39"/>
  <c r="M251" i="39"/>
  <c r="Q269" i="39"/>
  <c r="N269" i="39" s="1"/>
  <c r="AP272" i="39"/>
  <c r="AP258" i="39"/>
  <c r="Q255" i="39"/>
  <c r="N255" i="39" s="1"/>
  <c r="B256" i="39"/>
  <c r="L252" i="39"/>
  <c r="O252" i="39" s="1"/>
  <c r="BH252" i="39" s="1"/>
  <c r="BJ252" i="39" s="1"/>
  <c r="AP251" i="39"/>
  <c r="AP253" i="39"/>
  <c r="AP246" i="39"/>
  <c r="AP255" i="39"/>
  <c r="AP257" i="39"/>
  <c r="CT251" i="39"/>
  <c r="AX251" i="39" s="1"/>
  <c r="BF270" i="39"/>
  <c r="B254" i="39"/>
  <c r="S254" i="39"/>
  <c r="CO254" i="39" s="1"/>
  <c r="Q259" i="39"/>
  <c r="N259" i="39" s="1"/>
  <c r="B267" i="39"/>
  <c r="B268" i="39"/>
  <c r="S255" i="39"/>
  <c r="CO255" i="39" s="1"/>
  <c r="B269" i="39"/>
  <c r="S253" i="39"/>
  <c r="CO253" i="39" s="1"/>
  <c r="B266" i="39"/>
  <c r="I291" i="42" s="1"/>
  <c r="A114" i="41" s="1"/>
  <c r="AA114" i="41" s="1"/>
  <c r="S258" i="39"/>
  <c r="CO258" i="39" s="1"/>
  <c r="BF261" i="39"/>
  <c r="CP257" i="39"/>
  <c r="BF259" i="39"/>
  <c r="B261" i="39"/>
  <c r="B270" i="39"/>
  <c r="BO258" i="39"/>
  <c r="Q258" i="39"/>
  <c r="N258" i="39" s="1"/>
  <c r="B259" i="39"/>
  <c r="S261" i="39"/>
  <c r="CO261" i="39" s="1"/>
  <c r="K254" i="39"/>
  <c r="CE254" i="39" s="1"/>
  <c r="BO255" i="39"/>
  <c r="CT255" i="39"/>
  <c r="AX255" i="39" s="1"/>
  <c r="L258" i="39"/>
  <c r="O258" i="39" s="1"/>
  <c r="BH258" i="39" s="1"/>
  <c r="BI258" i="39" s="1"/>
  <c r="CP265" i="39"/>
  <c r="B253" i="39"/>
  <c r="CT258" i="39"/>
  <c r="AX258" i="39" s="1"/>
  <c r="L266" i="39"/>
  <c r="O266" i="39" s="1"/>
  <c r="BH266" i="39" s="1"/>
  <c r="BJ266" i="39" s="1"/>
  <c r="S269" i="39"/>
  <c r="CO269" i="39" s="1"/>
  <c r="K270" i="39"/>
  <c r="CE270" i="39" s="1"/>
  <c r="BO253" i="39"/>
  <c r="G267" i="39"/>
  <c r="BP267" i="39" s="1"/>
  <c r="BR267" i="39" s="1"/>
  <c r="L270" i="39"/>
  <c r="O270" i="39" s="1"/>
  <c r="BH270" i="39" s="1"/>
  <c r="BK270" i="39" s="1"/>
  <c r="K253" i="39"/>
  <c r="CE253" i="39" s="1"/>
  <c r="CT253" i="39"/>
  <c r="AX253" i="39" s="1"/>
  <c r="B258" i="39"/>
  <c r="K261" i="39"/>
  <c r="CE261" i="39" s="1"/>
  <c r="BO261" i="39"/>
  <c r="CT261" i="39"/>
  <c r="AX261" i="39" s="1"/>
  <c r="L267" i="39"/>
  <c r="O267" i="39" s="1"/>
  <c r="BH267" i="39" s="1"/>
  <c r="BI267" i="39" s="1"/>
  <c r="S270" i="39"/>
  <c r="CO270" i="39" s="1"/>
  <c r="CP256" i="39"/>
  <c r="BF258" i="39"/>
  <c r="BO262" i="39"/>
  <c r="CT262" i="39"/>
  <c r="AX262" i="39" s="1"/>
  <c r="Q267" i="39"/>
  <c r="N267" i="39" s="1"/>
  <c r="AP271" i="39"/>
  <c r="BO254" i="39"/>
  <c r="G258" i="39"/>
  <c r="BS258" i="39" s="1"/>
  <c r="S259" i="39"/>
  <c r="CO259" i="39" s="1"/>
  <c r="P262" i="39"/>
  <c r="BF269" i="39"/>
  <c r="Q254" i="39"/>
  <c r="N254" i="39" s="1"/>
  <c r="BF254" i="39"/>
  <c r="G255" i="39"/>
  <c r="BS255" i="39" s="1"/>
  <c r="K258" i="39"/>
  <c r="L259" i="39"/>
  <c r="O259" i="39" s="1"/>
  <c r="BH259" i="39" s="1"/>
  <c r="BI259" i="39" s="1"/>
  <c r="CT259" i="39"/>
  <c r="AX259" i="39" s="1"/>
  <c r="CP260" i="39"/>
  <c r="L262" i="39"/>
  <c r="O262" i="39" s="1"/>
  <c r="BH262" i="39" s="1"/>
  <c r="BK262" i="39" s="1"/>
  <c r="S266" i="39"/>
  <c r="CO266" i="39" s="1"/>
  <c r="BO266" i="39"/>
  <c r="K267" i="39"/>
  <c r="CE267" i="39" s="1"/>
  <c r="CT271" i="39"/>
  <c r="AX271" i="39" s="1"/>
  <c r="G251" i="39"/>
  <c r="CP263" i="39"/>
  <c r="CP264" i="39"/>
  <c r="CT266" i="39"/>
  <c r="AX266" i="39" s="1"/>
  <c r="K251" i="39"/>
  <c r="CE251" i="39" s="1"/>
  <c r="BO259" i="39"/>
  <c r="P265" i="39"/>
  <c r="G266" i="39"/>
  <c r="BP266" i="39" s="1"/>
  <c r="BR266" i="39" s="1"/>
  <c r="BF266" i="39"/>
  <c r="BO270" i="39"/>
  <c r="L251" i="39"/>
  <c r="O251" i="39" s="1"/>
  <c r="BH251" i="39" s="1"/>
  <c r="BI251" i="39" s="1"/>
  <c r="BF253" i="39"/>
  <c r="G254" i="39"/>
  <c r="BP254" i="39" s="1"/>
  <c r="BR254" i="39" s="1"/>
  <c r="K256" i="39"/>
  <c r="CE256" i="39" s="1"/>
  <c r="L257" i="39"/>
  <c r="O257" i="39" s="1"/>
  <c r="BH257" i="39" s="1"/>
  <c r="BI257" i="39" s="1"/>
  <c r="G259" i="39"/>
  <c r="AP262" i="39"/>
  <c r="K266" i="39"/>
  <c r="CE266" i="39" s="1"/>
  <c r="K269" i="39"/>
  <c r="CE269" i="39" s="1"/>
  <c r="BO269" i="39"/>
  <c r="CT269" i="39"/>
  <c r="AX269" i="39" s="1"/>
  <c r="CT270" i="39"/>
  <c r="AX270" i="39" s="1"/>
  <c r="CM251" i="39"/>
  <c r="CT254" i="39"/>
  <c r="AX254" i="39" s="1"/>
  <c r="AP270" i="39"/>
  <c r="L253" i="39"/>
  <c r="O253" i="39" s="1"/>
  <c r="BH253" i="39" s="1"/>
  <c r="BK253" i="39" s="1"/>
  <c r="L254" i="39"/>
  <c r="O254" i="39" s="1"/>
  <c r="BH254" i="39" s="1"/>
  <c r="BK254" i="39" s="1"/>
  <c r="BF255" i="39"/>
  <c r="K259" i="39"/>
  <c r="AP261" i="39"/>
  <c r="AP264" i="39"/>
  <c r="Q266" i="39"/>
  <c r="N266" i="39" s="1"/>
  <c r="G271" i="39"/>
  <c r="BS271" i="39" s="1"/>
  <c r="BN265" i="39"/>
  <c r="B252" i="39"/>
  <c r="P255" i="39"/>
  <c r="CP255" i="39"/>
  <c r="L260" i="39"/>
  <c r="O260" i="39" s="1"/>
  <c r="BH260" i="39" s="1"/>
  <c r="K260" i="39"/>
  <c r="S263" i="39"/>
  <c r="CO263" i="39" s="1"/>
  <c r="B271" i="39"/>
  <c r="I297" i="42" s="1"/>
  <c r="A317" i="41" s="1"/>
  <c r="AA317" i="41" s="1"/>
  <c r="L271" i="39"/>
  <c r="O271" i="39" s="1"/>
  <c r="BH271" i="39" s="1"/>
  <c r="B251" i="39"/>
  <c r="S252" i="39"/>
  <c r="CO252" i="39" s="1"/>
  <c r="BF252" i="39"/>
  <c r="BO252" i="39"/>
  <c r="CT252" i="39"/>
  <c r="AX252" i="39" s="1"/>
  <c r="P254" i="39"/>
  <c r="CP254" i="39"/>
  <c r="L256" i="39"/>
  <c r="O256" i="39" s="1"/>
  <c r="BH256" i="39" s="1"/>
  <c r="P257" i="39"/>
  <c r="BO260" i="39"/>
  <c r="S262" i="39"/>
  <c r="CO262" i="39" s="1"/>
  <c r="BF262" i="39"/>
  <c r="G263" i="39"/>
  <c r="AP263" i="39"/>
  <c r="BO263" i="39"/>
  <c r="CT263" i="39"/>
  <c r="AX263" i="39" s="1"/>
  <c r="G268" i="39"/>
  <c r="K271" i="39"/>
  <c r="P251" i="39"/>
  <c r="CP251" i="39"/>
  <c r="B257" i="39"/>
  <c r="CT260" i="39"/>
  <c r="AX260" i="39" s="1"/>
  <c r="CT264" i="39"/>
  <c r="AX264" i="39" s="1"/>
  <c r="BO264" i="39"/>
  <c r="BF264" i="39"/>
  <c r="S264" i="39"/>
  <c r="CO264" i="39" s="1"/>
  <c r="Q264" i="39"/>
  <c r="N264" i="39" s="1"/>
  <c r="G264" i="39"/>
  <c r="B264" i="39"/>
  <c r="L264" i="39"/>
  <c r="O264" i="39" s="1"/>
  <c r="BH264" i="39" s="1"/>
  <c r="K265" i="39"/>
  <c r="AP268" i="39"/>
  <c r="CT265" i="39"/>
  <c r="AX265" i="39" s="1"/>
  <c r="BO265" i="39"/>
  <c r="BF265" i="39"/>
  <c r="S265" i="39"/>
  <c r="CO265" i="39" s="1"/>
  <c r="Q265" i="39"/>
  <c r="N265" i="39" s="1"/>
  <c r="G265" i="39"/>
  <c r="CR265" i="39" s="1"/>
  <c r="A265" i="39" s="1"/>
  <c r="AQ265" i="39" s="1"/>
  <c r="P271" i="39"/>
  <c r="BF271" i="39"/>
  <c r="K255" i="39"/>
  <c r="CT256" i="39"/>
  <c r="AX256" i="39" s="1"/>
  <c r="BO256" i="39"/>
  <c r="BF256" i="39"/>
  <c r="S256" i="39"/>
  <c r="CO256" i="39" s="1"/>
  <c r="P256" i="39"/>
  <c r="K257" i="39"/>
  <c r="AP260" i="39"/>
  <c r="CT257" i="39"/>
  <c r="AX257" i="39" s="1"/>
  <c r="BO257" i="39"/>
  <c r="BF257" i="39"/>
  <c r="S257" i="39"/>
  <c r="CO257" i="39" s="1"/>
  <c r="AP259" i="39"/>
  <c r="P260" i="39"/>
  <c r="BF260" i="39"/>
  <c r="AP265" i="39"/>
  <c r="Q262" i="39"/>
  <c r="N262" i="39" s="1"/>
  <c r="G262" i="39"/>
  <c r="CP262" i="39"/>
  <c r="K263" i="39"/>
  <c r="Q271" i="39"/>
  <c r="N271" i="39" s="1"/>
  <c r="S251" i="39"/>
  <c r="CO251" i="39" s="1"/>
  <c r="BF251" i="39"/>
  <c r="BO251" i="39"/>
  <c r="K252" i="39"/>
  <c r="P253" i="39"/>
  <c r="CP253" i="39"/>
  <c r="L255" i="39"/>
  <c r="O255" i="39" s="1"/>
  <c r="BH255" i="39" s="1"/>
  <c r="G256" i="39"/>
  <c r="Q256" i="39"/>
  <c r="N256" i="39" s="1"/>
  <c r="G257" i="39"/>
  <c r="Q260" i="39"/>
  <c r="N260" i="39" s="1"/>
  <c r="P263" i="39"/>
  <c r="L265" i="39"/>
  <c r="O265" i="39" s="1"/>
  <c r="BH265" i="39" s="1"/>
  <c r="CJ265" i="39"/>
  <c r="CK265" i="39" s="1"/>
  <c r="S271" i="39"/>
  <c r="CO271" i="39" s="1"/>
  <c r="P252" i="39"/>
  <c r="CP252" i="39"/>
  <c r="G252" i="39"/>
  <c r="Q252" i="39"/>
  <c r="N252" i="39" s="1"/>
  <c r="B263" i="39"/>
  <c r="L263" i="39"/>
  <c r="O263" i="39" s="1"/>
  <c r="BH263" i="39" s="1"/>
  <c r="AP266" i="39"/>
  <c r="L268" i="39"/>
  <c r="O268" i="39" s="1"/>
  <c r="BH268" i="39" s="1"/>
  <c r="K268" i="39"/>
  <c r="CT268" i="39"/>
  <c r="AX268" i="39" s="1"/>
  <c r="BO268" i="39"/>
  <c r="BF268" i="39"/>
  <c r="S268" i="39"/>
  <c r="CO268" i="39" s="1"/>
  <c r="G253" i="39"/>
  <c r="B255" i="39"/>
  <c r="B260" i="39"/>
  <c r="S260" i="39"/>
  <c r="CO260" i="39" s="1"/>
  <c r="K262" i="39"/>
  <c r="Q263" i="39"/>
  <c r="N263" i="39" s="1"/>
  <c r="K264" i="39"/>
  <c r="AP267" i="39"/>
  <c r="Q268" i="39"/>
  <c r="N268" i="39" s="1"/>
  <c r="CP268" i="39"/>
  <c r="CP271" i="39"/>
  <c r="AP269" i="39"/>
  <c r="P270" i="39"/>
  <c r="CP270" i="39"/>
  <c r="P259" i="39"/>
  <c r="L261" i="39"/>
  <c r="O261" i="39" s="1"/>
  <c r="BH261" i="39" s="1"/>
  <c r="P267" i="39"/>
  <c r="CP267" i="39"/>
  <c r="L269" i="39"/>
  <c r="O269" i="39" s="1"/>
  <c r="BH269" i="39" s="1"/>
  <c r="G270" i="39"/>
  <c r="P261" i="39"/>
  <c r="CP261" i="39"/>
  <c r="S267" i="39"/>
  <c r="CO267" i="39" s="1"/>
  <c r="BF267" i="39"/>
  <c r="BO267" i="39"/>
  <c r="P269" i="39"/>
  <c r="CP269" i="39"/>
  <c r="P258" i="39"/>
  <c r="G261" i="39"/>
  <c r="P266" i="39"/>
  <c r="G269" i="39"/>
  <c r="BZ35" i="39"/>
  <c r="BZ381" i="39"/>
  <c r="BZ33" i="39"/>
  <c r="BZ382" i="39"/>
  <c r="BZ383" i="39"/>
  <c r="BZ48" i="39"/>
  <c r="BZ384" i="39"/>
  <c r="BZ385" i="39"/>
  <c r="BZ23" i="39"/>
  <c r="BZ168" i="39"/>
  <c r="BZ161" i="39"/>
  <c r="BZ40" i="39"/>
  <c r="BZ386" i="39"/>
  <c r="BZ27" i="39"/>
  <c r="BZ387" i="39"/>
  <c r="BZ388" i="39"/>
  <c r="BZ28" i="39"/>
  <c r="BZ389" i="39"/>
  <c r="BZ64" i="39"/>
  <c r="BZ21" i="39"/>
  <c r="BZ390" i="39"/>
  <c r="BZ391" i="39"/>
  <c r="BZ41" i="39"/>
  <c r="BZ160" i="39"/>
  <c r="BZ44" i="39"/>
  <c r="BZ392" i="39"/>
  <c r="BZ50" i="39"/>
  <c r="BZ24" i="39"/>
  <c r="BZ393" i="39"/>
  <c r="BZ176" i="39"/>
  <c r="BZ30" i="39"/>
  <c r="BZ191" i="39"/>
  <c r="BZ158" i="39"/>
  <c r="BZ220" i="39"/>
  <c r="BZ221" i="39"/>
  <c r="BZ222" i="39"/>
  <c r="BZ223" i="39"/>
  <c r="BZ224" i="39"/>
  <c r="BZ225" i="39"/>
  <c r="BZ226" i="39"/>
  <c r="BZ227" i="39"/>
  <c r="BZ228" i="39"/>
  <c r="BZ229" i="39"/>
  <c r="BZ230" i="39"/>
  <c r="BZ231" i="39"/>
  <c r="BZ232" i="39"/>
  <c r="BZ233" i="39"/>
  <c r="BZ234" i="39"/>
  <c r="BZ235" i="39"/>
  <c r="BZ236" i="39"/>
  <c r="BZ237" i="39"/>
  <c r="BZ238" i="39"/>
  <c r="BZ239" i="39"/>
  <c r="BZ240" i="39"/>
  <c r="BZ241" i="39"/>
  <c r="BZ242" i="39"/>
  <c r="BZ243" i="39"/>
  <c r="BZ244" i="39"/>
  <c r="BZ245" i="39"/>
  <c r="BZ246" i="39"/>
  <c r="BZ247" i="39"/>
  <c r="BZ248" i="39"/>
  <c r="BZ249" i="39"/>
  <c r="BZ250" i="39"/>
  <c r="BZ121" i="39"/>
  <c r="BZ151" i="39"/>
  <c r="BZ69" i="39"/>
  <c r="BZ196" i="39"/>
  <c r="BZ82" i="39"/>
  <c r="BZ5" i="39"/>
  <c r="BZ373" i="39"/>
  <c r="BZ193" i="39"/>
  <c r="BZ61" i="39"/>
  <c r="BZ187" i="39"/>
  <c r="BZ58" i="39"/>
  <c r="BZ56" i="39"/>
  <c r="BZ62" i="39"/>
  <c r="BZ115" i="39"/>
  <c r="BZ218" i="39"/>
  <c r="BZ217" i="39"/>
  <c r="BZ374" i="39"/>
  <c r="BZ212" i="39"/>
  <c r="BZ114" i="39"/>
  <c r="BZ179" i="39"/>
  <c r="BZ68" i="39"/>
  <c r="BZ150" i="39"/>
  <c r="BZ70" i="39"/>
  <c r="BZ174" i="39"/>
  <c r="BZ71" i="39"/>
  <c r="BZ120" i="39"/>
  <c r="BZ16" i="39"/>
  <c r="BZ375" i="39"/>
  <c r="BZ149" i="39"/>
  <c r="BZ76" i="39"/>
  <c r="BZ378" i="39"/>
  <c r="BZ12" i="39"/>
  <c r="BZ372" i="39"/>
  <c r="BZ135" i="39"/>
  <c r="BZ9" i="39"/>
  <c r="BZ190" i="39"/>
  <c r="BZ59" i="39"/>
  <c r="BZ4" i="39"/>
  <c r="BZ153" i="39"/>
  <c r="BZ3" i="39"/>
  <c r="BZ122" i="39"/>
  <c r="BZ79" i="39"/>
  <c r="BZ376" i="39"/>
  <c r="BZ112" i="39"/>
  <c r="BZ97" i="39"/>
  <c r="BZ189" i="39"/>
  <c r="BZ51" i="39"/>
  <c r="BZ119" i="39"/>
  <c r="BZ206" i="39"/>
  <c r="BZ377" i="39"/>
  <c r="BZ52" i="39"/>
  <c r="BZ77" i="39"/>
  <c r="BZ216" i="39"/>
  <c r="BZ78" i="39"/>
  <c r="BZ186" i="39"/>
  <c r="BZ13" i="39"/>
  <c r="BZ75" i="39"/>
  <c r="BZ210" i="39"/>
  <c r="BZ73" i="39"/>
  <c r="BZ379" i="39"/>
  <c r="BZ273" i="39"/>
  <c r="BZ274" i="39"/>
  <c r="BZ275" i="39"/>
  <c r="BZ276" i="39"/>
  <c r="BZ277" i="39"/>
  <c r="BZ278" i="39"/>
  <c r="BZ279" i="39"/>
  <c r="BZ280" i="39"/>
  <c r="BZ281" i="39"/>
  <c r="BZ282" i="39"/>
  <c r="BZ283" i="39"/>
  <c r="BZ284" i="39"/>
  <c r="BZ285" i="39"/>
  <c r="BZ286" i="39"/>
  <c r="BZ287" i="39"/>
  <c r="BZ288" i="39"/>
  <c r="BZ289" i="39"/>
  <c r="BZ290" i="39"/>
  <c r="BZ291" i="39"/>
  <c r="BZ292" i="39"/>
  <c r="BZ293" i="39"/>
  <c r="BZ294" i="39"/>
  <c r="BZ295" i="39"/>
  <c r="BZ296" i="39"/>
  <c r="BZ297" i="39"/>
  <c r="BZ298" i="39"/>
  <c r="BZ299" i="39"/>
  <c r="BZ300" i="39"/>
  <c r="BZ301" i="39"/>
  <c r="BZ302" i="39"/>
  <c r="BZ303" i="39"/>
  <c r="BZ304" i="39"/>
  <c r="BZ305" i="39"/>
  <c r="BZ306" i="39"/>
  <c r="BZ307" i="39"/>
  <c r="BZ308" i="39"/>
  <c r="BZ309" i="39"/>
  <c r="BZ310" i="39"/>
  <c r="BZ311" i="39"/>
  <c r="BZ312" i="39"/>
  <c r="BZ313" i="39"/>
  <c r="BZ314" i="39"/>
  <c r="BZ315" i="39"/>
  <c r="BZ316" i="39"/>
  <c r="BZ317" i="39"/>
  <c r="BZ318" i="39"/>
  <c r="BZ319" i="39"/>
  <c r="BZ320" i="39"/>
  <c r="BZ321" i="39"/>
  <c r="BZ322" i="39"/>
  <c r="BZ323" i="39"/>
  <c r="BZ324" i="39"/>
  <c r="BZ325" i="39"/>
  <c r="BZ326" i="39"/>
  <c r="BZ327" i="39"/>
  <c r="BZ328" i="39"/>
  <c r="BZ329" i="39"/>
  <c r="BZ330" i="39"/>
  <c r="BZ331" i="39"/>
  <c r="BZ332" i="39"/>
  <c r="BZ333" i="39"/>
  <c r="BZ334" i="39"/>
  <c r="BZ335" i="39"/>
  <c r="BZ336" i="39"/>
  <c r="BZ337" i="39"/>
  <c r="BZ338" i="39"/>
  <c r="BZ339" i="39"/>
  <c r="BZ340" i="39"/>
  <c r="BZ341" i="39"/>
  <c r="BZ342" i="39"/>
  <c r="BZ343" i="39"/>
  <c r="BZ344" i="39"/>
  <c r="BZ345" i="39"/>
  <c r="BZ346" i="39"/>
  <c r="BZ347" i="39"/>
  <c r="BZ348" i="39"/>
  <c r="BZ349" i="39"/>
  <c r="BZ350" i="39"/>
  <c r="BZ351" i="39"/>
  <c r="BZ352" i="39"/>
  <c r="BZ353" i="39"/>
  <c r="BZ354" i="39"/>
  <c r="BZ355" i="39"/>
  <c r="BZ356" i="39"/>
  <c r="BZ357" i="39"/>
  <c r="BZ358" i="39"/>
  <c r="BZ359" i="39"/>
  <c r="BZ360" i="39"/>
  <c r="BZ361" i="39"/>
  <c r="BZ362" i="39"/>
  <c r="BZ363" i="39"/>
  <c r="BZ364" i="39"/>
  <c r="BZ365" i="39"/>
  <c r="BZ366" i="39"/>
  <c r="BZ367" i="39"/>
  <c r="BZ394" i="39"/>
  <c r="BZ395" i="39"/>
  <c r="BZ396" i="39"/>
  <c r="BZ397" i="39"/>
  <c r="BZ398" i="39"/>
  <c r="BZ399" i="39"/>
  <c r="BZ400" i="39"/>
  <c r="BZ401" i="39"/>
  <c r="BZ402" i="39"/>
  <c r="BZ403" i="39"/>
  <c r="BZ404" i="39"/>
  <c r="BZ405" i="39"/>
  <c r="BZ406" i="39"/>
  <c r="BZ407" i="39"/>
  <c r="BZ408" i="39"/>
  <c r="BZ409" i="39"/>
  <c r="BZ410" i="39"/>
  <c r="BZ411" i="39"/>
  <c r="Y250" i="39"/>
  <c r="Y249" i="39"/>
  <c r="Y248" i="39"/>
  <c r="Y247" i="39"/>
  <c r="Y246" i="39"/>
  <c r="Y245" i="39"/>
  <c r="Y244" i="39"/>
  <c r="Y243" i="39"/>
  <c r="Y242" i="39"/>
  <c r="Y241" i="39"/>
  <c r="Y240" i="39"/>
  <c r="Y239" i="39"/>
  <c r="Y238" i="39"/>
  <c r="Y237" i="39"/>
  <c r="Y236" i="39"/>
  <c r="Y235" i="39"/>
  <c r="Y234" i="39"/>
  <c r="Y233" i="39"/>
  <c r="Y232" i="39"/>
  <c r="Y231" i="39"/>
  <c r="Y230" i="39"/>
  <c r="Y229" i="39"/>
  <c r="Y228" i="39"/>
  <c r="Y227" i="39"/>
  <c r="Y226" i="39"/>
  <c r="Y225" i="39"/>
  <c r="Y224" i="39"/>
  <c r="Y223" i="39"/>
  <c r="Y222" i="39"/>
  <c r="Y221" i="39"/>
  <c r="Y220" i="39"/>
  <c r="X81" i="40"/>
  <c r="X80" i="40"/>
  <c r="X79" i="40"/>
  <c r="X78" i="40"/>
  <c r="X77" i="40"/>
  <c r="X76" i="40"/>
  <c r="X75" i="40"/>
  <c r="X74" i="40"/>
  <c r="X73" i="40"/>
  <c r="X72" i="40"/>
  <c r="X71" i="40"/>
  <c r="X70" i="40"/>
  <c r="X69" i="40"/>
  <c r="X68" i="40"/>
  <c r="X67" i="40"/>
  <c r="X66" i="40"/>
  <c r="X65" i="40"/>
  <c r="X64" i="40"/>
  <c r="X63" i="40"/>
  <c r="X62" i="40"/>
  <c r="X61" i="40"/>
  <c r="X60" i="40"/>
  <c r="X59" i="40"/>
  <c r="X58" i="40"/>
  <c r="X57" i="40"/>
  <c r="X56" i="40"/>
  <c r="X55" i="40"/>
  <c r="X54" i="40"/>
  <c r="X53" i="40"/>
  <c r="X52" i="40"/>
  <c r="X51" i="40"/>
  <c r="X50" i="40"/>
  <c r="X49" i="40"/>
  <c r="X48" i="40"/>
  <c r="X47" i="40"/>
  <c r="X46" i="40"/>
  <c r="X45" i="40"/>
  <c r="X44" i="40"/>
  <c r="X43" i="40"/>
  <c r="X42" i="40"/>
  <c r="X41" i="40"/>
  <c r="X40" i="40"/>
  <c r="X39" i="40"/>
  <c r="X38" i="40"/>
  <c r="X37" i="40"/>
  <c r="X36" i="40"/>
  <c r="X35" i="40"/>
  <c r="X34" i="40"/>
  <c r="X33" i="40"/>
  <c r="X32" i="40"/>
  <c r="X31" i="40"/>
  <c r="X30" i="40"/>
  <c r="X29" i="40"/>
  <c r="X28" i="40"/>
  <c r="X27" i="40"/>
  <c r="X26" i="40"/>
  <c r="X25" i="40"/>
  <c r="X24" i="40"/>
  <c r="X23" i="40"/>
  <c r="X22" i="40"/>
  <c r="X21" i="40"/>
  <c r="X20" i="40"/>
  <c r="X19" i="40"/>
  <c r="X18" i="40"/>
  <c r="X17" i="40"/>
  <c r="X16" i="40"/>
  <c r="X15" i="40"/>
  <c r="X14" i="40"/>
  <c r="X13" i="40"/>
  <c r="X12" i="40"/>
  <c r="X11" i="40"/>
  <c r="X10" i="40"/>
  <c r="X9" i="40"/>
  <c r="X8" i="40"/>
  <c r="X7" i="40"/>
  <c r="Q6" i="40"/>
  <c r="X5" i="40"/>
  <c r="Y103" i="39"/>
  <c r="Y87" i="39"/>
  <c r="Y89" i="39"/>
  <c r="Y85" i="39"/>
  <c r="Y90" i="39"/>
  <c r="Y93" i="39"/>
  <c r="Y94" i="39"/>
  <c r="Y142" i="39"/>
  <c r="Y100" i="39"/>
  <c r="Y369" i="39"/>
  <c r="Y182" i="39"/>
  <c r="Y181" i="39"/>
  <c r="Y138" i="39"/>
  <c r="Y273" i="39"/>
  <c r="Y274" i="39"/>
  <c r="Y275" i="39"/>
  <c r="Y276" i="39"/>
  <c r="Y277" i="39"/>
  <c r="Y278" i="39"/>
  <c r="Y279" i="39"/>
  <c r="Y280" i="39"/>
  <c r="Y281" i="39"/>
  <c r="Y282" i="39"/>
  <c r="Y283" i="39"/>
  <c r="Y284" i="39"/>
  <c r="Y285" i="39"/>
  <c r="Y286" i="39"/>
  <c r="Y287" i="39"/>
  <c r="Y288" i="39"/>
  <c r="Y289" i="39"/>
  <c r="Y290" i="39"/>
  <c r="Y291" i="39"/>
  <c r="Y292" i="39"/>
  <c r="Y293" i="39"/>
  <c r="Y294" i="39"/>
  <c r="Y295" i="39"/>
  <c r="Y296" i="39"/>
  <c r="Y297" i="39"/>
  <c r="Y298" i="39"/>
  <c r="Y299" i="39"/>
  <c r="Y300" i="39"/>
  <c r="Y301" i="39"/>
  <c r="Y302" i="39"/>
  <c r="Y303" i="39"/>
  <c r="Y304" i="39"/>
  <c r="Y305" i="39"/>
  <c r="Y306" i="39"/>
  <c r="Y307" i="39"/>
  <c r="Y308" i="39"/>
  <c r="Y309" i="39"/>
  <c r="Y310" i="39"/>
  <c r="Y311" i="39"/>
  <c r="Y312" i="39"/>
  <c r="Y313" i="39"/>
  <c r="Y314" i="39"/>
  <c r="Y315" i="39"/>
  <c r="Y316" i="39"/>
  <c r="Y317" i="39"/>
  <c r="Y318" i="39"/>
  <c r="Y319" i="39"/>
  <c r="Y320" i="39"/>
  <c r="Y321" i="39"/>
  <c r="Y322" i="39"/>
  <c r="Y323" i="39"/>
  <c r="Y324" i="39"/>
  <c r="Y325" i="39"/>
  <c r="Y326" i="39"/>
  <c r="Y327" i="39"/>
  <c r="Y328" i="39"/>
  <c r="Y329" i="39"/>
  <c r="Y330" i="39"/>
  <c r="Y331" i="39"/>
  <c r="Y332" i="39"/>
  <c r="Y333" i="39"/>
  <c r="Y334" i="39"/>
  <c r="Y335" i="39"/>
  <c r="Y336" i="39"/>
  <c r="Y337" i="39"/>
  <c r="Y338" i="39"/>
  <c r="Y339" i="39"/>
  <c r="Y340" i="39"/>
  <c r="Y341" i="39"/>
  <c r="Y342" i="39"/>
  <c r="Y343" i="39"/>
  <c r="Y344" i="39"/>
  <c r="Y345" i="39"/>
  <c r="Y346" i="39"/>
  <c r="Y347" i="39"/>
  <c r="Y348" i="39"/>
  <c r="Y349" i="39"/>
  <c r="Y350" i="39"/>
  <c r="Y351" i="39"/>
  <c r="Y352" i="39"/>
  <c r="Y353" i="39"/>
  <c r="Y354" i="39"/>
  <c r="Y355" i="39"/>
  <c r="Y356" i="39"/>
  <c r="Y357" i="39"/>
  <c r="Y358" i="39"/>
  <c r="Y359" i="39"/>
  <c r="Y360" i="39"/>
  <c r="Y361" i="39"/>
  <c r="Y362" i="39"/>
  <c r="Y363" i="39"/>
  <c r="Y364" i="39"/>
  <c r="Y365" i="39"/>
  <c r="Y366" i="39"/>
  <c r="Y367" i="39"/>
  <c r="E5" i="40"/>
  <c r="B5" i="40"/>
  <c r="E28" i="40"/>
  <c r="E29" i="40"/>
  <c r="G168" i="39" s="1"/>
  <c r="E30" i="40"/>
  <c r="E31" i="40"/>
  <c r="E32" i="40"/>
  <c r="BO34" i="39"/>
  <c r="CI34" i="39"/>
  <c r="CC34" i="39"/>
  <c r="BX34" i="39"/>
  <c r="BV34" i="39"/>
  <c r="BU34" i="39"/>
  <c r="BT34" i="39"/>
  <c r="CH34" i="39" s="1"/>
  <c r="BQ34" i="39"/>
  <c r="BL34" i="39"/>
  <c r="BG34" i="39"/>
  <c r="BC34" i="39"/>
  <c r="CI178" i="39"/>
  <c r="CC178" i="39"/>
  <c r="BX178" i="39"/>
  <c r="BV178" i="39"/>
  <c r="BU178" i="39"/>
  <c r="BT178" i="39"/>
  <c r="CH178" i="39" s="1"/>
  <c r="BQ178" i="39"/>
  <c r="BL178" i="39"/>
  <c r="BG178" i="39"/>
  <c r="BC178" i="39"/>
  <c r="I294" i="42" l="1"/>
  <c r="A90" i="41" s="1"/>
  <c r="AA90" i="41" s="1"/>
  <c r="I288" i="42"/>
  <c r="A113" i="41" s="1"/>
  <c r="AA113" i="41" s="1"/>
  <c r="I280" i="42"/>
  <c r="A44" i="41" s="1"/>
  <c r="AA44" i="41" s="1"/>
  <c r="I278" i="42"/>
  <c r="A119" i="41" s="1"/>
  <c r="AA119" i="41" s="1"/>
  <c r="I284" i="42"/>
  <c r="A120" i="41" s="1"/>
  <c r="AA120" i="41" s="1"/>
  <c r="I292" i="42"/>
  <c r="A122" i="41" s="1"/>
  <c r="AA122" i="41" s="1"/>
  <c r="I287" i="42"/>
  <c r="A33" i="41" s="1"/>
  <c r="AA33" i="41" s="1"/>
  <c r="I279" i="42"/>
  <c r="A156" i="41" s="1"/>
  <c r="AA156" i="41" s="1"/>
  <c r="I281" i="42"/>
  <c r="A40" i="41" s="1"/>
  <c r="AA40" i="41" s="1"/>
  <c r="I282" i="42"/>
  <c r="A74" i="41" s="1"/>
  <c r="AA74" i="41" s="1"/>
  <c r="I285" i="42"/>
  <c r="A43" i="41" s="1"/>
  <c r="AA43" i="41" s="1"/>
  <c r="I289" i="42"/>
  <c r="A34" i="41" s="1"/>
  <c r="AA34" i="41" s="1"/>
  <c r="I277" i="42"/>
  <c r="A150" i="41" s="1"/>
  <c r="AA150" i="41" s="1"/>
  <c r="I283" i="42"/>
  <c r="A94" i="41" s="1"/>
  <c r="AA94" i="41" s="1"/>
  <c r="I286" i="42"/>
  <c r="A121" i="41" s="1"/>
  <c r="AA121" i="41" s="1"/>
  <c r="I293" i="42"/>
  <c r="A128" i="41" s="1"/>
  <c r="AA128" i="41" s="1"/>
  <c r="I290" i="42"/>
  <c r="A87" i="41" s="1"/>
  <c r="AA87" i="41" s="1"/>
  <c r="I296" i="42"/>
  <c r="A142" i="41" s="1"/>
  <c r="AA142" i="41" s="1"/>
  <c r="I295" i="42"/>
  <c r="A60" i="41" s="1"/>
  <c r="AA60" i="41" s="1"/>
  <c r="CM257" i="39"/>
  <c r="M246" i="39"/>
  <c r="CM261" i="39"/>
  <c r="M261" i="39"/>
  <c r="CR262" i="39"/>
  <c r="A262" i="39" s="1"/>
  <c r="AQ262" i="39" s="1"/>
  <c r="BN262" i="39"/>
  <c r="M257" i="39"/>
  <c r="CM270" i="39"/>
  <c r="CJ262" i="39"/>
  <c r="CK262" i="39" s="1"/>
  <c r="M253" i="39"/>
  <c r="BP260" i="39"/>
  <c r="BR260" i="39" s="1"/>
  <c r="BS260" i="39"/>
  <c r="CD260" i="39" s="1"/>
  <c r="CM253" i="39"/>
  <c r="M270" i="39"/>
  <c r="M269" i="39"/>
  <c r="M258" i="39"/>
  <c r="M259" i="39"/>
  <c r="M260" i="39"/>
  <c r="M254" i="39"/>
  <c r="M255" i="39"/>
  <c r="M252" i="39"/>
  <c r="M265" i="39"/>
  <c r="M267" i="39"/>
  <c r="M271" i="39"/>
  <c r="M266" i="39"/>
  <c r="M262" i="39"/>
  <c r="M256" i="39"/>
  <c r="M268" i="39"/>
  <c r="M263" i="39"/>
  <c r="M264" i="39"/>
  <c r="CM252" i="39"/>
  <c r="CM260" i="39"/>
  <c r="CM268" i="39"/>
  <c r="CM255" i="39"/>
  <c r="CM271" i="39"/>
  <c r="CM266" i="39"/>
  <c r="CM265" i="39"/>
  <c r="CM267" i="39"/>
  <c r="CM258" i="39"/>
  <c r="CM259" i="39"/>
  <c r="CM269" i="39"/>
  <c r="CM262" i="39"/>
  <c r="CM254" i="39"/>
  <c r="CM256" i="39"/>
  <c r="CM263" i="39"/>
  <c r="CM264" i="39"/>
  <c r="CJ257" i="39"/>
  <c r="CK257" i="39" s="1"/>
  <c r="CJ271" i="39"/>
  <c r="CK271" i="39" s="1"/>
  <c r="BN269" i="39"/>
  <c r="CJ260" i="39"/>
  <c r="CK260" i="39" s="1"/>
  <c r="BN270" i="39"/>
  <c r="CJ254" i="39"/>
  <c r="CK254" i="39" s="1"/>
  <c r="BN256" i="39"/>
  <c r="CJ261" i="39"/>
  <c r="CK261" i="39" s="1"/>
  <c r="CJ264" i="39"/>
  <c r="CK264" i="39" s="1"/>
  <c r="CJ253" i="39"/>
  <c r="CK253" i="39" s="1"/>
  <c r="CJ263" i="39"/>
  <c r="CK263" i="39" s="1"/>
  <c r="BN266" i="39"/>
  <c r="CJ258" i="39"/>
  <c r="CK258" i="39" s="1"/>
  <c r="BN268" i="39"/>
  <c r="BN259" i="39"/>
  <c r="BN267" i="39"/>
  <c r="CJ256" i="39"/>
  <c r="CK256" i="39" s="1"/>
  <c r="CR256" i="39"/>
  <c r="A256" i="39" s="1"/>
  <c r="AQ256" i="39" s="1"/>
  <c r="BI252" i="39"/>
  <c r="BK252" i="39"/>
  <c r="CJ267" i="39"/>
  <c r="CK267" i="39" s="1"/>
  <c r="BN254" i="39"/>
  <c r="CJ259" i="39"/>
  <c r="CK259" i="39" s="1"/>
  <c r="BN253" i="39"/>
  <c r="BK259" i="39"/>
  <c r="BI270" i="39"/>
  <c r="BP271" i="39"/>
  <c r="BR271" i="39" s="1"/>
  <c r="CA259" i="39"/>
  <c r="CJ268" i="39"/>
  <c r="CK268" i="39" s="1"/>
  <c r="CR268" i="39"/>
  <c r="A268" i="39" s="1"/>
  <c r="AQ268" i="39" s="1"/>
  <c r="BK266" i="39"/>
  <c r="J271" i="39"/>
  <c r="J255" i="39"/>
  <c r="BP255" i="39"/>
  <c r="BR255" i="39" s="1"/>
  <c r="BJ259" i="39"/>
  <c r="BJ270" i="39"/>
  <c r="CR259" i="39"/>
  <c r="A259" i="39" s="1"/>
  <c r="AQ259" i="39" s="1"/>
  <c r="CR261" i="39"/>
  <c r="A261" i="39" s="1"/>
  <c r="AQ261" i="39" s="1"/>
  <c r="BN261" i="39"/>
  <c r="BJ262" i="39"/>
  <c r="BI262" i="39"/>
  <c r="CA270" i="39"/>
  <c r="CJ270" i="39"/>
  <c r="CK270" i="39" s="1"/>
  <c r="CJ269" i="39"/>
  <c r="CK269" i="39" s="1"/>
  <c r="CR269" i="39"/>
  <c r="A269" i="39" s="1"/>
  <c r="AQ269" i="39" s="1"/>
  <c r="BS267" i="39"/>
  <c r="CD267" i="39" s="1"/>
  <c r="CB267" i="39"/>
  <c r="BJ258" i="39"/>
  <c r="CA267" i="39"/>
  <c r="BK258" i="39"/>
  <c r="J258" i="39"/>
  <c r="CR267" i="39"/>
  <c r="A267" i="39" s="1"/>
  <c r="AQ267" i="39" s="1"/>
  <c r="CJ266" i="39"/>
  <c r="CK266" i="39" s="1"/>
  <c r="BJ267" i="39"/>
  <c r="J267" i="39"/>
  <c r="J266" i="39"/>
  <c r="CA251" i="39"/>
  <c r="CA266" i="39"/>
  <c r="BI266" i="39"/>
  <c r="CA256" i="39"/>
  <c r="BN258" i="39"/>
  <c r="BJ251" i="39"/>
  <c r="BP258" i="39"/>
  <c r="BR258" i="39" s="1"/>
  <c r="BK267" i="39"/>
  <c r="BK251" i="39"/>
  <c r="CA258" i="39"/>
  <c r="BI254" i="39"/>
  <c r="BJ254" i="39"/>
  <c r="CR258" i="39"/>
  <c r="A258" i="39" s="1"/>
  <c r="AQ258" i="39" s="1"/>
  <c r="BP259" i="39"/>
  <c r="BR259" i="39" s="1"/>
  <c r="BS259" i="39"/>
  <c r="CD259" i="39" s="1"/>
  <c r="J259" i="39"/>
  <c r="BP251" i="39"/>
  <c r="BR251" i="39" s="1"/>
  <c r="BS251" i="39"/>
  <c r="CD251" i="39" s="1"/>
  <c r="J251" i="39"/>
  <c r="BJ253" i="39"/>
  <c r="CD258" i="39"/>
  <c r="CR266" i="39"/>
  <c r="A266" i="39" s="1"/>
  <c r="AQ266" i="39" s="1"/>
  <c r="BS266" i="39"/>
  <c r="CD266" i="39" s="1"/>
  <c r="BI253" i="39"/>
  <c r="J254" i="39"/>
  <c r="BS254" i="39"/>
  <c r="CD254" i="39" s="1"/>
  <c r="CE258" i="39"/>
  <c r="CB254" i="39"/>
  <c r="BJ257" i="39"/>
  <c r="CE259" i="39"/>
  <c r="CR254" i="39"/>
  <c r="A254" i="39" s="1"/>
  <c r="AQ254" i="39" s="1"/>
  <c r="CB266" i="39"/>
  <c r="BK257" i="39"/>
  <c r="CA254" i="39"/>
  <c r="CR255" i="39"/>
  <c r="A255" i="39" s="1"/>
  <c r="AQ255" i="39" s="1"/>
  <c r="BN255" i="39"/>
  <c r="BJ268" i="39"/>
  <c r="BI268" i="39"/>
  <c r="BK268" i="39"/>
  <c r="J270" i="39"/>
  <c r="BP270" i="39"/>
  <c r="BS270" i="39"/>
  <c r="CD270" i="39" s="1"/>
  <c r="J262" i="39"/>
  <c r="BP262" i="39"/>
  <c r="BR262" i="39" s="1"/>
  <c r="BS262" i="39"/>
  <c r="CD262" i="39" s="1"/>
  <c r="CA265" i="39"/>
  <c r="CE265" i="39"/>
  <c r="BK271" i="39"/>
  <c r="BJ271" i="39"/>
  <c r="BI271" i="39"/>
  <c r="BK255" i="39"/>
  <c r="BJ255" i="39"/>
  <c r="BI255" i="39"/>
  <c r="CR251" i="39"/>
  <c r="A251" i="39" s="1"/>
  <c r="AQ251" i="39" s="1"/>
  <c r="BN251" i="39"/>
  <c r="BJ260" i="39"/>
  <c r="BI260" i="39"/>
  <c r="BK260" i="39"/>
  <c r="BJ269" i="39"/>
  <c r="BI269" i="39"/>
  <c r="BK269" i="39"/>
  <c r="CA264" i="39"/>
  <c r="CE264" i="39"/>
  <c r="CA253" i="39"/>
  <c r="J253" i="39"/>
  <c r="BP253" i="39"/>
  <c r="BS253" i="39"/>
  <c r="CD253" i="39" s="1"/>
  <c r="J265" i="39"/>
  <c r="BS265" i="39"/>
  <c r="CD265" i="39" s="1"/>
  <c r="BP265" i="39"/>
  <c r="BR265" i="39" s="1"/>
  <c r="BK264" i="39"/>
  <c r="BJ264" i="39"/>
  <c r="BI264" i="39"/>
  <c r="CR271" i="39"/>
  <c r="A271" i="39" s="1"/>
  <c r="AQ271" i="39" s="1"/>
  <c r="BN271" i="39"/>
  <c r="BS252" i="39"/>
  <c r="CD252" i="39" s="1"/>
  <c r="J252" i="39"/>
  <c r="BP252" i="39"/>
  <c r="BR252" i="39" s="1"/>
  <c r="CR264" i="39"/>
  <c r="A264" i="39" s="1"/>
  <c r="AQ264" i="39" s="1"/>
  <c r="BN264" i="39"/>
  <c r="CD271" i="39"/>
  <c r="CA271" i="39"/>
  <c r="CE271" i="39"/>
  <c r="BP257" i="39"/>
  <c r="BR257" i="39" s="1"/>
  <c r="BS257" i="39"/>
  <c r="CD257" i="39" s="1"/>
  <c r="J257" i="39"/>
  <c r="CE252" i="39"/>
  <c r="CA252" i="39"/>
  <c r="BS264" i="39"/>
  <c r="CD264" i="39" s="1"/>
  <c r="BP264" i="39"/>
  <c r="BR264" i="39" s="1"/>
  <c r="J264" i="39"/>
  <c r="CR257" i="39"/>
  <c r="A257" i="39" s="1"/>
  <c r="AQ257" i="39" s="1"/>
  <c r="BN257" i="39"/>
  <c r="BS263" i="39"/>
  <c r="CD263" i="39" s="1"/>
  <c r="J263" i="39"/>
  <c r="BP263" i="39"/>
  <c r="BR263" i="39" s="1"/>
  <c r="BK256" i="39"/>
  <c r="BJ256" i="39"/>
  <c r="BI256" i="39"/>
  <c r="CR252" i="39"/>
  <c r="A252" i="39" s="1"/>
  <c r="AQ252" i="39" s="1"/>
  <c r="BN252" i="39"/>
  <c r="CJ251" i="39"/>
  <c r="CK251" i="39" s="1"/>
  <c r="BS269" i="39"/>
  <c r="CD269" i="39" s="1"/>
  <c r="CA269" i="39"/>
  <c r="J269" i="39"/>
  <c r="BP269" i="39"/>
  <c r="CA262" i="39"/>
  <c r="CE262" i="39"/>
  <c r="BJ261" i="39"/>
  <c r="BK261" i="39"/>
  <c r="BI261" i="39"/>
  <c r="BK263" i="39"/>
  <c r="BJ263" i="39"/>
  <c r="BI263" i="39"/>
  <c r="CA263" i="39"/>
  <c r="CE263" i="39"/>
  <c r="CD255" i="39"/>
  <c r="CA255" i="39"/>
  <c r="CE255" i="39"/>
  <c r="CR270" i="39"/>
  <c r="A270" i="39" s="1"/>
  <c r="AQ270" i="39" s="1"/>
  <c r="CR253" i="39"/>
  <c r="A253" i="39" s="1"/>
  <c r="AQ253" i="39" s="1"/>
  <c r="BS261" i="39"/>
  <c r="CD261" i="39" s="1"/>
  <c r="CA261" i="39"/>
  <c r="BP261" i="39"/>
  <c r="J261" i="39"/>
  <c r="BN260" i="39"/>
  <c r="CR260" i="39"/>
  <c r="A260" i="39" s="1"/>
  <c r="AQ260" i="39" s="1"/>
  <c r="CE268" i="39"/>
  <c r="CA268" i="39"/>
  <c r="CR263" i="39"/>
  <c r="A263" i="39" s="1"/>
  <c r="AQ263" i="39" s="1"/>
  <c r="BN263" i="39"/>
  <c r="BI265" i="39"/>
  <c r="BK265" i="39"/>
  <c r="BJ265" i="39"/>
  <c r="J256" i="39"/>
  <c r="BP256" i="39"/>
  <c r="BS256" i="39"/>
  <c r="CD256" i="39" s="1"/>
  <c r="CA257" i="39"/>
  <c r="CE257" i="39"/>
  <c r="BS268" i="39"/>
  <c r="CD268" i="39" s="1"/>
  <c r="BP268" i="39"/>
  <c r="BR268" i="39" s="1"/>
  <c r="J268" i="39"/>
  <c r="CA260" i="39"/>
  <c r="CE260" i="39"/>
  <c r="CJ252" i="39"/>
  <c r="CK252" i="39" s="1"/>
  <c r="CJ255" i="39"/>
  <c r="CK255" i="39" s="1"/>
  <c r="CP178" i="39"/>
  <c r="CT34" i="39"/>
  <c r="AX34" i="39" s="1"/>
  <c r="N34" i="39"/>
  <c r="BF34" i="39"/>
  <c r="S178" i="39"/>
  <c r="AP178" i="39"/>
  <c r="B178" i="39"/>
  <c r="CT178" i="39"/>
  <c r="AX178" i="39" s="1"/>
  <c r="P5" i="40" s="1"/>
  <c r="K178" i="39"/>
  <c r="CE178" i="39" s="1"/>
  <c r="S34" i="39"/>
  <c r="W6" i="40" s="1"/>
  <c r="P178" i="39"/>
  <c r="G178" i="39"/>
  <c r="BF178" i="39"/>
  <c r="BO178" i="39"/>
  <c r="K34" i="39"/>
  <c r="AP34" i="39"/>
  <c r="CP34" i="39"/>
  <c r="P34" i="39"/>
  <c r="BC381" i="39"/>
  <c r="BC33" i="39"/>
  <c r="BC382" i="39"/>
  <c r="BC383" i="39"/>
  <c r="BC32" i="39"/>
  <c r="BC167" i="39"/>
  <c r="BC31" i="39"/>
  <c r="BC163" i="39"/>
  <c r="BC162" i="39"/>
  <c r="BC203" i="39"/>
  <c r="BC204" i="39"/>
  <c r="BC49" i="39"/>
  <c r="BC202" i="39"/>
  <c r="BC48" i="39"/>
  <c r="BC384" i="39"/>
  <c r="BC385" i="39"/>
  <c r="BC23" i="39"/>
  <c r="BC168" i="39"/>
  <c r="BC161" i="39"/>
  <c r="BC40" i="39"/>
  <c r="BC386" i="39"/>
  <c r="BC26" i="39"/>
  <c r="BC131" i="39"/>
  <c r="BC27" i="39"/>
  <c r="BC387" i="39"/>
  <c r="BC388" i="39"/>
  <c r="BC129" i="39"/>
  <c r="BC128" i="39"/>
  <c r="BC28" i="39"/>
  <c r="BC389" i="39"/>
  <c r="BC164" i="39"/>
  <c r="BC29" i="39"/>
  <c r="BC166" i="39"/>
  <c r="BC64" i="39"/>
  <c r="BC165" i="39"/>
  <c r="BC152" i="39"/>
  <c r="BC156" i="39"/>
  <c r="BC22" i="39"/>
  <c r="BC155" i="39"/>
  <c r="BC21" i="39"/>
  <c r="BC390" i="39"/>
  <c r="BC391" i="39"/>
  <c r="BC19" i="39"/>
  <c r="BC20" i="39"/>
  <c r="BC159" i="39"/>
  <c r="BC42" i="39"/>
  <c r="BC43" i="39"/>
  <c r="BC41" i="39"/>
  <c r="BC160" i="39"/>
  <c r="BC157" i="39"/>
  <c r="BC45" i="39"/>
  <c r="BC44" i="39"/>
  <c r="BC46" i="39"/>
  <c r="BC392" i="39"/>
  <c r="BC17" i="39"/>
  <c r="BC124" i="39"/>
  <c r="BC18" i="39"/>
  <c r="BC219" i="39"/>
  <c r="BC25" i="39"/>
  <c r="BC50" i="39"/>
  <c r="BC24" i="39"/>
  <c r="BC393" i="39"/>
  <c r="BC123" i="39"/>
  <c r="BC176" i="39"/>
  <c r="BC30" i="39"/>
  <c r="BC192" i="39"/>
  <c r="BC191" i="39"/>
  <c r="BC158" i="39"/>
  <c r="BC98" i="39"/>
  <c r="BC47" i="39"/>
  <c r="BC220" i="39"/>
  <c r="BC221" i="39"/>
  <c r="BC222" i="39"/>
  <c r="BC223" i="39"/>
  <c r="BC224" i="39"/>
  <c r="BC225" i="39"/>
  <c r="BC226" i="39"/>
  <c r="BC227" i="39"/>
  <c r="BC228" i="39"/>
  <c r="BC229" i="39"/>
  <c r="BC230" i="39"/>
  <c r="BC231" i="39"/>
  <c r="BC232" i="39"/>
  <c r="BC233" i="39"/>
  <c r="BC234" i="39"/>
  <c r="BC235" i="39"/>
  <c r="BC236" i="39"/>
  <c r="BC237" i="39"/>
  <c r="BC238" i="39"/>
  <c r="BC239" i="39"/>
  <c r="BC240" i="39"/>
  <c r="BC241" i="39"/>
  <c r="BC242" i="39"/>
  <c r="BC243" i="39"/>
  <c r="BC244" i="39"/>
  <c r="BC245" i="39"/>
  <c r="BC246" i="39"/>
  <c r="BC247" i="39"/>
  <c r="BC248" i="39"/>
  <c r="BC249" i="39"/>
  <c r="BC250" i="39"/>
  <c r="BC143" i="39"/>
  <c r="BC144" i="39"/>
  <c r="BC101" i="39"/>
  <c r="BC103" i="39"/>
  <c r="BC121" i="39"/>
  <c r="BC151" i="39"/>
  <c r="BC83" i="39"/>
  <c r="BC180" i="39"/>
  <c r="BC84" i="39"/>
  <c r="BC205" i="39"/>
  <c r="BC69" i="39"/>
  <c r="BC196" i="39"/>
  <c r="BC198" i="39"/>
  <c r="BC80" i="39"/>
  <c r="BC82" i="39"/>
  <c r="BC199" i="39"/>
  <c r="BC197" i="39"/>
  <c r="BC91" i="39"/>
  <c r="BC200" i="39"/>
  <c r="BC87" i="39"/>
  <c r="BC201" i="39"/>
  <c r="BC86" i="39"/>
  <c r="BC368" i="39"/>
  <c r="BC88" i="39"/>
  <c r="BC89" i="39"/>
  <c r="BC85" i="39"/>
  <c r="BC90" i="39"/>
  <c r="BC7" i="39"/>
  <c r="BC126" i="39"/>
  <c r="BC6" i="39"/>
  <c r="BC5" i="39"/>
  <c r="BC373" i="39"/>
  <c r="BC127" i="39"/>
  <c r="BC72" i="39"/>
  <c r="BC193" i="39"/>
  <c r="BC95" i="39"/>
  <c r="BC146" i="39"/>
  <c r="BC148" i="39"/>
  <c r="BC96" i="39"/>
  <c r="BC93" i="39"/>
  <c r="BC147" i="39"/>
  <c r="BC145" i="39"/>
  <c r="BC92" i="39"/>
  <c r="BC94" i="39"/>
  <c r="BC61" i="39"/>
  <c r="BC142" i="39"/>
  <c r="BC100" i="39"/>
  <c r="BC141" i="39"/>
  <c r="BC99" i="39"/>
  <c r="BC187" i="39"/>
  <c r="BC58" i="39"/>
  <c r="BC57" i="39"/>
  <c r="BC56" i="39"/>
  <c r="BC188" i="39"/>
  <c r="BC62" i="39"/>
  <c r="BC115" i="39"/>
  <c r="BC218" i="39"/>
  <c r="BC116" i="39"/>
  <c r="BC217" i="39"/>
  <c r="BC374" i="39"/>
  <c r="BC117" i="39"/>
  <c r="BC212" i="39"/>
  <c r="BC81" i="39"/>
  <c r="BC114" i="39"/>
  <c r="BC179" i="39"/>
  <c r="BC68" i="39"/>
  <c r="BC150" i="39"/>
  <c r="BC173" i="39"/>
  <c r="BC70" i="39"/>
  <c r="BC174" i="39"/>
  <c r="BC71" i="39"/>
  <c r="BC120" i="39"/>
  <c r="BC15" i="39"/>
  <c r="BC16" i="39"/>
  <c r="BC125" i="39"/>
  <c r="BC375" i="39"/>
  <c r="BC149" i="39"/>
  <c r="BC76" i="39"/>
  <c r="BC378" i="39"/>
  <c r="BC369" i="39"/>
  <c r="BC12" i="39"/>
  <c r="BC11" i="39"/>
  <c r="BC134" i="39"/>
  <c r="BC372" i="39"/>
  <c r="BC135" i="39"/>
  <c r="BC9" i="39"/>
  <c r="BC10" i="39"/>
  <c r="BC133" i="39"/>
  <c r="BC190" i="39"/>
  <c r="BC38" i="39"/>
  <c r="BC39" i="39"/>
  <c r="BC37" i="39"/>
  <c r="BC59" i="39"/>
  <c r="BC171" i="39"/>
  <c r="BC60" i="39"/>
  <c r="BC172" i="39"/>
  <c r="BC169" i="39"/>
  <c r="BC170" i="39"/>
  <c r="BC182" i="39"/>
  <c r="BC181" i="39"/>
  <c r="BC104" i="39"/>
  <c r="BC106" i="39"/>
  <c r="BC213" i="39"/>
  <c r="BC215" i="39"/>
  <c r="BC214" i="39"/>
  <c r="BC105" i="39"/>
  <c r="BC107" i="39"/>
  <c r="BC4" i="39"/>
  <c r="BC2" i="39"/>
  <c r="BC153" i="39"/>
  <c r="BC3" i="39"/>
  <c r="BC154" i="39"/>
  <c r="BC122" i="39"/>
  <c r="BC111" i="39"/>
  <c r="BC139" i="39"/>
  <c r="BC109" i="39"/>
  <c r="BC136" i="39"/>
  <c r="BC138" i="39"/>
  <c r="BC110" i="39"/>
  <c r="BC137" i="39"/>
  <c r="BC79" i="39"/>
  <c r="BC132" i="39"/>
  <c r="BC63" i="39"/>
  <c r="BC8" i="39"/>
  <c r="BC376" i="39"/>
  <c r="BC207" i="39"/>
  <c r="BC112" i="39"/>
  <c r="BC97" i="39"/>
  <c r="BC55" i="39"/>
  <c r="BC189" i="39"/>
  <c r="BC51" i="39"/>
  <c r="BC183" i="39"/>
  <c r="BC108" i="39"/>
  <c r="BC184" i="39"/>
  <c r="BC119" i="39"/>
  <c r="BC206" i="39"/>
  <c r="BC118" i="39"/>
  <c r="BC130" i="39"/>
  <c r="BC377" i="39"/>
  <c r="BC194" i="39"/>
  <c r="BC65" i="39"/>
  <c r="BC66" i="39"/>
  <c r="BC67" i="39"/>
  <c r="BC195" i="39"/>
  <c r="BC113" i="39"/>
  <c r="BC370" i="39"/>
  <c r="BC52" i="39"/>
  <c r="BC208" i="39"/>
  <c r="BC54" i="39"/>
  <c r="BC209" i="39"/>
  <c r="BC53" i="39"/>
  <c r="BC77" i="39"/>
  <c r="BC216" i="39"/>
  <c r="BC78" i="39"/>
  <c r="BC186" i="39"/>
  <c r="BC185" i="39"/>
  <c r="BC371" i="39"/>
  <c r="BC13" i="39"/>
  <c r="BC14" i="39"/>
  <c r="BC74" i="39"/>
  <c r="BC211" i="39"/>
  <c r="BC75" i="39"/>
  <c r="BC210" i="39"/>
  <c r="BC73" i="39"/>
  <c r="BC379" i="39"/>
  <c r="BC273" i="39"/>
  <c r="BC274" i="39"/>
  <c r="BC275" i="39"/>
  <c r="BC276" i="39"/>
  <c r="BC277" i="39"/>
  <c r="BC278" i="39"/>
  <c r="BC279" i="39"/>
  <c r="BC280" i="39"/>
  <c r="BC281" i="39"/>
  <c r="BC282" i="39"/>
  <c r="BC283" i="39"/>
  <c r="BC284" i="39"/>
  <c r="BC285" i="39"/>
  <c r="BC286" i="39"/>
  <c r="BC287" i="39"/>
  <c r="BC288" i="39"/>
  <c r="BC289" i="39"/>
  <c r="BC290" i="39"/>
  <c r="BC291" i="39"/>
  <c r="BC292" i="39"/>
  <c r="BC293" i="39"/>
  <c r="BC294" i="39"/>
  <c r="BC295" i="39"/>
  <c r="BC296" i="39"/>
  <c r="BC297" i="39"/>
  <c r="BC298" i="39"/>
  <c r="BC299" i="39"/>
  <c r="BC300" i="39"/>
  <c r="BC301" i="39"/>
  <c r="BC302" i="39"/>
  <c r="BC303" i="39"/>
  <c r="BC304" i="39"/>
  <c r="BC305" i="39"/>
  <c r="BC306" i="39"/>
  <c r="BC307" i="39"/>
  <c r="BC308" i="39"/>
  <c r="BC309" i="39"/>
  <c r="BC310" i="39"/>
  <c r="BC311" i="39"/>
  <c r="BC312" i="39"/>
  <c r="BC313" i="39"/>
  <c r="BC314" i="39"/>
  <c r="BC315" i="39"/>
  <c r="BC316" i="39"/>
  <c r="BC317" i="39"/>
  <c r="BC318" i="39"/>
  <c r="BC319" i="39"/>
  <c r="BC320" i="39"/>
  <c r="BC321" i="39"/>
  <c r="BC322" i="39"/>
  <c r="BC323" i="39"/>
  <c r="BC324" i="39"/>
  <c r="BC325" i="39"/>
  <c r="BC326" i="39"/>
  <c r="BC327" i="39"/>
  <c r="BC328" i="39"/>
  <c r="BC329" i="39"/>
  <c r="BC330" i="39"/>
  <c r="BC331" i="39"/>
  <c r="BC332" i="39"/>
  <c r="BC333" i="39"/>
  <c r="BC334" i="39"/>
  <c r="BC335" i="39"/>
  <c r="BC336" i="39"/>
  <c r="BC337" i="39"/>
  <c r="BC338" i="39"/>
  <c r="BC339" i="39"/>
  <c r="BC340" i="39"/>
  <c r="BC341" i="39"/>
  <c r="BC342" i="39"/>
  <c r="BC343" i="39"/>
  <c r="BC344" i="39"/>
  <c r="BC345" i="39"/>
  <c r="BC346" i="39"/>
  <c r="BC347" i="39"/>
  <c r="BC348" i="39"/>
  <c r="BC349" i="39"/>
  <c r="BC350" i="39"/>
  <c r="BC351" i="39"/>
  <c r="BC352" i="39"/>
  <c r="BC353" i="39"/>
  <c r="BC354" i="39"/>
  <c r="BC355" i="39"/>
  <c r="BC356" i="39"/>
  <c r="BC357" i="39"/>
  <c r="BC358" i="39"/>
  <c r="BC359" i="39"/>
  <c r="BC360" i="39"/>
  <c r="BC361" i="39"/>
  <c r="BC362" i="39"/>
  <c r="BC363" i="39"/>
  <c r="BC364" i="39"/>
  <c r="BC365" i="39"/>
  <c r="BC366" i="39"/>
  <c r="BC367" i="39"/>
  <c r="BC394" i="39"/>
  <c r="BC395" i="39"/>
  <c r="BC396" i="39"/>
  <c r="BC397" i="39"/>
  <c r="BC398" i="39"/>
  <c r="BC399" i="39"/>
  <c r="BC400" i="39"/>
  <c r="BC401" i="39"/>
  <c r="BC402" i="39"/>
  <c r="BC403" i="39"/>
  <c r="BC404" i="39"/>
  <c r="BC140" i="39"/>
  <c r="BC405" i="39"/>
  <c r="BC406" i="39"/>
  <c r="BC407" i="39"/>
  <c r="BC408" i="39"/>
  <c r="BC409" i="39"/>
  <c r="BC410" i="39"/>
  <c r="BC411" i="39"/>
  <c r="Z71" i="32"/>
  <c r="Z72" i="32"/>
  <c r="BC36" i="39" s="1"/>
  <c r="Z73" i="32"/>
  <c r="BC175" i="39" s="1"/>
  <c r="Z74" i="32"/>
  <c r="BC177" i="39" s="1"/>
  <c r="Z75" i="32"/>
  <c r="BC380" i="39" s="1"/>
  <c r="Z76" i="32"/>
  <c r="BC35" i="39" s="1"/>
  <c r="Z70" i="32"/>
  <c r="AP188" i="39"/>
  <c r="CT59" i="39"/>
  <c r="AX59" i="39" s="1"/>
  <c r="CR59" i="39"/>
  <c r="A59" i="39" s="1"/>
  <c r="AQ59" i="39" s="1"/>
  <c r="CP59" i="39"/>
  <c r="CO59" i="39"/>
  <c r="CM59" i="39"/>
  <c r="CC59" i="39"/>
  <c r="CA59" i="39"/>
  <c r="AY59" i="39"/>
  <c r="CI59" i="39" s="1"/>
  <c r="BX59" i="39"/>
  <c r="BV59" i="39"/>
  <c r="BU59" i="39"/>
  <c r="BT59" i="39"/>
  <c r="CH59" i="39" s="1"/>
  <c r="BS59" i="39"/>
  <c r="BQ59" i="39"/>
  <c r="BP59" i="39"/>
  <c r="BO59" i="39"/>
  <c r="BN59" i="39"/>
  <c r="BL59" i="39"/>
  <c r="BH59" i="39"/>
  <c r="BG59" i="39"/>
  <c r="BF59" i="39"/>
  <c r="U59" i="39"/>
  <c r="CT37" i="39"/>
  <c r="AX37" i="39" s="1"/>
  <c r="CR37" i="39"/>
  <c r="A37" i="39" s="1"/>
  <c r="AQ37" i="39" s="1"/>
  <c r="CP37" i="39"/>
  <c r="CO37" i="39"/>
  <c r="CM37" i="39"/>
  <c r="CC37" i="39"/>
  <c r="CA37" i="39"/>
  <c r="BX37" i="39"/>
  <c r="BV37" i="39"/>
  <c r="BU37" i="39"/>
  <c r="BT37" i="39"/>
  <c r="CH37" i="39" s="1"/>
  <c r="BS37" i="39"/>
  <c r="BQ37" i="39"/>
  <c r="BP37" i="39"/>
  <c r="BO37" i="39"/>
  <c r="BN37" i="39"/>
  <c r="BL37" i="39"/>
  <c r="BH37" i="39"/>
  <c r="BK37" i="39" s="1"/>
  <c r="BG37" i="39"/>
  <c r="BF37" i="39"/>
  <c r="V37" i="39"/>
  <c r="CT39" i="39"/>
  <c r="AX39" i="39" s="1"/>
  <c r="CR39" i="39"/>
  <c r="A39" i="39" s="1"/>
  <c r="AQ39" i="39" s="1"/>
  <c r="CP39" i="39"/>
  <c r="CO39" i="39"/>
  <c r="CM39" i="39"/>
  <c r="CC39" i="39"/>
  <c r="CA39" i="39"/>
  <c r="BX39" i="39"/>
  <c r="BV39" i="39"/>
  <c r="BU39" i="39"/>
  <c r="BT39" i="39"/>
  <c r="CH39" i="39" s="1"/>
  <c r="BS39" i="39"/>
  <c r="BQ39" i="39"/>
  <c r="BP39" i="39"/>
  <c r="CB39" i="39" s="1"/>
  <c r="BO39" i="39"/>
  <c r="BN39" i="39"/>
  <c r="BL39" i="39"/>
  <c r="BH39" i="39"/>
  <c r="BG39" i="39"/>
  <c r="BF39" i="39"/>
  <c r="V39" i="39"/>
  <c r="U39" i="39"/>
  <c r="CT38" i="39"/>
  <c r="AX38" i="39" s="1"/>
  <c r="CR38" i="39"/>
  <c r="A38" i="39" s="1"/>
  <c r="CP38" i="39"/>
  <c r="CO38" i="39"/>
  <c r="CM38" i="39"/>
  <c r="CC38" i="39"/>
  <c r="CA38" i="39"/>
  <c r="BX38" i="39"/>
  <c r="BV38" i="39"/>
  <c r="BU38" i="39"/>
  <c r="BT38" i="39"/>
  <c r="CE38" i="39" s="1"/>
  <c r="BS38" i="39"/>
  <c r="BQ38" i="39"/>
  <c r="BP38" i="39"/>
  <c r="BO38" i="39"/>
  <c r="BN38" i="39"/>
  <c r="BL38" i="39"/>
  <c r="BH38" i="39"/>
  <c r="BG38" i="39"/>
  <c r="BF38" i="39"/>
  <c r="U38" i="39"/>
  <c r="CT190" i="39"/>
  <c r="AX190" i="39" s="1"/>
  <c r="CR190" i="39"/>
  <c r="A190" i="39" s="1"/>
  <c r="AQ190" i="39" s="1"/>
  <c r="CP190" i="39"/>
  <c r="CO190" i="39"/>
  <c r="CM190" i="39"/>
  <c r="CC190" i="39"/>
  <c r="CA190" i="39"/>
  <c r="AY190" i="39"/>
  <c r="CI190" i="39" s="1"/>
  <c r="BX190" i="39"/>
  <c r="BV190" i="39"/>
  <c r="BU190" i="39"/>
  <c r="BT190" i="39"/>
  <c r="CH190" i="39" s="1"/>
  <c r="BS190" i="39"/>
  <c r="BQ190" i="39"/>
  <c r="BP190" i="39"/>
  <c r="CB190" i="39" s="1"/>
  <c r="BO190" i="39"/>
  <c r="BN190" i="39"/>
  <c r="BL190" i="39"/>
  <c r="BH190" i="39"/>
  <c r="BG190" i="39"/>
  <c r="BF190" i="39"/>
  <c r="V190" i="39"/>
  <c r="U190" i="39"/>
  <c r="CT133" i="39"/>
  <c r="AX133" i="39" s="1"/>
  <c r="CR133" i="39"/>
  <c r="A133" i="39" s="1"/>
  <c r="CP133" i="39"/>
  <c r="CO133" i="39"/>
  <c r="CM133" i="39"/>
  <c r="CC133" i="39"/>
  <c r="CA133" i="39"/>
  <c r="AY133" i="39"/>
  <c r="CI133" i="39" s="1"/>
  <c r="BX133" i="39"/>
  <c r="BV133" i="39"/>
  <c r="BU133" i="39"/>
  <c r="BT133" i="39"/>
  <c r="CH133" i="39" s="1"/>
  <c r="BS133" i="39"/>
  <c r="BQ133" i="39"/>
  <c r="BP133" i="39"/>
  <c r="CB133" i="39" s="1"/>
  <c r="BO133" i="39"/>
  <c r="BN133" i="39"/>
  <c r="BL133" i="39"/>
  <c r="BH133" i="39"/>
  <c r="BI133" i="39" s="1"/>
  <c r="AK133" i="39" s="1"/>
  <c r="BG133" i="39"/>
  <c r="BF133" i="39"/>
  <c r="V133" i="39"/>
  <c r="U133" i="39"/>
  <c r="CT10" i="39"/>
  <c r="AX10" i="39" s="1"/>
  <c r="CR10" i="39"/>
  <c r="A10" i="39" s="1"/>
  <c r="CP10" i="39"/>
  <c r="CO10" i="39"/>
  <c r="CM10" i="39"/>
  <c r="CC10" i="39"/>
  <c r="CA10" i="39"/>
  <c r="BX10" i="39"/>
  <c r="BV10" i="39"/>
  <c r="BU10" i="39"/>
  <c r="BT10" i="39"/>
  <c r="CH10" i="39" s="1"/>
  <c r="BS10" i="39"/>
  <c r="BQ10" i="39"/>
  <c r="BP10" i="39"/>
  <c r="CB10" i="39" s="1"/>
  <c r="BO10" i="39"/>
  <c r="BN10" i="39"/>
  <c r="BL10" i="39"/>
  <c r="BH10" i="39"/>
  <c r="BG10" i="39"/>
  <c r="BF10" i="39"/>
  <c r="V10" i="39"/>
  <c r="U10" i="39"/>
  <c r="CT9" i="39"/>
  <c r="AX9" i="39" s="1"/>
  <c r="CR9" i="39"/>
  <c r="A9" i="39" s="1"/>
  <c r="AQ9" i="39" s="1"/>
  <c r="CP9" i="39"/>
  <c r="CO9" i="39"/>
  <c r="CM9" i="39"/>
  <c r="CC9" i="39"/>
  <c r="CA9" i="39"/>
  <c r="AY9" i="39"/>
  <c r="CI9" i="39" s="1"/>
  <c r="BX9" i="39"/>
  <c r="BV9" i="39"/>
  <c r="BU9" i="39"/>
  <c r="BT9" i="39"/>
  <c r="BS9" i="39"/>
  <c r="BQ9" i="39"/>
  <c r="BP9" i="39"/>
  <c r="CB9" i="39" s="1"/>
  <c r="BO9" i="39"/>
  <c r="BN9" i="39"/>
  <c r="BL9" i="39"/>
  <c r="BH9" i="39"/>
  <c r="BG9" i="39"/>
  <c r="BF9" i="39"/>
  <c r="V9" i="39"/>
  <c r="U9" i="39"/>
  <c r="CT135" i="39"/>
  <c r="AX135" i="39" s="1"/>
  <c r="CR135" i="39"/>
  <c r="A135" i="39" s="1"/>
  <c r="AQ135" i="39" s="1"/>
  <c r="CP135" i="39"/>
  <c r="CO135" i="39"/>
  <c r="CM135" i="39"/>
  <c r="CC135" i="39"/>
  <c r="CA135" i="39"/>
  <c r="AY135" i="39"/>
  <c r="CI135" i="39" s="1"/>
  <c r="BX135" i="39"/>
  <c r="BV135" i="39"/>
  <c r="BU135" i="39"/>
  <c r="BT135" i="39"/>
  <c r="CH135" i="39" s="1"/>
  <c r="BS135" i="39"/>
  <c r="BQ135" i="39"/>
  <c r="BP135" i="39"/>
  <c r="BO135" i="39"/>
  <c r="BN135" i="39"/>
  <c r="BL135" i="39"/>
  <c r="BH135" i="39"/>
  <c r="BG135" i="39"/>
  <c r="BF135" i="39"/>
  <c r="V135" i="39"/>
  <c r="U135" i="39"/>
  <c r="CT372" i="39"/>
  <c r="AX372" i="39" s="1"/>
  <c r="CR372" i="39"/>
  <c r="A372" i="39" s="1"/>
  <c r="AQ372" i="39" s="1"/>
  <c r="CP372" i="39"/>
  <c r="CO372" i="39"/>
  <c r="CM372" i="39"/>
  <c r="CC372" i="39"/>
  <c r="CA372" i="39"/>
  <c r="AY372" i="39"/>
  <c r="CI372" i="39" s="1"/>
  <c r="BX372" i="39"/>
  <c r="BV372" i="39"/>
  <c r="BU372" i="39"/>
  <c r="BT372" i="39"/>
  <c r="CH372" i="39" s="1"/>
  <c r="BS372" i="39"/>
  <c r="BQ372" i="39"/>
  <c r="BP372" i="39"/>
  <c r="CB372" i="39" s="1"/>
  <c r="BO372" i="39"/>
  <c r="BN372" i="39"/>
  <c r="BL372" i="39"/>
  <c r="BH372" i="39"/>
  <c r="BK372" i="39" s="1"/>
  <c r="BG372" i="39"/>
  <c r="BF372" i="39"/>
  <c r="V372" i="39"/>
  <c r="U372" i="39"/>
  <c r="CT134" i="39"/>
  <c r="AX134" i="39" s="1"/>
  <c r="CR134" i="39"/>
  <c r="A134" i="39" s="1"/>
  <c r="CP134" i="39"/>
  <c r="CO134" i="39"/>
  <c r="CM134" i="39"/>
  <c r="CC134" i="39"/>
  <c r="CA134" i="39"/>
  <c r="BX134" i="39"/>
  <c r="BV134" i="39"/>
  <c r="BU134" i="39"/>
  <c r="BT134" i="39"/>
  <c r="CH134" i="39" s="1"/>
  <c r="BS134" i="39"/>
  <c r="BQ134" i="39"/>
  <c r="BP134" i="39"/>
  <c r="CB134" i="39" s="1"/>
  <c r="BO134" i="39"/>
  <c r="BN134" i="39"/>
  <c r="BL134" i="39"/>
  <c r="BH134" i="39"/>
  <c r="BG134" i="39"/>
  <c r="BF134" i="39"/>
  <c r="V134" i="39"/>
  <c r="U134" i="39"/>
  <c r="CT11" i="39"/>
  <c r="AX11" i="39" s="1"/>
  <c r="CR11" i="39"/>
  <c r="A11" i="39" s="1"/>
  <c r="AQ11" i="39" s="1"/>
  <c r="CP11" i="39"/>
  <c r="CO11" i="39"/>
  <c r="CM11" i="39"/>
  <c r="CC11" i="39"/>
  <c r="CA11" i="39"/>
  <c r="BX11" i="39"/>
  <c r="BV11" i="39"/>
  <c r="BU11" i="39"/>
  <c r="BT11" i="39"/>
  <c r="CE11" i="39" s="1"/>
  <c r="BS11" i="39"/>
  <c r="BQ11" i="39"/>
  <c r="BP11" i="39"/>
  <c r="CB11" i="39" s="1"/>
  <c r="BO11" i="39"/>
  <c r="BN11" i="39"/>
  <c r="BL11" i="39"/>
  <c r="BH11" i="39"/>
  <c r="BG11" i="39"/>
  <c r="BF11" i="39"/>
  <c r="V11" i="39"/>
  <c r="U11" i="39"/>
  <c r="CT12" i="39"/>
  <c r="AX12" i="39" s="1"/>
  <c r="CR12" i="39"/>
  <c r="A12" i="39" s="1"/>
  <c r="AQ12" i="39" s="1"/>
  <c r="CP12" i="39"/>
  <c r="CO12" i="39"/>
  <c r="CM12" i="39"/>
  <c r="CC12" i="39"/>
  <c r="CA12" i="39"/>
  <c r="AY12" i="39"/>
  <c r="CI12" i="39" s="1"/>
  <c r="BX12" i="39"/>
  <c r="BV12" i="39"/>
  <c r="BU12" i="39"/>
  <c r="BT12" i="39"/>
  <c r="BS12" i="39"/>
  <c r="BQ12" i="39"/>
  <c r="BP12" i="39"/>
  <c r="BO12" i="39"/>
  <c r="BN12" i="39"/>
  <c r="BL12" i="39"/>
  <c r="BH12" i="39"/>
  <c r="BK12" i="39" s="1"/>
  <c r="BG12" i="39"/>
  <c r="BF12" i="39"/>
  <c r="V12" i="39"/>
  <c r="U12" i="39"/>
  <c r="CT369" i="39"/>
  <c r="AX369" i="39" s="1"/>
  <c r="CR369" i="39"/>
  <c r="A369" i="39" s="1"/>
  <c r="CP369" i="39"/>
  <c r="CO369" i="39"/>
  <c r="CM369" i="39"/>
  <c r="CC369" i="39"/>
  <c r="CA369" i="39"/>
  <c r="BX369" i="39"/>
  <c r="BV369" i="39"/>
  <c r="BU369" i="39"/>
  <c r="BT369" i="39"/>
  <c r="CH369" i="39" s="1"/>
  <c r="BS369" i="39"/>
  <c r="BQ369" i="39"/>
  <c r="BP369" i="39"/>
  <c r="CB369" i="39" s="1"/>
  <c r="BO369" i="39"/>
  <c r="BN369" i="39"/>
  <c r="BL369" i="39"/>
  <c r="BH369" i="39"/>
  <c r="BK369" i="39" s="1"/>
  <c r="BG369" i="39"/>
  <c r="BF369" i="39"/>
  <c r="V369" i="39"/>
  <c r="U369" i="39"/>
  <c r="CT378" i="39"/>
  <c r="AX378" i="39" s="1"/>
  <c r="CR378" i="39"/>
  <c r="A378" i="39" s="1"/>
  <c r="AQ378" i="39" s="1"/>
  <c r="CP378" i="39"/>
  <c r="CO378" i="39"/>
  <c r="CM378" i="39"/>
  <c r="CC378" i="39"/>
  <c r="CA378" i="39"/>
  <c r="AY378" i="39"/>
  <c r="CI378" i="39" s="1"/>
  <c r="BX378" i="39"/>
  <c r="BV378" i="39"/>
  <c r="BU378" i="39"/>
  <c r="BT378" i="39"/>
  <c r="CE378" i="39" s="1"/>
  <c r="BS378" i="39"/>
  <c r="BQ378" i="39"/>
  <c r="BP378" i="39"/>
  <c r="CB378" i="39" s="1"/>
  <c r="BO378" i="39"/>
  <c r="BN378" i="39"/>
  <c r="BL378" i="39"/>
  <c r="BH378" i="39"/>
  <c r="BG378" i="39"/>
  <c r="BF378" i="39"/>
  <c r="V378" i="39"/>
  <c r="U378" i="39"/>
  <c r="CT76" i="39"/>
  <c r="AX76" i="39" s="1"/>
  <c r="CR76" i="39"/>
  <c r="A76" i="39" s="1"/>
  <c r="AQ76" i="39" s="1"/>
  <c r="CP76" i="39"/>
  <c r="CO76" i="39"/>
  <c r="CM76" i="39"/>
  <c r="CC76" i="39"/>
  <c r="CA76" i="39"/>
  <c r="AY76" i="39"/>
  <c r="CI76" i="39" s="1"/>
  <c r="BX76" i="39"/>
  <c r="BV76" i="39"/>
  <c r="BU76" i="39"/>
  <c r="BT76" i="39"/>
  <c r="CH76" i="39" s="1"/>
  <c r="BS76" i="39"/>
  <c r="BQ76" i="39"/>
  <c r="BP76" i="39"/>
  <c r="CB76" i="39" s="1"/>
  <c r="BO76" i="39"/>
  <c r="BN76" i="39"/>
  <c r="BL76" i="39"/>
  <c r="BH76" i="39"/>
  <c r="BG76" i="39"/>
  <c r="BF76" i="39"/>
  <c r="V76" i="39"/>
  <c r="U76" i="39"/>
  <c r="CT149" i="39"/>
  <c r="AX149" i="39" s="1"/>
  <c r="CR149" i="39"/>
  <c r="A149" i="39" s="1"/>
  <c r="AQ149" i="39" s="1"/>
  <c r="CP149" i="39"/>
  <c r="CO149" i="39"/>
  <c r="CM149" i="39"/>
  <c r="CC149" i="39"/>
  <c r="CA149" i="39"/>
  <c r="AY149" i="39"/>
  <c r="CI149" i="39" s="1"/>
  <c r="BX149" i="39"/>
  <c r="BV149" i="39"/>
  <c r="BU149" i="39"/>
  <c r="BT149" i="39"/>
  <c r="CH149" i="39" s="1"/>
  <c r="BS149" i="39"/>
  <c r="BQ149" i="39"/>
  <c r="BP149" i="39"/>
  <c r="BO149" i="39"/>
  <c r="BN149" i="39"/>
  <c r="BL149" i="39"/>
  <c r="BH149" i="39"/>
  <c r="BG149" i="39"/>
  <c r="BF149" i="39"/>
  <c r="V149" i="39"/>
  <c r="U149" i="39"/>
  <c r="CT375" i="39"/>
  <c r="AX375" i="39" s="1"/>
  <c r="CR375" i="39"/>
  <c r="A375" i="39" s="1"/>
  <c r="AQ375" i="39" s="1"/>
  <c r="CP375" i="39"/>
  <c r="CO375" i="39"/>
  <c r="CM375" i="39"/>
  <c r="CC375" i="39"/>
  <c r="CA375" i="39"/>
  <c r="BX375" i="39"/>
  <c r="BV375" i="39"/>
  <c r="BU375" i="39"/>
  <c r="BT375" i="39"/>
  <c r="CH375" i="39" s="1"/>
  <c r="BS375" i="39"/>
  <c r="BQ375" i="39"/>
  <c r="BP375" i="39"/>
  <c r="BO375" i="39"/>
  <c r="BN375" i="39"/>
  <c r="BL375" i="39"/>
  <c r="BH375" i="39"/>
  <c r="BK375" i="39" s="1"/>
  <c r="BG375" i="39"/>
  <c r="BF375" i="39"/>
  <c r="AY375" i="39"/>
  <c r="CI375" i="39" s="1"/>
  <c r="V375" i="39"/>
  <c r="U375" i="39"/>
  <c r="CT125" i="39"/>
  <c r="AX125" i="39" s="1"/>
  <c r="CR125" i="39"/>
  <c r="A125" i="39" s="1"/>
  <c r="AQ125" i="39" s="1"/>
  <c r="CP125" i="39"/>
  <c r="CO125" i="39"/>
  <c r="CM125" i="39"/>
  <c r="CC125" i="39"/>
  <c r="CA125" i="39"/>
  <c r="BX125" i="39"/>
  <c r="BV125" i="39"/>
  <c r="BU125" i="39"/>
  <c r="BT125" i="39"/>
  <c r="CH125" i="39" s="1"/>
  <c r="BS125" i="39"/>
  <c r="BQ125" i="39"/>
  <c r="BP125" i="39"/>
  <c r="CB125" i="39" s="1"/>
  <c r="BO125" i="39"/>
  <c r="BN125" i="39"/>
  <c r="BL125" i="39"/>
  <c r="BH125" i="39"/>
  <c r="BG125" i="39"/>
  <c r="BF125" i="39"/>
  <c r="V125" i="39"/>
  <c r="U125" i="39"/>
  <c r="CT16" i="39"/>
  <c r="AX16" i="39" s="1"/>
  <c r="CR16" i="39"/>
  <c r="A16" i="39" s="1"/>
  <c r="AQ16" i="39" s="1"/>
  <c r="CP16" i="39"/>
  <c r="CO16" i="39"/>
  <c r="CM16" i="39"/>
  <c r="CC16" i="39"/>
  <c r="CA16" i="39"/>
  <c r="BX16" i="39"/>
  <c r="BV16" i="39"/>
  <c r="BU16" i="39"/>
  <c r="BT16" i="39"/>
  <c r="CE16" i="39" s="1"/>
  <c r="BS16" i="39"/>
  <c r="BQ16" i="39"/>
  <c r="BP16" i="39"/>
  <c r="BO16" i="39"/>
  <c r="BN16" i="39"/>
  <c r="BL16" i="39"/>
  <c r="BH16" i="39"/>
  <c r="BG16" i="39"/>
  <c r="BF16" i="39"/>
  <c r="AY16" i="39"/>
  <c r="CI16" i="39" s="1"/>
  <c r="U16" i="39"/>
  <c r="CT15" i="39"/>
  <c r="AX15" i="39" s="1"/>
  <c r="CR15" i="39"/>
  <c r="A15" i="39" s="1"/>
  <c r="CP15" i="39"/>
  <c r="CO15" i="39"/>
  <c r="CM15" i="39"/>
  <c r="CC15" i="39"/>
  <c r="CA15" i="39"/>
  <c r="BX15" i="39"/>
  <c r="BV15" i="39"/>
  <c r="BU15" i="39"/>
  <c r="BT15" i="39"/>
  <c r="CH15" i="39" s="1"/>
  <c r="BS15" i="39"/>
  <c r="BQ15" i="39"/>
  <c r="BP15" i="39"/>
  <c r="CB15" i="39" s="1"/>
  <c r="BO15" i="39"/>
  <c r="BN15" i="39"/>
  <c r="BL15" i="39"/>
  <c r="BH15" i="39"/>
  <c r="BG15" i="39"/>
  <c r="BF15" i="39"/>
  <c r="V15" i="39"/>
  <c r="U15" i="39"/>
  <c r="CT120" i="39"/>
  <c r="AX120" i="39" s="1"/>
  <c r="CR120" i="39"/>
  <c r="A120" i="39" s="1"/>
  <c r="AQ120" i="39" s="1"/>
  <c r="CP120" i="39"/>
  <c r="CO120" i="39"/>
  <c r="CM120" i="39"/>
  <c r="CC120" i="39"/>
  <c r="CA120" i="39"/>
  <c r="AY120" i="39"/>
  <c r="CI120" i="39" s="1"/>
  <c r="BX120" i="39"/>
  <c r="BV120" i="39"/>
  <c r="BU120" i="39"/>
  <c r="BT120" i="39"/>
  <c r="CH120" i="39" s="1"/>
  <c r="BS120" i="39"/>
  <c r="BQ120" i="39"/>
  <c r="BP120" i="39"/>
  <c r="CB120" i="39" s="1"/>
  <c r="BO120" i="39"/>
  <c r="BN120" i="39"/>
  <c r="BL120" i="39"/>
  <c r="BH120" i="39"/>
  <c r="BG120" i="39"/>
  <c r="BF120" i="39"/>
  <c r="V120" i="39"/>
  <c r="U120" i="39"/>
  <c r="CT71" i="39"/>
  <c r="AX71" i="39" s="1"/>
  <c r="CR71" i="39"/>
  <c r="A71" i="39" s="1"/>
  <c r="AQ71" i="39" s="1"/>
  <c r="CP71" i="39"/>
  <c r="CO71" i="39"/>
  <c r="CM71" i="39"/>
  <c r="CC71" i="39"/>
  <c r="CA71" i="39"/>
  <c r="BX71" i="39"/>
  <c r="BV71" i="39"/>
  <c r="BU71" i="39"/>
  <c r="BT71" i="39"/>
  <c r="CH71" i="39" s="1"/>
  <c r="BS71" i="39"/>
  <c r="BQ71" i="39"/>
  <c r="BP71" i="39"/>
  <c r="CB71" i="39" s="1"/>
  <c r="BO71" i="39"/>
  <c r="BN71" i="39"/>
  <c r="BL71" i="39"/>
  <c r="BH71" i="39"/>
  <c r="BG71" i="39"/>
  <c r="BF71" i="39"/>
  <c r="AY71" i="39"/>
  <c r="CI71" i="39" s="1"/>
  <c r="U71" i="39"/>
  <c r="CT174" i="39"/>
  <c r="AX174" i="39" s="1"/>
  <c r="CR174" i="39"/>
  <c r="A174" i="39" s="1"/>
  <c r="AQ174" i="39" s="1"/>
  <c r="CP174" i="39"/>
  <c r="CO174" i="39"/>
  <c r="CM174" i="39"/>
  <c r="CC174" i="39"/>
  <c r="CA174" i="39"/>
  <c r="AY174" i="39"/>
  <c r="CI174" i="39" s="1"/>
  <c r="BX174" i="39"/>
  <c r="BV174" i="39"/>
  <c r="BU174" i="39"/>
  <c r="BT174" i="39"/>
  <c r="BS174" i="39"/>
  <c r="BQ174" i="39"/>
  <c r="BP174" i="39"/>
  <c r="CB174" i="39" s="1"/>
  <c r="BO174" i="39"/>
  <c r="BN174" i="39"/>
  <c r="BL174" i="39"/>
  <c r="BH174" i="39"/>
  <c r="BG174" i="39"/>
  <c r="BF174" i="39"/>
  <c r="CT70" i="39"/>
  <c r="AX70" i="39" s="1"/>
  <c r="CR70" i="39"/>
  <c r="A70" i="39" s="1"/>
  <c r="AQ70" i="39" s="1"/>
  <c r="CP70" i="39"/>
  <c r="CO70" i="39"/>
  <c r="CM70" i="39"/>
  <c r="CC70" i="39"/>
  <c r="CA70" i="39"/>
  <c r="AY70" i="39"/>
  <c r="CI70" i="39" s="1"/>
  <c r="BX70" i="39"/>
  <c r="BV70" i="39"/>
  <c r="BU70" i="39"/>
  <c r="BT70" i="39"/>
  <c r="CH70" i="39" s="1"/>
  <c r="BS70" i="39"/>
  <c r="BQ70" i="39"/>
  <c r="BP70" i="39"/>
  <c r="BO70" i="39"/>
  <c r="BN70" i="39"/>
  <c r="BL70" i="39"/>
  <c r="BH70" i="39"/>
  <c r="BG70" i="39"/>
  <c r="BF70" i="39"/>
  <c r="V70" i="39"/>
  <c r="U70" i="39"/>
  <c r="CT173" i="39"/>
  <c r="AX173" i="39" s="1"/>
  <c r="CR173" i="39"/>
  <c r="A173" i="39" s="1"/>
  <c r="CP173" i="39"/>
  <c r="CO173" i="39"/>
  <c r="CM173" i="39"/>
  <c r="CC173" i="39"/>
  <c r="CA173" i="39"/>
  <c r="BX173" i="39"/>
  <c r="BV173" i="39"/>
  <c r="BU173" i="39"/>
  <c r="BT173" i="39"/>
  <c r="CH173" i="39" s="1"/>
  <c r="BS173" i="39"/>
  <c r="BQ173" i="39"/>
  <c r="BP173" i="39"/>
  <c r="CB173" i="39" s="1"/>
  <c r="BO173" i="39"/>
  <c r="BN173" i="39"/>
  <c r="BL173" i="39"/>
  <c r="BH173" i="39"/>
  <c r="BK173" i="39" s="1"/>
  <c r="BG173" i="39"/>
  <c r="BF173" i="39"/>
  <c r="V173" i="39"/>
  <c r="U173" i="39"/>
  <c r="CT150" i="39"/>
  <c r="AX150" i="39" s="1"/>
  <c r="CR150" i="39"/>
  <c r="A150" i="39" s="1"/>
  <c r="AQ150" i="39" s="1"/>
  <c r="CP150" i="39"/>
  <c r="CO150" i="39"/>
  <c r="CM150" i="39"/>
  <c r="CC150" i="39"/>
  <c r="CA150" i="39"/>
  <c r="BX150" i="39"/>
  <c r="BV150" i="39"/>
  <c r="BU150" i="39"/>
  <c r="BT150" i="39"/>
  <c r="CE150" i="39" s="1"/>
  <c r="BS150" i="39"/>
  <c r="BQ150" i="39"/>
  <c r="BP150" i="39"/>
  <c r="CB150" i="39" s="1"/>
  <c r="BO150" i="39"/>
  <c r="BN150" i="39"/>
  <c r="BL150" i="39"/>
  <c r="BH150" i="39"/>
  <c r="BG150" i="39"/>
  <c r="BF150" i="39"/>
  <c r="AY150" i="39"/>
  <c r="CI150" i="39" s="1"/>
  <c r="V150" i="39"/>
  <c r="U150" i="39"/>
  <c r="CT68" i="39"/>
  <c r="AX68" i="39" s="1"/>
  <c r="CR68" i="39"/>
  <c r="A68" i="39" s="1"/>
  <c r="AQ68" i="39" s="1"/>
  <c r="CP68" i="39"/>
  <c r="CO68" i="39"/>
  <c r="CM68" i="39"/>
  <c r="CC68" i="39"/>
  <c r="CA68" i="39"/>
  <c r="AY68" i="39"/>
  <c r="CI68" i="39" s="1"/>
  <c r="BX68" i="39"/>
  <c r="BV68" i="39"/>
  <c r="BU68" i="39"/>
  <c r="BT68" i="39"/>
  <c r="CE68" i="39" s="1"/>
  <c r="BS68" i="39"/>
  <c r="BQ68" i="39"/>
  <c r="BP68" i="39"/>
  <c r="CB68" i="39" s="1"/>
  <c r="BO68" i="39"/>
  <c r="BN68" i="39"/>
  <c r="BL68" i="39"/>
  <c r="BH68" i="39"/>
  <c r="BG68" i="39"/>
  <c r="BF68" i="39"/>
  <c r="V68" i="39"/>
  <c r="U68" i="39"/>
  <c r="CT179" i="39"/>
  <c r="AX179" i="39" s="1"/>
  <c r="CR179" i="39"/>
  <c r="A179" i="39" s="1"/>
  <c r="AQ179" i="39" s="1"/>
  <c r="CP179" i="39"/>
  <c r="CO179" i="39"/>
  <c r="CM179" i="39"/>
  <c r="CC179" i="39"/>
  <c r="CA179" i="39"/>
  <c r="AY179" i="39"/>
  <c r="CI179" i="39" s="1"/>
  <c r="BX179" i="39"/>
  <c r="BV179" i="39"/>
  <c r="BU179" i="39"/>
  <c r="BT179" i="39"/>
  <c r="BS179" i="39"/>
  <c r="BQ179" i="39"/>
  <c r="BP179" i="39"/>
  <c r="BO179" i="39"/>
  <c r="BN179" i="39"/>
  <c r="BL179" i="39"/>
  <c r="BH179" i="39"/>
  <c r="BK179" i="39" s="1"/>
  <c r="BG179" i="39"/>
  <c r="BF179" i="39"/>
  <c r="V179" i="39"/>
  <c r="U179" i="39"/>
  <c r="CT114" i="39"/>
  <c r="AX114" i="39" s="1"/>
  <c r="CR114" i="39"/>
  <c r="A114" i="39" s="1"/>
  <c r="AQ114" i="39" s="1"/>
  <c r="CP114" i="39"/>
  <c r="CO114" i="39"/>
  <c r="CM114" i="39"/>
  <c r="CC114" i="39"/>
  <c r="CA114" i="39"/>
  <c r="BX114" i="39"/>
  <c r="BV114" i="39"/>
  <c r="BU114" i="39"/>
  <c r="BT114" i="39"/>
  <c r="CH114" i="39" s="1"/>
  <c r="BS114" i="39"/>
  <c r="BQ114" i="39"/>
  <c r="BP114" i="39"/>
  <c r="CB114" i="39" s="1"/>
  <c r="BO114" i="39"/>
  <c r="BN114" i="39"/>
  <c r="BL114" i="39"/>
  <c r="BH114" i="39"/>
  <c r="BK114" i="39" s="1"/>
  <c r="BG114" i="39"/>
  <c r="BF114" i="39"/>
  <c r="AY114" i="39"/>
  <c r="CI114" i="39" s="1"/>
  <c r="V114" i="39"/>
  <c r="U114" i="39"/>
  <c r="CT81" i="39"/>
  <c r="AX81" i="39" s="1"/>
  <c r="CR81" i="39"/>
  <c r="A81" i="39" s="1"/>
  <c r="AQ81" i="39" s="1"/>
  <c r="CP81" i="39"/>
  <c r="CO81" i="39"/>
  <c r="CM81" i="39"/>
  <c r="CC81" i="39"/>
  <c r="CA81" i="39"/>
  <c r="BX81" i="39"/>
  <c r="BV81" i="39"/>
  <c r="BU81" i="39"/>
  <c r="BT81" i="39"/>
  <c r="CE81" i="39" s="1"/>
  <c r="BS81" i="39"/>
  <c r="BQ81" i="39"/>
  <c r="BP81" i="39"/>
  <c r="BO81" i="39"/>
  <c r="BN81" i="39"/>
  <c r="BL81" i="39"/>
  <c r="BH81" i="39"/>
  <c r="BG81" i="39"/>
  <c r="BF81" i="39"/>
  <c r="V81" i="39"/>
  <c r="U81" i="39"/>
  <c r="CT212" i="39"/>
  <c r="AX212" i="39" s="1"/>
  <c r="CR212" i="39"/>
  <c r="A212" i="39" s="1"/>
  <c r="AQ212" i="39" s="1"/>
  <c r="CP212" i="39"/>
  <c r="CO212" i="39"/>
  <c r="CM212" i="39"/>
  <c r="CC212" i="39"/>
  <c r="CA212" i="39"/>
  <c r="AY212" i="39"/>
  <c r="CI212" i="39" s="1"/>
  <c r="BX212" i="39"/>
  <c r="BV212" i="39"/>
  <c r="BU212" i="39"/>
  <c r="BT212" i="39"/>
  <c r="CE212" i="39" s="1"/>
  <c r="BS212" i="39"/>
  <c r="BQ212" i="39"/>
  <c r="BP212" i="39"/>
  <c r="CB212" i="39" s="1"/>
  <c r="BO212" i="39"/>
  <c r="BN212" i="39"/>
  <c r="BL212" i="39"/>
  <c r="BH212" i="39"/>
  <c r="BG212" i="39"/>
  <c r="BF212" i="39"/>
  <c r="V212" i="39"/>
  <c r="U212" i="39"/>
  <c r="CT117" i="39"/>
  <c r="AX117" i="39" s="1"/>
  <c r="CR117" i="39"/>
  <c r="A117" i="39" s="1"/>
  <c r="CP117" i="39"/>
  <c r="CO117" i="39"/>
  <c r="CM117" i="39"/>
  <c r="CC117" i="39"/>
  <c r="CA117" i="39"/>
  <c r="BX117" i="39"/>
  <c r="BV117" i="39"/>
  <c r="BU117" i="39"/>
  <c r="BT117" i="39"/>
  <c r="CH117" i="39" s="1"/>
  <c r="BS117" i="39"/>
  <c r="BQ117" i="39"/>
  <c r="BP117" i="39"/>
  <c r="BO117" i="39"/>
  <c r="BN117" i="39"/>
  <c r="BL117" i="39"/>
  <c r="BH117" i="39"/>
  <c r="BG117" i="39"/>
  <c r="BF117" i="39"/>
  <c r="V117" i="39"/>
  <c r="U117" i="39"/>
  <c r="CT374" i="39"/>
  <c r="AX374" i="39" s="1"/>
  <c r="CR374" i="39"/>
  <c r="A374" i="39" s="1"/>
  <c r="AQ374" i="39" s="1"/>
  <c r="CP374" i="39"/>
  <c r="CO374" i="39"/>
  <c r="CM374" i="39"/>
  <c r="CC374" i="39"/>
  <c r="CA374" i="39"/>
  <c r="BX374" i="39"/>
  <c r="BV374" i="39"/>
  <c r="BU374" i="39"/>
  <c r="BT374" i="39"/>
  <c r="CH374" i="39" s="1"/>
  <c r="BS374" i="39"/>
  <c r="BQ374" i="39"/>
  <c r="BP374" i="39"/>
  <c r="BO374" i="39"/>
  <c r="BN374" i="39"/>
  <c r="BL374" i="39"/>
  <c r="BH374" i="39"/>
  <c r="BK374" i="39" s="1"/>
  <c r="BG374" i="39"/>
  <c r="BF374" i="39"/>
  <c r="AY374" i="39"/>
  <c r="CI374" i="39" s="1"/>
  <c r="V374" i="39"/>
  <c r="U374" i="39"/>
  <c r="CT217" i="39"/>
  <c r="AX217" i="39" s="1"/>
  <c r="CR217" i="39"/>
  <c r="A217" i="39" s="1"/>
  <c r="AQ217" i="39" s="1"/>
  <c r="CP217" i="39"/>
  <c r="CO217" i="39"/>
  <c r="CM217" i="39"/>
  <c r="CC217" i="39"/>
  <c r="CA217" i="39"/>
  <c r="AY217" i="39"/>
  <c r="CI217" i="39" s="1"/>
  <c r="BX217" i="39"/>
  <c r="BV217" i="39"/>
  <c r="BU217" i="39"/>
  <c r="BT217" i="39"/>
  <c r="CH217" i="39" s="1"/>
  <c r="BS217" i="39"/>
  <c r="BQ217" i="39"/>
  <c r="BP217" i="39"/>
  <c r="CB217" i="39" s="1"/>
  <c r="BO217" i="39"/>
  <c r="BN217" i="39"/>
  <c r="BL217" i="39"/>
  <c r="BH217" i="39"/>
  <c r="BG217" i="39"/>
  <c r="BF217" i="39"/>
  <c r="V217" i="39"/>
  <c r="U217" i="39"/>
  <c r="CT116" i="39"/>
  <c r="AX116" i="39" s="1"/>
  <c r="CR116" i="39"/>
  <c r="A116" i="39" s="1"/>
  <c r="AQ116" i="39" s="1"/>
  <c r="CP116" i="39"/>
  <c r="CO116" i="39"/>
  <c r="CM116" i="39"/>
  <c r="CC116" i="39"/>
  <c r="CA116" i="39"/>
  <c r="BX116" i="39"/>
  <c r="BV116" i="39"/>
  <c r="BU116" i="39"/>
  <c r="BT116" i="39"/>
  <c r="CE116" i="39" s="1"/>
  <c r="BS116" i="39"/>
  <c r="BQ116" i="39"/>
  <c r="BP116" i="39"/>
  <c r="BO116" i="39"/>
  <c r="BN116" i="39"/>
  <c r="BL116" i="39"/>
  <c r="BH116" i="39"/>
  <c r="BG116" i="39"/>
  <c r="BF116" i="39"/>
  <c r="V116" i="39"/>
  <c r="U116" i="39"/>
  <c r="CT218" i="39"/>
  <c r="AX218" i="39" s="1"/>
  <c r="CR218" i="39"/>
  <c r="A218" i="39" s="1"/>
  <c r="AQ218" i="39" s="1"/>
  <c r="CP218" i="39"/>
  <c r="CO218" i="39"/>
  <c r="CM218" i="39"/>
  <c r="CC218" i="39"/>
  <c r="CA218" i="39"/>
  <c r="AY218" i="39"/>
  <c r="CI218" i="39" s="1"/>
  <c r="BX218" i="39"/>
  <c r="BV218" i="39"/>
  <c r="BU218" i="39"/>
  <c r="BT218" i="39"/>
  <c r="CH218" i="39" s="1"/>
  <c r="BS218" i="39"/>
  <c r="BQ218" i="39"/>
  <c r="BP218" i="39"/>
  <c r="CB218" i="39" s="1"/>
  <c r="BO218" i="39"/>
  <c r="BN218" i="39"/>
  <c r="BL218" i="39"/>
  <c r="BH218" i="39"/>
  <c r="BG218" i="39"/>
  <c r="BF218" i="39"/>
  <c r="CT115" i="39"/>
  <c r="AX115" i="39" s="1"/>
  <c r="CR115" i="39"/>
  <c r="A115" i="39" s="1"/>
  <c r="AQ115" i="39" s="1"/>
  <c r="CP115" i="39"/>
  <c r="CO115" i="39"/>
  <c r="CM115" i="39"/>
  <c r="CC115" i="39"/>
  <c r="CA115" i="39"/>
  <c r="AY115" i="39"/>
  <c r="CI115" i="39" s="1"/>
  <c r="BX115" i="39"/>
  <c r="BV115" i="39"/>
  <c r="BU115" i="39"/>
  <c r="BT115" i="39"/>
  <c r="CH115" i="39" s="1"/>
  <c r="BS115" i="39"/>
  <c r="BQ115" i="39"/>
  <c r="BP115" i="39"/>
  <c r="CB115" i="39" s="1"/>
  <c r="BO115" i="39"/>
  <c r="BN115" i="39"/>
  <c r="BL115" i="39"/>
  <c r="BH115" i="39"/>
  <c r="BI115" i="39" s="1"/>
  <c r="BG115" i="39"/>
  <c r="BF115" i="39"/>
  <c r="U115" i="39"/>
  <c r="CT62" i="39"/>
  <c r="AX62" i="39" s="1"/>
  <c r="CR62" i="39"/>
  <c r="A62" i="39" s="1"/>
  <c r="AQ62" i="39" s="1"/>
  <c r="CP62" i="39"/>
  <c r="CO62" i="39"/>
  <c r="CM62" i="39"/>
  <c r="CC62" i="39"/>
  <c r="CA62" i="39"/>
  <c r="AY62" i="39"/>
  <c r="CI62" i="39" s="1"/>
  <c r="BX62" i="39"/>
  <c r="BV62" i="39"/>
  <c r="BU62" i="39"/>
  <c r="BT62" i="39"/>
  <c r="CH62" i="39" s="1"/>
  <c r="BS62" i="39"/>
  <c r="BQ62" i="39"/>
  <c r="BP62" i="39"/>
  <c r="CB62" i="39" s="1"/>
  <c r="BO62" i="39"/>
  <c r="BN62" i="39"/>
  <c r="BL62" i="39"/>
  <c r="BH62" i="39"/>
  <c r="BG62" i="39"/>
  <c r="BF62" i="39"/>
  <c r="V62" i="39"/>
  <c r="U62" i="39"/>
  <c r="CT188" i="39"/>
  <c r="AX188" i="39" s="1"/>
  <c r="CR188" i="39"/>
  <c r="A188" i="39" s="1"/>
  <c r="AQ188" i="39" s="1"/>
  <c r="CP188" i="39"/>
  <c r="CO188" i="39"/>
  <c r="CM188" i="39"/>
  <c r="CC188" i="39"/>
  <c r="CA188" i="39"/>
  <c r="BX188" i="39"/>
  <c r="BV188" i="39"/>
  <c r="BU188" i="39"/>
  <c r="BT188" i="39"/>
  <c r="BS188" i="39"/>
  <c r="BQ188" i="39"/>
  <c r="BP188" i="39"/>
  <c r="BO188" i="39"/>
  <c r="BN188" i="39"/>
  <c r="BL188" i="39"/>
  <c r="BH188" i="39"/>
  <c r="BG188" i="39"/>
  <c r="BF188" i="39"/>
  <c r="V188" i="39"/>
  <c r="U188" i="39"/>
  <c r="CT56" i="39"/>
  <c r="AX56" i="39" s="1"/>
  <c r="CR56" i="39"/>
  <c r="A56" i="39" s="1"/>
  <c r="AQ56" i="39" s="1"/>
  <c r="CP56" i="39"/>
  <c r="CO56" i="39"/>
  <c r="CM56" i="39"/>
  <c r="CC56" i="39"/>
  <c r="CA56" i="39"/>
  <c r="AY56" i="39"/>
  <c r="CI56" i="39" s="1"/>
  <c r="BX56" i="39"/>
  <c r="BV56" i="39"/>
  <c r="BU56" i="39"/>
  <c r="BT56" i="39"/>
  <c r="CH56" i="39" s="1"/>
  <c r="BS56" i="39"/>
  <c r="BQ56" i="39"/>
  <c r="BP56" i="39"/>
  <c r="BO56" i="39"/>
  <c r="BN56" i="39"/>
  <c r="BL56" i="39"/>
  <c r="BH56" i="39"/>
  <c r="BG56" i="39"/>
  <c r="BF56" i="39"/>
  <c r="V56" i="39"/>
  <c r="U56" i="39"/>
  <c r="CT57" i="39"/>
  <c r="AX57" i="39" s="1"/>
  <c r="CR57" i="39"/>
  <c r="A57" i="39" s="1"/>
  <c r="AQ57" i="39" s="1"/>
  <c r="CP57" i="39"/>
  <c r="CO57" i="39"/>
  <c r="CM57" i="39"/>
  <c r="CC57" i="39"/>
  <c r="CA57" i="39"/>
  <c r="BX57" i="39"/>
  <c r="BV57" i="39"/>
  <c r="BU57" i="39"/>
  <c r="BT57" i="39"/>
  <c r="CH57" i="39" s="1"/>
  <c r="BS57" i="39"/>
  <c r="BQ57" i="39"/>
  <c r="BP57" i="39"/>
  <c r="CB57" i="39" s="1"/>
  <c r="BO57" i="39"/>
  <c r="BN57" i="39"/>
  <c r="BL57" i="39"/>
  <c r="BH57" i="39"/>
  <c r="BK57" i="39" s="1"/>
  <c r="BG57" i="39"/>
  <c r="BF57" i="39"/>
  <c r="V57" i="39"/>
  <c r="U57" i="39"/>
  <c r="CT58" i="39"/>
  <c r="AX58" i="39" s="1"/>
  <c r="CR58" i="39"/>
  <c r="A58" i="39" s="1"/>
  <c r="AQ58" i="39" s="1"/>
  <c r="CP58" i="39"/>
  <c r="CO58" i="39"/>
  <c r="CM58" i="39"/>
  <c r="CC58" i="39"/>
  <c r="CA58" i="39"/>
  <c r="AY58" i="39"/>
  <c r="CI58" i="39" s="1"/>
  <c r="BX58" i="39"/>
  <c r="BV58" i="39"/>
  <c r="BU58" i="39"/>
  <c r="BT58" i="39"/>
  <c r="CE58" i="39" s="1"/>
  <c r="BS58" i="39"/>
  <c r="BQ58" i="39"/>
  <c r="BP58" i="39"/>
  <c r="CB58" i="39" s="1"/>
  <c r="BO58" i="39"/>
  <c r="BN58" i="39"/>
  <c r="BL58" i="39"/>
  <c r="BH58" i="39"/>
  <c r="BG58" i="39"/>
  <c r="BF58" i="39"/>
  <c r="CT187" i="39"/>
  <c r="AX187" i="39" s="1"/>
  <c r="CR187" i="39"/>
  <c r="A187" i="39" s="1"/>
  <c r="AQ187" i="39" s="1"/>
  <c r="CP187" i="39"/>
  <c r="CO187" i="39"/>
  <c r="CM187" i="39"/>
  <c r="CC187" i="39"/>
  <c r="CA187" i="39"/>
  <c r="AY187" i="39"/>
  <c r="CI187" i="39" s="1"/>
  <c r="BX187" i="39"/>
  <c r="BV187" i="39"/>
  <c r="BU187" i="39"/>
  <c r="BT187" i="39"/>
  <c r="CE187" i="39" s="1"/>
  <c r="BS187" i="39"/>
  <c r="BQ187" i="39"/>
  <c r="BP187" i="39"/>
  <c r="CB187" i="39" s="1"/>
  <c r="BO187" i="39"/>
  <c r="BN187" i="39"/>
  <c r="BL187" i="39"/>
  <c r="BH187" i="39"/>
  <c r="BG187" i="39"/>
  <c r="BF187" i="39"/>
  <c r="V187" i="39"/>
  <c r="U187" i="39"/>
  <c r="CT99" i="39"/>
  <c r="AX99" i="39" s="1"/>
  <c r="CR99" i="39"/>
  <c r="A99" i="39" s="1"/>
  <c r="CP99" i="39"/>
  <c r="CO99" i="39"/>
  <c r="CM99" i="39"/>
  <c r="CC99" i="39"/>
  <c r="CA99" i="39"/>
  <c r="BX99" i="39"/>
  <c r="BV99" i="39"/>
  <c r="BU99" i="39"/>
  <c r="BT99" i="39"/>
  <c r="BS99" i="39"/>
  <c r="BQ99" i="39"/>
  <c r="BP99" i="39"/>
  <c r="BO99" i="39"/>
  <c r="BN99" i="39"/>
  <c r="BL99" i="39"/>
  <c r="BH99" i="39"/>
  <c r="BK99" i="39" s="1"/>
  <c r="BG99" i="39"/>
  <c r="BF99" i="39"/>
  <c r="V99" i="39"/>
  <c r="U99" i="39"/>
  <c r="CT141" i="39"/>
  <c r="AX141" i="39" s="1"/>
  <c r="CR141" i="39"/>
  <c r="A141" i="39" s="1"/>
  <c r="CP141" i="39"/>
  <c r="CO141" i="39"/>
  <c r="CM141" i="39"/>
  <c r="CC141" i="39"/>
  <c r="CA141" i="39"/>
  <c r="BX141" i="39"/>
  <c r="BV141" i="39"/>
  <c r="BU141" i="39"/>
  <c r="BT141" i="39"/>
  <c r="CH141" i="39" s="1"/>
  <c r="BS141" i="39"/>
  <c r="BQ141" i="39"/>
  <c r="BP141" i="39"/>
  <c r="CB141" i="39" s="1"/>
  <c r="BO141" i="39"/>
  <c r="BN141" i="39"/>
  <c r="BL141" i="39"/>
  <c r="BH141" i="39"/>
  <c r="BK141" i="39" s="1"/>
  <c r="BG141" i="39"/>
  <c r="BF141" i="39"/>
  <c r="V141" i="39"/>
  <c r="U141" i="39"/>
  <c r="CT100" i="39"/>
  <c r="AX100" i="39" s="1"/>
  <c r="CR100" i="39"/>
  <c r="A100" i="39" s="1"/>
  <c r="CP100" i="39"/>
  <c r="CO100" i="39"/>
  <c r="CM100" i="39"/>
  <c r="CC100" i="39"/>
  <c r="CA100" i="39"/>
  <c r="BX100" i="39"/>
  <c r="BV100" i="39"/>
  <c r="BU100" i="39"/>
  <c r="BT100" i="39"/>
  <c r="CH100" i="39" s="1"/>
  <c r="BS100" i="39"/>
  <c r="BQ100" i="39"/>
  <c r="BP100" i="39"/>
  <c r="CB100" i="39" s="1"/>
  <c r="BO100" i="39"/>
  <c r="BN100" i="39"/>
  <c r="BL100" i="39"/>
  <c r="BH100" i="39"/>
  <c r="BG100" i="39"/>
  <c r="BF100" i="39"/>
  <c r="V100" i="39"/>
  <c r="U100" i="39"/>
  <c r="CT142" i="39"/>
  <c r="AX142" i="39" s="1"/>
  <c r="CR142" i="39"/>
  <c r="A142" i="39" s="1"/>
  <c r="CP142" i="39"/>
  <c r="CO142" i="39"/>
  <c r="CM142" i="39"/>
  <c r="CC142" i="39"/>
  <c r="CA142" i="39"/>
  <c r="BX142" i="39"/>
  <c r="BV142" i="39"/>
  <c r="BU142" i="39"/>
  <c r="BT142" i="39"/>
  <c r="CH142" i="39" s="1"/>
  <c r="BS142" i="39"/>
  <c r="BQ142" i="39"/>
  <c r="BP142" i="39"/>
  <c r="CB142" i="39" s="1"/>
  <c r="BO142" i="39"/>
  <c r="BN142" i="39"/>
  <c r="BL142" i="39"/>
  <c r="BH142" i="39"/>
  <c r="BG142" i="39"/>
  <c r="BF142" i="39"/>
  <c r="V142" i="39"/>
  <c r="U142" i="39"/>
  <c r="CT61" i="39"/>
  <c r="AX61" i="39" s="1"/>
  <c r="CR61" i="39"/>
  <c r="A61" i="39" s="1"/>
  <c r="AQ61" i="39" s="1"/>
  <c r="CP61" i="39"/>
  <c r="CO61" i="39"/>
  <c r="CM61" i="39"/>
  <c r="CC61" i="39"/>
  <c r="CA61" i="39"/>
  <c r="AY61" i="39"/>
  <c r="CI61" i="39" s="1"/>
  <c r="BX61" i="39"/>
  <c r="BV61" i="39"/>
  <c r="BU61" i="39"/>
  <c r="BT61" i="39"/>
  <c r="CH61" i="39" s="1"/>
  <c r="BS61" i="39"/>
  <c r="BQ61" i="39"/>
  <c r="BP61" i="39"/>
  <c r="BO61" i="39"/>
  <c r="BN61" i="39"/>
  <c r="BL61" i="39"/>
  <c r="BH61" i="39"/>
  <c r="BG61" i="39"/>
  <c r="BF61" i="39"/>
  <c r="V61" i="39"/>
  <c r="U61" i="39"/>
  <c r="CT94" i="39"/>
  <c r="AX94" i="39" s="1"/>
  <c r="CR94" i="39"/>
  <c r="A94" i="39" s="1"/>
  <c r="CP94" i="39"/>
  <c r="CO94" i="39"/>
  <c r="CM94" i="39"/>
  <c r="CC94" i="39"/>
  <c r="CA94" i="39"/>
  <c r="BX94" i="39"/>
  <c r="BV94" i="39"/>
  <c r="BU94" i="39"/>
  <c r="BT94" i="39"/>
  <c r="CH94" i="39" s="1"/>
  <c r="BS94" i="39"/>
  <c r="BQ94" i="39"/>
  <c r="BP94" i="39"/>
  <c r="CB94" i="39" s="1"/>
  <c r="BO94" i="39"/>
  <c r="BN94" i="39"/>
  <c r="BL94" i="39"/>
  <c r="BH94" i="39"/>
  <c r="BK94" i="39" s="1"/>
  <c r="BG94" i="39"/>
  <c r="BF94" i="39"/>
  <c r="V94" i="39"/>
  <c r="U94" i="39"/>
  <c r="CT92" i="39"/>
  <c r="AX92" i="39" s="1"/>
  <c r="CR92" i="39"/>
  <c r="A92" i="39" s="1"/>
  <c r="CP92" i="39"/>
  <c r="CO92" i="39"/>
  <c r="CM92" i="39"/>
  <c r="CC92" i="39"/>
  <c r="CA92" i="39"/>
  <c r="BX92" i="39"/>
  <c r="BV92" i="39"/>
  <c r="BU92" i="39"/>
  <c r="BT92" i="39"/>
  <c r="CH92" i="39" s="1"/>
  <c r="BS92" i="39"/>
  <c r="BQ92" i="39"/>
  <c r="BP92" i="39"/>
  <c r="CB92" i="39" s="1"/>
  <c r="BO92" i="39"/>
  <c r="BN92" i="39"/>
  <c r="BL92" i="39"/>
  <c r="BH92" i="39"/>
  <c r="BG92" i="39"/>
  <c r="BF92" i="39"/>
  <c r="V92" i="39"/>
  <c r="U92" i="39"/>
  <c r="CT145" i="39"/>
  <c r="AX145" i="39" s="1"/>
  <c r="CR145" i="39"/>
  <c r="A145" i="39" s="1"/>
  <c r="CP145" i="39"/>
  <c r="CO145" i="39"/>
  <c r="CM145" i="39"/>
  <c r="CC145" i="39"/>
  <c r="CA145" i="39"/>
  <c r="BX145" i="39"/>
  <c r="BV145" i="39"/>
  <c r="BU145" i="39"/>
  <c r="BT145" i="39"/>
  <c r="CE145" i="39" s="1"/>
  <c r="BS145" i="39"/>
  <c r="BQ145" i="39"/>
  <c r="BP145" i="39"/>
  <c r="BO145" i="39"/>
  <c r="BN145" i="39"/>
  <c r="BL145" i="39"/>
  <c r="BH145" i="39"/>
  <c r="BG145" i="39"/>
  <c r="BF145" i="39"/>
  <c r="V145" i="39"/>
  <c r="CT147" i="39"/>
  <c r="AX147" i="39" s="1"/>
  <c r="CR147" i="39"/>
  <c r="A147" i="39" s="1"/>
  <c r="CP147" i="39"/>
  <c r="CO147" i="39"/>
  <c r="CM147" i="39"/>
  <c r="CC147" i="39"/>
  <c r="CA147" i="39"/>
  <c r="BX147" i="39"/>
  <c r="BV147" i="39"/>
  <c r="BU147" i="39"/>
  <c r="BT147" i="39"/>
  <c r="CH147" i="39" s="1"/>
  <c r="BS147" i="39"/>
  <c r="BQ147" i="39"/>
  <c r="BP147" i="39"/>
  <c r="BO147" i="39"/>
  <c r="BN147" i="39"/>
  <c r="BL147" i="39"/>
  <c r="BH147" i="39"/>
  <c r="BG147" i="39"/>
  <c r="BF147" i="39"/>
  <c r="V147" i="39"/>
  <c r="U147" i="39"/>
  <c r="CT93" i="39"/>
  <c r="AX93" i="39" s="1"/>
  <c r="CR93" i="39"/>
  <c r="A93" i="39" s="1"/>
  <c r="CP93" i="39"/>
  <c r="CO93" i="39"/>
  <c r="CM93" i="39"/>
  <c r="CC93" i="39"/>
  <c r="CA93" i="39"/>
  <c r="BX93" i="39"/>
  <c r="BV93" i="39"/>
  <c r="BU93" i="39"/>
  <c r="BT93" i="39"/>
  <c r="CH93" i="39" s="1"/>
  <c r="BS93" i="39"/>
  <c r="BQ93" i="39"/>
  <c r="BP93" i="39"/>
  <c r="BO93" i="39"/>
  <c r="BN93" i="39"/>
  <c r="BL93" i="39"/>
  <c r="BH93" i="39"/>
  <c r="BG93" i="39"/>
  <c r="BF93" i="39"/>
  <c r="V93" i="39"/>
  <c r="U93" i="39"/>
  <c r="CT96" i="39"/>
  <c r="AX96" i="39" s="1"/>
  <c r="CR96" i="39"/>
  <c r="A96" i="39" s="1"/>
  <c r="CP96" i="39"/>
  <c r="CO96" i="39"/>
  <c r="CM96" i="39"/>
  <c r="CC96" i="39"/>
  <c r="CA96" i="39"/>
  <c r="BX96" i="39"/>
  <c r="BV96" i="39"/>
  <c r="BU96" i="39"/>
  <c r="BT96" i="39"/>
  <c r="CH96" i="39" s="1"/>
  <c r="BS96" i="39"/>
  <c r="BQ96" i="39"/>
  <c r="BP96" i="39"/>
  <c r="CB96" i="39" s="1"/>
  <c r="BO96" i="39"/>
  <c r="BN96" i="39"/>
  <c r="BL96" i="39"/>
  <c r="BH96" i="39"/>
  <c r="BG96" i="39"/>
  <c r="BF96" i="39"/>
  <c r="V96" i="39"/>
  <c r="U96" i="39"/>
  <c r="CT148" i="39"/>
  <c r="AX148" i="39" s="1"/>
  <c r="CR148" i="39"/>
  <c r="A148" i="39" s="1"/>
  <c r="CP148" i="39"/>
  <c r="CO148" i="39"/>
  <c r="CM148" i="39"/>
  <c r="CC148" i="39"/>
  <c r="CA148" i="39"/>
  <c r="BX148" i="39"/>
  <c r="BV148" i="39"/>
  <c r="BU148" i="39"/>
  <c r="BT148" i="39"/>
  <c r="CE148" i="39" s="1"/>
  <c r="BS148" i="39"/>
  <c r="BQ148" i="39"/>
  <c r="BP148" i="39"/>
  <c r="BO148" i="39"/>
  <c r="BN148" i="39"/>
  <c r="BL148" i="39"/>
  <c r="BH148" i="39"/>
  <c r="BG148" i="39"/>
  <c r="BF148" i="39"/>
  <c r="V148" i="39"/>
  <c r="U148" i="39"/>
  <c r="CT146" i="39"/>
  <c r="AX146" i="39" s="1"/>
  <c r="CR146" i="39"/>
  <c r="A146" i="39" s="1"/>
  <c r="CP146" i="39"/>
  <c r="CO146" i="39"/>
  <c r="CM146" i="39"/>
  <c r="CC146" i="39"/>
  <c r="CA146" i="39"/>
  <c r="BX146" i="39"/>
  <c r="BV146" i="39"/>
  <c r="BU146" i="39"/>
  <c r="BT146" i="39"/>
  <c r="BS146" i="39"/>
  <c r="BQ146" i="39"/>
  <c r="BP146" i="39"/>
  <c r="BO146" i="39"/>
  <c r="BN146" i="39"/>
  <c r="BL146" i="39"/>
  <c r="BH146" i="39"/>
  <c r="BG146" i="39"/>
  <c r="BF146" i="39"/>
  <c r="V146" i="39"/>
  <c r="U146" i="39"/>
  <c r="CT95" i="39"/>
  <c r="AX95" i="39" s="1"/>
  <c r="CR95" i="39"/>
  <c r="A95" i="39" s="1"/>
  <c r="CP95" i="39"/>
  <c r="CO95" i="39"/>
  <c r="CM95" i="39"/>
  <c r="CC95" i="39"/>
  <c r="CA95" i="39"/>
  <c r="BX95" i="39"/>
  <c r="BV95" i="39"/>
  <c r="BU95" i="39"/>
  <c r="BT95" i="39"/>
  <c r="CH95" i="39" s="1"/>
  <c r="BS95" i="39"/>
  <c r="BQ95" i="39"/>
  <c r="BP95" i="39"/>
  <c r="CB95" i="39" s="1"/>
  <c r="BO95" i="39"/>
  <c r="BN95" i="39"/>
  <c r="BL95" i="39"/>
  <c r="BH95" i="39"/>
  <c r="BG95" i="39"/>
  <c r="BF95" i="39"/>
  <c r="V95" i="39"/>
  <c r="U95" i="39"/>
  <c r="CT193" i="39"/>
  <c r="AX193" i="39" s="1"/>
  <c r="CR193" i="39"/>
  <c r="A193" i="39" s="1"/>
  <c r="AQ193" i="39" s="1"/>
  <c r="CP193" i="39"/>
  <c r="CO193" i="39"/>
  <c r="CM193" i="39"/>
  <c r="CC193" i="39"/>
  <c r="CA193" i="39"/>
  <c r="BX193" i="39"/>
  <c r="BV193" i="39"/>
  <c r="BU193" i="39"/>
  <c r="BT193" i="39"/>
  <c r="CE193" i="39" s="1"/>
  <c r="BS193" i="39"/>
  <c r="BQ193" i="39"/>
  <c r="BP193" i="39"/>
  <c r="CB193" i="39" s="1"/>
  <c r="BO193" i="39"/>
  <c r="BN193" i="39"/>
  <c r="BL193" i="39"/>
  <c r="BH193" i="39"/>
  <c r="BG193" i="39"/>
  <c r="BF193" i="39"/>
  <c r="AY193" i="39"/>
  <c r="CI193" i="39" s="1"/>
  <c r="V193" i="39"/>
  <c r="U193" i="39"/>
  <c r="CT72" i="39"/>
  <c r="AX72" i="39" s="1"/>
  <c r="CR72" i="39"/>
  <c r="A72" i="39" s="1"/>
  <c r="AQ72" i="39" s="1"/>
  <c r="CP72" i="39"/>
  <c r="CO72" i="39"/>
  <c r="CM72" i="39"/>
  <c r="CC72" i="39"/>
  <c r="CA72" i="39"/>
  <c r="BX72" i="39"/>
  <c r="BV72" i="39"/>
  <c r="BU72" i="39"/>
  <c r="BT72" i="39"/>
  <c r="CE72" i="39" s="1"/>
  <c r="BS72" i="39"/>
  <c r="BQ72" i="39"/>
  <c r="BP72" i="39"/>
  <c r="CB72" i="39" s="1"/>
  <c r="BO72" i="39"/>
  <c r="BN72" i="39"/>
  <c r="BL72" i="39"/>
  <c r="BH72" i="39"/>
  <c r="BG72" i="39"/>
  <c r="BF72" i="39"/>
  <c r="V72" i="39"/>
  <c r="U72" i="39"/>
  <c r="CT127" i="39"/>
  <c r="AX127" i="39" s="1"/>
  <c r="CR127" i="39"/>
  <c r="A127" i="39" s="1"/>
  <c r="AQ127" i="39" s="1"/>
  <c r="CP127" i="39"/>
  <c r="CO127" i="39"/>
  <c r="CM127" i="39"/>
  <c r="CC127" i="39"/>
  <c r="CA127" i="39"/>
  <c r="BX127" i="39"/>
  <c r="BV127" i="39"/>
  <c r="BU127" i="39"/>
  <c r="BT127" i="39"/>
  <c r="BS127" i="39"/>
  <c r="BQ127" i="39"/>
  <c r="BP127" i="39"/>
  <c r="BO127" i="39"/>
  <c r="BN127" i="39"/>
  <c r="BL127" i="39"/>
  <c r="BH127" i="39"/>
  <c r="BG127" i="39"/>
  <c r="BF127" i="39"/>
  <c r="V127" i="39"/>
  <c r="U127" i="39"/>
  <c r="CT373" i="39"/>
  <c r="AX373" i="39" s="1"/>
  <c r="CR373" i="39"/>
  <c r="A373" i="39" s="1"/>
  <c r="AQ373" i="39" s="1"/>
  <c r="CP373" i="39"/>
  <c r="CO373" i="39"/>
  <c r="CM373" i="39"/>
  <c r="CC373" i="39"/>
  <c r="CA373" i="39"/>
  <c r="AY373" i="39"/>
  <c r="CI373" i="39" s="1"/>
  <c r="BX373" i="39"/>
  <c r="BV373" i="39"/>
  <c r="BU373" i="39"/>
  <c r="BT373" i="39"/>
  <c r="CH373" i="39" s="1"/>
  <c r="BS373" i="39"/>
  <c r="BQ373" i="39"/>
  <c r="BP373" i="39"/>
  <c r="CB373" i="39" s="1"/>
  <c r="BO373" i="39"/>
  <c r="BN373" i="39"/>
  <c r="BL373" i="39"/>
  <c r="BH373" i="39"/>
  <c r="BG373" i="39"/>
  <c r="BF373" i="39"/>
  <c r="CT5" i="39"/>
  <c r="AX5" i="39" s="1"/>
  <c r="CR5" i="39"/>
  <c r="A5" i="39" s="1"/>
  <c r="AQ5" i="39" s="1"/>
  <c r="CP5" i="39"/>
  <c r="CO5" i="39"/>
  <c r="CM5" i="39"/>
  <c r="CC5" i="39"/>
  <c r="CA5" i="39"/>
  <c r="AY5" i="39"/>
  <c r="CI5" i="39" s="1"/>
  <c r="BX5" i="39"/>
  <c r="BV5" i="39"/>
  <c r="BU5" i="39"/>
  <c r="BT5" i="39"/>
  <c r="CE5" i="39" s="1"/>
  <c r="BS5" i="39"/>
  <c r="BQ5" i="39"/>
  <c r="BP5" i="39"/>
  <c r="CB5" i="39" s="1"/>
  <c r="BO5" i="39"/>
  <c r="BN5" i="39"/>
  <c r="BL5" i="39"/>
  <c r="BH5" i="39"/>
  <c r="BI5" i="39" s="1"/>
  <c r="BG5" i="39"/>
  <c r="BF5" i="39"/>
  <c r="V5" i="39"/>
  <c r="U5" i="39"/>
  <c r="CT6" i="39"/>
  <c r="AX6" i="39" s="1"/>
  <c r="CR6" i="39"/>
  <c r="A6" i="39" s="1"/>
  <c r="CP6" i="39"/>
  <c r="CO6" i="39"/>
  <c r="CM6" i="39"/>
  <c r="CC6" i="39"/>
  <c r="CA6" i="39"/>
  <c r="BX6" i="39"/>
  <c r="BV6" i="39"/>
  <c r="BU6" i="39"/>
  <c r="BT6" i="39"/>
  <c r="CH6" i="39" s="1"/>
  <c r="BS6" i="39"/>
  <c r="BQ6" i="39"/>
  <c r="BP6" i="39"/>
  <c r="CB6" i="39" s="1"/>
  <c r="BO6" i="39"/>
  <c r="BN6" i="39"/>
  <c r="BL6" i="39"/>
  <c r="BH6" i="39"/>
  <c r="BG6" i="39"/>
  <c r="BF6" i="39"/>
  <c r="V6" i="39"/>
  <c r="U6" i="39"/>
  <c r="CT126" i="39"/>
  <c r="AX126" i="39" s="1"/>
  <c r="CR126" i="39"/>
  <c r="A126" i="39" s="1"/>
  <c r="AQ126" i="39" s="1"/>
  <c r="CP126" i="39"/>
  <c r="CO126" i="39"/>
  <c r="CM126" i="39"/>
  <c r="CC126" i="39"/>
  <c r="CA126" i="39"/>
  <c r="BX126" i="39"/>
  <c r="BV126" i="39"/>
  <c r="BU126" i="39"/>
  <c r="BT126" i="39"/>
  <c r="CH126" i="39" s="1"/>
  <c r="BS126" i="39"/>
  <c r="BQ126" i="39"/>
  <c r="BP126" i="39"/>
  <c r="BO126" i="39"/>
  <c r="BN126" i="39"/>
  <c r="BL126" i="39"/>
  <c r="BH126" i="39"/>
  <c r="BG126" i="39"/>
  <c r="BF126" i="39"/>
  <c r="V126" i="39"/>
  <c r="U126" i="39"/>
  <c r="CT7" i="39"/>
  <c r="AX7" i="39" s="1"/>
  <c r="CR7" i="39"/>
  <c r="A7" i="39" s="1"/>
  <c r="AQ7" i="39" s="1"/>
  <c r="CP7" i="39"/>
  <c r="CO7" i="39"/>
  <c r="CM7" i="39"/>
  <c r="CC7" i="39"/>
  <c r="CA7" i="39"/>
  <c r="BX7" i="39"/>
  <c r="BV7" i="39"/>
  <c r="BU7" i="39"/>
  <c r="BT7" i="39"/>
  <c r="CH7" i="39" s="1"/>
  <c r="BS7" i="39"/>
  <c r="BQ7" i="39"/>
  <c r="BP7" i="39"/>
  <c r="CB7" i="39" s="1"/>
  <c r="BO7" i="39"/>
  <c r="BN7" i="39"/>
  <c r="BL7" i="39"/>
  <c r="BH7" i="39"/>
  <c r="BJ7" i="39" s="1"/>
  <c r="BG7" i="39"/>
  <c r="BF7" i="39"/>
  <c r="V7" i="39"/>
  <c r="U7" i="39"/>
  <c r="CT90" i="39"/>
  <c r="AX90" i="39" s="1"/>
  <c r="CR90" i="39"/>
  <c r="A90" i="39" s="1"/>
  <c r="CP90" i="39"/>
  <c r="CO90" i="39"/>
  <c r="CM90" i="39"/>
  <c r="CC90" i="39"/>
  <c r="CA90" i="39"/>
  <c r="BX90" i="39"/>
  <c r="BV90" i="39"/>
  <c r="BU90" i="39"/>
  <c r="BT90" i="39"/>
  <c r="CH90" i="39" s="1"/>
  <c r="BS90" i="39"/>
  <c r="BQ90" i="39"/>
  <c r="BP90" i="39"/>
  <c r="CB90" i="39" s="1"/>
  <c r="BO90" i="39"/>
  <c r="BN90" i="39"/>
  <c r="BL90" i="39"/>
  <c r="BH90" i="39"/>
  <c r="BG90" i="39"/>
  <c r="BF90" i="39"/>
  <c r="V90" i="39"/>
  <c r="U90" i="39"/>
  <c r="CT85" i="39"/>
  <c r="AX85" i="39" s="1"/>
  <c r="CR85" i="39"/>
  <c r="A85" i="39" s="1"/>
  <c r="CP85" i="39"/>
  <c r="CO85" i="39"/>
  <c r="CM85" i="39"/>
  <c r="CC85" i="39"/>
  <c r="CA85" i="39"/>
  <c r="BX85" i="39"/>
  <c r="BV85" i="39"/>
  <c r="BU85" i="39"/>
  <c r="BT85" i="39"/>
  <c r="CH85" i="39" s="1"/>
  <c r="BS85" i="39"/>
  <c r="BQ85" i="39"/>
  <c r="BP85" i="39"/>
  <c r="CB85" i="39" s="1"/>
  <c r="BO85" i="39"/>
  <c r="BN85" i="39"/>
  <c r="BL85" i="39"/>
  <c r="BH85" i="39"/>
  <c r="BG85" i="39"/>
  <c r="BF85" i="39"/>
  <c r="V85" i="39"/>
  <c r="U85" i="39"/>
  <c r="CT89" i="39"/>
  <c r="AX89" i="39" s="1"/>
  <c r="CR89" i="39"/>
  <c r="A89" i="39" s="1"/>
  <c r="CP89" i="39"/>
  <c r="CO89" i="39"/>
  <c r="CM89" i="39"/>
  <c r="CC89" i="39"/>
  <c r="CA89" i="39"/>
  <c r="BX89" i="39"/>
  <c r="BV89" i="39"/>
  <c r="BU89" i="39"/>
  <c r="BT89" i="39"/>
  <c r="CH89" i="39" s="1"/>
  <c r="BS89" i="39"/>
  <c r="BQ89" i="39"/>
  <c r="BP89" i="39"/>
  <c r="BO89" i="39"/>
  <c r="BN89" i="39"/>
  <c r="BL89" i="39"/>
  <c r="BH89" i="39"/>
  <c r="BG89" i="39"/>
  <c r="BF89" i="39"/>
  <c r="V89" i="39"/>
  <c r="CT88" i="39"/>
  <c r="AX88" i="39" s="1"/>
  <c r="CR88" i="39"/>
  <c r="A88" i="39" s="1"/>
  <c r="CP88" i="39"/>
  <c r="CO88" i="39"/>
  <c r="CM88" i="39"/>
  <c r="CC88" i="39"/>
  <c r="CA88" i="39"/>
  <c r="BX88" i="39"/>
  <c r="BV88" i="39"/>
  <c r="BU88" i="39"/>
  <c r="BT88" i="39"/>
  <c r="CH88" i="39" s="1"/>
  <c r="BS88" i="39"/>
  <c r="BQ88" i="39"/>
  <c r="BP88" i="39"/>
  <c r="BO88" i="39"/>
  <c r="BN88" i="39"/>
  <c r="BL88" i="39"/>
  <c r="BH88" i="39"/>
  <c r="BG88" i="39"/>
  <c r="BF88" i="39"/>
  <c r="V88" i="39"/>
  <c r="U88" i="39"/>
  <c r="CT368" i="39"/>
  <c r="AX368" i="39" s="1"/>
  <c r="CR368" i="39"/>
  <c r="A368" i="39" s="1"/>
  <c r="CP368" i="39"/>
  <c r="CO368" i="39"/>
  <c r="CM368" i="39"/>
  <c r="CC368" i="39"/>
  <c r="CA368" i="39"/>
  <c r="BX368" i="39"/>
  <c r="BV368" i="39"/>
  <c r="BU368" i="39"/>
  <c r="BT368" i="39"/>
  <c r="CE368" i="39" s="1"/>
  <c r="BS368" i="39"/>
  <c r="BQ368" i="39"/>
  <c r="BP368" i="39"/>
  <c r="CB368" i="39" s="1"/>
  <c r="BO368" i="39"/>
  <c r="BN368" i="39"/>
  <c r="BL368" i="39"/>
  <c r="BH368" i="39"/>
  <c r="BG368" i="39"/>
  <c r="BF368" i="39"/>
  <c r="V368" i="39"/>
  <c r="U368" i="39"/>
  <c r="CT86" i="39"/>
  <c r="AX86" i="39" s="1"/>
  <c r="CR86" i="39"/>
  <c r="A86" i="39" s="1"/>
  <c r="CP86" i="39"/>
  <c r="CO86" i="39"/>
  <c r="CM86" i="39"/>
  <c r="CC86" i="39"/>
  <c r="CA86" i="39"/>
  <c r="BX86" i="39"/>
  <c r="BV86" i="39"/>
  <c r="BU86" i="39"/>
  <c r="BT86" i="39"/>
  <c r="CH86" i="39" s="1"/>
  <c r="BS86" i="39"/>
  <c r="BQ86" i="39"/>
  <c r="BP86" i="39"/>
  <c r="CB86" i="39" s="1"/>
  <c r="BO86" i="39"/>
  <c r="BN86" i="39"/>
  <c r="BL86" i="39"/>
  <c r="BH86" i="39"/>
  <c r="BG86" i="39"/>
  <c r="BF86" i="39"/>
  <c r="CT201" i="39"/>
  <c r="AX201" i="39" s="1"/>
  <c r="CR201" i="39"/>
  <c r="A201" i="39" s="1"/>
  <c r="CP201" i="39"/>
  <c r="CO201" i="39"/>
  <c r="CM201" i="39"/>
  <c r="CC201" i="39"/>
  <c r="CA201" i="39"/>
  <c r="BX201" i="39"/>
  <c r="BV201" i="39"/>
  <c r="BU201" i="39"/>
  <c r="BT201" i="39"/>
  <c r="CH201" i="39" s="1"/>
  <c r="BS201" i="39"/>
  <c r="BQ201" i="39"/>
  <c r="BP201" i="39"/>
  <c r="BO201" i="39"/>
  <c r="BN201" i="39"/>
  <c r="BL201" i="39"/>
  <c r="BH201" i="39"/>
  <c r="BI201" i="39" s="1"/>
  <c r="BG201" i="39"/>
  <c r="BF201" i="39"/>
  <c r="V201" i="39"/>
  <c r="U201" i="39"/>
  <c r="CT87" i="39"/>
  <c r="AX87" i="39" s="1"/>
  <c r="CR87" i="39"/>
  <c r="A87" i="39" s="1"/>
  <c r="CP87" i="39"/>
  <c r="CO87" i="39"/>
  <c r="CM87" i="39"/>
  <c r="CC87" i="39"/>
  <c r="CA87" i="39"/>
  <c r="BX87" i="39"/>
  <c r="BV87" i="39"/>
  <c r="BU87" i="39"/>
  <c r="BT87" i="39"/>
  <c r="CH87" i="39" s="1"/>
  <c r="BS87" i="39"/>
  <c r="BQ87" i="39"/>
  <c r="BP87" i="39"/>
  <c r="CB87" i="39" s="1"/>
  <c r="BO87" i="39"/>
  <c r="BN87" i="39"/>
  <c r="BL87" i="39"/>
  <c r="BH87" i="39"/>
  <c r="BG87" i="39"/>
  <c r="BF87" i="39"/>
  <c r="V87" i="39"/>
  <c r="U87" i="39"/>
  <c r="CT200" i="39"/>
  <c r="AX200" i="39" s="1"/>
  <c r="CR200" i="39"/>
  <c r="A200" i="39" s="1"/>
  <c r="CP200" i="39"/>
  <c r="CO200" i="39"/>
  <c r="CM200" i="39"/>
  <c r="CC200" i="39"/>
  <c r="CA200" i="39"/>
  <c r="BX200" i="39"/>
  <c r="BV200" i="39"/>
  <c r="BU200" i="39"/>
  <c r="BT200" i="39"/>
  <c r="CH200" i="39" s="1"/>
  <c r="BS200" i="39"/>
  <c r="BQ200" i="39"/>
  <c r="BP200" i="39"/>
  <c r="CB200" i="39" s="1"/>
  <c r="BO200" i="39"/>
  <c r="BN200" i="39"/>
  <c r="BL200" i="39"/>
  <c r="BH200" i="39"/>
  <c r="BG200" i="39"/>
  <c r="BF200" i="39"/>
  <c r="V200" i="39"/>
  <c r="U200" i="39"/>
  <c r="CT91" i="39"/>
  <c r="AX91" i="39" s="1"/>
  <c r="CR91" i="39"/>
  <c r="A91" i="39" s="1"/>
  <c r="CP91" i="39"/>
  <c r="CO91" i="39"/>
  <c r="CM91" i="39"/>
  <c r="CC91" i="39"/>
  <c r="CA91" i="39"/>
  <c r="BX91" i="39"/>
  <c r="BV91" i="39"/>
  <c r="BU91" i="39"/>
  <c r="BT91" i="39"/>
  <c r="CH91" i="39" s="1"/>
  <c r="BS91" i="39"/>
  <c r="BQ91" i="39"/>
  <c r="BP91" i="39"/>
  <c r="CB91" i="39" s="1"/>
  <c r="BO91" i="39"/>
  <c r="BN91" i="39"/>
  <c r="BL91" i="39"/>
  <c r="BH91" i="39"/>
  <c r="BG91" i="39"/>
  <c r="BF91" i="39"/>
  <c r="V91" i="39"/>
  <c r="U91" i="39"/>
  <c r="CT197" i="39"/>
  <c r="AX197" i="39" s="1"/>
  <c r="CR197" i="39"/>
  <c r="A197" i="39" s="1"/>
  <c r="CP197" i="39"/>
  <c r="CO197" i="39"/>
  <c r="CM197" i="39"/>
  <c r="CC197" i="39"/>
  <c r="CA197" i="39"/>
  <c r="BX197" i="39"/>
  <c r="BV197" i="39"/>
  <c r="BU197" i="39"/>
  <c r="BT197" i="39"/>
  <c r="CH197" i="39" s="1"/>
  <c r="BS197" i="39"/>
  <c r="BQ197" i="39"/>
  <c r="BP197" i="39"/>
  <c r="CB197" i="39" s="1"/>
  <c r="BO197" i="39"/>
  <c r="BN197" i="39"/>
  <c r="BL197" i="39"/>
  <c r="BH197" i="39"/>
  <c r="BK197" i="39" s="1"/>
  <c r="BG197" i="39"/>
  <c r="BF197" i="39"/>
  <c r="V197" i="39"/>
  <c r="U197" i="39"/>
  <c r="CT199" i="39"/>
  <c r="AX199" i="39" s="1"/>
  <c r="CR199" i="39"/>
  <c r="A199" i="39" s="1"/>
  <c r="CP199" i="39"/>
  <c r="CO199" i="39"/>
  <c r="CM199" i="39"/>
  <c r="CC199" i="39"/>
  <c r="CA199" i="39"/>
  <c r="BX199" i="39"/>
  <c r="BV199" i="39"/>
  <c r="BU199" i="39"/>
  <c r="BT199" i="39"/>
  <c r="CH199" i="39" s="1"/>
  <c r="BS199" i="39"/>
  <c r="BQ199" i="39"/>
  <c r="BP199" i="39"/>
  <c r="CB199" i="39" s="1"/>
  <c r="BO199" i="39"/>
  <c r="BN199" i="39"/>
  <c r="BL199" i="39"/>
  <c r="BH199" i="39"/>
  <c r="BG199" i="39"/>
  <c r="BF199" i="39"/>
  <c r="V199" i="39"/>
  <c r="U199" i="39"/>
  <c r="CT82" i="39"/>
  <c r="AX82" i="39" s="1"/>
  <c r="CR82" i="39"/>
  <c r="A82" i="39" s="1"/>
  <c r="AQ82" i="39" s="1"/>
  <c r="CP82" i="39"/>
  <c r="CO82" i="39"/>
  <c r="CM82" i="39"/>
  <c r="CC82" i="39"/>
  <c r="CA82" i="39"/>
  <c r="AY82" i="39"/>
  <c r="CI82" i="39" s="1"/>
  <c r="BX82" i="39"/>
  <c r="BV82" i="39"/>
  <c r="BU82" i="39"/>
  <c r="BT82" i="39"/>
  <c r="CH82" i="39" s="1"/>
  <c r="BS82" i="39"/>
  <c r="BQ82" i="39"/>
  <c r="BP82" i="39"/>
  <c r="CB82" i="39" s="1"/>
  <c r="BO82" i="39"/>
  <c r="BN82" i="39"/>
  <c r="BL82" i="39"/>
  <c r="BH82" i="39"/>
  <c r="BG82" i="39"/>
  <c r="BF82" i="39"/>
  <c r="V82" i="39"/>
  <c r="U82" i="39"/>
  <c r="CT80" i="39"/>
  <c r="AX80" i="39" s="1"/>
  <c r="CR80" i="39"/>
  <c r="A80" i="39" s="1"/>
  <c r="CP80" i="39"/>
  <c r="CO80" i="39"/>
  <c r="CM80" i="39"/>
  <c r="CC80" i="39"/>
  <c r="CA80" i="39"/>
  <c r="BX80" i="39"/>
  <c r="BV80" i="39"/>
  <c r="BU80" i="39"/>
  <c r="BT80" i="39"/>
  <c r="CH80" i="39" s="1"/>
  <c r="BS80" i="39"/>
  <c r="BQ80" i="39"/>
  <c r="BP80" i="39"/>
  <c r="BO80" i="39"/>
  <c r="BN80" i="39"/>
  <c r="BL80" i="39"/>
  <c r="BH80" i="39"/>
  <c r="BG80" i="39"/>
  <c r="BF80" i="39"/>
  <c r="V80" i="39"/>
  <c r="U80" i="39"/>
  <c r="CT198" i="39"/>
  <c r="AX198" i="39" s="1"/>
  <c r="CR198" i="39"/>
  <c r="A198" i="39" s="1"/>
  <c r="CP198" i="39"/>
  <c r="CO198" i="39"/>
  <c r="CM198" i="39"/>
  <c r="CC198" i="39"/>
  <c r="CA198" i="39"/>
  <c r="BX198" i="39"/>
  <c r="BV198" i="39"/>
  <c r="BU198" i="39"/>
  <c r="BT198" i="39"/>
  <c r="CE198" i="39" s="1"/>
  <c r="BS198" i="39"/>
  <c r="BQ198" i="39"/>
  <c r="BP198" i="39"/>
  <c r="CB198" i="39" s="1"/>
  <c r="BO198" i="39"/>
  <c r="BN198" i="39"/>
  <c r="BL198" i="39"/>
  <c r="BH198" i="39"/>
  <c r="BK198" i="39" s="1"/>
  <c r="BG198" i="39"/>
  <c r="BF198" i="39"/>
  <c r="V198" i="39"/>
  <c r="U198" i="39"/>
  <c r="CT196" i="39"/>
  <c r="AX196" i="39" s="1"/>
  <c r="CR196" i="39"/>
  <c r="A196" i="39" s="1"/>
  <c r="AQ196" i="39" s="1"/>
  <c r="CP196" i="39"/>
  <c r="CO196" i="39"/>
  <c r="CM196" i="39"/>
  <c r="CC196" i="39"/>
  <c r="CA196" i="39"/>
  <c r="AY196" i="39"/>
  <c r="CI196" i="39" s="1"/>
  <c r="BX196" i="39"/>
  <c r="BV196" i="39"/>
  <c r="BU196" i="39"/>
  <c r="BT196" i="39"/>
  <c r="CE196" i="39" s="1"/>
  <c r="BS196" i="39"/>
  <c r="BQ196" i="39"/>
  <c r="BP196" i="39"/>
  <c r="BO196" i="39"/>
  <c r="BN196" i="39"/>
  <c r="BL196" i="39"/>
  <c r="BH196" i="39"/>
  <c r="BG196" i="39"/>
  <c r="BF196" i="39"/>
  <c r="V196" i="39"/>
  <c r="U196" i="39"/>
  <c r="CT69" i="39"/>
  <c r="AX69" i="39" s="1"/>
  <c r="CR69" i="39"/>
  <c r="A69" i="39" s="1"/>
  <c r="AQ69" i="39" s="1"/>
  <c r="CP69" i="39"/>
  <c r="CO69" i="39"/>
  <c r="CM69" i="39"/>
  <c r="CC69" i="39"/>
  <c r="CA69" i="39"/>
  <c r="AY69" i="39"/>
  <c r="CI69" i="39" s="1"/>
  <c r="BX69" i="39"/>
  <c r="BV69" i="39"/>
  <c r="BU69" i="39"/>
  <c r="BT69" i="39"/>
  <c r="CH69" i="39" s="1"/>
  <c r="BS69" i="39"/>
  <c r="BQ69" i="39"/>
  <c r="BP69" i="39"/>
  <c r="CB69" i="39" s="1"/>
  <c r="BO69" i="39"/>
  <c r="BN69" i="39"/>
  <c r="BL69" i="39"/>
  <c r="BH69" i="39"/>
  <c r="BG69" i="39"/>
  <c r="BF69" i="39"/>
  <c r="CT205" i="39"/>
  <c r="AX205" i="39" s="1"/>
  <c r="CR205" i="39"/>
  <c r="A205" i="39" s="1"/>
  <c r="AQ205" i="39" s="1"/>
  <c r="CP205" i="39"/>
  <c r="CO205" i="39"/>
  <c r="CM205" i="39"/>
  <c r="CC205" i="39"/>
  <c r="CA205" i="39"/>
  <c r="BX205" i="39"/>
  <c r="BV205" i="39"/>
  <c r="BU205" i="39"/>
  <c r="BT205" i="39"/>
  <c r="CH205" i="39" s="1"/>
  <c r="BS205" i="39"/>
  <c r="BQ205" i="39"/>
  <c r="BP205" i="39"/>
  <c r="BO205" i="39"/>
  <c r="BN205" i="39"/>
  <c r="BL205" i="39"/>
  <c r="BH205" i="39"/>
  <c r="BK205" i="39" s="1"/>
  <c r="BG205" i="39"/>
  <c r="BF205" i="39"/>
  <c r="CT84" i="39"/>
  <c r="AX84" i="39" s="1"/>
  <c r="CR84" i="39"/>
  <c r="A84" i="39" s="1"/>
  <c r="CP84" i="39"/>
  <c r="CO84" i="39"/>
  <c r="CM84" i="39"/>
  <c r="CC84" i="39"/>
  <c r="CA84" i="39"/>
  <c r="BX84" i="39"/>
  <c r="BV84" i="39"/>
  <c r="BU84" i="39"/>
  <c r="BT84" i="39"/>
  <c r="CH84" i="39" s="1"/>
  <c r="BS84" i="39"/>
  <c r="BQ84" i="39"/>
  <c r="BP84" i="39"/>
  <c r="BO84" i="39"/>
  <c r="BN84" i="39"/>
  <c r="BL84" i="39"/>
  <c r="BH84" i="39"/>
  <c r="BK84" i="39" s="1"/>
  <c r="BG84" i="39"/>
  <c r="BF84" i="39"/>
  <c r="U84" i="39"/>
  <c r="CT180" i="39"/>
  <c r="AX180" i="39" s="1"/>
  <c r="CR180" i="39"/>
  <c r="A180" i="39" s="1"/>
  <c r="CP180" i="39"/>
  <c r="CO180" i="39"/>
  <c r="CM180" i="39"/>
  <c r="CC180" i="39"/>
  <c r="CA180" i="39"/>
  <c r="BX180" i="39"/>
  <c r="BV180" i="39"/>
  <c r="BU180" i="39"/>
  <c r="BT180" i="39"/>
  <c r="CH180" i="39" s="1"/>
  <c r="BS180" i="39"/>
  <c r="BQ180" i="39"/>
  <c r="BP180" i="39"/>
  <c r="CB180" i="39" s="1"/>
  <c r="BO180" i="39"/>
  <c r="BN180" i="39"/>
  <c r="BL180" i="39"/>
  <c r="BH180" i="39"/>
  <c r="BK180" i="39" s="1"/>
  <c r="BG180" i="39"/>
  <c r="BF180" i="39"/>
  <c r="V180" i="39"/>
  <c r="U180" i="39"/>
  <c r="CT83" i="39"/>
  <c r="AX83" i="39" s="1"/>
  <c r="CR83" i="39"/>
  <c r="A83" i="39" s="1"/>
  <c r="CP83" i="39"/>
  <c r="CO83" i="39"/>
  <c r="CM83" i="39"/>
  <c r="CC83" i="39"/>
  <c r="CA83" i="39"/>
  <c r="BX83" i="39"/>
  <c r="BV83" i="39"/>
  <c r="BU83" i="39"/>
  <c r="BT83" i="39"/>
  <c r="CH83" i="39" s="1"/>
  <c r="BS83" i="39"/>
  <c r="BQ83" i="39"/>
  <c r="BP83" i="39"/>
  <c r="CB83" i="39" s="1"/>
  <c r="BO83" i="39"/>
  <c r="BN83" i="39"/>
  <c r="BL83" i="39"/>
  <c r="BH83" i="39"/>
  <c r="BG83" i="39"/>
  <c r="BF83" i="39"/>
  <c r="U83" i="39"/>
  <c r="CT151" i="39"/>
  <c r="AX151" i="39" s="1"/>
  <c r="CR151" i="39"/>
  <c r="A151" i="39" s="1"/>
  <c r="AQ151" i="39" s="1"/>
  <c r="CP151" i="39"/>
  <c r="CO151" i="39"/>
  <c r="CM151" i="39"/>
  <c r="CC151" i="39"/>
  <c r="CA151" i="39"/>
  <c r="AY151" i="39"/>
  <c r="CI151" i="39" s="1"/>
  <c r="BX151" i="39"/>
  <c r="BV151" i="39"/>
  <c r="BU151" i="39"/>
  <c r="BT151" i="39"/>
  <c r="CH151" i="39" s="1"/>
  <c r="BS151" i="39"/>
  <c r="BQ151" i="39"/>
  <c r="BP151" i="39"/>
  <c r="CB151" i="39" s="1"/>
  <c r="BO151" i="39"/>
  <c r="BN151" i="39"/>
  <c r="BL151" i="39"/>
  <c r="BH151" i="39"/>
  <c r="BG151" i="39"/>
  <c r="BF151" i="39"/>
  <c r="V151" i="39"/>
  <c r="U151" i="39"/>
  <c r="CT121" i="39"/>
  <c r="AX121" i="39" s="1"/>
  <c r="CR121" i="39"/>
  <c r="A121" i="39" s="1"/>
  <c r="AQ121" i="39" s="1"/>
  <c r="CP121" i="39"/>
  <c r="CO121" i="39"/>
  <c r="CM121" i="39"/>
  <c r="CC121" i="39"/>
  <c r="CA121" i="39"/>
  <c r="AY121" i="39"/>
  <c r="CI121" i="39" s="1"/>
  <c r="BX121" i="39"/>
  <c r="BV121" i="39"/>
  <c r="BU121" i="39"/>
  <c r="BT121" i="39"/>
  <c r="CH121" i="39" s="1"/>
  <c r="BS121" i="39"/>
  <c r="BQ121" i="39"/>
  <c r="BP121" i="39"/>
  <c r="BO121" i="39"/>
  <c r="BN121" i="39"/>
  <c r="BL121" i="39"/>
  <c r="BH121" i="39"/>
  <c r="BI121" i="39" s="1"/>
  <c r="BG121" i="39"/>
  <c r="BF121" i="39"/>
  <c r="V121" i="39"/>
  <c r="U121" i="39"/>
  <c r="CT103" i="39"/>
  <c r="AX103" i="39" s="1"/>
  <c r="CR103" i="39"/>
  <c r="A103" i="39" s="1"/>
  <c r="CP103" i="39"/>
  <c r="CO103" i="39"/>
  <c r="CM103" i="39"/>
  <c r="CC103" i="39"/>
  <c r="CA103" i="39"/>
  <c r="BX103" i="39"/>
  <c r="BV103" i="39"/>
  <c r="BU103" i="39"/>
  <c r="BT103" i="39"/>
  <c r="CH103" i="39" s="1"/>
  <c r="BS103" i="39"/>
  <c r="BQ103" i="39"/>
  <c r="BP103" i="39"/>
  <c r="CB103" i="39" s="1"/>
  <c r="BO103" i="39"/>
  <c r="BN103" i="39"/>
  <c r="BL103" i="39"/>
  <c r="BH103" i="39"/>
  <c r="BG103" i="39"/>
  <c r="BF103" i="39"/>
  <c r="V103" i="39"/>
  <c r="U103" i="39"/>
  <c r="CT101" i="39"/>
  <c r="CR101" i="39"/>
  <c r="A101" i="39" s="1"/>
  <c r="CP101" i="39"/>
  <c r="CO101" i="39"/>
  <c r="CM101" i="39"/>
  <c r="CC101" i="39"/>
  <c r="CA101" i="39"/>
  <c r="BX101" i="39"/>
  <c r="BV101" i="39"/>
  <c r="BU101" i="39"/>
  <c r="BT101" i="39"/>
  <c r="CH101" i="39" s="1"/>
  <c r="BS101" i="39"/>
  <c r="BQ101" i="39"/>
  <c r="BP101" i="39"/>
  <c r="CB101" i="39" s="1"/>
  <c r="BO101" i="39"/>
  <c r="BN101" i="39"/>
  <c r="BL101" i="39"/>
  <c r="BH101" i="39"/>
  <c r="BG101" i="39"/>
  <c r="BF101" i="39"/>
  <c r="CT144" i="39"/>
  <c r="AX144" i="39" s="1"/>
  <c r="CR144" i="39"/>
  <c r="A144" i="39" s="1"/>
  <c r="CP144" i="39"/>
  <c r="CO144" i="39"/>
  <c r="CM144" i="39"/>
  <c r="CC144" i="39"/>
  <c r="CA144" i="39"/>
  <c r="BX144" i="39"/>
  <c r="BV144" i="39"/>
  <c r="BU144" i="39"/>
  <c r="BT144" i="39"/>
  <c r="CH144" i="39" s="1"/>
  <c r="BS144" i="39"/>
  <c r="BQ144" i="39"/>
  <c r="BP144" i="39"/>
  <c r="CB144" i="39" s="1"/>
  <c r="BO144" i="39"/>
  <c r="BN144" i="39"/>
  <c r="BL144" i="39"/>
  <c r="BH144" i="39"/>
  <c r="BG144" i="39"/>
  <c r="BF144" i="39"/>
  <c r="J367" i="39"/>
  <c r="J366" i="39"/>
  <c r="J365" i="39"/>
  <c r="J364" i="39"/>
  <c r="J363" i="39"/>
  <c r="J362" i="39"/>
  <c r="J361" i="39"/>
  <c r="J360" i="39"/>
  <c r="J359" i="39"/>
  <c r="J358" i="39"/>
  <c r="J357" i="39"/>
  <c r="J356" i="39"/>
  <c r="J355" i="39"/>
  <c r="J354" i="39"/>
  <c r="J353" i="39"/>
  <c r="J352" i="39"/>
  <c r="J351" i="39"/>
  <c r="J350" i="39"/>
  <c r="J349" i="39"/>
  <c r="J348" i="39"/>
  <c r="J347" i="39"/>
  <c r="J346" i="39"/>
  <c r="J345" i="39"/>
  <c r="J344" i="39"/>
  <c r="J343" i="39"/>
  <c r="J342" i="39"/>
  <c r="J341" i="39"/>
  <c r="J340" i="39"/>
  <c r="J339" i="39"/>
  <c r="J338" i="39"/>
  <c r="J337" i="39"/>
  <c r="J336" i="39"/>
  <c r="J335" i="39"/>
  <c r="J334" i="39"/>
  <c r="J333" i="39"/>
  <c r="J332" i="39"/>
  <c r="J331" i="39"/>
  <c r="J330" i="39"/>
  <c r="J329" i="39"/>
  <c r="J328" i="39"/>
  <c r="J327" i="39"/>
  <c r="J326" i="39"/>
  <c r="I326" i="42" l="1"/>
  <c r="A346" i="41" s="1"/>
  <c r="AA346" i="41" s="1"/>
  <c r="I317" i="42"/>
  <c r="A337" i="41" s="1"/>
  <c r="AA337" i="41" s="1"/>
  <c r="BZ368" i="39"/>
  <c r="AY368" i="39" s="1"/>
  <c r="CI368" i="39" s="1"/>
  <c r="BZ369" i="39"/>
  <c r="AY369" i="39" s="1"/>
  <c r="CI369" i="39" s="1"/>
  <c r="N178" i="39"/>
  <c r="H5" i="40"/>
  <c r="C178" i="39"/>
  <c r="CB260" i="39"/>
  <c r="CF260" i="39" s="1"/>
  <c r="M34" i="39"/>
  <c r="M178" i="39"/>
  <c r="CM34" i="39"/>
  <c r="CM178" i="39"/>
  <c r="CJ178" i="39"/>
  <c r="CK178" i="39" s="1"/>
  <c r="CB271" i="39"/>
  <c r="CF271" i="39" s="1"/>
  <c r="CB255" i="39"/>
  <c r="CF255" i="39" s="1"/>
  <c r="CF267" i="39"/>
  <c r="CB257" i="39"/>
  <c r="CF257" i="39" s="1"/>
  <c r="CB259" i="39"/>
  <c r="CF259" i="39" s="1"/>
  <c r="CB258" i="39"/>
  <c r="CF258" i="39" s="1"/>
  <c r="CF266" i="39"/>
  <c r="CB251" i="39"/>
  <c r="CF251" i="39" s="1"/>
  <c r="CB264" i="39"/>
  <c r="CF264" i="39" s="1"/>
  <c r="CB263" i="39"/>
  <c r="CF263" i="39" s="1"/>
  <c r="CB252" i="39"/>
  <c r="CF252" i="39" s="1"/>
  <c r="CF254" i="39"/>
  <c r="BR261" i="39"/>
  <c r="CB261" i="39"/>
  <c r="CF261" i="39" s="1"/>
  <c r="CB262" i="39"/>
  <c r="CF262" i="39" s="1"/>
  <c r="BR256" i="39"/>
  <c r="CB256" i="39"/>
  <c r="CF256" i="39" s="1"/>
  <c r="BR270" i="39"/>
  <c r="CB270" i="39"/>
  <c r="CF270" i="39" s="1"/>
  <c r="CB268" i="39"/>
  <c r="CF268" i="39" s="1"/>
  <c r="BR269" i="39"/>
  <c r="CB269" i="39"/>
  <c r="CF269" i="39" s="1"/>
  <c r="BR253" i="39"/>
  <c r="CB253" i="39"/>
  <c r="CF253" i="39" s="1"/>
  <c r="CB265" i="39"/>
  <c r="CF265" i="39" s="1"/>
  <c r="CD92" i="39"/>
  <c r="BR68" i="39"/>
  <c r="BR59" i="39"/>
  <c r="CD151" i="39"/>
  <c r="BR69" i="39"/>
  <c r="BR196" i="39"/>
  <c r="BR201" i="39"/>
  <c r="CE6" i="39"/>
  <c r="CD91" i="39"/>
  <c r="CE126" i="39"/>
  <c r="CD99" i="39"/>
  <c r="BR81" i="39"/>
  <c r="CD217" i="39"/>
  <c r="CJ369" i="39"/>
  <c r="CK369" i="39" s="1"/>
  <c r="CD373" i="39"/>
  <c r="CD212" i="39"/>
  <c r="CF212" i="39" s="1"/>
  <c r="CD173" i="39"/>
  <c r="BR149" i="39"/>
  <c r="CD196" i="39"/>
  <c r="CD15" i="39"/>
  <c r="CD125" i="39"/>
  <c r="CD135" i="39"/>
  <c r="BR39" i="39"/>
  <c r="CD59" i="39"/>
  <c r="CH368" i="39"/>
  <c r="CJ368" i="39" s="1"/>
  <c r="CK368" i="39" s="1"/>
  <c r="CD7" i="39"/>
  <c r="CD144" i="39"/>
  <c r="BR150" i="39"/>
  <c r="CD70" i="39"/>
  <c r="CD180" i="39"/>
  <c r="CD198" i="39"/>
  <c r="CF198" i="39" s="1"/>
  <c r="BZ198" i="39" s="1"/>
  <c r="AY198" i="39" s="1"/>
  <c r="CI198" i="39" s="1"/>
  <c r="CD87" i="39"/>
  <c r="BR126" i="39"/>
  <c r="CH145" i="39"/>
  <c r="CD16" i="39"/>
  <c r="BR125" i="39"/>
  <c r="CD56" i="39"/>
  <c r="CD94" i="39"/>
  <c r="CD141" i="39"/>
  <c r="CD6" i="39"/>
  <c r="CD116" i="39"/>
  <c r="CD374" i="39"/>
  <c r="CB81" i="39"/>
  <c r="CH5" i="39"/>
  <c r="CJ5" i="39" s="1"/>
  <c r="CK5" i="39" s="1"/>
  <c r="CJ70" i="39"/>
  <c r="CK70" i="39" s="1"/>
  <c r="CD103" i="39"/>
  <c r="BR205" i="39"/>
  <c r="CE95" i="39"/>
  <c r="CD179" i="39"/>
  <c r="CJ61" i="39"/>
  <c r="CK61" i="39" s="1"/>
  <c r="CJ372" i="39"/>
  <c r="CK372" i="39" s="1"/>
  <c r="CJ135" i="39"/>
  <c r="CK135" i="39" s="1"/>
  <c r="CJ190" i="39"/>
  <c r="CK190" i="39" s="1"/>
  <c r="CJ59" i="39"/>
  <c r="CK59" i="39" s="1"/>
  <c r="CJ121" i="39"/>
  <c r="CK121" i="39" s="1"/>
  <c r="CJ151" i="39"/>
  <c r="CK151" i="39" s="1"/>
  <c r="CR178" i="39"/>
  <c r="A178" i="39" s="1"/>
  <c r="BN178" i="39"/>
  <c r="CA178" i="39"/>
  <c r="CE34" i="39"/>
  <c r="BP178" i="39"/>
  <c r="BS178" i="39"/>
  <c r="CD178" i="39" s="1"/>
  <c r="BR103" i="39"/>
  <c r="CB196" i="39"/>
  <c r="CE57" i="39"/>
  <c r="BR369" i="39"/>
  <c r="CH38" i="39"/>
  <c r="CD114" i="39"/>
  <c r="CJ76" i="39"/>
  <c r="CK76" i="39" s="1"/>
  <c r="BR11" i="39"/>
  <c r="CE83" i="39"/>
  <c r="CJ71" i="39"/>
  <c r="CK71" i="39" s="1"/>
  <c r="CD84" i="39"/>
  <c r="CD86" i="39"/>
  <c r="CH212" i="39"/>
  <c r="CJ212" i="39" s="1"/>
  <c r="CK212" i="39" s="1"/>
  <c r="CH58" i="39"/>
  <c r="CJ58" i="39" s="1"/>
  <c r="CK58" i="39" s="1"/>
  <c r="CD375" i="39"/>
  <c r="CD88" i="39"/>
  <c r="BR89" i="39"/>
  <c r="CH150" i="39"/>
  <c r="CJ150" i="39" s="1"/>
  <c r="CK150" i="39" s="1"/>
  <c r="BR173" i="39"/>
  <c r="CE375" i="39"/>
  <c r="CD190" i="39"/>
  <c r="CE37" i="39"/>
  <c r="BR188" i="39"/>
  <c r="CD149" i="39"/>
  <c r="BR12" i="39"/>
  <c r="BR121" i="39"/>
  <c r="BR80" i="39"/>
  <c r="CE85" i="39"/>
  <c r="BR373" i="39"/>
  <c r="CD127" i="39"/>
  <c r="BR61" i="39"/>
  <c r="CD218" i="39"/>
  <c r="BR374" i="39"/>
  <c r="CE114" i="39"/>
  <c r="BR179" i="39"/>
  <c r="CD90" i="39"/>
  <c r="CE7" i="39"/>
  <c r="CH193" i="39"/>
  <c r="CJ193" i="39" s="1"/>
  <c r="CK193" i="39" s="1"/>
  <c r="CD117" i="39"/>
  <c r="CD146" i="39"/>
  <c r="BR148" i="39"/>
  <c r="BR93" i="39"/>
  <c r="CD61" i="39"/>
  <c r="CE141" i="39"/>
  <c r="CD205" i="39"/>
  <c r="CD147" i="39"/>
  <c r="BR375" i="39"/>
  <c r="BR37" i="39"/>
  <c r="CE121" i="39"/>
  <c r="BR84" i="39"/>
  <c r="CH198" i="39"/>
  <c r="BR200" i="39"/>
  <c r="CE87" i="39"/>
  <c r="CD85" i="39"/>
  <c r="BR5" i="39"/>
  <c r="CJ373" i="39"/>
  <c r="CK373" i="39" s="1"/>
  <c r="CE373" i="39"/>
  <c r="BR95" i="39"/>
  <c r="CD95" i="39"/>
  <c r="CB148" i="39"/>
  <c r="CB93" i="39"/>
  <c r="BR141" i="39"/>
  <c r="BR57" i="39"/>
  <c r="CD57" i="39"/>
  <c r="CJ56" i="39"/>
  <c r="CK56" i="39" s="1"/>
  <c r="BR62" i="39"/>
  <c r="CE218" i="39"/>
  <c r="BR217" i="39"/>
  <c r="BR117" i="39"/>
  <c r="CH11" i="39"/>
  <c r="CE372" i="39"/>
  <c r="CD10" i="39"/>
  <c r="CD200" i="39"/>
  <c r="CD62" i="39"/>
  <c r="CD120" i="39"/>
  <c r="CD80" i="39"/>
  <c r="CD197" i="39"/>
  <c r="CE197" i="39"/>
  <c r="CB201" i="39"/>
  <c r="CD368" i="39"/>
  <c r="CF368" i="39" s="1"/>
  <c r="CB89" i="39"/>
  <c r="BR193" i="39"/>
  <c r="CH148" i="39"/>
  <c r="CE93" i="39"/>
  <c r="BR94" i="39"/>
  <c r="BR99" i="39"/>
  <c r="BR58" i="39"/>
  <c r="CE62" i="39"/>
  <c r="BR115" i="39"/>
  <c r="BR114" i="39"/>
  <c r="CJ120" i="39"/>
  <c r="CK120" i="39" s="1"/>
  <c r="CE120" i="39"/>
  <c r="CH16" i="39"/>
  <c r="CJ16" i="39" s="1"/>
  <c r="CK16" i="39" s="1"/>
  <c r="CB375" i="39"/>
  <c r="CD369" i="39"/>
  <c r="CE369" i="39"/>
  <c r="BR9" i="39"/>
  <c r="BR133" i="39"/>
  <c r="CE151" i="39"/>
  <c r="CE84" i="39"/>
  <c r="CD69" i="39"/>
  <c r="CD201" i="39"/>
  <c r="CD89" i="39"/>
  <c r="CD193" i="39"/>
  <c r="CF193" i="39" s="1"/>
  <c r="BR100" i="39"/>
  <c r="CD58" i="39"/>
  <c r="CF58" i="39" s="1"/>
  <c r="CH68" i="39"/>
  <c r="CJ68" i="39" s="1"/>
  <c r="CK68" i="39" s="1"/>
  <c r="BR378" i="39"/>
  <c r="BR134" i="39"/>
  <c r="CD174" i="39"/>
  <c r="BR101" i="39"/>
  <c r="CE103" i="39"/>
  <c r="BR180" i="39"/>
  <c r="CE69" i="39"/>
  <c r="CH196" i="39"/>
  <c r="CJ196" i="39" s="1"/>
  <c r="CK196" i="39" s="1"/>
  <c r="BR82" i="39"/>
  <c r="CD82" i="39"/>
  <c r="CE201" i="39"/>
  <c r="BR88" i="39"/>
  <c r="CE89" i="39"/>
  <c r="BR90" i="39"/>
  <c r="CD126" i="39"/>
  <c r="CD142" i="39"/>
  <c r="CD100" i="39"/>
  <c r="CB188" i="39"/>
  <c r="CD115" i="39"/>
  <c r="CH116" i="39"/>
  <c r="CB374" i="39"/>
  <c r="CJ114" i="39"/>
  <c r="CK114" i="39" s="1"/>
  <c r="CE173" i="39"/>
  <c r="BR71" i="39"/>
  <c r="CD76" i="39"/>
  <c r="CD378" i="39"/>
  <c r="CF378" i="39" s="1"/>
  <c r="CD12" i="39"/>
  <c r="CD134" i="39"/>
  <c r="CD133" i="39"/>
  <c r="CD38" i="39"/>
  <c r="CD37" i="39"/>
  <c r="CD148" i="39"/>
  <c r="CD93" i="39"/>
  <c r="CE190" i="39"/>
  <c r="CD101" i="39"/>
  <c r="BR198" i="39"/>
  <c r="CE82" i="39"/>
  <c r="BR87" i="39"/>
  <c r="BR72" i="39"/>
  <c r="BR96" i="39"/>
  <c r="CE147" i="39"/>
  <c r="CE142" i="39"/>
  <c r="CE100" i="39"/>
  <c r="BR187" i="39"/>
  <c r="CJ115" i="39"/>
  <c r="CK115" i="39" s="1"/>
  <c r="CE115" i="39"/>
  <c r="CD71" i="39"/>
  <c r="CE76" i="39"/>
  <c r="CE134" i="39"/>
  <c r="CJ133" i="39"/>
  <c r="CK133" i="39" s="1"/>
  <c r="CE133" i="39"/>
  <c r="CB121" i="39"/>
  <c r="CD83" i="39"/>
  <c r="CE180" i="39"/>
  <c r="CD96" i="39"/>
  <c r="CE94" i="39"/>
  <c r="CD81" i="39"/>
  <c r="CE71" i="39"/>
  <c r="CE15" i="39"/>
  <c r="CH378" i="39"/>
  <c r="CJ378" i="39" s="1"/>
  <c r="CK378" i="39" s="1"/>
  <c r="CB59" i="39"/>
  <c r="CE10" i="39"/>
  <c r="CD121" i="39"/>
  <c r="CE86" i="39"/>
  <c r="CH72" i="39"/>
  <c r="CE96" i="39"/>
  <c r="BR92" i="39"/>
  <c r="CH187" i="39"/>
  <c r="CJ187" i="39" s="1"/>
  <c r="CK187" i="39" s="1"/>
  <c r="CE374" i="39"/>
  <c r="CH81" i="39"/>
  <c r="CD150" i="39"/>
  <c r="CF150" i="39" s="1"/>
  <c r="BR174" i="39"/>
  <c r="BR120" i="39"/>
  <c r="CD372" i="39"/>
  <c r="BR10" i="39"/>
  <c r="BK144" i="39"/>
  <c r="BJ144" i="39"/>
  <c r="BI144" i="39"/>
  <c r="BK101" i="39"/>
  <c r="BJ101" i="39"/>
  <c r="BI101" i="39"/>
  <c r="AK101" i="39" s="1"/>
  <c r="BJ103" i="39"/>
  <c r="BK103" i="39"/>
  <c r="BI103" i="39"/>
  <c r="AK103" i="39" s="1"/>
  <c r="BK151" i="39"/>
  <c r="BJ151" i="39"/>
  <c r="BI151" i="39"/>
  <c r="BK83" i="39"/>
  <c r="BJ83" i="39"/>
  <c r="BI83" i="39"/>
  <c r="AK83" i="39" s="1"/>
  <c r="BK69" i="39"/>
  <c r="BJ69" i="39"/>
  <c r="BI69" i="39"/>
  <c r="BK196" i="39"/>
  <c r="BI196" i="39"/>
  <c r="BK80" i="39"/>
  <c r="BJ80" i="39"/>
  <c r="BI80" i="39"/>
  <c r="BK82" i="39"/>
  <c r="BJ82" i="39"/>
  <c r="BK199" i="39"/>
  <c r="BJ199" i="39"/>
  <c r="BI199" i="39"/>
  <c r="AK199" i="39" s="1"/>
  <c r="BK91" i="39"/>
  <c r="BJ91" i="39"/>
  <c r="BI91" i="39"/>
  <c r="AK91" i="39" s="1"/>
  <c r="BK200" i="39"/>
  <c r="BJ200" i="39"/>
  <c r="BI200" i="39"/>
  <c r="AK200" i="39" s="1"/>
  <c r="BJ87" i="39"/>
  <c r="BK87" i="39"/>
  <c r="BI87" i="39"/>
  <c r="AK87" i="39" s="1"/>
  <c r="BK86" i="39"/>
  <c r="BJ86" i="39"/>
  <c r="BI86" i="39"/>
  <c r="AK86" i="39" s="1"/>
  <c r="BK368" i="39"/>
  <c r="BJ368" i="39"/>
  <c r="BI368" i="39"/>
  <c r="BK88" i="39"/>
  <c r="BJ88" i="39"/>
  <c r="BI88" i="39"/>
  <c r="AK88" i="39" s="1"/>
  <c r="BK89" i="39"/>
  <c r="BJ89" i="39"/>
  <c r="BI89" i="39"/>
  <c r="AK89" i="39" s="1"/>
  <c r="BK85" i="39"/>
  <c r="BJ85" i="39"/>
  <c r="BI85" i="39"/>
  <c r="AK85" i="39" s="1"/>
  <c r="BK126" i="39"/>
  <c r="BJ126" i="39"/>
  <c r="BI126" i="39"/>
  <c r="AK126" i="39" s="1"/>
  <c r="BK6" i="39"/>
  <c r="BJ6" i="39"/>
  <c r="BI6" i="39"/>
  <c r="AK6" i="39" s="1"/>
  <c r="BI127" i="39"/>
  <c r="AK127" i="39" s="1"/>
  <c r="BK127" i="39"/>
  <c r="BK72" i="39"/>
  <c r="BJ72" i="39"/>
  <c r="BI72" i="39"/>
  <c r="AK72" i="39" s="1"/>
  <c r="BK193" i="39"/>
  <c r="BJ193" i="39"/>
  <c r="BI193" i="39"/>
  <c r="BK146" i="39"/>
  <c r="BJ146" i="39"/>
  <c r="BI146" i="39"/>
  <c r="AK146" i="39" s="1"/>
  <c r="BK148" i="39"/>
  <c r="BJ148" i="39"/>
  <c r="BI148" i="39"/>
  <c r="BK96" i="39"/>
  <c r="BJ96" i="39"/>
  <c r="BI96" i="39"/>
  <c r="AK96" i="39" s="1"/>
  <c r="BK147" i="39"/>
  <c r="BJ147" i="39"/>
  <c r="BI147" i="39"/>
  <c r="AK147" i="39" s="1"/>
  <c r="BK145" i="39"/>
  <c r="BJ145" i="39"/>
  <c r="BI145" i="39"/>
  <c r="BK92" i="39"/>
  <c r="BI92" i="39"/>
  <c r="AK92" i="39" s="1"/>
  <c r="BK142" i="39"/>
  <c r="BJ142" i="39"/>
  <c r="BI142" i="39"/>
  <c r="BK100" i="39"/>
  <c r="BI100" i="39"/>
  <c r="AK100" i="39" s="1"/>
  <c r="BI187" i="39"/>
  <c r="BK187" i="39"/>
  <c r="BJ187" i="39"/>
  <c r="BK58" i="39"/>
  <c r="BJ58" i="39"/>
  <c r="BI58" i="39"/>
  <c r="BK56" i="39"/>
  <c r="BJ56" i="39"/>
  <c r="BI56" i="39"/>
  <c r="BK188" i="39"/>
  <c r="BJ188" i="39"/>
  <c r="BI188" i="39"/>
  <c r="AK188" i="39" s="1"/>
  <c r="BK62" i="39"/>
  <c r="BJ62" i="39"/>
  <c r="BI62" i="39"/>
  <c r="BK218" i="39"/>
  <c r="BJ218" i="39"/>
  <c r="BI218" i="39"/>
  <c r="BK116" i="39"/>
  <c r="BJ116" i="39"/>
  <c r="BI116" i="39"/>
  <c r="AK116" i="39" s="1"/>
  <c r="BK217" i="39"/>
  <c r="BI217" i="39"/>
  <c r="BI212" i="39"/>
  <c r="BK212" i="39"/>
  <c r="BJ212" i="39"/>
  <c r="BK81" i="39"/>
  <c r="BI81" i="39"/>
  <c r="BI68" i="39"/>
  <c r="BK68" i="39"/>
  <c r="BJ68" i="39"/>
  <c r="BK150" i="39"/>
  <c r="BJ150" i="39"/>
  <c r="BI150" i="39"/>
  <c r="BK70" i="39"/>
  <c r="BJ70" i="39"/>
  <c r="BI70" i="39"/>
  <c r="BK174" i="39"/>
  <c r="BJ174" i="39"/>
  <c r="BI174" i="39"/>
  <c r="BK71" i="39"/>
  <c r="BJ71" i="39"/>
  <c r="BI71" i="39"/>
  <c r="BJ15" i="39"/>
  <c r="BK15" i="39"/>
  <c r="BI15" i="39"/>
  <c r="AK15" i="39" s="1"/>
  <c r="BK16" i="39"/>
  <c r="BJ16" i="39"/>
  <c r="BI16" i="39"/>
  <c r="BK125" i="39"/>
  <c r="BI125" i="39"/>
  <c r="AK125" i="39" s="1"/>
  <c r="BI76" i="39"/>
  <c r="BK76" i="39"/>
  <c r="BJ76" i="39"/>
  <c r="BK378" i="39"/>
  <c r="BI378" i="39"/>
  <c r="BK11" i="39"/>
  <c r="BJ11" i="39"/>
  <c r="BK134" i="39"/>
  <c r="BJ134" i="39"/>
  <c r="BI134" i="39"/>
  <c r="AK134" i="39" s="1"/>
  <c r="BK135" i="39"/>
  <c r="BJ135" i="39"/>
  <c r="BI135" i="39"/>
  <c r="BK9" i="39"/>
  <c r="BJ9" i="39"/>
  <c r="BI9" i="39"/>
  <c r="BK10" i="39"/>
  <c r="BJ10" i="39"/>
  <c r="BI10" i="39"/>
  <c r="AK10" i="39" s="1"/>
  <c r="BJ190" i="39"/>
  <c r="BK190" i="39"/>
  <c r="BK38" i="39"/>
  <c r="BJ38" i="39"/>
  <c r="BI38" i="39"/>
  <c r="AK38" i="39" s="1"/>
  <c r="BK39" i="39"/>
  <c r="BI39" i="39"/>
  <c r="CD199" i="39"/>
  <c r="BR199" i="39"/>
  <c r="CJ69" i="39"/>
  <c r="CK69" i="39" s="1"/>
  <c r="CJ82" i="39"/>
  <c r="CK82" i="39" s="1"/>
  <c r="BK120" i="39"/>
  <c r="BJ120" i="39"/>
  <c r="BR144" i="39"/>
  <c r="BJ121" i="39"/>
  <c r="BI205" i="39"/>
  <c r="AK205" i="39" s="1"/>
  <c r="CB205" i="39"/>
  <c r="BR91" i="39"/>
  <c r="BJ201" i="39"/>
  <c r="BR85" i="39"/>
  <c r="BK90" i="39"/>
  <c r="BJ90" i="39"/>
  <c r="BI120" i="39"/>
  <c r="CH12" i="39"/>
  <c r="CJ12" i="39" s="1"/>
  <c r="CK12" i="39" s="1"/>
  <c r="CE12" i="39"/>
  <c r="BK121" i="39"/>
  <c r="BR83" i="39"/>
  <c r="BJ205" i="39"/>
  <c r="BI82" i="39"/>
  <c r="CE199" i="39"/>
  <c r="BK201" i="39"/>
  <c r="AK201" i="39" s="1"/>
  <c r="BR368" i="39"/>
  <c r="BI90" i="39"/>
  <c r="AK90" i="39" s="1"/>
  <c r="CE90" i="39"/>
  <c r="BJ127" i="39"/>
  <c r="CD188" i="39"/>
  <c r="BK115" i="39"/>
  <c r="BJ115" i="39"/>
  <c r="CH179" i="39"/>
  <c r="CJ179" i="39" s="1"/>
  <c r="CK179" i="39" s="1"/>
  <c r="CE179" i="39"/>
  <c r="BK149" i="39"/>
  <c r="BJ149" i="39"/>
  <c r="BI149" i="39"/>
  <c r="CH9" i="39"/>
  <c r="CJ9" i="39" s="1"/>
  <c r="CK9" i="39" s="1"/>
  <c r="CE9" i="39"/>
  <c r="CB38" i="39"/>
  <c r="BR38" i="39"/>
  <c r="CD72" i="39"/>
  <c r="CF72" i="39" s="1"/>
  <c r="BZ72" i="39" s="1"/>
  <c r="AY72" i="39" s="1"/>
  <c r="CI72" i="39" s="1"/>
  <c r="BK93" i="39"/>
  <c r="BJ93" i="39"/>
  <c r="BI84" i="39"/>
  <c r="AK84" i="39" s="1"/>
  <c r="CB84" i="39"/>
  <c r="CE205" i="39"/>
  <c r="BR197" i="39"/>
  <c r="CB146" i="39"/>
  <c r="BR146" i="39"/>
  <c r="BI93" i="39"/>
  <c r="AK93" i="39" s="1"/>
  <c r="CB70" i="39"/>
  <c r="BR70" i="39"/>
  <c r="BR151" i="39"/>
  <c r="BJ84" i="39"/>
  <c r="CB80" i="39"/>
  <c r="BR86" i="39"/>
  <c r="CB88" i="39"/>
  <c r="CH99" i="39"/>
  <c r="CE99" i="39"/>
  <c r="CD145" i="39"/>
  <c r="BK117" i="39"/>
  <c r="BJ117" i="39"/>
  <c r="BI117" i="39"/>
  <c r="AK117" i="39" s="1"/>
  <c r="BI7" i="39"/>
  <c r="AK7" i="39" s="1"/>
  <c r="BR127" i="39"/>
  <c r="CB127" i="39"/>
  <c r="CH146" i="39"/>
  <c r="CE146" i="39"/>
  <c r="BK61" i="39"/>
  <c r="BJ61" i="39"/>
  <c r="BI61" i="39"/>
  <c r="CB56" i="39"/>
  <c r="BR56" i="39"/>
  <c r="CB16" i="39"/>
  <c r="BR16" i="39"/>
  <c r="BI180" i="39"/>
  <c r="AK180" i="39" s="1"/>
  <c r="BJ180" i="39"/>
  <c r="BI198" i="39"/>
  <c r="AK198" i="39" s="1"/>
  <c r="CE80" i="39"/>
  <c r="CE88" i="39"/>
  <c r="BK7" i="39"/>
  <c r="CH174" i="39"/>
  <c r="CJ174" i="39" s="1"/>
  <c r="CK174" i="39" s="1"/>
  <c r="CE174" i="39"/>
  <c r="CJ375" i="39"/>
  <c r="CK375" i="39" s="1"/>
  <c r="CE101" i="39"/>
  <c r="BJ198" i="39"/>
  <c r="CE200" i="39"/>
  <c r="BK5" i="39"/>
  <c r="BJ5" i="39"/>
  <c r="CD5" i="39"/>
  <c r="CF5" i="39" s="1"/>
  <c r="CJ149" i="39"/>
  <c r="CK149" i="39" s="1"/>
  <c r="CD9" i="39"/>
  <c r="BK133" i="39"/>
  <c r="BJ133" i="39"/>
  <c r="CH127" i="39"/>
  <c r="CE127" i="39"/>
  <c r="CJ62" i="39"/>
  <c r="CK62" i="39" s="1"/>
  <c r="BK59" i="39"/>
  <c r="BJ59" i="39"/>
  <c r="BI59" i="39"/>
  <c r="CB147" i="39"/>
  <c r="BR147" i="39"/>
  <c r="CH188" i="39"/>
  <c r="CE188" i="39"/>
  <c r="CB116" i="39"/>
  <c r="BR116" i="39"/>
  <c r="CE144" i="39"/>
  <c r="BJ196" i="39"/>
  <c r="BI197" i="39"/>
  <c r="AK197" i="39" s="1"/>
  <c r="CE91" i="39"/>
  <c r="BR7" i="39"/>
  <c r="CB126" i="39"/>
  <c r="BR6" i="39"/>
  <c r="CJ374" i="39"/>
  <c r="CK374" i="39" s="1"/>
  <c r="CD39" i="39"/>
  <c r="BJ197" i="39"/>
  <c r="BK373" i="39"/>
  <c r="BJ373" i="39"/>
  <c r="BI373" i="39"/>
  <c r="BK95" i="39"/>
  <c r="BJ95" i="39"/>
  <c r="BI95" i="39"/>
  <c r="AK95" i="39" s="1"/>
  <c r="CB145" i="39"/>
  <c r="BR145" i="39"/>
  <c r="CJ218" i="39"/>
  <c r="CK218" i="39" s="1"/>
  <c r="CJ217" i="39"/>
  <c r="CK217" i="39" s="1"/>
  <c r="CB135" i="39"/>
  <c r="BR135" i="39"/>
  <c r="CB61" i="39"/>
  <c r="CB117" i="39"/>
  <c r="CB149" i="39"/>
  <c r="BI11" i="39"/>
  <c r="AK11" i="39" s="1"/>
  <c r="BI94" i="39"/>
  <c r="AK94" i="39" s="1"/>
  <c r="CE61" i="39"/>
  <c r="CD187" i="39"/>
  <c r="CF187" i="39" s="1"/>
  <c r="BI374" i="39"/>
  <c r="CE117" i="39"/>
  <c r="CD68" i="39"/>
  <c r="CF68" i="39" s="1"/>
  <c r="BI375" i="39"/>
  <c r="CE149" i="39"/>
  <c r="CD11" i="39"/>
  <c r="CF11" i="39" s="1"/>
  <c r="BZ11" i="39" s="1"/>
  <c r="AY11" i="39" s="1"/>
  <c r="CI11" i="39" s="1"/>
  <c r="BR372" i="39"/>
  <c r="BI37" i="39"/>
  <c r="AK37" i="39" s="1"/>
  <c r="CB37" i="39"/>
  <c r="CE59" i="39"/>
  <c r="BJ94" i="39"/>
  <c r="BI99" i="39"/>
  <c r="AK99" i="39" s="1"/>
  <c r="CB99" i="39"/>
  <c r="BR218" i="39"/>
  <c r="BJ374" i="39"/>
  <c r="BI179" i="39"/>
  <c r="CB179" i="39"/>
  <c r="BR15" i="39"/>
  <c r="BJ375" i="39"/>
  <c r="BI12" i="39"/>
  <c r="CB12" i="39"/>
  <c r="BR190" i="39"/>
  <c r="BJ37" i="39"/>
  <c r="BR142" i="39"/>
  <c r="BJ99" i="39"/>
  <c r="BR212" i="39"/>
  <c r="BJ179" i="39"/>
  <c r="BR76" i="39"/>
  <c r="BJ12" i="39"/>
  <c r="BJ92" i="39"/>
  <c r="BI141" i="39"/>
  <c r="AK141" i="39" s="1"/>
  <c r="BJ217" i="39"/>
  <c r="BI114" i="39"/>
  <c r="BJ125" i="39"/>
  <c r="BI369" i="39"/>
  <c r="BJ39" i="39"/>
  <c r="BJ141" i="39"/>
  <c r="BJ114" i="39"/>
  <c r="BJ369" i="39"/>
  <c r="CE92" i="39"/>
  <c r="CE217" i="39"/>
  <c r="CE125" i="39"/>
  <c r="CE39" i="39"/>
  <c r="BJ100" i="39"/>
  <c r="BI57" i="39"/>
  <c r="AK57" i="39" s="1"/>
  <c r="CE56" i="39"/>
  <c r="BJ81" i="39"/>
  <c r="BI173" i="39"/>
  <c r="AK173" i="39" s="1"/>
  <c r="CE70" i="39"/>
  <c r="BJ378" i="39"/>
  <c r="BI372" i="39"/>
  <c r="CE135" i="39"/>
  <c r="BJ57" i="39"/>
  <c r="BJ173" i="39"/>
  <c r="BJ372" i="39"/>
  <c r="BI190" i="39"/>
  <c r="CT143" i="39"/>
  <c r="AX143" i="39" s="1"/>
  <c r="CT171" i="39"/>
  <c r="AX171" i="39" s="1"/>
  <c r="CT60" i="39"/>
  <c r="AX60" i="39" s="1"/>
  <c r="CT172" i="39"/>
  <c r="AX172" i="39" s="1"/>
  <c r="CT169" i="39"/>
  <c r="AX169" i="39" s="1"/>
  <c r="CT170" i="39"/>
  <c r="AX170" i="39" s="1"/>
  <c r="CT182" i="39"/>
  <c r="AX182" i="39" s="1"/>
  <c r="CT181" i="39"/>
  <c r="AX181" i="39" s="1"/>
  <c r="CT104" i="39"/>
  <c r="AX104" i="39" s="1"/>
  <c r="CT106" i="39"/>
  <c r="AX106" i="39" s="1"/>
  <c r="CT213" i="39"/>
  <c r="AX213" i="39" s="1"/>
  <c r="CT215" i="39"/>
  <c r="AX215" i="39" s="1"/>
  <c r="CT214" i="39"/>
  <c r="AX214" i="39" s="1"/>
  <c r="CT105" i="39"/>
  <c r="AX105" i="39" s="1"/>
  <c r="CT107" i="39"/>
  <c r="AX107" i="39" s="1"/>
  <c r="CT4" i="39"/>
  <c r="AX4" i="39" s="1"/>
  <c r="CT2" i="39"/>
  <c r="AX2" i="39" s="1"/>
  <c r="CT153" i="39"/>
  <c r="AX153" i="39" s="1"/>
  <c r="CT3" i="39"/>
  <c r="AX3" i="39" s="1"/>
  <c r="CT154" i="39"/>
  <c r="AX154" i="39" s="1"/>
  <c r="CT122" i="39"/>
  <c r="AX122" i="39" s="1"/>
  <c r="CT111" i="39"/>
  <c r="AX111" i="39" s="1"/>
  <c r="CT139" i="39"/>
  <c r="AX139" i="39" s="1"/>
  <c r="CT109" i="39"/>
  <c r="AX109" i="39" s="1"/>
  <c r="CT136" i="39"/>
  <c r="AX136" i="39" s="1"/>
  <c r="CT138" i="39"/>
  <c r="AX138" i="39" s="1"/>
  <c r="CT110" i="39"/>
  <c r="AX110" i="39" s="1"/>
  <c r="CT137" i="39"/>
  <c r="AX137" i="39" s="1"/>
  <c r="CT79" i="39"/>
  <c r="AX79" i="39" s="1"/>
  <c r="CT132" i="39"/>
  <c r="AX132" i="39" s="1"/>
  <c r="CT63" i="39"/>
  <c r="AX63" i="39" s="1"/>
  <c r="CT8" i="39"/>
  <c r="AX8" i="39" s="1"/>
  <c r="CT376" i="39"/>
  <c r="AX376" i="39" s="1"/>
  <c r="CT207" i="39"/>
  <c r="AX207" i="39" s="1"/>
  <c r="CT112" i="39"/>
  <c r="AX112" i="39" s="1"/>
  <c r="CT97" i="39"/>
  <c r="AX97" i="39" s="1"/>
  <c r="CT55" i="39"/>
  <c r="AX55" i="39" s="1"/>
  <c r="CT189" i="39"/>
  <c r="AX189" i="39" s="1"/>
  <c r="CT51" i="39"/>
  <c r="AX51" i="39" s="1"/>
  <c r="CT183" i="39"/>
  <c r="AX183" i="39" s="1"/>
  <c r="CT108" i="39"/>
  <c r="AX108" i="39" s="1"/>
  <c r="CT184" i="39"/>
  <c r="AX184" i="39" s="1"/>
  <c r="CT119" i="39"/>
  <c r="AX119" i="39" s="1"/>
  <c r="CT206" i="39"/>
  <c r="AX206" i="39" s="1"/>
  <c r="CT118" i="39"/>
  <c r="AX118" i="39" s="1"/>
  <c r="CT130" i="39"/>
  <c r="AX130" i="39" s="1"/>
  <c r="CT377" i="39"/>
  <c r="AX377" i="39" s="1"/>
  <c r="CT194" i="39"/>
  <c r="AX194" i="39" s="1"/>
  <c r="CT65" i="39"/>
  <c r="AX65" i="39" s="1"/>
  <c r="CT66" i="39"/>
  <c r="AX66" i="39" s="1"/>
  <c r="CT67" i="39"/>
  <c r="AX67" i="39" s="1"/>
  <c r="CT195" i="39"/>
  <c r="AX195" i="39" s="1"/>
  <c r="CT113" i="39"/>
  <c r="AX113" i="39" s="1"/>
  <c r="CT370" i="39"/>
  <c r="AX370" i="39" s="1"/>
  <c r="CT52" i="39"/>
  <c r="AX52" i="39" s="1"/>
  <c r="CT208" i="39"/>
  <c r="AX208" i="39" s="1"/>
  <c r="CT54" i="39"/>
  <c r="AX54" i="39" s="1"/>
  <c r="CT209" i="39"/>
  <c r="AX209" i="39" s="1"/>
  <c r="CT53" i="39"/>
  <c r="AX53" i="39" s="1"/>
  <c r="CT77" i="39"/>
  <c r="AX77" i="39" s="1"/>
  <c r="CT216" i="39"/>
  <c r="AX216" i="39" s="1"/>
  <c r="CT78" i="39"/>
  <c r="AX78" i="39" s="1"/>
  <c r="CT186" i="39"/>
  <c r="AX186" i="39" s="1"/>
  <c r="CT185" i="39"/>
  <c r="AX185" i="39" s="1"/>
  <c r="CT371" i="39"/>
  <c r="AX371" i="39" s="1"/>
  <c r="CT13" i="39"/>
  <c r="AX13" i="39" s="1"/>
  <c r="CT14" i="39"/>
  <c r="AX14" i="39" s="1"/>
  <c r="CT74" i="39"/>
  <c r="AX74" i="39" s="1"/>
  <c r="CT211" i="39"/>
  <c r="AX211" i="39" s="1"/>
  <c r="CT75" i="39"/>
  <c r="AX75" i="39" s="1"/>
  <c r="CT210" i="39"/>
  <c r="AX210" i="39" s="1"/>
  <c r="CT73" i="39"/>
  <c r="AX73" i="39" s="1"/>
  <c r="CT379" i="39"/>
  <c r="AX379" i="39" s="1"/>
  <c r="CT273" i="39"/>
  <c r="AX273" i="39" s="1"/>
  <c r="CT274" i="39"/>
  <c r="AX274" i="39" s="1"/>
  <c r="CT275" i="39"/>
  <c r="AX275" i="39" s="1"/>
  <c r="CT276" i="39"/>
  <c r="AX276" i="39" s="1"/>
  <c r="CT277" i="39"/>
  <c r="AX277" i="39" s="1"/>
  <c r="CT278" i="39"/>
  <c r="AX278" i="39" s="1"/>
  <c r="CT279" i="39"/>
  <c r="AX279" i="39" s="1"/>
  <c r="CT280" i="39"/>
  <c r="AX280" i="39" s="1"/>
  <c r="CT281" i="39"/>
  <c r="AX281" i="39" s="1"/>
  <c r="CT282" i="39"/>
  <c r="AX282" i="39" s="1"/>
  <c r="CT283" i="39"/>
  <c r="AX283" i="39" s="1"/>
  <c r="CT284" i="39"/>
  <c r="AX284" i="39" s="1"/>
  <c r="CT285" i="39"/>
  <c r="AX285" i="39" s="1"/>
  <c r="CT286" i="39"/>
  <c r="AX286" i="39" s="1"/>
  <c r="CT287" i="39"/>
  <c r="AX287" i="39" s="1"/>
  <c r="CT288" i="39"/>
  <c r="AX288" i="39" s="1"/>
  <c r="CT289" i="39"/>
  <c r="AX289" i="39" s="1"/>
  <c r="CT290" i="39"/>
  <c r="AX290" i="39" s="1"/>
  <c r="CT291" i="39"/>
  <c r="AX291" i="39" s="1"/>
  <c r="CT292" i="39"/>
  <c r="AX292" i="39" s="1"/>
  <c r="CT293" i="39"/>
  <c r="AX293" i="39" s="1"/>
  <c r="CT294" i="39"/>
  <c r="AX294" i="39" s="1"/>
  <c r="CT295" i="39"/>
  <c r="AX295" i="39" s="1"/>
  <c r="CT296" i="39"/>
  <c r="AX296" i="39" s="1"/>
  <c r="CT297" i="39"/>
  <c r="AX297" i="39" s="1"/>
  <c r="CT298" i="39"/>
  <c r="AX298" i="39" s="1"/>
  <c r="CT299" i="39"/>
  <c r="AX299" i="39" s="1"/>
  <c r="CT300" i="39"/>
  <c r="AX300" i="39" s="1"/>
  <c r="CT301" i="39"/>
  <c r="AX301" i="39" s="1"/>
  <c r="CT302" i="39"/>
  <c r="AX302" i="39" s="1"/>
  <c r="CT303" i="39"/>
  <c r="AX303" i="39" s="1"/>
  <c r="CT304" i="39"/>
  <c r="AX304" i="39" s="1"/>
  <c r="CT305" i="39"/>
  <c r="AX305" i="39" s="1"/>
  <c r="CT306" i="39"/>
  <c r="AX306" i="39" s="1"/>
  <c r="CT307" i="39"/>
  <c r="AX307" i="39" s="1"/>
  <c r="CT308" i="39"/>
  <c r="AX308" i="39" s="1"/>
  <c r="CT309" i="39"/>
  <c r="AX309" i="39" s="1"/>
  <c r="CT310" i="39"/>
  <c r="AX310" i="39" s="1"/>
  <c r="CT311" i="39"/>
  <c r="AX311" i="39" s="1"/>
  <c r="CT312" i="39"/>
  <c r="AX312" i="39" s="1"/>
  <c r="CT313" i="39"/>
  <c r="AX313" i="39" s="1"/>
  <c r="CT314" i="39"/>
  <c r="AX314" i="39" s="1"/>
  <c r="CT315" i="39"/>
  <c r="AX315" i="39" s="1"/>
  <c r="CT316" i="39"/>
  <c r="AX316" i="39" s="1"/>
  <c r="CT317" i="39"/>
  <c r="AX317" i="39" s="1"/>
  <c r="CT318" i="39"/>
  <c r="AX318" i="39" s="1"/>
  <c r="CT319" i="39"/>
  <c r="AX319" i="39" s="1"/>
  <c r="CT320" i="39"/>
  <c r="AX320" i="39" s="1"/>
  <c r="CT321" i="39"/>
  <c r="AX321" i="39" s="1"/>
  <c r="CT322" i="39"/>
  <c r="AX322" i="39" s="1"/>
  <c r="CT323" i="39"/>
  <c r="AX323" i="39" s="1"/>
  <c r="CT324" i="39"/>
  <c r="AX324" i="39" s="1"/>
  <c r="CT325" i="39"/>
  <c r="AX325" i="39" s="1"/>
  <c r="CT326" i="39"/>
  <c r="AX326" i="39" s="1"/>
  <c r="CT327" i="39"/>
  <c r="AX327" i="39" s="1"/>
  <c r="CT328" i="39"/>
  <c r="AX328" i="39" s="1"/>
  <c r="CT329" i="39"/>
  <c r="AX329" i="39" s="1"/>
  <c r="CT330" i="39"/>
  <c r="AX330" i="39" s="1"/>
  <c r="CT331" i="39"/>
  <c r="AX331" i="39" s="1"/>
  <c r="CT332" i="39"/>
  <c r="AX332" i="39" s="1"/>
  <c r="CT333" i="39"/>
  <c r="AX333" i="39" s="1"/>
  <c r="CT334" i="39"/>
  <c r="AX334" i="39" s="1"/>
  <c r="CT335" i="39"/>
  <c r="AX335" i="39" s="1"/>
  <c r="CT336" i="39"/>
  <c r="AX336" i="39" s="1"/>
  <c r="CT337" i="39"/>
  <c r="AX337" i="39" s="1"/>
  <c r="CT338" i="39"/>
  <c r="AX338" i="39" s="1"/>
  <c r="CT339" i="39"/>
  <c r="AX339" i="39" s="1"/>
  <c r="CT340" i="39"/>
  <c r="AX340" i="39" s="1"/>
  <c r="CT341" i="39"/>
  <c r="AX341" i="39" s="1"/>
  <c r="CT342" i="39"/>
  <c r="AX342" i="39" s="1"/>
  <c r="CT343" i="39"/>
  <c r="AX343" i="39" s="1"/>
  <c r="CT344" i="39"/>
  <c r="AX344" i="39" s="1"/>
  <c r="CT345" i="39"/>
  <c r="AX345" i="39" s="1"/>
  <c r="CT346" i="39"/>
  <c r="AX346" i="39" s="1"/>
  <c r="CT347" i="39"/>
  <c r="AX347" i="39" s="1"/>
  <c r="CT348" i="39"/>
  <c r="AX348" i="39" s="1"/>
  <c r="CT349" i="39"/>
  <c r="AX349" i="39" s="1"/>
  <c r="CT350" i="39"/>
  <c r="AX350" i="39" s="1"/>
  <c r="CT351" i="39"/>
  <c r="AX351" i="39" s="1"/>
  <c r="CT352" i="39"/>
  <c r="AX352" i="39" s="1"/>
  <c r="CT353" i="39"/>
  <c r="AX353" i="39" s="1"/>
  <c r="CT354" i="39"/>
  <c r="AX354" i="39" s="1"/>
  <c r="CT355" i="39"/>
  <c r="AX355" i="39" s="1"/>
  <c r="CT356" i="39"/>
  <c r="AX356" i="39" s="1"/>
  <c r="CT357" i="39"/>
  <c r="AX357" i="39" s="1"/>
  <c r="CT358" i="39"/>
  <c r="AX358" i="39" s="1"/>
  <c r="CT359" i="39"/>
  <c r="AX359" i="39" s="1"/>
  <c r="CT360" i="39"/>
  <c r="AX360" i="39" s="1"/>
  <c r="CT361" i="39"/>
  <c r="AX361" i="39" s="1"/>
  <c r="CT362" i="39"/>
  <c r="AX362" i="39" s="1"/>
  <c r="CT363" i="39"/>
  <c r="AX363" i="39" s="1"/>
  <c r="CT364" i="39"/>
  <c r="AX364" i="39" s="1"/>
  <c r="CT365" i="39"/>
  <c r="AX365" i="39" s="1"/>
  <c r="CT366" i="39"/>
  <c r="AX366" i="39" s="1"/>
  <c r="CT367" i="39"/>
  <c r="AX367" i="39" s="1"/>
  <c r="CT394" i="39"/>
  <c r="AX394" i="39" s="1"/>
  <c r="CT395" i="39"/>
  <c r="AX395" i="39" s="1"/>
  <c r="CT396" i="39"/>
  <c r="CT397" i="39"/>
  <c r="AX397" i="39" s="1"/>
  <c r="CT398" i="39"/>
  <c r="AX398" i="39" s="1"/>
  <c r="CT399" i="39"/>
  <c r="AX399" i="39" s="1"/>
  <c r="CT400" i="39"/>
  <c r="AX400" i="39" s="1"/>
  <c r="CT401" i="39"/>
  <c r="AX401" i="39" s="1"/>
  <c r="CT402" i="39"/>
  <c r="AX402" i="39" s="1"/>
  <c r="CT403" i="39"/>
  <c r="AX403" i="39" s="1"/>
  <c r="CT404" i="39"/>
  <c r="AX404" i="39" s="1"/>
  <c r="CT140" i="39"/>
  <c r="AX140" i="39" s="1"/>
  <c r="CT405" i="39"/>
  <c r="AX405" i="39" s="1"/>
  <c r="CT406" i="39"/>
  <c r="AX406" i="39" s="1"/>
  <c r="CT407" i="39"/>
  <c r="AX407" i="39" s="1"/>
  <c r="CT408" i="39"/>
  <c r="AX408" i="39" s="1"/>
  <c r="CT409" i="39"/>
  <c r="AX409" i="39" s="1"/>
  <c r="CT410" i="39"/>
  <c r="AX410" i="39" s="1"/>
  <c r="CT411" i="39"/>
  <c r="AX411" i="39" s="1"/>
  <c r="CA340" i="39"/>
  <c r="CA339" i="39"/>
  <c r="CA338" i="39"/>
  <c r="CA337" i="39"/>
  <c r="CA336" i="39"/>
  <c r="CA335" i="39"/>
  <c r="CA334" i="39"/>
  <c r="CA333" i="39"/>
  <c r="CA332" i="39"/>
  <c r="CA331" i="39"/>
  <c r="CA330" i="39"/>
  <c r="CA329" i="39"/>
  <c r="CA328" i="39"/>
  <c r="CA327" i="39"/>
  <c r="CA326" i="39"/>
  <c r="CA325" i="39"/>
  <c r="CA324" i="39"/>
  <c r="CA323" i="39"/>
  <c r="CA322" i="39"/>
  <c r="CA321" i="39"/>
  <c r="CA320" i="39"/>
  <c r="CA319" i="39"/>
  <c r="CA318" i="39"/>
  <c r="CA317" i="39"/>
  <c r="CA316" i="39"/>
  <c r="CA315" i="39"/>
  <c r="CA314" i="39"/>
  <c r="CA313" i="39"/>
  <c r="CA312" i="39"/>
  <c r="CA311" i="39"/>
  <c r="CA310" i="39"/>
  <c r="CA309" i="39"/>
  <c r="CA308" i="39"/>
  <c r="CA307" i="39"/>
  <c r="CA306" i="39"/>
  <c r="CA305" i="39"/>
  <c r="CA304" i="39"/>
  <c r="CA303" i="39"/>
  <c r="CA302" i="39"/>
  <c r="CA301" i="39"/>
  <c r="CA300" i="39"/>
  <c r="CA299" i="39"/>
  <c r="CA298" i="39"/>
  <c r="CA297" i="39"/>
  <c r="CA296" i="39"/>
  <c r="CA295" i="39"/>
  <c r="CA294" i="39"/>
  <c r="CA293" i="39"/>
  <c r="CA292" i="39"/>
  <c r="CA291" i="39"/>
  <c r="CA290" i="39"/>
  <c r="CA289" i="39"/>
  <c r="CA288" i="39"/>
  <c r="CA287" i="39"/>
  <c r="CA286" i="39"/>
  <c r="CA285" i="39"/>
  <c r="CA284" i="39"/>
  <c r="CA283" i="39"/>
  <c r="CA282" i="39"/>
  <c r="CA281" i="39"/>
  <c r="CA280" i="39"/>
  <c r="CA279" i="39"/>
  <c r="CA278" i="39"/>
  <c r="CA277" i="39"/>
  <c r="CA276" i="39"/>
  <c r="CA275" i="39"/>
  <c r="CA274" i="39"/>
  <c r="CA273" i="39"/>
  <c r="CA379" i="39"/>
  <c r="CA73" i="39"/>
  <c r="CA210" i="39"/>
  <c r="CA75" i="39"/>
  <c r="CA211" i="39"/>
  <c r="CA74" i="39"/>
  <c r="CA14" i="39"/>
  <c r="CA13" i="39"/>
  <c r="CA371" i="39"/>
  <c r="CA185" i="39"/>
  <c r="CA186" i="39"/>
  <c r="CA78" i="39"/>
  <c r="CA216" i="39"/>
  <c r="CA77" i="39"/>
  <c r="CA53" i="39"/>
  <c r="CA209" i="39"/>
  <c r="CA54" i="39"/>
  <c r="CA208" i="39"/>
  <c r="CA52" i="39"/>
  <c r="CA370" i="39"/>
  <c r="CA113" i="39"/>
  <c r="CA195" i="39"/>
  <c r="CA67" i="39"/>
  <c r="CA66" i="39"/>
  <c r="CA65" i="39"/>
  <c r="CA194" i="39"/>
  <c r="CA377" i="39"/>
  <c r="CA130" i="39"/>
  <c r="CA118" i="39"/>
  <c r="CA206" i="39"/>
  <c r="CA119" i="39"/>
  <c r="CA184" i="39"/>
  <c r="CA108" i="39"/>
  <c r="CA183" i="39"/>
  <c r="CA51" i="39"/>
  <c r="CA189" i="39"/>
  <c r="CA55" i="39"/>
  <c r="CA97" i="39"/>
  <c r="CA112" i="39"/>
  <c r="CA207" i="39"/>
  <c r="CA376" i="39"/>
  <c r="CA8" i="39"/>
  <c r="CA63" i="39"/>
  <c r="CA132" i="39"/>
  <c r="CA79" i="39"/>
  <c r="CA137" i="39"/>
  <c r="CA110" i="39"/>
  <c r="CA138" i="39"/>
  <c r="CA136" i="39"/>
  <c r="CA109" i="39"/>
  <c r="CA139" i="39"/>
  <c r="CA111" i="39"/>
  <c r="CA122" i="39"/>
  <c r="CA154" i="39"/>
  <c r="CA3" i="39"/>
  <c r="CA153" i="39"/>
  <c r="CA2" i="39"/>
  <c r="CA4" i="39"/>
  <c r="CA107" i="39"/>
  <c r="CA105" i="39"/>
  <c r="CA214" i="39"/>
  <c r="CA215" i="39"/>
  <c r="CA213" i="39"/>
  <c r="CA106" i="39"/>
  <c r="CA104" i="39"/>
  <c r="CA181" i="39"/>
  <c r="CA182" i="39"/>
  <c r="CA170" i="39"/>
  <c r="CA169" i="39"/>
  <c r="CA172" i="39"/>
  <c r="CA60" i="39"/>
  <c r="CA171" i="39"/>
  <c r="CA143" i="39"/>
  <c r="CA411" i="39"/>
  <c r="CA410" i="39"/>
  <c r="CA409" i="39"/>
  <c r="CA408" i="39"/>
  <c r="CA407" i="39"/>
  <c r="CA406" i="39"/>
  <c r="CA405" i="39"/>
  <c r="CA140" i="39"/>
  <c r="CA404" i="39"/>
  <c r="CA403" i="39"/>
  <c r="CA402" i="39"/>
  <c r="CA401" i="39"/>
  <c r="CA400" i="39"/>
  <c r="CA399" i="39"/>
  <c r="CA398" i="39"/>
  <c r="CA397" i="39"/>
  <c r="CA396" i="39"/>
  <c r="CA395" i="39"/>
  <c r="CA394" i="39"/>
  <c r="CA367" i="39"/>
  <c r="CA366" i="39"/>
  <c r="CA365" i="39"/>
  <c r="CA364" i="39"/>
  <c r="CA363" i="39"/>
  <c r="CA362" i="39"/>
  <c r="CA361" i="39"/>
  <c r="CA360" i="39"/>
  <c r="CA359" i="39"/>
  <c r="CA358" i="39"/>
  <c r="CA357" i="39"/>
  <c r="CA356" i="39"/>
  <c r="CA355" i="39"/>
  <c r="CA354" i="39"/>
  <c r="CA353" i="39"/>
  <c r="CA352" i="39"/>
  <c r="CA351" i="39"/>
  <c r="CA350" i="39"/>
  <c r="CA349" i="39"/>
  <c r="CA348" i="39"/>
  <c r="CA347" i="39"/>
  <c r="CA346" i="39"/>
  <c r="CA345" i="39"/>
  <c r="CA344" i="39"/>
  <c r="CA343" i="39"/>
  <c r="CA342" i="39"/>
  <c r="CA341" i="39"/>
  <c r="CT383" i="39"/>
  <c r="AX383" i="39" s="1"/>
  <c r="P15" i="40" s="1"/>
  <c r="CT382" i="39"/>
  <c r="AX382" i="39" s="1"/>
  <c r="P14" i="40" s="1"/>
  <c r="CT33" i="39"/>
  <c r="AX33" i="39" s="1"/>
  <c r="P13" i="40" s="1"/>
  <c r="CT381" i="39"/>
  <c r="AX381" i="39" s="1"/>
  <c r="P12" i="40" s="1"/>
  <c r="S35" i="39"/>
  <c r="CT380" i="39"/>
  <c r="AX380" i="39" s="1"/>
  <c r="P10" i="40" s="1"/>
  <c r="S177" i="39"/>
  <c r="CT175" i="39"/>
  <c r="AX175" i="39" s="1"/>
  <c r="P8" i="40" s="1"/>
  <c r="E11" i="40"/>
  <c r="E12" i="40"/>
  <c r="CT32" i="39"/>
  <c r="AX32" i="39" s="1"/>
  <c r="P16" i="40" s="1"/>
  <c r="CJ72" i="39" l="1"/>
  <c r="CK72" i="39" s="1"/>
  <c r="AK81" i="39"/>
  <c r="CJ11" i="39"/>
  <c r="CK11" i="39" s="1"/>
  <c r="AK145" i="39"/>
  <c r="AK142" i="39"/>
  <c r="CJ198" i="39"/>
  <c r="CK198" i="39" s="1"/>
  <c r="AK144" i="39"/>
  <c r="AK148" i="39"/>
  <c r="L250" i="39"/>
  <c r="O250" i="39" s="1"/>
  <c r="S36" i="39"/>
  <c r="CF92" i="39"/>
  <c r="BZ92" i="39" s="1"/>
  <c r="AY92" i="39" s="1"/>
  <c r="CI92" i="39" s="1"/>
  <c r="CJ92" i="39" s="1"/>
  <c r="CK92" i="39" s="1"/>
  <c r="CF196" i="39"/>
  <c r="CF16" i="39"/>
  <c r="CF144" i="39"/>
  <c r="BZ144" i="39" s="1"/>
  <c r="AY144" i="39" s="1"/>
  <c r="CI144" i="39" s="1"/>
  <c r="CJ144" i="39" s="1"/>
  <c r="CK144" i="39" s="1"/>
  <c r="CF81" i="39"/>
  <c r="BZ81" i="39" s="1"/>
  <c r="AY81" i="39" s="1"/>
  <c r="CI81" i="39" s="1"/>
  <c r="CJ81" i="39" s="1"/>
  <c r="CK81" i="39" s="1"/>
  <c r="CF15" i="39"/>
  <c r="BZ15" i="39" s="1"/>
  <c r="AY15" i="39" s="1"/>
  <c r="CI15" i="39" s="1"/>
  <c r="CJ15" i="39" s="1"/>
  <c r="CK15" i="39" s="1"/>
  <c r="CF120" i="39"/>
  <c r="CF103" i="39"/>
  <c r="BZ103" i="39" s="1"/>
  <c r="AY103" i="39" s="1"/>
  <c r="CI103" i="39" s="1"/>
  <c r="CJ103" i="39" s="1"/>
  <c r="CK103" i="39" s="1"/>
  <c r="CF71" i="39"/>
  <c r="CF7" i="39"/>
  <c r="BZ7" i="39" s="1"/>
  <c r="AY7" i="39" s="1"/>
  <c r="CI7" i="39" s="1"/>
  <c r="CJ7" i="39" s="1"/>
  <c r="CK7" i="39" s="1"/>
  <c r="CF114" i="39"/>
  <c r="CF95" i="39"/>
  <c r="BZ95" i="39" s="1"/>
  <c r="AY95" i="39" s="1"/>
  <c r="CI95" i="39" s="1"/>
  <c r="CJ95" i="39" s="1"/>
  <c r="CK95" i="39" s="1"/>
  <c r="CF83" i="39"/>
  <c r="BZ83" i="39" s="1"/>
  <c r="AY83" i="39" s="1"/>
  <c r="CI83" i="39" s="1"/>
  <c r="CJ83" i="39" s="1"/>
  <c r="CK83" i="39" s="1"/>
  <c r="CF151" i="39"/>
  <c r="CF57" i="39"/>
  <c r="BZ57" i="39" s="1"/>
  <c r="AY57" i="39" s="1"/>
  <c r="CI57" i="39" s="1"/>
  <c r="CJ57" i="39" s="1"/>
  <c r="CK57" i="39" s="1"/>
  <c r="CF218" i="39"/>
  <c r="CF94" i="39"/>
  <c r="BZ94" i="39" s="1"/>
  <c r="AY94" i="39" s="1"/>
  <c r="CI94" i="39" s="1"/>
  <c r="CJ94" i="39" s="1"/>
  <c r="CK94" i="39" s="1"/>
  <c r="CF147" i="39"/>
  <c r="BZ147" i="39" s="1"/>
  <c r="AY147" i="39" s="1"/>
  <c r="CI147" i="39" s="1"/>
  <c r="CF126" i="39"/>
  <c r="BZ126" i="39" s="1"/>
  <c r="AY126" i="39" s="1"/>
  <c r="CI126" i="39" s="1"/>
  <c r="CJ126" i="39" s="1"/>
  <c r="CK126" i="39" s="1"/>
  <c r="CF197" i="39"/>
  <c r="BZ197" i="39" s="1"/>
  <c r="AY197" i="39" s="1"/>
  <c r="CI197" i="39" s="1"/>
  <c r="CJ197" i="39" s="1"/>
  <c r="CK197" i="39" s="1"/>
  <c r="CF125" i="39"/>
  <c r="BZ125" i="39" s="1"/>
  <c r="AY125" i="39" s="1"/>
  <c r="CI125" i="39" s="1"/>
  <c r="CJ125" i="39" s="1"/>
  <c r="CK125" i="39" s="1"/>
  <c r="CF59" i="39"/>
  <c r="CF61" i="39"/>
  <c r="CF91" i="39"/>
  <c r="BZ91" i="39" s="1"/>
  <c r="AY91" i="39" s="1"/>
  <c r="CI91" i="39" s="1"/>
  <c r="CJ91" i="39" s="1"/>
  <c r="CK91" i="39" s="1"/>
  <c r="CF90" i="39"/>
  <c r="BZ90" i="39" s="1"/>
  <c r="AY90" i="39" s="1"/>
  <c r="CI90" i="39" s="1"/>
  <c r="CJ90" i="39" s="1"/>
  <c r="CK90" i="39" s="1"/>
  <c r="CF6" i="39"/>
  <c r="BZ6" i="39" s="1"/>
  <c r="AY6" i="39" s="1"/>
  <c r="CI6" i="39" s="1"/>
  <c r="CF217" i="39"/>
  <c r="CF87" i="39"/>
  <c r="BZ87" i="39" s="1"/>
  <c r="AY87" i="39" s="1"/>
  <c r="CI87" i="39" s="1"/>
  <c r="CJ87" i="39" s="1"/>
  <c r="CK87" i="39" s="1"/>
  <c r="CF38" i="39"/>
  <c r="BZ38" i="39" s="1"/>
  <c r="AY38" i="39" s="1"/>
  <c r="CI38" i="39" s="1"/>
  <c r="CF373" i="39"/>
  <c r="CF200" i="39"/>
  <c r="BZ200" i="39" s="1"/>
  <c r="AY200" i="39" s="1"/>
  <c r="CI200" i="39" s="1"/>
  <c r="CJ200" i="39" s="1"/>
  <c r="CK200" i="39" s="1"/>
  <c r="CF12" i="39"/>
  <c r="CF101" i="39"/>
  <c r="BZ101" i="39" s="1"/>
  <c r="AY101" i="39" s="1"/>
  <c r="CI101" i="39" s="1"/>
  <c r="CJ101" i="39" s="1"/>
  <c r="CK101" i="39" s="1"/>
  <c r="CF84" i="39"/>
  <c r="BZ84" i="39" s="1"/>
  <c r="AY84" i="39" s="1"/>
  <c r="CI84" i="39" s="1"/>
  <c r="CJ84" i="39" s="1"/>
  <c r="CK84" i="39" s="1"/>
  <c r="CF180" i="39"/>
  <c r="BZ180" i="39" s="1"/>
  <c r="AY180" i="39" s="1"/>
  <c r="CI180" i="39" s="1"/>
  <c r="CJ180" i="39" s="1"/>
  <c r="CK180" i="39" s="1"/>
  <c r="CF116" i="39"/>
  <c r="BZ116" i="39" s="1"/>
  <c r="AY116" i="39" s="1"/>
  <c r="CI116" i="39" s="1"/>
  <c r="CJ116" i="39" s="1"/>
  <c r="CK116" i="39" s="1"/>
  <c r="CF179" i="39"/>
  <c r="CF173" i="39"/>
  <c r="BZ173" i="39" s="1"/>
  <c r="AY173" i="39" s="1"/>
  <c r="CI173" i="39" s="1"/>
  <c r="CJ173" i="39" s="1"/>
  <c r="CK173" i="39" s="1"/>
  <c r="CF85" i="39"/>
  <c r="BZ85" i="39" s="1"/>
  <c r="AY85" i="39" s="1"/>
  <c r="CI85" i="39" s="1"/>
  <c r="CJ85" i="39" s="1"/>
  <c r="CK85" i="39" s="1"/>
  <c r="CF375" i="39"/>
  <c r="CF190" i="39"/>
  <c r="CF82" i="39"/>
  <c r="CF141" i="39"/>
  <c r="BZ141" i="39" s="1"/>
  <c r="AY141" i="39" s="1"/>
  <c r="CI141" i="39" s="1"/>
  <c r="CJ141" i="39" s="1"/>
  <c r="CK141" i="39" s="1"/>
  <c r="CF117" i="39"/>
  <c r="BZ117" i="39" s="1"/>
  <c r="AY117" i="39" s="1"/>
  <c r="CI117" i="39" s="1"/>
  <c r="CJ117" i="39" s="1"/>
  <c r="CK117" i="39" s="1"/>
  <c r="CF37" i="39"/>
  <c r="BZ37" i="39" s="1"/>
  <c r="AY37" i="39" s="1"/>
  <c r="CI37" i="39" s="1"/>
  <c r="CJ37" i="39" s="1"/>
  <c r="CK37" i="39" s="1"/>
  <c r="CF9" i="39"/>
  <c r="CF86" i="39"/>
  <c r="BZ86" i="39" s="1"/>
  <c r="AY86" i="39" s="1"/>
  <c r="CI86" i="39" s="1"/>
  <c r="CJ86" i="39" s="1"/>
  <c r="CK86" i="39" s="1"/>
  <c r="CF142" i="39"/>
  <c r="BZ142" i="39" s="1"/>
  <c r="AY142" i="39" s="1"/>
  <c r="CI142" i="39" s="1"/>
  <c r="CJ142" i="39" s="1"/>
  <c r="CK142" i="39" s="1"/>
  <c r="CF134" i="39"/>
  <c r="BZ134" i="39" s="1"/>
  <c r="AY134" i="39" s="1"/>
  <c r="CI134" i="39" s="1"/>
  <c r="CJ134" i="39" s="1"/>
  <c r="CK134" i="39" s="1"/>
  <c r="CF174" i="39"/>
  <c r="CF374" i="39"/>
  <c r="CF115" i="39"/>
  <c r="CF76" i="39"/>
  <c r="CF201" i="39"/>
  <c r="BZ201" i="39" s="1"/>
  <c r="AY201" i="39" s="1"/>
  <c r="CI201" i="39" s="1"/>
  <c r="CJ201" i="39" s="1"/>
  <c r="CK201" i="39" s="1"/>
  <c r="BR178" i="39"/>
  <c r="CB178" i="39"/>
  <c r="CF178" i="39" s="1"/>
  <c r="CF99" i="39"/>
  <c r="BZ99" i="39" s="1"/>
  <c r="AY99" i="39" s="1"/>
  <c r="CI99" i="39" s="1"/>
  <c r="CJ99" i="39" s="1"/>
  <c r="CK99" i="39" s="1"/>
  <c r="CF149" i="39"/>
  <c r="CF372" i="39"/>
  <c r="CF121" i="39"/>
  <c r="CF369" i="39"/>
  <c r="CF80" i="39"/>
  <c r="BZ80" i="39" s="1"/>
  <c r="AY80" i="39" s="1"/>
  <c r="CI80" i="39" s="1"/>
  <c r="CJ80" i="39" s="1"/>
  <c r="CK80" i="39" s="1"/>
  <c r="CF135" i="39"/>
  <c r="CF199" i="39"/>
  <c r="BZ199" i="39" s="1"/>
  <c r="AY199" i="39" s="1"/>
  <c r="CI199" i="39" s="1"/>
  <c r="CJ199" i="39" s="1"/>
  <c r="CK199" i="39" s="1"/>
  <c r="CF69" i="39"/>
  <c r="CF96" i="39"/>
  <c r="BZ96" i="39" s="1"/>
  <c r="AY96" i="39" s="1"/>
  <c r="CI96" i="39" s="1"/>
  <c r="CJ96" i="39" s="1"/>
  <c r="CK96" i="39" s="1"/>
  <c r="CF62" i="39"/>
  <c r="CF93" i="39"/>
  <c r="BZ93" i="39" s="1"/>
  <c r="AY93" i="39" s="1"/>
  <c r="CI93" i="39" s="1"/>
  <c r="CJ93" i="39" s="1"/>
  <c r="CK93" i="39" s="1"/>
  <c r="CF133" i="39"/>
  <c r="BZ133" i="39" s="1"/>
  <c r="CF10" i="39"/>
  <c r="BZ10" i="39" s="1"/>
  <c r="AY10" i="39" s="1"/>
  <c r="CI10" i="39" s="1"/>
  <c r="CJ10" i="39" s="1"/>
  <c r="CK10" i="39" s="1"/>
  <c r="CF70" i="39"/>
  <c r="CF100" i="39"/>
  <c r="BZ100" i="39" s="1"/>
  <c r="AY100" i="39" s="1"/>
  <c r="CI100" i="39" s="1"/>
  <c r="CF148" i="39"/>
  <c r="BZ148" i="39" s="1"/>
  <c r="AY148" i="39" s="1"/>
  <c r="CI148" i="39" s="1"/>
  <c r="CJ148" i="39" s="1"/>
  <c r="CK148" i="39" s="1"/>
  <c r="CF188" i="39"/>
  <c r="BZ188" i="39" s="1"/>
  <c r="AY188" i="39" s="1"/>
  <c r="CI188" i="39" s="1"/>
  <c r="CJ188" i="39" s="1"/>
  <c r="CK188" i="39" s="1"/>
  <c r="CF39" i="39"/>
  <c r="BZ39" i="39" s="1"/>
  <c r="AY39" i="39" s="1"/>
  <c r="CI39" i="39" s="1"/>
  <c r="CJ39" i="39" s="1"/>
  <c r="CK39" i="39" s="1"/>
  <c r="CF127" i="39"/>
  <c r="BZ127" i="39" s="1"/>
  <c r="AY127" i="39" s="1"/>
  <c r="CI127" i="39" s="1"/>
  <c r="CJ127" i="39" s="1"/>
  <c r="CK127" i="39" s="1"/>
  <c r="CF205" i="39"/>
  <c r="BZ205" i="39" s="1"/>
  <c r="AY205" i="39" s="1"/>
  <c r="CI205" i="39" s="1"/>
  <c r="CJ205" i="39" s="1"/>
  <c r="CK205" i="39" s="1"/>
  <c r="CF89" i="39"/>
  <c r="BZ89" i="39" s="1"/>
  <c r="AY89" i="39" s="1"/>
  <c r="CI89" i="39" s="1"/>
  <c r="CJ89" i="39" s="1"/>
  <c r="CK89" i="39" s="1"/>
  <c r="CF56" i="39"/>
  <c r="CF146" i="39"/>
  <c r="BZ146" i="39" s="1"/>
  <c r="AY146" i="39" s="1"/>
  <c r="CI146" i="39" s="1"/>
  <c r="CJ146" i="39" s="1"/>
  <c r="CK146" i="39" s="1"/>
  <c r="CF88" i="39"/>
  <c r="BZ88" i="39" s="1"/>
  <c r="AY88" i="39" s="1"/>
  <c r="CI88" i="39" s="1"/>
  <c r="CJ88" i="39" s="1"/>
  <c r="CK88" i="39" s="1"/>
  <c r="CF145" i="39"/>
  <c r="BZ145" i="39" s="1"/>
  <c r="AY145" i="39" s="1"/>
  <c r="CI145" i="39" s="1"/>
  <c r="CJ145" i="39" s="1"/>
  <c r="CK145" i="39" s="1"/>
  <c r="S250" i="39"/>
  <c r="CT35" i="39"/>
  <c r="AX35" i="39" s="1"/>
  <c r="P11" i="40" s="1"/>
  <c r="CT177" i="39"/>
  <c r="AX177" i="39" s="1"/>
  <c r="P9" i="40" s="1"/>
  <c r="CT36" i="39"/>
  <c r="AX36" i="39" s="1"/>
  <c r="P7" i="40" s="1"/>
  <c r="CT250" i="39"/>
  <c r="AX250" i="39" s="1"/>
  <c r="CT249" i="39"/>
  <c r="AX249" i="39" s="1"/>
  <c r="Q249" i="39"/>
  <c r="N249" i="39" s="1"/>
  <c r="K250" i="39"/>
  <c r="B250" i="39"/>
  <c r="I276" i="42" s="1"/>
  <c r="A89" i="41" s="1"/>
  <c r="AA89" i="41" s="1"/>
  <c r="P250" i="39"/>
  <c r="P249" i="39"/>
  <c r="S249" i="39"/>
  <c r="K249" i="39"/>
  <c r="G250" i="39"/>
  <c r="J250" i="39" s="1"/>
  <c r="Q250" i="39"/>
  <c r="N250" i="39" s="1"/>
  <c r="K36" i="39"/>
  <c r="K177" i="39"/>
  <c r="K35" i="39"/>
  <c r="S175" i="39"/>
  <c r="S380" i="39"/>
  <c r="P175" i="39"/>
  <c r="P380" i="39"/>
  <c r="P35" i="39"/>
  <c r="P36" i="39"/>
  <c r="P177" i="39"/>
  <c r="K175" i="39"/>
  <c r="K380" i="39"/>
  <c r="G35" i="39"/>
  <c r="BZ178" i="39" l="1"/>
  <c r="N175" i="39"/>
  <c r="H8" i="40"/>
  <c r="N35" i="39"/>
  <c r="H11" i="40"/>
  <c r="N177" i="39"/>
  <c r="H9" i="40"/>
  <c r="N36" i="39"/>
  <c r="H7" i="40"/>
  <c r="N380" i="39"/>
  <c r="H10" i="40"/>
  <c r="M249" i="39"/>
  <c r="M250" i="39"/>
  <c r="M35" i="39"/>
  <c r="M380" i="39"/>
  <c r="M175" i="39"/>
  <c r="M177" i="39"/>
  <c r="M36" i="39"/>
  <c r="CA250" i="39"/>
  <c r="CA35" i="39"/>
  <c r="CR404" i="39"/>
  <c r="A404" i="39" s="1"/>
  <c r="CR403" i="39"/>
  <c r="A403" i="39" s="1"/>
  <c r="CR402" i="39"/>
  <c r="A402" i="39" s="1"/>
  <c r="CR401" i="39"/>
  <c r="A401" i="39" s="1"/>
  <c r="CR400" i="39"/>
  <c r="A400" i="39" s="1"/>
  <c r="CR399" i="39"/>
  <c r="A399" i="39" s="1"/>
  <c r="CR398" i="39"/>
  <c r="A398" i="39" s="1"/>
  <c r="AQ398" i="39" s="1"/>
  <c r="CR397" i="39"/>
  <c r="A397" i="39" s="1"/>
  <c r="CR396" i="39"/>
  <c r="A396" i="39" s="1"/>
  <c r="CR395" i="39"/>
  <c r="A395" i="39" s="1"/>
  <c r="CR411" i="39"/>
  <c r="A411" i="39" s="1"/>
  <c r="CR410" i="39"/>
  <c r="A410" i="39" s="1"/>
  <c r="CR409" i="39"/>
  <c r="A409" i="39" s="1"/>
  <c r="CR408" i="39"/>
  <c r="A408" i="39" s="1"/>
  <c r="CR407" i="39"/>
  <c r="A407" i="39" s="1"/>
  <c r="CR406" i="39"/>
  <c r="A406" i="39" s="1"/>
  <c r="CR405" i="39"/>
  <c r="A405" i="39" s="1"/>
  <c r="CR140" i="39"/>
  <c r="A140" i="39" s="1"/>
  <c r="CR394" i="39"/>
  <c r="A394" i="39" s="1"/>
  <c r="CR367" i="39"/>
  <c r="A367" i="39" s="1"/>
  <c r="CR366" i="39"/>
  <c r="A366" i="39" s="1"/>
  <c r="CR365" i="39"/>
  <c r="A365" i="39" s="1"/>
  <c r="CR364" i="39"/>
  <c r="A364" i="39" s="1"/>
  <c r="CR363" i="39"/>
  <c r="A363" i="39" s="1"/>
  <c r="CR362" i="39"/>
  <c r="A362" i="39" s="1"/>
  <c r="CR361" i="39"/>
  <c r="A361" i="39" s="1"/>
  <c r="CR360" i="39"/>
  <c r="A360" i="39" s="1"/>
  <c r="CR359" i="39"/>
  <c r="A359" i="39" s="1"/>
  <c r="CR358" i="39"/>
  <c r="A358" i="39" s="1"/>
  <c r="CR357" i="39"/>
  <c r="A357" i="39" s="1"/>
  <c r="CR356" i="39"/>
  <c r="A356" i="39" s="1"/>
  <c r="CR355" i="39"/>
  <c r="A355" i="39" s="1"/>
  <c r="CR354" i="39"/>
  <c r="A354" i="39" s="1"/>
  <c r="CR353" i="39"/>
  <c r="A353" i="39" s="1"/>
  <c r="CR352" i="39"/>
  <c r="A352" i="39" s="1"/>
  <c r="CR185" i="39"/>
  <c r="A185" i="39" s="1"/>
  <c r="CR55" i="39"/>
  <c r="A55" i="39" s="1"/>
  <c r="CR316" i="39"/>
  <c r="A316" i="39" s="1"/>
  <c r="CR281" i="39"/>
  <c r="A281" i="39" s="1"/>
  <c r="CR280" i="39"/>
  <c r="A280" i="39" s="1"/>
  <c r="CR214" i="39"/>
  <c r="A214" i="39" s="1"/>
  <c r="CR376" i="39"/>
  <c r="A376" i="39" s="1"/>
  <c r="CR153" i="39"/>
  <c r="A153" i="39" s="1"/>
  <c r="CR2" i="39"/>
  <c r="A2" i="39" s="1"/>
  <c r="CR113" i="39"/>
  <c r="A113" i="39" s="1"/>
  <c r="CR309" i="39"/>
  <c r="A309" i="39" s="1"/>
  <c r="CR318" i="39"/>
  <c r="A318" i="39" s="1"/>
  <c r="CR66" i="39"/>
  <c r="A66" i="39" s="1"/>
  <c r="CR295" i="39"/>
  <c r="A295" i="39" s="1"/>
  <c r="CR329" i="39"/>
  <c r="A329" i="39" s="1"/>
  <c r="CR276" i="39"/>
  <c r="A276" i="39" s="1"/>
  <c r="CR340" i="39"/>
  <c r="A340" i="39" s="1"/>
  <c r="CR52" i="39"/>
  <c r="A52" i="39" s="1"/>
  <c r="CR275" i="39"/>
  <c r="A275" i="39" s="1"/>
  <c r="CR351" i="39"/>
  <c r="A351" i="39" s="1"/>
  <c r="CR207" i="39"/>
  <c r="A207" i="39" s="1"/>
  <c r="CR294" i="39"/>
  <c r="A294" i="39" s="1"/>
  <c r="CR288" i="39"/>
  <c r="A288" i="39" s="1"/>
  <c r="CR4" i="39"/>
  <c r="A4" i="39" s="1"/>
  <c r="CR186" i="39"/>
  <c r="A186" i="39" s="1"/>
  <c r="CR274" i="39"/>
  <c r="A274" i="39" s="1"/>
  <c r="CR273" i="39"/>
  <c r="A273" i="39" s="1"/>
  <c r="CR379" i="39"/>
  <c r="A379" i="39" s="1"/>
  <c r="CR73" i="39"/>
  <c r="A73" i="39" s="1"/>
  <c r="CR78" i="39"/>
  <c r="A78" i="39" s="1"/>
  <c r="CR341" i="39"/>
  <c r="A341" i="39" s="1"/>
  <c r="CR308" i="39"/>
  <c r="A308" i="39" s="1"/>
  <c r="CR297" i="39"/>
  <c r="A297" i="39" s="1"/>
  <c r="CR210" i="39"/>
  <c r="A210" i="39" s="1"/>
  <c r="CR172" i="39"/>
  <c r="A172" i="39" s="1"/>
  <c r="CR290" i="39"/>
  <c r="A290" i="39" s="1"/>
  <c r="CR136" i="39"/>
  <c r="A136" i="39" s="1"/>
  <c r="CR109" i="39"/>
  <c r="A109" i="39" s="1"/>
  <c r="CR279" i="39"/>
  <c r="A279" i="39" s="1"/>
  <c r="CR110" i="39"/>
  <c r="A110" i="39" s="1"/>
  <c r="CR60" i="39"/>
  <c r="A60" i="39" s="1"/>
  <c r="CR343" i="39"/>
  <c r="A343" i="39" s="1"/>
  <c r="CR65" i="39"/>
  <c r="A65" i="39" s="1"/>
  <c r="CR8" i="39"/>
  <c r="A8" i="39" s="1"/>
  <c r="CR53" i="39"/>
  <c r="A53" i="39" s="1"/>
  <c r="CR289" i="39"/>
  <c r="A289" i="39" s="1"/>
  <c r="CR195" i="39"/>
  <c r="A195" i="39" s="1"/>
  <c r="CR106" i="39"/>
  <c r="A106" i="39" s="1"/>
  <c r="CR339" i="39"/>
  <c r="A339" i="39" s="1"/>
  <c r="CR139" i="39"/>
  <c r="A139" i="39" s="1"/>
  <c r="CR310" i="39"/>
  <c r="A310" i="39" s="1"/>
  <c r="CR315" i="39"/>
  <c r="A315" i="39" s="1"/>
  <c r="CR296" i="39"/>
  <c r="A296" i="39" s="1"/>
  <c r="CR138" i="39"/>
  <c r="A138" i="39" s="1"/>
  <c r="CR111" i="39"/>
  <c r="A111" i="39" s="1"/>
  <c r="CR194" i="39"/>
  <c r="A194" i="39" s="1"/>
  <c r="CR338" i="39"/>
  <c r="A338" i="39" s="1"/>
  <c r="CR181" i="39"/>
  <c r="A181" i="39" s="1"/>
  <c r="CR335" i="39"/>
  <c r="A335" i="39" s="1"/>
  <c r="CR278" i="39"/>
  <c r="A278" i="39" s="1"/>
  <c r="CR347" i="39"/>
  <c r="A347" i="39" s="1"/>
  <c r="CR184" i="39"/>
  <c r="A184" i="39" s="1"/>
  <c r="CR74" i="39"/>
  <c r="A74" i="39" s="1"/>
  <c r="CR377" i="39"/>
  <c r="A377" i="39" s="1"/>
  <c r="CR303" i="39"/>
  <c r="A303" i="39" s="1"/>
  <c r="CR301" i="39"/>
  <c r="A301" i="39" s="1"/>
  <c r="CR182" i="39"/>
  <c r="A182" i="39" s="1"/>
  <c r="CR130" i="39"/>
  <c r="A130" i="39" s="1"/>
  <c r="CR350" i="39"/>
  <c r="A350" i="39" s="1"/>
  <c r="CR107" i="39"/>
  <c r="A107" i="39" s="1"/>
  <c r="CR122" i="39"/>
  <c r="A122" i="39" s="1"/>
  <c r="CR336" i="39"/>
  <c r="A336" i="39" s="1"/>
  <c r="CR215" i="39"/>
  <c r="A215" i="39" s="1"/>
  <c r="CR75" i="39"/>
  <c r="A75" i="39" s="1"/>
  <c r="CR370" i="39"/>
  <c r="A370" i="39" s="1"/>
  <c r="CR311" i="39"/>
  <c r="A311" i="39" s="1"/>
  <c r="CR287" i="39"/>
  <c r="A287" i="39" s="1"/>
  <c r="CR328" i="39"/>
  <c r="A328" i="39" s="1"/>
  <c r="CR286" i="39"/>
  <c r="A286" i="39" s="1"/>
  <c r="CR293" i="39"/>
  <c r="A293" i="39" s="1"/>
  <c r="CR346" i="39"/>
  <c r="A346" i="39" s="1"/>
  <c r="CR349" i="39"/>
  <c r="A349" i="39" s="1"/>
  <c r="CR277" i="39"/>
  <c r="A277" i="39" s="1"/>
  <c r="CR14" i="39"/>
  <c r="A14" i="39" s="1"/>
  <c r="CR300" i="39"/>
  <c r="A300" i="39" s="1"/>
  <c r="CR171" i="39"/>
  <c r="A171" i="39" s="1"/>
  <c r="CR143" i="39"/>
  <c r="A143" i="39" s="1"/>
  <c r="CR327" i="39"/>
  <c r="A327" i="39" s="1"/>
  <c r="CR307" i="39"/>
  <c r="A307" i="39" s="1"/>
  <c r="CR299" i="39"/>
  <c r="A299" i="39" s="1"/>
  <c r="CR108" i="39"/>
  <c r="A108" i="39" s="1"/>
  <c r="CR183" i="39"/>
  <c r="A183" i="39" s="1"/>
  <c r="CR326" i="39"/>
  <c r="A326" i="39" s="1"/>
  <c r="CR63" i="39"/>
  <c r="A63" i="39" s="1"/>
  <c r="CR51" i="39"/>
  <c r="A51" i="39" s="1"/>
  <c r="CR13" i="39"/>
  <c r="A13" i="39" s="1"/>
  <c r="CR118" i="39"/>
  <c r="A118" i="39" s="1"/>
  <c r="CR306" i="39"/>
  <c r="A306" i="39" s="1"/>
  <c r="CR216" i="39"/>
  <c r="A216" i="39" s="1"/>
  <c r="CR132" i="39"/>
  <c r="A132" i="39" s="1"/>
  <c r="CR285" i="39"/>
  <c r="A285" i="39" s="1"/>
  <c r="CR97" i="39"/>
  <c r="A97" i="39" s="1"/>
  <c r="CR334" i="39"/>
  <c r="A334" i="39" s="1"/>
  <c r="CR305" i="39"/>
  <c r="A305" i="39" s="1"/>
  <c r="CR324" i="39"/>
  <c r="A324" i="39" s="1"/>
  <c r="CR105" i="39"/>
  <c r="A105" i="39" s="1"/>
  <c r="CR325" i="39"/>
  <c r="A325" i="39" s="1"/>
  <c r="CR342" i="39"/>
  <c r="A342" i="39" s="1"/>
  <c r="CR189" i="39"/>
  <c r="A189" i="39" s="1"/>
  <c r="CR154" i="39"/>
  <c r="A154" i="39" s="1"/>
  <c r="CR337" i="39"/>
  <c r="A337" i="39" s="1"/>
  <c r="CR333" i="39"/>
  <c r="A333" i="39" s="1"/>
  <c r="CR332" i="39"/>
  <c r="A332" i="39" s="1"/>
  <c r="CR331" i="39"/>
  <c r="A331" i="39" s="1"/>
  <c r="CR330" i="39"/>
  <c r="A330" i="39" s="1"/>
  <c r="CR298" i="39"/>
  <c r="A298" i="39" s="1"/>
  <c r="CR112" i="39"/>
  <c r="A112" i="39" s="1"/>
  <c r="CR250" i="39"/>
  <c r="A250" i="39" s="1"/>
  <c r="CR314" i="39"/>
  <c r="A314" i="39" s="1"/>
  <c r="CR77" i="39"/>
  <c r="A77" i="39" s="1"/>
  <c r="CR3" i="39"/>
  <c r="A3" i="39" s="1"/>
  <c r="CR319" i="39"/>
  <c r="A319" i="39" s="1"/>
  <c r="CR67" i="39"/>
  <c r="A67" i="39" s="1"/>
  <c r="CR304" i="39"/>
  <c r="A304" i="39" s="1"/>
  <c r="CR323" i="39"/>
  <c r="A323" i="39" s="1"/>
  <c r="CR284" i="39"/>
  <c r="A284" i="39" s="1"/>
  <c r="CR79" i="39"/>
  <c r="A79" i="39" s="1"/>
  <c r="CR283" i="39"/>
  <c r="A283" i="39" s="1"/>
  <c r="CR137" i="39"/>
  <c r="A137" i="39" s="1"/>
  <c r="CR292" i="39"/>
  <c r="A292" i="39" s="1"/>
  <c r="CR348" i="39"/>
  <c r="A348" i="39" s="1"/>
  <c r="CR371" i="39"/>
  <c r="A371" i="39" s="1"/>
  <c r="CR170" i="39"/>
  <c r="A170" i="39" s="1"/>
  <c r="CR291" i="39"/>
  <c r="A291" i="39" s="1"/>
  <c r="CR313" i="39"/>
  <c r="A313" i="39" s="1"/>
  <c r="CR345" i="39"/>
  <c r="A345" i="39" s="1"/>
  <c r="CR206" i="39"/>
  <c r="A206" i="39" s="1"/>
  <c r="CR211" i="39"/>
  <c r="A211" i="39" s="1"/>
  <c r="CR54" i="39"/>
  <c r="A54" i="39" s="1"/>
  <c r="CR208" i="39"/>
  <c r="A208" i="39" s="1"/>
  <c r="CR169" i="39"/>
  <c r="A169" i="39" s="1"/>
  <c r="CR282" i="39"/>
  <c r="A282" i="39" s="1"/>
  <c r="CR213" i="39"/>
  <c r="A213" i="39" s="1"/>
  <c r="CR321" i="39"/>
  <c r="A321" i="39" s="1"/>
  <c r="CR302" i="39"/>
  <c r="A302" i="39" s="1"/>
  <c r="CR320" i="39"/>
  <c r="A320" i="39" s="1"/>
  <c r="CR104" i="39"/>
  <c r="A104" i="39" s="1"/>
  <c r="CR209" i="39"/>
  <c r="A209" i="39" s="1"/>
  <c r="CR119" i="39"/>
  <c r="A119" i="39" s="1"/>
  <c r="CR312" i="39"/>
  <c r="A312" i="39" s="1"/>
  <c r="CR317" i="39"/>
  <c r="A317" i="39" s="1"/>
  <c r="CR344" i="39"/>
  <c r="A344" i="39" s="1"/>
  <c r="CR322" i="39"/>
  <c r="A322" i="39" s="1"/>
  <c r="AQ322" i="39" s="1"/>
  <c r="AQ399" i="39" l="1"/>
  <c r="AQ408" i="39"/>
  <c r="AQ401" i="39"/>
  <c r="AQ396" i="39"/>
  <c r="AQ407" i="39"/>
  <c r="AQ394" i="39"/>
  <c r="AQ397" i="39"/>
  <c r="AQ406" i="39"/>
  <c r="AQ404" i="39"/>
  <c r="AQ405" i="39"/>
  <c r="AQ403" i="39"/>
  <c r="AQ395" i="39"/>
  <c r="AQ402" i="39"/>
  <c r="AQ411" i="39"/>
  <c r="AQ410" i="39"/>
  <c r="AQ400" i="39"/>
  <c r="AQ409" i="39"/>
  <c r="AQ365" i="39"/>
  <c r="AQ357" i="39"/>
  <c r="AQ316" i="39"/>
  <c r="AQ309" i="39"/>
  <c r="AQ275" i="39"/>
  <c r="AQ273" i="39"/>
  <c r="AQ172" i="39"/>
  <c r="AQ65" i="39"/>
  <c r="AQ310" i="39"/>
  <c r="AQ335" i="39"/>
  <c r="AQ277" i="39"/>
  <c r="AQ216" i="39"/>
  <c r="AQ325" i="39"/>
  <c r="AQ330" i="39"/>
  <c r="AQ67" i="39"/>
  <c r="AQ211" i="39"/>
  <c r="AQ320" i="39"/>
  <c r="AQ364" i="39"/>
  <c r="AQ356" i="39"/>
  <c r="AQ281" i="39"/>
  <c r="AQ318" i="39"/>
  <c r="AQ351" i="39"/>
  <c r="AQ290" i="39"/>
  <c r="AQ8" i="39"/>
  <c r="AQ315" i="39"/>
  <c r="AQ278" i="39"/>
  <c r="AQ311" i="39"/>
  <c r="AQ132" i="39"/>
  <c r="AQ342" i="39"/>
  <c r="AQ298" i="39"/>
  <c r="AQ304" i="39"/>
  <c r="AQ348" i="39"/>
  <c r="AQ54" i="39"/>
  <c r="AQ363" i="39"/>
  <c r="AQ355" i="39"/>
  <c r="AQ280" i="39"/>
  <c r="AQ66" i="39"/>
  <c r="AQ207" i="39"/>
  <c r="AQ73" i="39"/>
  <c r="AQ296" i="39"/>
  <c r="AQ347" i="39"/>
  <c r="AQ350" i="39"/>
  <c r="AQ287" i="39"/>
  <c r="AQ300" i="39"/>
  <c r="AQ326" i="39"/>
  <c r="AQ285" i="39"/>
  <c r="AQ189" i="39"/>
  <c r="AQ112" i="39"/>
  <c r="AQ323" i="39"/>
  <c r="AQ371" i="39"/>
  <c r="AQ208" i="39"/>
  <c r="AQ362" i="39"/>
  <c r="AQ354" i="39"/>
  <c r="AQ295" i="39"/>
  <c r="AQ294" i="39"/>
  <c r="AQ78" i="39"/>
  <c r="AQ289" i="39"/>
  <c r="AQ328" i="39"/>
  <c r="AQ171" i="39"/>
  <c r="AQ97" i="39"/>
  <c r="AQ154" i="39"/>
  <c r="AQ250" i="39"/>
  <c r="AQ284" i="39"/>
  <c r="AQ170" i="39"/>
  <c r="AQ169" i="39"/>
  <c r="AQ119" i="39"/>
  <c r="AQ361" i="39"/>
  <c r="AQ353" i="39"/>
  <c r="AQ376" i="39"/>
  <c r="AQ329" i="39"/>
  <c r="AQ288" i="39"/>
  <c r="AQ341" i="39"/>
  <c r="AQ279" i="39"/>
  <c r="AQ74" i="39"/>
  <c r="AQ122" i="39"/>
  <c r="AQ286" i="39"/>
  <c r="AQ51" i="39"/>
  <c r="AQ334" i="39"/>
  <c r="AQ337" i="39"/>
  <c r="AQ314" i="39"/>
  <c r="AQ79" i="39"/>
  <c r="AQ291" i="39"/>
  <c r="AQ282" i="39"/>
  <c r="AQ312" i="39"/>
  <c r="AQ360" i="39"/>
  <c r="AQ352" i="39"/>
  <c r="AQ153" i="39"/>
  <c r="AQ276" i="39"/>
  <c r="AQ4" i="39"/>
  <c r="AQ308" i="39"/>
  <c r="AQ194" i="39"/>
  <c r="AQ377" i="39"/>
  <c r="AQ336" i="39"/>
  <c r="AQ293" i="39"/>
  <c r="AQ327" i="39"/>
  <c r="AQ13" i="39"/>
  <c r="AQ305" i="39"/>
  <c r="AQ333" i="39"/>
  <c r="AQ77" i="39"/>
  <c r="AQ283" i="39"/>
  <c r="AQ313" i="39"/>
  <c r="AQ213" i="39"/>
  <c r="AQ317" i="39"/>
  <c r="AQ367" i="39"/>
  <c r="AQ359" i="39"/>
  <c r="AQ340" i="39"/>
  <c r="AQ186" i="39"/>
  <c r="AQ297" i="39"/>
  <c r="AQ60" i="39"/>
  <c r="AQ339" i="39"/>
  <c r="AQ338" i="39"/>
  <c r="AQ303" i="39"/>
  <c r="AQ346" i="39"/>
  <c r="AQ307" i="39"/>
  <c r="AQ118" i="39"/>
  <c r="AQ324" i="39"/>
  <c r="AQ332" i="39"/>
  <c r="AQ3" i="39"/>
  <c r="AQ345" i="39"/>
  <c r="AQ321" i="39"/>
  <c r="AQ344" i="39"/>
  <c r="AQ366" i="39"/>
  <c r="AQ358" i="39"/>
  <c r="AQ55" i="39"/>
  <c r="AQ52" i="39"/>
  <c r="AQ274" i="39"/>
  <c r="AQ210" i="39"/>
  <c r="AQ343" i="39"/>
  <c r="AQ301" i="39"/>
  <c r="AQ75" i="39"/>
  <c r="AQ349" i="39"/>
  <c r="AQ299" i="39"/>
  <c r="AQ306" i="39"/>
  <c r="AQ331" i="39"/>
  <c r="AQ319" i="39"/>
  <c r="AQ292" i="39"/>
  <c r="AQ206" i="39"/>
  <c r="AQ302" i="39"/>
  <c r="CP404" i="39"/>
  <c r="CP403" i="39"/>
  <c r="CP402" i="39"/>
  <c r="CP401" i="39"/>
  <c r="CP400" i="39"/>
  <c r="CP399" i="39"/>
  <c r="CP398" i="39"/>
  <c r="CP397" i="39"/>
  <c r="CP396" i="39"/>
  <c r="CP395" i="39"/>
  <c r="CP411" i="39"/>
  <c r="CP410" i="39"/>
  <c r="CP409" i="39"/>
  <c r="CP408" i="39"/>
  <c r="CP407" i="39"/>
  <c r="CP406" i="39"/>
  <c r="CP405" i="39"/>
  <c r="CP140" i="39"/>
  <c r="CP394" i="39"/>
  <c r="CP367" i="39"/>
  <c r="CP366" i="39"/>
  <c r="CP365" i="39"/>
  <c r="CP364" i="39"/>
  <c r="CP363" i="39"/>
  <c r="CP362" i="39"/>
  <c r="CP361" i="39"/>
  <c r="CP360" i="39"/>
  <c r="CP359" i="39"/>
  <c r="CP358" i="39"/>
  <c r="CP357" i="39"/>
  <c r="CP356" i="39"/>
  <c r="CP355" i="39"/>
  <c r="CP354" i="39"/>
  <c r="CP353" i="39"/>
  <c r="CP352" i="39"/>
  <c r="CP185" i="39"/>
  <c r="CP55" i="39"/>
  <c r="CP316" i="39"/>
  <c r="CP281" i="39"/>
  <c r="CP280" i="39"/>
  <c r="CP214" i="39"/>
  <c r="CP376" i="39"/>
  <c r="CP153" i="39"/>
  <c r="CP2" i="39"/>
  <c r="CP113" i="39"/>
  <c r="CP309" i="39"/>
  <c r="CP318" i="39"/>
  <c r="CP66" i="39"/>
  <c r="CP295" i="39"/>
  <c r="CP329" i="39"/>
  <c r="CP276" i="39"/>
  <c r="CP340" i="39"/>
  <c r="CP52" i="39"/>
  <c r="CP275" i="39"/>
  <c r="CP351" i="39"/>
  <c r="CP207" i="39"/>
  <c r="CP294" i="39"/>
  <c r="CP288" i="39"/>
  <c r="CP4" i="39"/>
  <c r="CP186" i="39"/>
  <c r="CP274" i="39"/>
  <c r="CP273" i="39"/>
  <c r="CP379" i="39"/>
  <c r="CP73" i="39"/>
  <c r="CP78" i="39"/>
  <c r="CP341" i="39"/>
  <c r="CP308" i="39"/>
  <c r="CP297" i="39"/>
  <c r="CP210" i="39"/>
  <c r="CP172" i="39"/>
  <c r="CP290" i="39"/>
  <c r="CP136" i="39"/>
  <c r="CP109" i="39"/>
  <c r="CP279" i="39"/>
  <c r="CP110" i="39"/>
  <c r="CP60" i="39"/>
  <c r="CP343" i="39"/>
  <c r="CP65" i="39"/>
  <c r="CP8" i="39"/>
  <c r="CP53" i="39"/>
  <c r="CP289" i="39"/>
  <c r="CP195" i="39"/>
  <c r="CP106" i="39"/>
  <c r="CP339" i="39"/>
  <c r="CP139" i="39"/>
  <c r="CP310" i="39"/>
  <c r="CP315" i="39"/>
  <c r="CP296" i="39"/>
  <c r="CP138" i="39"/>
  <c r="CP111" i="39"/>
  <c r="CP194" i="39"/>
  <c r="CP338" i="39"/>
  <c r="CP181" i="39"/>
  <c r="CP335" i="39"/>
  <c r="CP278" i="39"/>
  <c r="CP347" i="39"/>
  <c r="CP184" i="39"/>
  <c r="CP74" i="39"/>
  <c r="CP377" i="39"/>
  <c r="CP303" i="39"/>
  <c r="CP301" i="39"/>
  <c r="CP182" i="39"/>
  <c r="CP130" i="39"/>
  <c r="CP350" i="39"/>
  <c r="CP107" i="39"/>
  <c r="CP122" i="39"/>
  <c r="CP336" i="39"/>
  <c r="CP215" i="39"/>
  <c r="CP75" i="39"/>
  <c r="CP370" i="39"/>
  <c r="CP311" i="39"/>
  <c r="CP287" i="39"/>
  <c r="CP328" i="39"/>
  <c r="CP286" i="39"/>
  <c r="CP293" i="39"/>
  <c r="CP346" i="39"/>
  <c r="CP349" i="39"/>
  <c r="CP277" i="39"/>
  <c r="CP14" i="39"/>
  <c r="CP300" i="39"/>
  <c r="CP171" i="39"/>
  <c r="CP143" i="39"/>
  <c r="CP327" i="39"/>
  <c r="CP307" i="39"/>
  <c r="CP299" i="39"/>
  <c r="CP108" i="39"/>
  <c r="CP183" i="39"/>
  <c r="CP326" i="39"/>
  <c r="CP63" i="39"/>
  <c r="CP51" i="39"/>
  <c r="CP13" i="39"/>
  <c r="CP118" i="39"/>
  <c r="CP306" i="39"/>
  <c r="CP216" i="39"/>
  <c r="CP132" i="39"/>
  <c r="CP285" i="39"/>
  <c r="CP97" i="39"/>
  <c r="CP334" i="39"/>
  <c r="CP305" i="39"/>
  <c r="CP324" i="39"/>
  <c r="CP105" i="39"/>
  <c r="CP325" i="39"/>
  <c r="CP342" i="39"/>
  <c r="CP189" i="39"/>
  <c r="CP154" i="39"/>
  <c r="CP337" i="39"/>
  <c r="CP333" i="39"/>
  <c r="CP332" i="39"/>
  <c r="CP331" i="39"/>
  <c r="CP330" i="39"/>
  <c r="CP298" i="39"/>
  <c r="CP112" i="39"/>
  <c r="CP250" i="39"/>
  <c r="CP314" i="39"/>
  <c r="CP77" i="39"/>
  <c r="CP3" i="39"/>
  <c r="CP319" i="39"/>
  <c r="CP67" i="39"/>
  <c r="CP304" i="39"/>
  <c r="CP323" i="39"/>
  <c r="CP284" i="39"/>
  <c r="CP79" i="39"/>
  <c r="CP283" i="39"/>
  <c r="CP137" i="39"/>
  <c r="CP292" i="39"/>
  <c r="CP249" i="39"/>
  <c r="CP348" i="39"/>
  <c r="CP371" i="39"/>
  <c r="CP170" i="39"/>
  <c r="CP291" i="39"/>
  <c r="CP313" i="39"/>
  <c r="CP345" i="39"/>
  <c r="CP206" i="39"/>
  <c r="CP211" i="39"/>
  <c r="CP54" i="39"/>
  <c r="CP208" i="39"/>
  <c r="CP169" i="39"/>
  <c r="CP282" i="39"/>
  <c r="CP213" i="39"/>
  <c r="CP321" i="39"/>
  <c r="CP302" i="39"/>
  <c r="CP320" i="39"/>
  <c r="CP104" i="39"/>
  <c r="CP209" i="39"/>
  <c r="CP119" i="39"/>
  <c r="CP312" i="39"/>
  <c r="CP317" i="39"/>
  <c r="CP344" i="39"/>
  <c r="CP322" i="39"/>
  <c r="BO404" i="39"/>
  <c r="BO403" i="39"/>
  <c r="BO402" i="39"/>
  <c r="BO401" i="39"/>
  <c r="BO400" i="39"/>
  <c r="BO399" i="39"/>
  <c r="BO398" i="39"/>
  <c r="BO397" i="39"/>
  <c r="BO396" i="39"/>
  <c r="BO395" i="39"/>
  <c r="BO411" i="39"/>
  <c r="BO410" i="39"/>
  <c r="BO409" i="39"/>
  <c r="BO408" i="39"/>
  <c r="BO407" i="39"/>
  <c r="BO406" i="39"/>
  <c r="BO405" i="39"/>
  <c r="BO140" i="39"/>
  <c r="BO394" i="39"/>
  <c r="BO367" i="39"/>
  <c r="BO366" i="39"/>
  <c r="BO365" i="39"/>
  <c r="BO364" i="39"/>
  <c r="BO363" i="39"/>
  <c r="BO362" i="39"/>
  <c r="BO361" i="39"/>
  <c r="BO360" i="39"/>
  <c r="BO359" i="39"/>
  <c r="BO358" i="39"/>
  <c r="BO357" i="39"/>
  <c r="BO356" i="39"/>
  <c r="BO355" i="39"/>
  <c r="BO354" i="39"/>
  <c r="BO353" i="39"/>
  <c r="BO352" i="39"/>
  <c r="BO185" i="39"/>
  <c r="BO55" i="39"/>
  <c r="BO316" i="39"/>
  <c r="BO281" i="39"/>
  <c r="BO280" i="39"/>
  <c r="BO214" i="39"/>
  <c r="BO376" i="39"/>
  <c r="BO153" i="39"/>
  <c r="BO2" i="39"/>
  <c r="BO113" i="39"/>
  <c r="BO309" i="39"/>
  <c r="BO318" i="39"/>
  <c r="BO66" i="39"/>
  <c r="BO295" i="39"/>
  <c r="BO329" i="39"/>
  <c r="BO276" i="39"/>
  <c r="BO340" i="39"/>
  <c r="BO52" i="39"/>
  <c r="BO275" i="39"/>
  <c r="BO351" i="39"/>
  <c r="BO207" i="39"/>
  <c r="BO294" i="39"/>
  <c r="BO288" i="39"/>
  <c r="BO4" i="39"/>
  <c r="BO186" i="39"/>
  <c r="BO274" i="39"/>
  <c r="BO273" i="39"/>
  <c r="BO379" i="39"/>
  <c r="BO73" i="39"/>
  <c r="BO78" i="39"/>
  <c r="BO341" i="39"/>
  <c r="BO308" i="39"/>
  <c r="BO297" i="39"/>
  <c r="BO210" i="39"/>
  <c r="BO172" i="39"/>
  <c r="BO290" i="39"/>
  <c r="BO136" i="39"/>
  <c r="BO109" i="39"/>
  <c r="BO279" i="39"/>
  <c r="BO110" i="39"/>
  <c r="BO60" i="39"/>
  <c r="BO343" i="39"/>
  <c r="BO65" i="39"/>
  <c r="BO8" i="39"/>
  <c r="BO53" i="39"/>
  <c r="BO289" i="39"/>
  <c r="BO195" i="39"/>
  <c r="BO106" i="39"/>
  <c r="BO339" i="39"/>
  <c r="BO139" i="39"/>
  <c r="BO310" i="39"/>
  <c r="BO315" i="39"/>
  <c r="BO296" i="39"/>
  <c r="BO138" i="39"/>
  <c r="BO111" i="39"/>
  <c r="BO194" i="39"/>
  <c r="BO338" i="39"/>
  <c r="BO181" i="39"/>
  <c r="BO335" i="39"/>
  <c r="BO278" i="39"/>
  <c r="BO347" i="39"/>
  <c r="BO184" i="39"/>
  <c r="BO74" i="39"/>
  <c r="BO377" i="39"/>
  <c r="BO303" i="39"/>
  <c r="BO301" i="39"/>
  <c r="BO182" i="39"/>
  <c r="BO130" i="39"/>
  <c r="BO350" i="39"/>
  <c r="BO107" i="39"/>
  <c r="BO122" i="39"/>
  <c r="BO336" i="39"/>
  <c r="BO215" i="39"/>
  <c r="BO75" i="39"/>
  <c r="BO370" i="39"/>
  <c r="BO311" i="39"/>
  <c r="BO287" i="39"/>
  <c r="BO328" i="39"/>
  <c r="BO286" i="39"/>
  <c r="BO293" i="39"/>
  <c r="BO346" i="39"/>
  <c r="BO349" i="39"/>
  <c r="BO277" i="39"/>
  <c r="BO14" i="39"/>
  <c r="BO300" i="39"/>
  <c r="BO171" i="39"/>
  <c r="BO143" i="39"/>
  <c r="BO327" i="39"/>
  <c r="BO307" i="39"/>
  <c r="BO299" i="39"/>
  <c r="BO108" i="39"/>
  <c r="BO183" i="39"/>
  <c r="BO326" i="39"/>
  <c r="BO63" i="39"/>
  <c r="BO51" i="39"/>
  <c r="BO13" i="39"/>
  <c r="BO118" i="39"/>
  <c r="BO306" i="39"/>
  <c r="BO216" i="39"/>
  <c r="BO132" i="39"/>
  <c r="BO285" i="39"/>
  <c r="BO97" i="39"/>
  <c r="BO334" i="39"/>
  <c r="BO305" i="39"/>
  <c r="BO324" i="39"/>
  <c r="BO105" i="39"/>
  <c r="BO325" i="39"/>
  <c r="BO342" i="39"/>
  <c r="BO189" i="39"/>
  <c r="BO154" i="39"/>
  <c r="BO337" i="39"/>
  <c r="BO333" i="39"/>
  <c r="BO332" i="39"/>
  <c r="BO331" i="39"/>
  <c r="BO330" i="39"/>
  <c r="BO298" i="39"/>
  <c r="BO112" i="39"/>
  <c r="BO250" i="39"/>
  <c r="BO314" i="39"/>
  <c r="BO77" i="39"/>
  <c r="BO3" i="39"/>
  <c r="BO319" i="39"/>
  <c r="BO67" i="39"/>
  <c r="BO304" i="39"/>
  <c r="BO323" i="39"/>
  <c r="BO284" i="39"/>
  <c r="BO79" i="39"/>
  <c r="BO283" i="39"/>
  <c r="BO137" i="39"/>
  <c r="BO292" i="39"/>
  <c r="BO249" i="39"/>
  <c r="BO348" i="39"/>
  <c r="BO371" i="39"/>
  <c r="BO170" i="39"/>
  <c r="BO291" i="39"/>
  <c r="BO313" i="39"/>
  <c r="BO345" i="39"/>
  <c r="BO206" i="39"/>
  <c r="BO211" i="39"/>
  <c r="BO54" i="39"/>
  <c r="BO208" i="39"/>
  <c r="BO169" i="39"/>
  <c r="BO282" i="39"/>
  <c r="BO213" i="39"/>
  <c r="BO321" i="39"/>
  <c r="BO302" i="39"/>
  <c r="BO320" i="39"/>
  <c r="BO104" i="39"/>
  <c r="BO209" i="39"/>
  <c r="BO119" i="39"/>
  <c r="BO312" i="39"/>
  <c r="BO317" i="39"/>
  <c r="BO344" i="39"/>
  <c r="BO322" i="39"/>
  <c r="BF404" i="39"/>
  <c r="BF403" i="39"/>
  <c r="BF402" i="39"/>
  <c r="BF401" i="39"/>
  <c r="BF400" i="39"/>
  <c r="BF399" i="39"/>
  <c r="BF398" i="39"/>
  <c r="BF397" i="39"/>
  <c r="BF396" i="39"/>
  <c r="BF395" i="39"/>
  <c r="BF411" i="39"/>
  <c r="BF410" i="39"/>
  <c r="BF409" i="39"/>
  <c r="BF408" i="39"/>
  <c r="BF407" i="39"/>
  <c r="BF406" i="39"/>
  <c r="BF405" i="39"/>
  <c r="BF140" i="39"/>
  <c r="BF394" i="39"/>
  <c r="BF367" i="39"/>
  <c r="BF366" i="39"/>
  <c r="BF365" i="39"/>
  <c r="BF364" i="39"/>
  <c r="BF363" i="39"/>
  <c r="BF362" i="39"/>
  <c r="BF361" i="39"/>
  <c r="BF360" i="39"/>
  <c r="BF359" i="39"/>
  <c r="BF358" i="39"/>
  <c r="BF357" i="39"/>
  <c r="BF356" i="39"/>
  <c r="BF355" i="39"/>
  <c r="BF354" i="39"/>
  <c r="BF353" i="39"/>
  <c r="BF352" i="39"/>
  <c r="BF185" i="39"/>
  <c r="BF55" i="39"/>
  <c r="BF316" i="39"/>
  <c r="BF281" i="39"/>
  <c r="BF280" i="39"/>
  <c r="BF214" i="39"/>
  <c r="BF376" i="39"/>
  <c r="BF153" i="39"/>
  <c r="BF2" i="39"/>
  <c r="BF113" i="39"/>
  <c r="BF309" i="39"/>
  <c r="BF318" i="39"/>
  <c r="BF66" i="39"/>
  <c r="BF295" i="39"/>
  <c r="BF329" i="39"/>
  <c r="BF276" i="39"/>
  <c r="BF340" i="39"/>
  <c r="BF52" i="39"/>
  <c r="BF275" i="39"/>
  <c r="BF351" i="39"/>
  <c r="BF207" i="39"/>
  <c r="BF294" i="39"/>
  <c r="BF288" i="39"/>
  <c r="BF4" i="39"/>
  <c r="BF186" i="39"/>
  <c r="BF274" i="39"/>
  <c r="BF273" i="39"/>
  <c r="BF379" i="39"/>
  <c r="BF73" i="39"/>
  <c r="BF78" i="39"/>
  <c r="BF341" i="39"/>
  <c r="BF308" i="39"/>
  <c r="BF297" i="39"/>
  <c r="BF210" i="39"/>
  <c r="BF172" i="39"/>
  <c r="BF290" i="39"/>
  <c r="BF136" i="39"/>
  <c r="BF109" i="39"/>
  <c r="BF279" i="39"/>
  <c r="BF110" i="39"/>
  <c r="BF60" i="39"/>
  <c r="BF343" i="39"/>
  <c r="BF65" i="39"/>
  <c r="BF8" i="39"/>
  <c r="BF53" i="39"/>
  <c r="BF289" i="39"/>
  <c r="BF195" i="39"/>
  <c r="BF106" i="39"/>
  <c r="BF339" i="39"/>
  <c r="BF139" i="39"/>
  <c r="BF310" i="39"/>
  <c r="BF315" i="39"/>
  <c r="BF296" i="39"/>
  <c r="BF138" i="39"/>
  <c r="BF111" i="39"/>
  <c r="BF194" i="39"/>
  <c r="BF338" i="39"/>
  <c r="BF181" i="39"/>
  <c r="BF335" i="39"/>
  <c r="BF278" i="39"/>
  <c r="BF347" i="39"/>
  <c r="BF184" i="39"/>
  <c r="BF74" i="39"/>
  <c r="BF377" i="39"/>
  <c r="BF303" i="39"/>
  <c r="BF301" i="39"/>
  <c r="BF182" i="39"/>
  <c r="BF130" i="39"/>
  <c r="BF350" i="39"/>
  <c r="BF107" i="39"/>
  <c r="BF122" i="39"/>
  <c r="BF336" i="39"/>
  <c r="BF215" i="39"/>
  <c r="BF75" i="39"/>
  <c r="BF370" i="39"/>
  <c r="BF311" i="39"/>
  <c r="BF287" i="39"/>
  <c r="BF328" i="39"/>
  <c r="BF286" i="39"/>
  <c r="BF293" i="39"/>
  <c r="BF346" i="39"/>
  <c r="BF349" i="39"/>
  <c r="BF277" i="39"/>
  <c r="BF14" i="39"/>
  <c r="BF300" i="39"/>
  <c r="BF171" i="39"/>
  <c r="BF143" i="39"/>
  <c r="BF327" i="39"/>
  <c r="BF307" i="39"/>
  <c r="BF299" i="39"/>
  <c r="BF108" i="39"/>
  <c r="BF183" i="39"/>
  <c r="BF326" i="39"/>
  <c r="BF63" i="39"/>
  <c r="BF51" i="39"/>
  <c r="BF13" i="39"/>
  <c r="BF118" i="39"/>
  <c r="BF306" i="39"/>
  <c r="BF216" i="39"/>
  <c r="BF132" i="39"/>
  <c r="BF285" i="39"/>
  <c r="BF97" i="39"/>
  <c r="BF334" i="39"/>
  <c r="BF305" i="39"/>
  <c r="BF324" i="39"/>
  <c r="BF105" i="39"/>
  <c r="BF325" i="39"/>
  <c r="BF342" i="39"/>
  <c r="BF189" i="39"/>
  <c r="BF154" i="39"/>
  <c r="BF337" i="39"/>
  <c r="BF333" i="39"/>
  <c r="BF332" i="39"/>
  <c r="BF331" i="39"/>
  <c r="BF330" i="39"/>
  <c r="BF298" i="39"/>
  <c r="BF112" i="39"/>
  <c r="BF250" i="39"/>
  <c r="BF314" i="39"/>
  <c r="BF77" i="39"/>
  <c r="BF3" i="39"/>
  <c r="BF319" i="39"/>
  <c r="BF67" i="39"/>
  <c r="BF304" i="39"/>
  <c r="BF323" i="39"/>
  <c r="BF284" i="39"/>
  <c r="BF79" i="39"/>
  <c r="BF283" i="39"/>
  <c r="BF137" i="39"/>
  <c r="BF292" i="39"/>
  <c r="BF249" i="39"/>
  <c r="BF348" i="39"/>
  <c r="BF371" i="39"/>
  <c r="BF170" i="39"/>
  <c r="BF291" i="39"/>
  <c r="BF313" i="39"/>
  <c r="BF345" i="39"/>
  <c r="BF206" i="39"/>
  <c r="BF211" i="39"/>
  <c r="BF54" i="39"/>
  <c r="BF208" i="39"/>
  <c r="BF169" i="39"/>
  <c r="BF282" i="39"/>
  <c r="BF213" i="39"/>
  <c r="BF321" i="39"/>
  <c r="BF302" i="39"/>
  <c r="BF320" i="39"/>
  <c r="BF104" i="39"/>
  <c r="BF209" i="39"/>
  <c r="BF119" i="39"/>
  <c r="BF312" i="39"/>
  <c r="BF317" i="39"/>
  <c r="BF344" i="39"/>
  <c r="BF322" i="39"/>
  <c r="E120" i="40" l="1"/>
  <c r="D120" i="40"/>
  <c r="C120" i="40"/>
  <c r="E119" i="40"/>
  <c r="D119" i="40"/>
  <c r="C119" i="40"/>
  <c r="E118" i="40"/>
  <c r="D118" i="40"/>
  <c r="C118" i="40"/>
  <c r="E117" i="40"/>
  <c r="D117" i="40"/>
  <c r="C117" i="40"/>
  <c r="E116" i="40"/>
  <c r="D116" i="40"/>
  <c r="C116" i="40"/>
  <c r="E115" i="40"/>
  <c r="D115" i="40"/>
  <c r="C115" i="40"/>
  <c r="E114" i="40"/>
  <c r="D114" i="40"/>
  <c r="C114" i="40"/>
  <c r="E113" i="40"/>
  <c r="D113" i="40"/>
  <c r="C113" i="40"/>
  <c r="E112" i="40"/>
  <c r="D112" i="40"/>
  <c r="C112" i="40"/>
  <c r="E111" i="40"/>
  <c r="G249" i="39" s="1"/>
  <c r="D111" i="40"/>
  <c r="C111" i="40"/>
  <c r="L249" i="39" s="1"/>
  <c r="O249" i="39" s="1"/>
  <c r="BH249" i="39" s="1"/>
  <c r="E110" i="40"/>
  <c r="D110" i="40"/>
  <c r="C110" i="40"/>
  <c r="E109" i="40"/>
  <c r="D109" i="40"/>
  <c r="C109" i="40"/>
  <c r="E108" i="40"/>
  <c r="D108" i="40"/>
  <c r="C108" i="40"/>
  <c r="E107" i="40"/>
  <c r="D107" i="40"/>
  <c r="C107" i="40"/>
  <c r="E106" i="40"/>
  <c r="D106" i="40"/>
  <c r="C106" i="40"/>
  <c r="E105" i="40"/>
  <c r="D105" i="40"/>
  <c r="C105" i="40"/>
  <c r="E104" i="40"/>
  <c r="D104" i="40"/>
  <c r="C104" i="40"/>
  <c r="E103" i="40"/>
  <c r="D103" i="40"/>
  <c r="C103" i="40"/>
  <c r="E102" i="40"/>
  <c r="D102" i="40"/>
  <c r="C102" i="40"/>
  <c r="E101" i="40"/>
  <c r="D101" i="40"/>
  <c r="C101" i="40"/>
  <c r="E100" i="40"/>
  <c r="D100" i="40"/>
  <c r="C100" i="40"/>
  <c r="E99" i="40"/>
  <c r="D99" i="40"/>
  <c r="C99" i="40"/>
  <c r="E98" i="40"/>
  <c r="D98" i="40"/>
  <c r="C98" i="40"/>
  <c r="E74" i="40"/>
  <c r="D74" i="40"/>
  <c r="C74" i="40"/>
  <c r="E73" i="40"/>
  <c r="D73" i="40"/>
  <c r="C73" i="40"/>
  <c r="E72" i="40"/>
  <c r="D72" i="40"/>
  <c r="C72" i="40"/>
  <c r="E71" i="40"/>
  <c r="D71" i="40"/>
  <c r="C71" i="40"/>
  <c r="E70" i="40"/>
  <c r="D70" i="40"/>
  <c r="C70" i="40"/>
  <c r="E69" i="40"/>
  <c r="D69" i="40"/>
  <c r="C69" i="40"/>
  <c r="E68" i="40"/>
  <c r="D68" i="40"/>
  <c r="C68" i="40"/>
  <c r="E67" i="40"/>
  <c r="D67" i="40"/>
  <c r="C67" i="40"/>
  <c r="E66" i="40"/>
  <c r="D66" i="40"/>
  <c r="C66" i="40"/>
  <c r="E65" i="40"/>
  <c r="D65" i="40"/>
  <c r="C65" i="40"/>
  <c r="E64" i="40"/>
  <c r="D64" i="40"/>
  <c r="C64" i="40"/>
  <c r="E63" i="40"/>
  <c r="D63" i="40"/>
  <c r="C63" i="40"/>
  <c r="E62" i="40"/>
  <c r="D62" i="40"/>
  <c r="C62" i="40"/>
  <c r="E61" i="40"/>
  <c r="D61" i="40"/>
  <c r="C61" i="40"/>
  <c r="E60" i="40"/>
  <c r="D60" i="40"/>
  <c r="C60" i="40"/>
  <c r="E59" i="40"/>
  <c r="D59" i="40"/>
  <c r="C59" i="40"/>
  <c r="E58" i="40"/>
  <c r="D58" i="40"/>
  <c r="C58" i="40"/>
  <c r="E57" i="40"/>
  <c r="D57" i="40"/>
  <c r="C57" i="40"/>
  <c r="E56" i="40"/>
  <c r="D56" i="40"/>
  <c r="C56" i="40"/>
  <c r="E39" i="40"/>
  <c r="D39" i="40"/>
  <c r="C39" i="40"/>
  <c r="E38" i="40"/>
  <c r="D38" i="40"/>
  <c r="C38" i="40"/>
  <c r="E37" i="40"/>
  <c r="D37" i="40"/>
  <c r="C37" i="40"/>
  <c r="E36" i="40"/>
  <c r="D36" i="40"/>
  <c r="C36" i="40"/>
  <c r="E35" i="40"/>
  <c r="D35" i="40"/>
  <c r="C35" i="40"/>
  <c r="E34" i="40"/>
  <c r="D34" i="40"/>
  <c r="C34" i="40"/>
  <c r="E33" i="40"/>
  <c r="D33" i="40"/>
  <c r="C33" i="40"/>
  <c r="D32" i="40"/>
  <c r="C32" i="40"/>
  <c r="D31" i="40"/>
  <c r="C31" i="40"/>
  <c r="D30" i="40"/>
  <c r="C30" i="40"/>
  <c r="D29" i="40"/>
  <c r="C29" i="40"/>
  <c r="D28" i="40"/>
  <c r="C28" i="40"/>
  <c r="E27" i="40"/>
  <c r="D27" i="40"/>
  <c r="C27" i="40"/>
  <c r="E26" i="40"/>
  <c r="D26" i="40"/>
  <c r="C26" i="40"/>
  <c r="E25" i="40"/>
  <c r="D25" i="40"/>
  <c r="C25" i="40"/>
  <c r="E24" i="40"/>
  <c r="D24" i="40"/>
  <c r="C24" i="40"/>
  <c r="E23" i="40"/>
  <c r="D23" i="40"/>
  <c r="C23" i="40"/>
  <c r="E22" i="40"/>
  <c r="D22" i="40"/>
  <c r="C22" i="40"/>
  <c r="E21" i="40"/>
  <c r="D21" i="40"/>
  <c r="C21" i="40"/>
  <c r="E20" i="40"/>
  <c r="D20" i="40"/>
  <c r="C20" i="40"/>
  <c r="E19" i="40"/>
  <c r="D19" i="40"/>
  <c r="C19" i="40"/>
  <c r="E18" i="40"/>
  <c r="D18" i="40"/>
  <c r="C18" i="40"/>
  <c r="E17" i="40"/>
  <c r="D17" i="40"/>
  <c r="C17" i="40"/>
  <c r="E16" i="40"/>
  <c r="D16" i="40"/>
  <c r="C16" i="40"/>
  <c r="E15" i="40"/>
  <c r="D15" i="40"/>
  <c r="C15" i="40"/>
  <c r="E14" i="40"/>
  <c r="D14" i="40"/>
  <c r="C14" i="40"/>
  <c r="E13" i="40"/>
  <c r="D13" i="40"/>
  <c r="C13" i="40"/>
  <c r="L33" i="39" s="1"/>
  <c r="D12" i="40"/>
  <c r="C12" i="40"/>
  <c r="D11" i="40"/>
  <c r="C11" i="40"/>
  <c r="L35" i="39" s="1"/>
  <c r="O35" i="39" s="1"/>
  <c r="G380" i="39"/>
  <c r="CA380" i="39" s="1"/>
  <c r="D10" i="40"/>
  <c r="L380" i="39"/>
  <c r="O380" i="39" s="1"/>
  <c r="E9" i="40"/>
  <c r="G177" i="39" s="1"/>
  <c r="CA177" i="39" s="1"/>
  <c r="D9" i="40"/>
  <c r="C9" i="40"/>
  <c r="L177" i="39" s="1"/>
  <c r="O177" i="39" s="1"/>
  <c r="E8" i="40"/>
  <c r="G175" i="39" s="1"/>
  <c r="CA175" i="39" s="1"/>
  <c r="D8" i="40"/>
  <c r="C8" i="40"/>
  <c r="L175" i="39" s="1"/>
  <c r="O175" i="39" s="1"/>
  <c r="E7" i="40"/>
  <c r="G36" i="39" s="1"/>
  <c r="CA36" i="39" s="1"/>
  <c r="D7" i="40"/>
  <c r="C7" i="40"/>
  <c r="L36" i="39" s="1"/>
  <c r="O36" i="39" s="1"/>
  <c r="E6" i="40"/>
  <c r="G34" i="39" s="1"/>
  <c r="CA34" i="39" s="1"/>
  <c r="D6" i="40"/>
  <c r="C6" i="40"/>
  <c r="L34" i="39" s="1"/>
  <c r="O34" i="39" s="1"/>
  <c r="BH34" i="39" s="1"/>
  <c r="D5" i="40"/>
  <c r="C5" i="40"/>
  <c r="L178" i="39" s="1"/>
  <c r="B6" i="40"/>
  <c r="B34" i="39" s="1"/>
  <c r="BL36" i="39"/>
  <c r="BL175" i="39"/>
  <c r="BL177" i="39"/>
  <c r="BL380" i="39"/>
  <c r="BL35" i="39"/>
  <c r="BL381" i="39"/>
  <c r="BL33" i="39"/>
  <c r="BL382" i="39"/>
  <c r="BL383" i="39"/>
  <c r="BL32" i="39"/>
  <c r="BL167" i="39"/>
  <c r="BL31" i="39"/>
  <c r="BL163" i="39"/>
  <c r="BL162" i="39"/>
  <c r="BL203" i="39"/>
  <c r="BL204" i="39"/>
  <c r="BL49" i="39"/>
  <c r="BL202" i="39"/>
  <c r="BL48" i="39"/>
  <c r="BL384" i="39"/>
  <c r="BL385" i="39"/>
  <c r="BL23" i="39"/>
  <c r="BL168" i="39"/>
  <c r="BL161" i="39"/>
  <c r="BL40" i="39"/>
  <c r="BL386" i="39"/>
  <c r="BL26" i="39"/>
  <c r="BL131" i="39"/>
  <c r="BL27" i="39"/>
  <c r="BL387" i="39"/>
  <c r="BL388" i="39"/>
  <c r="BL129" i="39"/>
  <c r="BL128" i="39"/>
  <c r="BL28" i="39"/>
  <c r="BL389" i="39"/>
  <c r="BL164" i="39"/>
  <c r="BL29" i="39"/>
  <c r="BL166" i="39"/>
  <c r="BL64" i="39"/>
  <c r="BL165" i="39"/>
  <c r="BL152" i="39"/>
  <c r="BL156" i="39"/>
  <c r="BL22" i="39"/>
  <c r="BL155" i="39"/>
  <c r="BL21" i="39"/>
  <c r="BL390" i="39"/>
  <c r="BL391" i="39"/>
  <c r="BL19" i="39"/>
  <c r="BL20" i="39"/>
  <c r="BL159" i="39"/>
  <c r="BL42" i="39"/>
  <c r="BL43" i="39"/>
  <c r="BL41" i="39"/>
  <c r="BL160" i="39"/>
  <c r="BL157" i="39"/>
  <c r="BL45" i="39"/>
  <c r="BL44" i="39"/>
  <c r="BL46" i="39"/>
  <c r="BL392" i="39"/>
  <c r="BL17" i="39"/>
  <c r="BL124" i="39"/>
  <c r="BL18" i="39"/>
  <c r="BL219" i="39"/>
  <c r="BL25" i="39"/>
  <c r="BL50" i="39"/>
  <c r="BL24" i="39"/>
  <c r="BL393" i="39"/>
  <c r="BL123" i="39"/>
  <c r="BL176" i="39"/>
  <c r="BL30" i="39"/>
  <c r="BL192" i="39"/>
  <c r="BL191" i="39"/>
  <c r="BL158" i="39"/>
  <c r="BL98" i="39"/>
  <c r="BL47" i="39"/>
  <c r="BL220" i="39"/>
  <c r="BL221" i="39"/>
  <c r="BL222" i="39"/>
  <c r="BL223" i="39"/>
  <c r="BL224" i="39"/>
  <c r="BL225" i="39"/>
  <c r="BL226" i="39"/>
  <c r="BL227" i="39"/>
  <c r="BL228" i="39"/>
  <c r="BL229" i="39"/>
  <c r="BL230" i="39"/>
  <c r="BL231" i="39"/>
  <c r="BL232" i="39"/>
  <c r="BL233" i="39"/>
  <c r="BL234" i="39"/>
  <c r="BL235" i="39"/>
  <c r="BL236" i="39"/>
  <c r="BL237" i="39"/>
  <c r="BL238" i="39"/>
  <c r="BL239" i="39"/>
  <c r="BL240" i="39"/>
  <c r="BL241" i="39"/>
  <c r="BL242" i="39"/>
  <c r="BL243" i="39"/>
  <c r="BL244" i="39"/>
  <c r="BL245" i="39"/>
  <c r="BL246" i="39"/>
  <c r="BL247" i="39"/>
  <c r="BL248" i="39"/>
  <c r="BG54" i="39"/>
  <c r="BH54" i="39"/>
  <c r="BI54" i="39" s="1"/>
  <c r="AK54" i="39" s="1"/>
  <c r="BL54" i="39"/>
  <c r="BG211" i="39"/>
  <c r="BH211" i="39"/>
  <c r="BL211" i="39"/>
  <c r="BG206" i="39"/>
  <c r="BH206" i="39"/>
  <c r="BK206" i="39" s="1"/>
  <c r="BL206" i="39"/>
  <c r="BG345" i="39"/>
  <c r="BH345" i="39"/>
  <c r="BI345" i="39" s="1"/>
  <c r="BL345" i="39"/>
  <c r="BG313" i="39"/>
  <c r="BH313" i="39"/>
  <c r="BI313" i="39" s="1"/>
  <c r="BL313" i="39"/>
  <c r="BG291" i="39"/>
  <c r="BH291" i="39"/>
  <c r="BL291" i="39"/>
  <c r="BG170" i="39"/>
  <c r="BH170" i="39"/>
  <c r="BK170" i="39" s="1"/>
  <c r="BL170" i="39"/>
  <c r="BG371" i="39"/>
  <c r="BH371" i="39"/>
  <c r="BI371" i="39" s="1"/>
  <c r="AK371" i="39" s="1"/>
  <c r="BL371" i="39"/>
  <c r="BG348" i="39"/>
  <c r="BH348" i="39"/>
  <c r="BI348" i="39" s="1"/>
  <c r="BL348" i="39"/>
  <c r="BG249" i="39"/>
  <c r="BL249" i="39"/>
  <c r="BG292" i="39"/>
  <c r="BH292" i="39"/>
  <c r="BK292" i="39" s="1"/>
  <c r="BL292" i="39"/>
  <c r="BG137" i="39"/>
  <c r="BH137" i="39"/>
  <c r="BI137" i="39" s="1"/>
  <c r="AK137" i="39" s="1"/>
  <c r="BL137" i="39"/>
  <c r="BG283" i="39"/>
  <c r="BH283" i="39"/>
  <c r="BI283" i="39" s="1"/>
  <c r="BL283" i="39"/>
  <c r="BG79" i="39"/>
  <c r="BH79" i="39"/>
  <c r="BL79" i="39"/>
  <c r="BG284" i="39"/>
  <c r="BH284" i="39"/>
  <c r="BK284" i="39" s="1"/>
  <c r="BL284" i="39"/>
  <c r="BG323" i="39"/>
  <c r="BH323" i="39"/>
  <c r="BJ323" i="39" s="1"/>
  <c r="BL323" i="39"/>
  <c r="BG304" i="39"/>
  <c r="BH304" i="39"/>
  <c r="BI304" i="39" s="1"/>
  <c r="BL304" i="39"/>
  <c r="BG67" i="39"/>
  <c r="BH67" i="39"/>
  <c r="BL67" i="39"/>
  <c r="BG319" i="39"/>
  <c r="BH319" i="39"/>
  <c r="BK319" i="39" s="1"/>
  <c r="BL319" i="39"/>
  <c r="BG3" i="39"/>
  <c r="BH3" i="39"/>
  <c r="BI3" i="39" s="1"/>
  <c r="BL3" i="39"/>
  <c r="BG77" i="39"/>
  <c r="BH77" i="39"/>
  <c r="BI77" i="39" s="1"/>
  <c r="BL77" i="39"/>
  <c r="BG314" i="39"/>
  <c r="BH314" i="39"/>
  <c r="BL314" i="39"/>
  <c r="BG250" i="39"/>
  <c r="BH250" i="39"/>
  <c r="BK250" i="39" s="1"/>
  <c r="BL250" i="39"/>
  <c r="BG112" i="39"/>
  <c r="BH112" i="39"/>
  <c r="BJ112" i="39" s="1"/>
  <c r="BL112" i="39"/>
  <c r="BG298" i="39"/>
  <c r="BH298" i="39"/>
  <c r="BI298" i="39" s="1"/>
  <c r="BL298" i="39"/>
  <c r="BG330" i="39"/>
  <c r="BH330" i="39"/>
  <c r="BL330" i="39"/>
  <c r="BG331" i="39"/>
  <c r="BH331" i="39"/>
  <c r="BK331" i="39" s="1"/>
  <c r="BL331" i="39"/>
  <c r="BG332" i="39"/>
  <c r="BH332" i="39"/>
  <c r="BI332" i="39" s="1"/>
  <c r="BL332" i="39"/>
  <c r="BG333" i="39"/>
  <c r="BH333" i="39"/>
  <c r="BI333" i="39" s="1"/>
  <c r="BL333" i="39"/>
  <c r="BG337" i="39"/>
  <c r="BH337" i="39"/>
  <c r="BL337" i="39"/>
  <c r="BG154" i="39"/>
  <c r="BH154" i="39"/>
  <c r="BK154" i="39" s="1"/>
  <c r="BL154" i="39"/>
  <c r="BG189" i="39"/>
  <c r="BH189" i="39"/>
  <c r="BI189" i="39" s="1"/>
  <c r="BL189" i="39"/>
  <c r="BG342" i="39"/>
  <c r="BH342" i="39"/>
  <c r="BI342" i="39" s="1"/>
  <c r="BL342" i="39"/>
  <c r="BG325" i="39"/>
  <c r="BH325" i="39"/>
  <c r="BL325" i="39"/>
  <c r="BG105" i="39"/>
  <c r="BH105" i="39"/>
  <c r="BK105" i="39" s="1"/>
  <c r="BL105" i="39"/>
  <c r="BG324" i="39"/>
  <c r="BH324" i="39"/>
  <c r="BI324" i="39" s="1"/>
  <c r="BL324" i="39"/>
  <c r="BG305" i="39"/>
  <c r="BH305" i="39"/>
  <c r="BI305" i="39" s="1"/>
  <c r="BL305" i="39"/>
  <c r="BG334" i="39"/>
  <c r="BH334" i="39"/>
  <c r="BL334" i="39"/>
  <c r="BG97" i="39"/>
  <c r="BH97" i="39"/>
  <c r="BK97" i="39" s="1"/>
  <c r="BL97" i="39"/>
  <c r="BG285" i="39"/>
  <c r="BH285" i="39"/>
  <c r="BI285" i="39" s="1"/>
  <c r="BL285" i="39"/>
  <c r="BG132" i="39"/>
  <c r="BH132" i="39"/>
  <c r="BI132" i="39" s="1"/>
  <c r="BL132" i="39"/>
  <c r="BG216" i="39"/>
  <c r="BH216" i="39"/>
  <c r="BL216" i="39"/>
  <c r="BG306" i="39"/>
  <c r="BH306" i="39"/>
  <c r="BK306" i="39" s="1"/>
  <c r="BL306" i="39"/>
  <c r="BG118" i="39"/>
  <c r="BH118" i="39"/>
  <c r="BI118" i="39" s="1"/>
  <c r="AK118" i="39" s="1"/>
  <c r="BL118" i="39"/>
  <c r="BG13" i="39"/>
  <c r="BH13" i="39"/>
  <c r="BI13" i="39" s="1"/>
  <c r="BL13" i="39"/>
  <c r="BG51" i="39"/>
  <c r="BH51" i="39"/>
  <c r="BL51" i="39"/>
  <c r="BG63" i="39"/>
  <c r="BH63" i="39"/>
  <c r="BK63" i="39" s="1"/>
  <c r="BL63" i="39"/>
  <c r="BG326" i="39"/>
  <c r="BH326" i="39"/>
  <c r="BJ326" i="39" s="1"/>
  <c r="BL326" i="39"/>
  <c r="BG183" i="39"/>
  <c r="BH183" i="39"/>
  <c r="BI183" i="39" s="1"/>
  <c r="BL183" i="39"/>
  <c r="BG108" i="39"/>
  <c r="BH108" i="39"/>
  <c r="BL108" i="39"/>
  <c r="BG299" i="39"/>
  <c r="BH299" i="39"/>
  <c r="BK299" i="39" s="1"/>
  <c r="BL299" i="39"/>
  <c r="BG307" i="39"/>
  <c r="BH307" i="39"/>
  <c r="BI307" i="39" s="1"/>
  <c r="BL307" i="39"/>
  <c r="BG327" i="39"/>
  <c r="BH327" i="39"/>
  <c r="BI327" i="39" s="1"/>
  <c r="BL327" i="39"/>
  <c r="BG143" i="39"/>
  <c r="BH143" i="39"/>
  <c r="BL143" i="39"/>
  <c r="BG171" i="39"/>
  <c r="BH171" i="39"/>
  <c r="BK171" i="39" s="1"/>
  <c r="BL171" i="39"/>
  <c r="BG300" i="39"/>
  <c r="BH300" i="39"/>
  <c r="BI300" i="39" s="1"/>
  <c r="BL300" i="39"/>
  <c r="BG14" i="39"/>
  <c r="BH14" i="39"/>
  <c r="BI14" i="39" s="1"/>
  <c r="AK14" i="39" s="1"/>
  <c r="BL14" i="39"/>
  <c r="BG277" i="39"/>
  <c r="BH277" i="39"/>
  <c r="BL277" i="39"/>
  <c r="BG349" i="39"/>
  <c r="BH349" i="39"/>
  <c r="BK349" i="39" s="1"/>
  <c r="BL349" i="39"/>
  <c r="BG346" i="39"/>
  <c r="BH346" i="39"/>
  <c r="BK346" i="39" s="1"/>
  <c r="BL346" i="39"/>
  <c r="BG293" i="39"/>
  <c r="BH293" i="39"/>
  <c r="BI293" i="39" s="1"/>
  <c r="BL293" i="39"/>
  <c r="BG286" i="39"/>
  <c r="BH286" i="39"/>
  <c r="BL286" i="39"/>
  <c r="BG328" i="39"/>
  <c r="BH328" i="39"/>
  <c r="BK328" i="39" s="1"/>
  <c r="BL328" i="39"/>
  <c r="BG287" i="39"/>
  <c r="BH287" i="39"/>
  <c r="BJ287" i="39" s="1"/>
  <c r="BL287" i="39"/>
  <c r="BG311" i="39"/>
  <c r="BH311" i="39"/>
  <c r="BI311" i="39" s="1"/>
  <c r="BL311" i="39"/>
  <c r="BG370" i="39"/>
  <c r="BH370" i="39"/>
  <c r="BL370" i="39"/>
  <c r="BG75" i="39"/>
  <c r="BH75" i="39"/>
  <c r="BK75" i="39" s="1"/>
  <c r="BL75" i="39"/>
  <c r="BG215" i="39"/>
  <c r="BH215" i="39"/>
  <c r="BJ215" i="39" s="1"/>
  <c r="BL215" i="39"/>
  <c r="BG336" i="39"/>
  <c r="BH336" i="39"/>
  <c r="BI336" i="39" s="1"/>
  <c r="BL336" i="39"/>
  <c r="BG122" i="39"/>
  <c r="BH122" i="39"/>
  <c r="BL122" i="39"/>
  <c r="BG107" i="39"/>
  <c r="BH107" i="39"/>
  <c r="BK107" i="39" s="1"/>
  <c r="BL107" i="39"/>
  <c r="BG350" i="39"/>
  <c r="BH350" i="39"/>
  <c r="BI350" i="39" s="1"/>
  <c r="BL350" i="39"/>
  <c r="BG130" i="39"/>
  <c r="BH130" i="39"/>
  <c r="BK130" i="39" s="1"/>
  <c r="BL130" i="39"/>
  <c r="BG182" i="39"/>
  <c r="BH182" i="39"/>
  <c r="BL182" i="39"/>
  <c r="BG301" i="39"/>
  <c r="BH301" i="39"/>
  <c r="BK301" i="39" s="1"/>
  <c r="BL301" i="39"/>
  <c r="BG303" i="39"/>
  <c r="BH303" i="39"/>
  <c r="BJ303" i="39" s="1"/>
  <c r="BL303" i="39"/>
  <c r="BG377" i="39"/>
  <c r="BH377" i="39"/>
  <c r="BJ377" i="39" s="1"/>
  <c r="BL377" i="39"/>
  <c r="BG74" i="39"/>
  <c r="BH74" i="39"/>
  <c r="BL74" i="39"/>
  <c r="BG184" i="39"/>
  <c r="BH184" i="39"/>
  <c r="BK184" i="39" s="1"/>
  <c r="BL184" i="39"/>
  <c r="BG347" i="39"/>
  <c r="BH347" i="39"/>
  <c r="BI347" i="39" s="1"/>
  <c r="BL347" i="39"/>
  <c r="BG278" i="39"/>
  <c r="BH278" i="39"/>
  <c r="BI278" i="39" s="1"/>
  <c r="BL278" i="39"/>
  <c r="BG335" i="39"/>
  <c r="BH335" i="39"/>
  <c r="BL335" i="39"/>
  <c r="BG181" i="39"/>
  <c r="BH181" i="39"/>
  <c r="BK181" i="39" s="1"/>
  <c r="BL181" i="39"/>
  <c r="BG338" i="39"/>
  <c r="BH338" i="39"/>
  <c r="BK338" i="39" s="1"/>
  <c r="BL338" i="39"/>
  <c r="BG194" i="39"/>
  <c r="BH194" i="39"/>
  <c r="BJ194" i="39" s="1"/>
  <c r="BL194" i="39"/>
  <c r="BG111" i="39"/>
  <c r="BH111" i="39"/>
  <c r="BL111" i="39"/>
  <c r="BG138" i="39"/>
  <c r="BH138" i="39"/>
  <c r="BK138" i="39" s="1"/>
  <c r="BL138" i="39"/>
  <c r="BG296" i="39"/>
  <c r="BH296" i="39"/>
  <c r="BI296" i="39" s="1"/>
  <c r="BL296" i="39"/>
  <c r="BG315" i="39"/>
  <c r="BH315" i="39"/>
  <c r="BJ315" i="39" s="1"/>
  <c r="BL315" i="39"/>
  <c r="BG310" i="39"/>
  <c r="BH310" i="39"/>
  <c r="BL310" i="39"/>
  <c r="BG139" i="39"/>
  <c r="BH139" i="39"/>
  <c r="BK139" i="39" s="1"/>
  <c r="BL139" i="39"/>
  <c r="BG339" i="39"/>
  <c r="BH339" i="39"/>
  <c r="BJ339" i="39" s="1"/>
  <c r="BL339" i="39"/>
  <c r="BG106" i="39"/>
  <c r="BH106" i="39"/>
  <c r="BI106" i="39" s="1"/>
  <c r="AK106" i="39" s="1"/>
  <c r="BL106" i="39"/>
  <c r="BG195" i="39"/>
  <c r="BH195" i="39"/>
  <c r="BL195" i="39"/>
  <c r="BG289" i="39"/>
  <c r="BH289" i="39"/>
  <c r="BK289" i="39" s="1"/>
  <c r="BL289" i="39"/>
  <c r="BG53" i="39"/>
  <c r="BH53" i="39"/>
  <c r="BJ53" i="39" s="1"/>
  <c r="BL53" i="39"/>
  <c r="BG8" i="39"/>
  <c r="BH8" i="39"/>
  <c r="BK8" i="39" s="1"/>
  <c r="BL8" i="39"/>
  <c r="BG65" i="39"/>
  <c r="BH65" i="39"/>
  <c r="BL65" i="39"/>
  <c r="BG343" i="39"/>
  <c r="BH343" i="39"/>
  <c r="BK343" i="39" s="1"/>
  <c r="BL343" i="39"/>
  <c r="BG60" i="39"/>
  <c r="BH60" i="39"/>
  <c r="BI60" i="39" s="1"/>
  <c r="AK60" i="39" s="1"/>
  <c r="BL60" i="39"/>
  <c r="BG110" i="39"/>
  <c r="BH110" i="39"/>
  <c r="BJ110" i="39" s="1"/>
  <c r="BL110" i="39"/>
  <c r="BG279" i="39"/>
  <c r="BH279" i="39"/>
  <c r="BL279" i="39"/>
  <c r="BG109" i="39"/>
  <c r="BH109" i="39"/>
  <c r="BK109" i="39" s="1"/>
  <c r="BL109" i="39"/>
  <c r="BG136" i="39"/>
  <c r="BH136" i="39"/>
  <c r="BK136" i="39" s="1"/>
  <c r="BL136" i="39"/>
  <c r="BG290" i="39"/>
  <c r="BH290" i="39"/>
  <c r="BJ290" i="39" s="1"/>
  <c r="BL290" i="39"/>
  <c r="BG172" i="39"/>
  <c r="BH172" i="39"/>
  <c r="BL172" i="39"/>
  <c r="BG210" i="39"/>
  <c r="BH210" i="39"/>
  <c r="BK210" i="39" s="1"/>
  <c r="BL210" i="39"/>
  <c r="BG297" i="39"/>
  <c r="BH297" i="39"/>
  <c r="BJ297" i="39" s="1"/>
  <c r="BL297" i="39"/>
  <c r="BG308" i="39"/>
  <c r="BH308" i="39"/>
  <c r="BJ308" i="39" s="1"/>
  <c r="BL308" i="39"/>
  <c r="BG341" i="39"/>
  <c r="BH341" i="39"/>
  <c r="BL341" i="39"/>
  <c r="BG78" i="39"/>
  <c r="BH78" i="39"/>
  <c r="BK78" i="39" s="1"/>
  <c r="BL78" i="39"/>
  <c r="BG73" i="39"/>
  <c r="BH73" i="39"/>
  <c r="BK73" i="39" s="1"/>
  <c r="BL73" i="39"/>
  <c r="BG379" i="39"/>
  <c r="BH379" i="39"/>
  <c r="BI379" i="39" s="1"/>
  <c r="BL379" i="39"/>
  <c r="BG273" i="39"/>
  <c r="BH273" i="39"/>
  <c r="BL273" i="39"/>
  <c r="BG274" i="39"/>
  <c r="BH274" i="39"/>
  <c r="BK274" i="39" s="1"/>
  <c r="BL274" i="39"/>
  <c r="BG186" i="39"/>
  <c r="BH186" i="39"/>
  <c r="BI186" i="39" s="1"/>
  <c r="BL186" i="39"/>
  <c r="BG4" i="39"/>
  <c r="BH4" i="39"/>
  <c r="BI4" i="39" s="1"/>
  <c r="BL4" i="39"/>
  <c r="BG288" i="39"/>
  <c r="BH288" i="39"/>
  <c r="BL288" i="39"/>
  <c r="BG294" i="39"/>
  <c r="BH294" i="39"/>
  <c r="BK294" i="39" s="1"/>
  <c r="BL294" i="39"/>
  <c r="BG207" i="39"/>
  <c r="BH207" i="39"/>
  <c r="BI207" i="39" s="1"/>
  <c r="BL207" i="39"/>
  <c r="BG351" i="39"/>
  <c r="BH351" i="39"/>
  <c r="BI351" i="39" s="1"/>
  <c r="BL351" i="39"/>
  <c r="BG275" i="39"/>
  <c r="BH275" i="39"/>
  <c r="BL275" i="39"/>
  <c r="BG52" i="39"/>
  <c r="BH52" i="39"/>
  <c r="BK52" i="39" s="1"/>
  <c r="BL52" i="39"/>
  <c r="BG340" i="39"/>
  <c r="BH340" i="39"/>
  <c r="BI340" i="39" s="1"/>
  <c r="BL340" i="39"/>
  <c r="BG276" i="39"/>
  <c r="BH276" i="39"/>
  <c r="BI276" i="39" s="1"/>
  <c r="BL276" i="39"/>
  <c r="BG329" i="39"/>
  <c r="BH329" i="39"/>
  <c r="BL329" i="39"/>
  <c r="BG295" i="39"/>
  <c r="BH295" i="39"/>
  <c r="BK295" i="39" s="1"/>
  <c r="BL295" i="39"/>
  <c r="BG66" i="39"/>
  <c r="BH66" i="39"/>
  <c r="BJ66" i="39" s="1"/>
  <c r="BL66" i="39"/>
  <c r="BG318" i="39"/>
  <c r="BH318" i="39"/>
  <c r="BI318" i="39" s="1"/>
  <c r="BL318" i="39"/>
  <c r="BG309" i="39"/>
  <c r="BH309" i="39"/>
  <c r="BL309" i="39"/>
  <c r="BG113" i="39"/>
  <c r="BH113" i="39"/>
  <c r="BK113" i="39" s="1"/>
  <c r="BL113" i="39"/>
  <c r="BG2" i="39"/>
  <c r="BH2" i="39"/>
  <c r="BJ2" i="39" s="1"/>
  <c r="BL2" i="39"/>
  <c r="BG153" i="39"/>
  <c r="BH153" i="39"/>
  <c r="BI153" i="39" s="1"/>
  <c r="BL153" i="39"/>
  <c r="BG376" i="39"/>
  <c r="BH376" i="39"/>
  <c r="BL376" i="39"/>
  <c r="BG214" i="39"/>
  <c r="BH214" i="39"/>
  <c r="BK214" i="39" s="1"/>
  <c r="BL214" i="39"/>
  <c r="BG280" i="39"/>
  <c r="BH280" i="39"/>
  <c r="BI280" i="39" s="1"/>
  <c r="BL280" i="39"/>
  <c r="BG281" i="39"/>
  <c r="BH281" i="39"/>
  <c r="BI281" i="39" s="1"/>
  <c r="BL281" i="39"/>
  <c r="BG316" i="39"/>
  <c r="BH316" i="39"/>
  <c r="BL316" i="39"/>
  <c r="BG55" i="39"/>
  <c r="BH55" i="39"/>
  <c r="BK55" i="39" s="1"/>
  <c r="BL55" i="39"/>
  <c r="BG185" i="39"/>
  <c r="BH185" i="39"/>
  <c r="BI185" i="39" s="1"/>
  <c r="AK185" i="39" s="1"/>
  <c r="BL185" i="39"/>
  <c r="BG352" i="39"/>
  <c r="BH352" i="39"/>
  <c r="BI352" i="39" s="1"/>
  <c r="BL352" i="39"/>
  <c r="BG353" i="39"/>
  <c r="BH353" i="39"/>
  <c r="BL353" i="39"/>
  <c r="BG354" i="39"/>
  <c r="BH354" i="39"/>
  <c r="BK354" i="39" s="1"/>
  <c r="BL354" i="39"/>
  <c r="BG355" i="39"/>
  <c r="BH355" i="39"/>
  <c r="BJ355" i="39" s="1"/>
  <c r="BL355" i="39"/>
  <c r="BG356" i="39"/>
  <c r="BH356" i="39"/>
  <c r="BI356" i="39" s="1"/>
  <c r="BL356" i="39"/>
  <c r="BG357" i="39"/>
  <c r="BH357" i="39"/>
  <c r="BL357" i="39"/>
  <c r="BG358" i="39"/>
  <c r="BH358" i="39"/>
  <c r="BK358" i="39" s="1"/>
  <c r="BL358" i="39"/>
  <c r="BG359" i="39"/>
  <c r="BH359" i="39"/>
  <c r="BJ359" i="39" s="1"/>
  <c r="BL359" i="39"/>
  <c r="BG360" i="39"/>
  <c r="BH360" i="39"/>
  <c r="BI360" i="39" s="1"/>
  <c r="BL360" i="39"/>
  <c r="BG361" i="39"/>
  <c r="BH361" i="39"/>
  <c r="BL361" i="39"/>
  <c r="BG362" i="39"/>
  <c r="BH362" i="39"/>
  <c r="BK362" i="39" s="1"/>
  <c r="BL362" i="39"/>
  <c r="BG363" i="39"/>
  <c r="BH363" i="39"/>
  <c r="BI363" i="39" s="1"/>
  <c r="BL363" i="39"/>
  <c r="BG364" i="39"/>
  <c r="BH364" i="39"/>
  <c r="BI364" i="39" s="1"/>
  <c r="BL364" i="39"/>
  <c r="BG365" i="39"/>
  <c r="BH365" i="39"/>
  <c r="BL365" i="39"/>
  <c r="BG366" i="39"/>
  <c r="BH366" i="39"/>
  <c r="BK366" i="39" s="1"/>
  <c r="BL366" i="39"/>
  <c r="BG367" i="39"/>
  <c r="BH367" i="39"/>
  <c r="BK367" i="39" s="1"/>
  <c r="BL367" i="39"/>
  <c r="BH394" i="39"/>
  <c r="BI394" i="39" s="1"/>
  <c r="BL394" i="39"/>
  <c r="BH140" i="39"/>
  <c r="BL140" i="39"/>
  <c r="BH405" i="39"/>
  <c r="BK405" i="39" s="1"/>
  <c r="BL405" i="39"/>
  <c r="BH406" i="39"/>
  <c r="BK406" i="39" s="1"/>
  <c r="BL406" i="39"/>
  <c r="BH407" i="39"/>
  <c r="BI407" i="39" s="1"/>
  <c r="BL407" i="39"/>
  <c r="BH408" i="39"/>
  <c r="BL408" i="39"/>
  <c r="BH409" i="39"/>
  <c r="BK409" i="39" s="1"/>
  <c r="BL409" i="39"/>
  <c r="BH410" i="39"/>
  <c r="BK410" i="39" s="1"/>
  <c r="BL410" i="39"/>
  <c r="BH411" i="39"/>
  <c r="BI411" i="39" s="1"/>
  <c r="BL411" i="39"/>
  <c r="BH395" i="39"/>
  <c r="BL395" i="39"/>
  <c r="BH396" i="39"/>
  <c r="BK396" i="39" s="1"/>
  <c r="BL396" i="39"/>
  <c r="BH397" i="39"/>
  <c r="BJ397" i="39" s="1"/>
  <c r="BL397" i="39"/>
  <c r="BH398" i="39"/>
  <c r="BI398" i="39" s="1"/>
  <c r="BL398" i="39"/>
  <c r="BH399" i="39"/>
  <c r="BL399" i="39"/>
  <c r="BH400" i="39"/>
  <c r="BI400" i="39" s="1"/>
  <c r="BL400" i="39"/>
  <c r="BH401" i="39"/>
  <c r="BI401" i="39" s="1"/>
  <c r="BL401" i="39"/>
  <c r="BH402" i="39"/>
  <c r="BI402" i="39" s="1"/>
  <c r="BL402" i="39"/>
  <c r="BH403" i="39"/>
  <c r="BJ403" i="39" s="1"/>
  <c r="BL403" i="39"/>
  <c r="BH404" i="39"/>
  <c r="BI404" i="39" s="1"/>
  <c r="BL404" i="39"/>
  <c r="BL322" i="39"/>
  <c r="BL344" i="39"/>
  <c r="BL317" i="39"/>
  <c r="BL312" i="39"/>
  <c r="BL119" i="39"/>
  <c r="BL209" i="39"/>
  <c r="BL104" i="39"/>
  <c r="BL320" i="39"/>
  <c r="BL302" i="39"/>
  <c r="BL321" i="39"/>
  <c r="BL213" i="39"/>
  <c r="BL282" i="39"/>
  <c r="BL169" i="39"/>
  <c r="BL208" i="39"/>
  <c r="C34" i="39" l="1"/>
  <c r="O178" i="39"/>
  <c r="CJ34" i="39"/>
  <c r="CK34" i="39" s="1"/>
  <c r="CR34" i="39"/>
  <c r="A34" i="39" s="1"/>
  <c r="BN34" i="39"/>
  <c r="BJ34" i="39"/>
  <c r="BK34" i="39"/>
  <c r="BI34" i="39"/>
  <c r="AK34" i="39" s="1"/>
  <c r="Z6" i="40" s="1"/>
  <c r="BS34" i="39"/>
  <c r="CD34" i="39" s="1"/>
  <c r="BP34" i="39"/>
  <c r="J249" i="39"/>
  <c r="CA249" i="39"/>
  <c r="BJ396" i="39"/>
  <c r="BK401" i="39"/>
  <c r="BK363" i="39"/>
  <c r="BJ363" i="39"/>
  <c r="BJ367" i="39"/>
  <c r="BI367" i="39"/>
  <c r="BK355" i="39"/>
  <c r="BI406" i="39"/>
  <c r="BI403" i="39"/>
  <c r="BK394" i="39"/>
  <c r="BK359" i="39"/>
  <c r="BI410" i="39"/>
  <c r="BJ185" i="39"/>
  <c r="BJ250" i="39"/>
  <c r="BK183" i="39"/>
  <c r="BI250" i="39"/>
  <c r="BK400" i="39"/>
  <c r="BI405" i="39"/>
  <c r="BJ404" i="39"/>
  <c r="BK356" i="39"/>
  <c r="BI354" i="39"/>
  <c r="BI194" i="39"/>
  <c r="BI107" i="39"/>
  <c r="AK107" i="39" s="1"/>
  <c r="BI319" i="39"/>
  <c r="BK207" i="39"/>
  <c r="AK207" i="39" s="1"/>
  <c r="BK308" i="39"/>
  <c r="BI53" i="39"/>
  <c r="AK53" i="39" s="1"/>
  <c r="BI355" i="39"/>
  <c r="BK318" i="39"/>
  <c r="BJ340" i="39"/>
  <c r="BI359" i="39"/>
  <c r="BK404" i="39"/>
  <c r="BI397" i="39"/>
  <c r="BJ410" i="39"/>
  <c r="BJ406" i="39"/>
  <c r="BJ400" i="39"/>
  <c r="BJ336" i="39"/>
  <c r="BJ189" i="39"/>
  <c r="BJ366" i="39"/>
  <c r="BK106" i="39"/>
  <c r="BK296" i="39"/>
  <c r="BJ362" i="39"/>
  <c r="BJ296" i="39"/>
  <c r="BK398" i="39"/>
  <c r="BJ73" i="39"/>
  <c r="BK313" i="39"/>
  <c r="BK411" i="39"/>
  <c r="BK407" i="39"/>
  <c r="BK300" i="39"/>
  <c r="BJ401" i="39"/>
  <c r="BK364" i="39"/>
  <c r="BK397" i="39"/>
  <c r="BK360" i="39"/>
  <c r="BK280" i="39"/>
  <c r="BK153" i="39"/>
  <c r="BI2" i="39"/>
  <c r="AK2" i="39" s="1"/>
  <c r="BI66" i="39"/>
  <c r="AK66" i="39" s="1"/>
  <c r="BI295" i="39"/>
  <c r="BJ52" i="39"/>
  <c r="BK4" i="39"/>
  <c r="BK379" i="39"/>
  <c r="BI73" i="39"/>
  <c r="BI308" i="39"/>
  <c r="BI297" i="39"/>
  <c r="BI290" i="39"/>
  <c r="BI136" i="39"/>
  <c r="AK136" i="39" s="1"/>
  <c r="BI110" i="39"/>
  <c r="AK110" i="39" s="1"/>
  <c r="BJ60" i="39"/>
  <c r="BI8" i="39"/>
  <c r="AK8" i="39" s="1"/>
  <c r="BJ289" i="39"/>
  <c r="BI289" i="39"/>
  <c r="BJ106" i="39"/>
  <c r="BI339" i="39"/>
  <c r="BI315" i="39"/>
  <c r="BJ138" i="39"/>
  <c r="BI138" i="39"/>
  <c r="BI338" i="39"/>
  <c r="BK278" i="39"/>
  <c r="BK347" i="39"/>
  <c r="BJ184" i="39"/>
  <c r="BI184" i="39"/>
  <c r="AK184" i="39" s="1"/>
  <c r="BK377" i="39"/>
  <c r="BI377" i="39"/>
  <c r="BK303" i="39"/>
  <c r="BI303" i="39"/>
  <c r="BI301" i="39"/>
  <c r="BJ130" i="39"/>
  <c r="BI130" i="39"/>
  <c r="BJ107" i="39"/>
  <c r="BI215" i="39"/>
  <c r="BI328" i="39"/>
  <c r="BK293" i="39"/>
  <c r="BI346" i="39"/>
  <c r="BK307" i="39"/>
  <c r="BI299" i="39"/>
  <c r="BI326" i="39"/>
  <c r="BI63" i="39"/>
  <c r="AK63" i="39" s="1"/>
  <c r="BK118" i="39"/>
  <c r="BI306" i="39"/>
  <c r="BK305" i="39"/>
  <c r="BJ154" i="39"/>
  <c r="BI154" i="39"/>
  <c r="AK154" i="39" s="1"/>
  <c r="BK77" i="39"/>
  <c r="BJ3" i="39"/>
  <c r="BK304" i="39"/>
  <c r="BI323" i="39"/>
  <c r="BI284" i="39"/>
  <c r="BK137" i="39"/>
  <c r="BI292" i="39"/>
  <c r="BJ371" i="39"/>
  <c r="BK281" i="39"/>
  <c r="BJ78" i="39"/>
  <c r="BJ136" i="39"/>
  <c r="BJ8" i="39"/>
  <c r="BJ338" i="39"/>
  <c r="BI287" i="39"/>
  <c r="BJ346" i="39"/>
  <c r="BK13" i="39"/>
  <c r="BI112" i="39"/>
  <c r="BK3" i="39"/>
  <c r="BK283" i="39"/>
  <c r="BK276" i="39"/>
  <c r="BJ347" i="39"/>
  <c r="BJ75" i="39"/>
  <c r="BJ300" i="39"/>
  <c r="BJ307" i="39"/>
  <c r="BK326" i="39"/>
  <c r="BK132" i="39"/>
  <c r="AK132" i="39" s="1"/>
  <c r="BJ331" i="39"/>
  <c r="BK323" i="39"/>
  <c r="BK348" i="39"/>
  <c r="BK185" i="39"/>
  <c r="BK351" i="39"/>
  <c r="BK60" i="39"/>
  <c r="BI75" i="39"/>
  <c r="BI331" i="39"/>
  <c r="BJ280" i="39"/>
  <c r="BK2" i="39"/>
  <c r="BK66" i="39"/>
  <c r="BJ379" i="39"/>
  <c r="BJ109" i="39"/>
  <c r="BK53" i="39"/>
  <c r="BK315" i="39"/>
  <c r="BJ349" i="39"/>
  <c r="BJ118" i="39"/>
  <c r="BJ137" i="39"/>
  <c r="BK340" i="39"/>
  <c r="BI109" i="39"/>
  <c r="AK109" i="39" s="1"/>
  <c r="BK336" i="39"/>
  <c r="BI349" i="39"/>
  <c r="BK285" i="39"/>
  <c r="BK342" i="39"/>
  <c r="BJ319" i="39"/>
  <c r="BK371" i="39"/>
  <c r="BK54" i="39"/>
  <c r="BJ285" i="39"/>
  <c r="BJ207" i="39"/>
  <c r="BK186" i="39"/>
  <c r="BK350" i="39"/>
  <c r="BJ63" i="39"/>
  <c r="BK324" i="39"/>
  <c r="BK333" i="39"/>
  <c r="BJ284" i="39"/>
  <c r="BK345" i="39"/>
  <c r="BJ55" i="39"/>
  <c r="BJ186" i="39"/>
  <c r="BK290" i="39"/>
  <c r="BK339" i="39"/>
  <c r="BK194" i="39"/>
  <c r="BJ350" i="39"/>
  <c r="BJ324" i="39"/>
  <c r="BJ345" i="39"/>
  <c r="BJ214" i="39"/>
  <c r="BK311" i="39"/>
  <c r="BJ306" i="39"/>
  <c r="BK189" i="39"/>
  <c r="BK298" i="39"/>
  <c r="BJ292" i="39"/>
  <c r="BJ278" i="39"/>
  <c r="BK215" i="39"/>
  <c r="BJ97" i="39"/>
  <c r="BK332" i="39"/>
  <c r="BJ170" i="39"/>
  <c r="BJ294" i="39"/>
  <c r="BK297" i="39"/>
  <c r="BK110" i="39"/>
  <c r="BK14" i="39"/>
  <c r="BK327" i="39"/>
  <c r="BI97" i="39"/>
  <c r="BJ332" i="39"/>
  <c r="BI170" i="39"/>
  <c r="AK170" i="39" s="1"/>
  <c r="BK287" i="39"/>
  <c r="BJ105" i="39"/>
  <c r="BK112" i="39"/>
  <c r="BJ206" i="39"/>
  <c r="BK352" i="39"/>
  <c r="BI105" i="39"/>
  <c r="AK105" i="39" s="1"/>
  <c r="BI206" i="39"/>
  <c r="BI361" i="39"/>
  <c r="BJ361" i="39"/>
  <c r="BK361" i="39"/>
  <c r="BI376" i="39"/>
  <c r="BJ376" i="39"/>
  <c r="BK376" i="39"/>
  <c r="BI288" i="39"/>
  <c r="BJ288" i="39"/>
  <c r="BK288" i="39"/>
  <c r="BI291" i="39"/>
  <c r="BJ291" i="39"/>
  <c r="BK291" i="39"/>
  <c r="BI408" i="39"/>
  <c r="BJ408" i="39"/>
  <c r="BK408" i="39"/>
  <c r="BI366" i="39"/>
  <c r="BI357" i="39"/>
  <c r="BJ357" i="39"/>
  <c r="BK357" i="39"/>
  <c r="BI55" i="39"/>
  <c r="AK55" i="39" s="1"/>
  <c r="BI309" i="39"/>
  <c r="BJ309" i="39"/>
  <c r="BK309" i="39"/>
  <c r="BI52" i="39"/>
  <c r="BI273" i="39"/>
  <c r="BJ273" i="39"/>
  <c r="BK273" i="39"/>
  <c r="BI78" i="39"/>
  <c r="BI172" i="39"/>
  <c r="AK172" i="39" s="1"/>
  <c r="BJ172" i="39"/>
  <c r="BK172" i="39"/>
  <c r="BI65" i="39"/>
  <c r="AK65" i="39" s="1"/>
  <c r="BJ65" i="39"/>
  <c r="BK65" i="39"/>
  <c r="BI310" i="39"/>
  <c r="BJ310" i="39"/>
  <c r="BK310" i="39"/>
  <c r="BI335" i="39"/>
  <c r="BJ335" i="39"/>
  <c r="BK335" i="39"/>
  <c r="BI182" i="39"/>
  <c r="BJ182" i="39"/>
  <c r="BK182" i="39"/>
  <c r="BI370" i="39"/>
  <c r="BJ370" i="39"/>
  <c r="BK370" i="39"/>
  <c r="BI108" i="39"/>
  <c r="AK108" i="39" s="1"/>
  <c r="BJ108" i="39"/>
  <c r="BK108" i="39"/>
  <c r="BI325" i="39"/>
  <c r="BJ325" i="39"/>
  <c r="BK325" i="39"/>
  <c r="BI67" i="39"/>
  <c r="AK67" i="39" s="1"/>
  <c r="BJ67" i="39"/>
  <c r="BK67" i="39"/>
  <c r="BI211" i="39"/>
  <c r="AK211" i="39" s="1"/>
  <c r="BJ211" i="39"/>
  <c r="BK211" i="39"/>
  <c r="BI314" i="39"/>
  <c r="BJ314" i="39"/>
  <c r="BK314" i="39"/>
  <c r="BJ171" i="39"/>
  <c r="BI395" i="39"/>
  <c r="BJ395" i="39"/>
  <c r="BK395" i="39"/>
  <c r="BI143" i="39"/>
  <c r="AK143" i="39" s="1"/>
  <c r="BJ143" i="39"/>
  <c r="BK143" i="39"/>
  <c r="BI334" i="39"/>
  <c r="BJ334" i="39"/>
  <c r="BK334" i="39"/>
  <c r="BK402" i="39"/>
  <c r="BI396" i="39"/>
  <c r="BI140" i="39"/>
  <c r="BJ140" i="39"/>
  <c r="BK140" i="39"/>
  <c r="BI362" i="39"/>
  <c r="BI353" i="39"/>
  <c r="BJ353" i="39"/>
  <c r="BK353" i="39"/>
  <c r="BI214" i="39"/>
  <c r="AK214" i="39" s="1"/>
  <c r="BI329" i="39"/>
  <c r="BJ329" i="39"/>
  <c r="BK329" i="39"/>
  <c r="BI294" i="39"/>
  <c r="BI286" i="39"/>
  <c r="BJ286" i="39"/>
  <c r="BK286" i="39"/>
  <c r="BI171" i="39"/>
  <c r="AK171" i="39" s="1"/>
  <c r="BI51" i="39"/>
  <c r="BJ51" i="39"/>
  <c r="BK51" i="39"/>
  <c r="BI337" i="39"/>
  <c r="BJ337" i="39"/>
  <c r="BK337" i="39"/>
  <c r="BI79" i="39"/>
  <c r="BJ79" i="39"/>
  <c r="BK79" i="39"/>
  <c r="BJ402" i="39"/>
  <c r="BJ409" i="39"/>
  <c r="BJ358" i="39"/>
  <c r="BJ113" i="39"/>
  <c r="BJ274" i="39"/>
  <c r="BJ210" i="39"/>
  <c r="BJ343" i="39"/>
  <c r="BJ139" i="39"/>
  <c r="BJ181" i="39"/>
  <c r="BJ301" i="39"/>
  <c r="BJ299" i="39"/>
  <c r="BK403" i="39"/>
  <c r="BI399" i="39"/>
  <c r="BJ399" i="39"/>
  <c r="BK399" i="39"/>
  <c r="BI409" i="39"/>
  <c r="BI365" i="39"/>
  <c r="BJ365" i="39"/>
  <c r="BK365" i="39"/>
  <c r="BI358" i="39"/>
  <c r="BI316" i="39"/>
  <c r="BJ316" i="39"/>
  <c r="BK316" i="39"/>
  <c r="BI113" i="39"/>
  <c r="AK113" i="39" s="1"/>
  <c r="BI275" i="39"/>
  <c r="BJ275" i="39"/>
  <c r="BK275" i="39"/>
  <c r="BI274" i="39"/>
  <c r="BI341" i="39"/>
  <c r="BJ341" i="39"/>
  <c r="BK341" i="39"/>
  <c r="BI210" i="39"/>
  <c r="BI279" i="39"/>
  <c r="BJ279" i="39"/>
  <c r="BK279" i="39"/>
  <c r="BI343" i="39"/>
  <c r="BI195" i="39"/>
  <c r="AK195" i="39" s="1"/>
  <c r="BJ195" i="39"/>
  <c r="BK195" i="39"/>
  <c r="BI139" i="39"/>
  <c r="AK139" i="39" s="1"/>
  <c r="BI111" i="39"/>
  <c r="AK111" i="39" s="1"/>
  <c r="BJ111" i="39"/>
  <c r="BK111" i="39"/>
  <c r="BI181" i="39"/>
  <c r="AK181" i="39" s="1"/>
  <c r="BI74" i="39"/>
  <c r="AK74" i="39" s="1"/>
  <c r="BJ74" i="39"/>
  <c r="BK74" i="39"/>
  <c r="BI122" i="39"/>
  <c r="BJ122" i="39"/>
  <c r="BK122" i="39"/>
  <c r="BI277" i="39"/>
  <c r="BJ277" i="39"/>
  <c r="BK277" i="39"/>
  <c r="BI216" i="39"/>
  <c r="BJ216" i="39"/>
  <c r="BK216" i="39"/>
  <c r="BI330" i="39"/>
  <c r="BJ330" i="39"/>
  <c r="BK330" i="39"/>
  <c r="BI249" i="39"/>
  <c r="BJ249" i="39"/>
  <c r="BK249" i="39"/>
  <c r="BJ405" i="39"/>
  <c r="BJ354" i="39"/>
  <c r="BJ295" i="39"/>
  <c r="BJ328" i="39"/>
  <c r="BJ398" i="39"/>
  <c r="BJ411" i="39"/>
  <c r="BJ407" i="39"/>
  <c r="BJ394" i="39"/>
  <c r="BJ364" i="39"/>
  <c r="BJ360" i="39"/>
  <c r="BJ356" i="39"/>
  <c r="BJ352" i="39"/>
  <c r="BJ281" i="39"/>
  <c r="BJ153" i="39"/>
  <c r="BJ318" i="39"/>
  <c r="BJ276" i="39"/>
  <c r="BJ351" i="39"/>
  <c r="BJ4" i="39"/>
  <c r="BJ311" i="39"/>
  <c r="BJ293" i="39"/>
  <c r="BJ14" i="39"/>
  <c r="BJ327" i="39"/>
  <c r="BJ183" i="39"/>
  <c r="BJ13" i="39"/>
  <c r="BJ132" i="39"/>
  <c r="BJ305" i="39"/>
  <c r="BJ342" i="39"/>
  <c r="BJ333" i="39"/>
  <c r="BJ298" i="39"/>
  <c r="BJ77" i="39"/>
  <c r="BJ304" i="39"/>
  <c r="BJ283" i="39"/>
  <c r="BJ348" i="39"/>
  <c r="BJ313" i="39"/>
  <c r="BJ54" i="39"/>
  <c r="M5" i="40"/>
  <c r="I5" i="40"/>
  <c r="AP39" i="39"/>
  <c r="CT50" i="39"/>
  <c r="AX50" i="39" s="1"/>
  <c r="P71" i="40" s="1"/>
  <c r="AP103" i="39"/>
  <c r="B8" i="40"/>
  <c r="B175" i="39" s="1"/>
  <c r="B7" i="40"/>
  <c r="B36" i="39" s="1"/>
  <c r="AP322" i="39"/>
  <c r="AP344" i="39"/>
  <c r="AP317" i="39"/>
  <c r="AP312" i="39"/>
  <c r="AP119" i="39"/>
  <c r="AP209" i="39"/>
  <c r="AP104" i="39"/>
  <c r="AP320" i="39"/>
  <c r="AP302" i="39"/>
  <c r="AP321" i="39"/>
  <c r="AP213" i="39"/>
  <c r="AP282" i="39"/>
  <c r="AP169" i="39"/>
  <c r="AP208" i="39"/>
  <c r="AP54" i="39"/>
  <c r="AP211" i="39"/>
  <c r="AP206" i="39"/>
  <c r="AP345" i="39"/>
  <c r="AP313" i="39"/>
  <c r="AP291" i="39"/>
  <c r="AP170" i="39"/>
  <c r="AP371" i="39"/>
  <c r="AP348" i="39"/>
  <c r="AP292" i="39"/>
  <c r="AP137" i="39"/>
  <c r="AP283" i="39"/>
  <c r="AP79" i="39"/>
  <c r="AP284" i="39"/>
  <c r="AP323" i="39"/>
  <c r="AP304" i="39"/>
  <c r="AP67" i="39"/>
  <c r="AP319" i="39"/>
  <c r="AP3" i="39"/>
  <c r="AP77" i="39"/>
  <c r="AP314" i="39"/>
  <c r="AP112" i="39"/>
  <c r="AP298" i="39"/>
  <c r="AP330" i="39"/>
  <c r="AP331" i="39"/>
  <c r="AP332" i="39"/>
  <c r="AP333" i="39"/>
  <c r="AP337" i="39"/>
  <c r="AP154" i="39"/>
  <c r="AP189" i="39"/>
  <c r="AP342" i="39"/>
  <c r="AP325" i="39"/>
  <c r="AP105" i="39"/>
  <c r="AP324" i="39"/>
  <c r="AP305" i="39"/>
  <c r="AP334" i="39"/>
  <c r="AP97" i="39"/>
  <c r="AP285" i="39"/>
  <c r="AP132" i="39"/>
  <c r="AP216" i="39"/>
  <c r="AP306" i="39"/>
  <c r="AP118" i="39"/>
  <c r="AP13" i="39"/>
  <c r="AP51" i="39"/>
  <c r="AP63" i="39"/>
  <c r="AP326" i="39"/>
  <c r="AP183" i="39"/>
  <c r="AP108" i="39"/>
  <c r="AP299" i="39"/>
  <c r="AP307" i="39"/>
  <c r="AP327" i="39"/>
  <c r="AP171" i="39"/>
  <c r="AP300" i="39"/>
  <c r="AP14" i="39"/>
  <c r="AP277" i="39"/>
  <c r="AP349" i="39"/>
  <c r="AP346" i="39"/>
  <c r="AP293" i="39"/>
  <c r="AP286" i="39"/>
  <c r="AP328" i="39"/>
  <c r="AP287" i="39"/>
  <c r="AP311" i="39"/>
  <c r="AP370" i="39"/>
  <c r="AP75" i="39"/>
  <c r="AP215" i="39"/>
  <c r="AP336" i="39"/>
  <c r="AP122" i="39"/>
  <c r="AP107" i="39"/>
  <c r="AP350" i="39"/>
  <c r="AP130" i="39"/>
  <c r="AP182" i="39"/>
  <c r="AP301" i="39"/>
  <c r="AP303" i="39"/>
  <c r="AP377" i="39"/>
  <c r="AP74" i="39"/>
  <c r="AP184" i="39"/>
  <c r="AP347" i="39"/>
  <c r="AP278" i="39"/>
  <c r="AP335" i="39"/>
  <c r="AP181" i="39"/>
  <c r="AP338" i="39"/>
  <c r="AP194" i="39"/>
  <c r="AP111" i="39"/>
  <c r="AP138" i="39"/>
  <c r="AP296" i="39"/>
  <c r="AP315" i="39"/>
  <c r="AP310" i="39"/>
  <c r="AP139" i="39"/>
  <c r="AP339" i="39"/>
  <c r="AP106" i="39"/>
  <c r="AP195" i="39"/>
  <c r="AP289" i="39"/>
  <c r="AP53" i="39"/>
  <c r="AP8" i="39"/>
  <c r="AP65" i="39"/>
  <c r="AP343" i="39"/>
  <c r="AP60" i="39"/>
  <c r="AP110" i="39"/>
  <c r="AP279" i="39"/>
  <c r="AP109" i="39"/>
  <c r="AP136" i="39"/>
  <c r="AP290" i="39"/>
  <c r="AP172" i="39"/>
  <c r="AP210" i="39"/>
  <c r="AP297" i="39"/>
  <c r="AP308" i="39"/>
  <c r="AP341" i="39"/>
  <c r="AP78" i="39"/>
  <c r="AP73" i="39"/>
  <c r="AP379" i="39"/>
  <c r="AP273" i="39"/>
  <c r="AP274" i="39"/>
  <c r="AP186" i="39"/>
  <c r="AP4" i="39"/>
  <c r="AP288" i="39"/>
  <c r="AP294" i="39"/>
  <c r="AP207" i="39"/>
  <c r="AP351" i="39"/>
  <c r="AP275" i="39"/>
  <c r="AP52" i="39"/>
  <c r="AP340" i="39"/>
  <c r="AP276" i="39"/>
  <c r="AP329" i="39"/>
  <c r="AP295" i="39"/>
  <c r="AP66" i="39"/>
  <c r="AP318" i="39"/>
  <c r="AP309" i="39"/>
  <c r="AP113" i="39"/>
  <c r="AP2" i="39"/>
  <c r="AP153" i="39"/>
  <c r="AP376" i="39"/>
  <c r="AP214" i="39"/>
  <c r="AP280" i="39"/>
  <c r="AP281" i="39"/>
  <c r="AP316" i="39"/>
  <c r="AP55" i="39"/>
  <c r="AP185" i="39"/>
  <c r="AP352" i="39"/>
  <c r="AP353" i="39"/>
  <c r="AP354" i="39"/>
  <c r="AP355" i="39"/>
  <c r="AP356" i="39"/>
  <c r="AP357" i="39"/>
  <c r="AP358" i="39"/>
  <c r="AP359" i="39"/>
  <c r="AP360" i="39"/>
  <c r="AP361" i="39"/>
  <c r="AP362" i="39"/>
  <c r="AP363" i="39"/>
  <c r="AP364" i="39"/>
  <c r="AP365" i="39"/>
  <c r="AP366" i="39"/>
  <c r="AP367" i="39"/>
  <c r="AP394" i="39"/>
  <c r="AP140" i="39"/>
  <c r="AP405" i="39"/>
  <c r="AP406" i="39"/>
  <c r="AP407" i="39"/>
  <c r="AP408" i="39"/>
  <c r="AP409" i="39"/>
  <c r="AP410" i="39"/>
  <c r="AP411" i="39"/>
  <c r="AP395" i="39"/>
  <c r="AP396" i="39"/>
  <c r="AP397" i="39"/>
  <c r="AP398" i="39"/>
  <c r="AP399" i="39"/>
  <c r="AP400" i="39"/>
  <c r="AP401" i="39"/>
  <c r="AP402" i="39"/>
  <c r="AP403" i="39"/>
  <c r="AP404" i="39"/>
  <c r="AK194" i="39" l="1"/>
  <c r="I325" i="42"/>
  <c r="A345" i="41" s="1"/>
  <c r="AA345" i="41" s="1"/>
  <c r="I316" i="42"/>
  <c r="A336" i="41" s="1"/>
  <c r="AA336" i="41" s="1"/>
  <c r="AK183" i="39"/>
  <c r="AK130" i="39"/>
  <c r="AK138" i="39"/>
  <c r="AK182" i="39"/>
  <c r="AK215" i="39"/>
  <c r="C36" i="39"/>
  <c r="C175" i="39"/>
  <c r="BH178" i="39"/>
  <c r="BI178" i="39" s="1"/>
  <c r="BR34" i="39"/>
  <c r="CB34" i="39"/>
  <c r="AP143" i="39"/>
  <c r="CT167" i="39"/>
  <c r="AX167" i="39" s="1"/>
  <c r="P17" i="40" s="1"/>
  <c r="CT162" i="39"/>
  <c r="AX162" i="39" s="1"/>
  <c r="P20" i="40" s="1"/>
  <c r="AP101" i="39"/>
  <c r="CT160" i="39"/>
  <c r="AX160" i="39" s="1"/>
  <c r="P60" i="40" s="1"/>
  <c r="AP92" i="39"/>
  <c r="CT219" i="39"/>
  <c r="AX219" i="39" s="1"/>
  <c r="P69" i="40" s="1"/>
  <c r="AP57" i="39"/>
  <c r="CT163" i="39"/>
  <c r="AX163" i="39" s="1"/>
  <c r="P19" i="40" s="1"/>
  <c r="AP144" i="39"/>
  <c r="CT385" i="39"/>
  <c r="AX385" i="39" s="1"/>
  <c r="P27" i="40" s="1"/>
  <c r="AP205" i="39"/>
  <c r="CT27" i="39"/>
  <c r="AX27" i="39" s="1"/>
  <c r="P35" i="40" s="1"/>
  <c r="AP91" i="39"/>
  <c r="CT29" i="39"/>
  <c r="AX29" i="39" s="1"/>
  <c r="P43" i="40" s="1"/>
  <c r="AP85" i="39"/>
  <c r="CT21" i="39"/>
  <c r="AX21" i="39" s="1"/>
  <c r="P51" i="40" s="1"/>
  <c r="AP72" i="39"/>
  <c r="CT41" i="39"/>
  <c r="AX41" i="39" s="1"/>
  <c r="P59" i="40" s="1"/>
  <c r="AP145" i="39"/>
  <c r="CT124" i="39"/>
  <c r="AX124" i="39" s="1"/>
  <c r="P67" i="40" s="1"/>
  <c r="AP187" i="39"/>
  <c r="CT176" i="39"/>
  <c r="AX176" i="39" s="1"/>
  <c r="P75" i="40" s="1"/>
  <c r="AP116" i="39"/>
  <c r="CT221" i="39"/>
  <c r="AX221" i="39" s="1"/>
  <c r="AP68" i="39"/>
  <c r="CT229" i="39"/>
  <c r="AX229" i="39" s="1"/>
  <c r="AP16" i="39"/>
  <c r="CT237" i="39"/>
  <c r="AX237" i="39" s="1"/>
  <c r="AP11" i="39"/>
  <c r="CT245" i="39"/>
  <c r="AX245" i="39" s="1"/>
  <c r="AP38" i="39"/>
  <c r="CJ38" i="39" s="1"/>
  <c r="CK38" i="39" s="1"/>
  <c r="CT23" i="39"/>
  <c r="AX23" i="39" s="1"/>
  <c r="P28" i="40" s="1"/>
  <c r="AP69" i="39"/>
  <c r="CT230" i="39"/>
  <c r="AX230" i="39" s="1"/>
  <c r="AP125" i="39"/>
  <c r="CT168" i="39"/>
  <c r="AX168" i="39" s="1"/>
  <c r="P29" i="40" s="1"/>
  <c r="AP196" i="39"/>
  <c r="CT192" i="39"/>
  <c r="AX192" i="39" s="1"/>
  <c r="P77" i="40" s="1"/>
  <c r="AP374" i="39"/>
  <c r="CT204" i="39"/>
  <c r="AX204" i="39" s="1"/>
  <c r="P22" i="40" s="1"/>
  <c r="AP121" i="39"/>
  <c r="CT161" i="39"/>
  <c r="AX161" i="39" s="1"/>
  <c r="P30" i="40" s="1"/>
  <c r="AP198" i="39"/>
  <c r="CT129" i="39"/>
  <c r="AX129" i="39" s="1"/>
  <c r="P38" i="40" s="1"/>
  <c r="AP201" i="39"/>
  <c r="CT165" i="39"/>
  <c r="AX165" i="39" s="1"/>
  <c r="P46" i="40" s="1"/>
  <c r="AP126" i="39"/>
  <c r="CT19" i="39"/>
  <c r="AX19" i="39" s="1"/>
  <c r="P54" i="40" s="1"/>
  <c r="AP146" i="39"/>
  <c r="CT45" i="39"/>
  <c r="AX45" i="39" s="1"/>
  <c r="P62" i="40" s="1"/>
  <c r="AP61" i="39"/>
  <c r="CT25" i="39"/>
  <c r="AX25" i="39" s="1"/>
  <c r="P70" i="40" s="1"/>
  <c r="AP56" i="39"/>
  <c r="CT191" i="39"/>
  <c r="AX191" i="39" s="1"/>
  <c r="P78" i="40" s="1"/>
  <c r="AP117" i="39"/>
  <c r="CT224" i="39"/>
  <c r="AX224" i="39" s="1"/>
  <c r="AP70" i="39"/>
  <c r="CT232" i="39"/>
  <c r="AX232" i="39" s="1"/>
  <c r="AP149" i="39"/>
  <c r="CT240" i="39"/>
  <c r="AX240" i="39" s="1"/>
  <c r="AP135" i="39"/>
  <c r="CT248" i="39"/>
  <c r="AX248" i="39" s="1"/>
  <c r="AP59" i="39"/>
  <c r="CT390" i="39"/>
  <c r="AX390" i="39" s="1"/>
  <c r="P52" i="40" s="1"/>
  <c r="AP193" i="39"/>
  <c r="CT30" i="39"/>
  <c r="AX30" i="39" s="1"/>
  <c r="P76" i="40" s="1"/>
  <c r="AP217" i="39"/>
  <c r="CT388" i="39"/>
  <c r="AX388" i="39" s="1"/>
  <c r="P37" i="40" s="1"/>
  <c r="AP87" i="39"/>
  <c r="CT223" i="39"/>
  <c r="AX223" i="39" s="1"/>
  <c r="AP173" i="39"/>
  <c r="CT49" i="39"/>
  <c r="AX49" i="39" s="1"/>
  <c r="P23" i="40" s="1"/>
  <c r="AP151" i="39"/>
  <c r="CT40" i="39"/>
  <c r="AX40" i="39" s="1"/>
  <c r="P31" i="40" s="1"/>
  <c r="AP80" i="39"/>
  <c r="CT128" i="39"/>
  <c r="AX128" i="39" s="1"/>
  <c r="P39" i="40" s="1"/>
  <c r="AP86" i="39"/>
  <c r="CT152" i="39"/>
  <c r="AX152" i="39" s="1"/>
  <c r="P47" i="40" s="1"/>
  <c r="AP6" i="39"/>
  <c r="CJ6" i="39" s="1"/>
  <c r="CK6" i="39" s="1"/>
  <c r="CT20" i="39"/>
  <c r="AX20" i="39" s="1"/>
  <c r="P55" i="40" s="1"/>
  <c r="AP148" i="39"/>
  <c r="CT44" i="39"/>
  <c r="AX44" i="39" s="1"/>
  <c r="P63" i="40" s="1"/>
  <c r="AP142" i="39"/>
  <c r="CT158" i="39"/>
  <c r="AX158" i="39" s="1"/>
  <c r="P79" i="40" s="1"/>
  <c r="AP212" i="39"/>
  <c r="CT225" i="39"/>
  <c r="AX225" i="39" s="1"/>
  <c r="AP174" i="39"/>
  <c r="CT233" i="39"/>
  <c r="AX233" i="39" s="1"/>
  <c r="AP76" i="39"/>
  <c r="CT241" i="39"/>
  <c r="AX241" i="39" s="1"/>
  <c r="AP9" i="39"/>
  <c r="CT64" i="39"/>
  <c r="AX64" i="39" s="1"/>
  <c r="P45" i="40" s="1"/>
  <c r="AP7" i="39"/>
  <c r="CT239" i="39"/>
  <c r="AX239" i="39" s="1"/>
  <c r="AP372" i="39"/>
  <c r="CT202" i="39"/>
  <c r="AX202" i="39" s="1"/>
  <c r="P24" i="40" s="1"/>
  <c r="AP83" i="39"/>
  <c r="CT386" i="39"/>
  <c r="AX386" i="39" s="1"/>
  <c r="P32" i="40" s="1"/>
  <c r="AP82" i="39"/>
  <c r="CT28" i="39"/>
  <c r="AX28" i="39" s="1"/>
  <c r="P40" i="40" s="1"/>
  <c r="AP368" i="39"/>
  <c r="CT156" i="39"/>
  <c r="AX156" i="39" s="1"/>
  <c r="P48" i="40" s="1"/>
  <c r="AP5" i="39"/>
  <c r="CT159" i="39"/>
  <c r="AX159" i="39" s="1"/>
  <c r="P56" i="40" s="1"/>
  <c r="AP96" i="39"/>
  <c r="CT46" i="39"/>
  <c r="AX46" i="39" s="1"/>
  <c r="P64" i="40" s="1"/>
  <c r="AP100" i="39"/>
  <c r="CJ100" i="39" s="1"/>
  <c r="CK100" i="39" s="1"/>
  <c r="CT24" i="39"/>
  <c r="AX24" i="39" s="1"/>
  <c r="P72" i="40" s="1"/>
  <c r="AP62" i="39"/>
  <c r="CT98" i="39"/>
  <c r="AX98" i="39" s="1"/>
  <c r="P80" i="40" s="1"/>
  <c r="AP81" i="39"/>
  <c r="CT226" i="39"/>
  <c r="AX226" i="39" s="1"/>
  <c r="AP71" i="39"/>
  <c r="CT234" i="39"/>
  <c r="AX234" i="39" s="1"/>
  <c r="AP378" i="39"/>
  <c r="CT242" i="39"/>
  <c r="AX242" i="39" s="1"/>
  <c r="AP10" i="39"/>
  <c r="CT387" i="39"/>
  <c r="AX387" i="39" s="1"/>
  <c r="P36" i="40" s="1"/>
  <c r="AP200" i="39"/>
  <c r="CT222" i="39"/>
  <c r="AX222" i="39" s="1"/>
  <c r="AP150" i="39"/>
  <c r="CT391" i="39"/>
  <c r="AX391" i="39" s="1"/>
  <c r="P53" i="40" s="1"/>
  <c r="AP95" i="39"/>
  <c r="CT231" i="39"/>
  <c r="AX231" i="39" s="1"/>
  <c r="AP375" i="39"/>
  <c r="CT48" i="39"/>
  <c r="AX48" i="39" s="1"/>
  <c r="P25" i="40" s="1"/>
  <c r="AP180" i="39"/>
  <c r="CT26" i="39"/>
  <c r="AX26" i="39" s="1"/>
  <c r="P33" i="40" s="1"/>
  <c r="AP199" i="39"/>
  <c r="CT389" i="39"/>
  <c r="AX389" i="39" s="1"/>
  <c r="P41" i="40" s="1"/>
  <c r="AP88" i="39"/>
  <c r="CT22" i="39"/>
  <c r="AX22" i="39" s="1"/>
  <c r="P49" i="40" s="1"/>
  <c r="AP373" i="39"/>
  <c r="CT42" i="39"/>
  <c r="AX42" i="39" s="1"/>
  <c r="P57" i="40" s="1"/>
  <c r="AP93" i="39"/>
  <c r="CT392" i="39"/>
  <c r="AX392" i="39" s="1"/>
  <c r="P65" i="40" s="1"/>
  <c r="AP141" i="39"/>
  <c r="CT393" i="39"/>
  <c r="AX393" i="39" s="1"/>
  <c r="P73" i="40" s="1"/>
  <c r="AP115" i="39"/>
  <c r="CT47" i="39"/>
  <c r="AX47" i="39" s="1"/>
  <c r="P81" i="40" s="1"/>
  <c r="AP114" i="39"/>
  <c r="CT227" i="39"/>
  <c r="AX227" i="39" s="1"/>
  <c r="AP120" i="39"/>
  <c r="CT235" i="39"/>
  <c r="AX235" i="39" s="1"/>
  <c r="AP369" i="39"/>
  <c r="CT243" i="39"/>
  <c r="AX243" i="39" s="1"/>
  <c r="AP133" i="39"/>
  <c r="CT166" i="39"/>
  <c r="AX166" i="39" s="1"/>
  <c r="P44" i="40" s="1"/>
  <c r="AP90" i="39"/>
  <c r="CT18" i="39"/>
  <c r="AX18" i="39" s="1"/>
  <c r="P68" i="40" s="1"/>
  <c r="AP58" i="39"/>
  <c r="CT238" i="39"/>
  <c r="AX238" i="39" s="1"/>
  <c r="AP134" i="39"/>
  <c r="CT157" i="39"/>
  <c r="AX157" i="39" s="1"/>
  <c r="P61" i="40" s="1"/>
  <c r="AP94" i="39"/>
  <c r="CT247" i="39"/>
  <c r="AX247" i="39" s="1"/>
  <c r="AP37" i="39"/>
  <c r="CT31" i="39"/>
  <c r="AX31" i="39" s="1"/>
  <c r="P18" i="40" s="1"/>
  <c r="CT384" i="39"/>
  <c r="AX384" i="39" s="1"/>
  <c r="P26" i="40" s="1"/>
  <c r="AP84" i="39"/>
  <c r="CT131" i="39"/>
  <c r="AX131" i="39" s="1"/>
  <c r="P34" i="40" s="1"/>
  <c r="AP197" i="39"/>
  <c r="CT164" i="39"/>
  <c r="AX164" i="39" s="1"/>
  <c r="P42" i="40" s="1"/>
  <c r="AP89" i="39"/>
  <c r="CT155" i="39"/>
  <c r="AX155" i="39" s="1"/>
  <c r="P50" i="40" s="1"/>
  <c r="AP127" i="39"/>
  <c r="CT43" i="39"/>
  <c r="AX43" i="39" s="1"/>
  <c r="P58" i="40" s="1"/>
  <c r="AP147" i="39"/>
  <c r="CJ147" i="39" s="1"/>
  <c r="CK147" i="39" s="1"/>
  <c r="CT17" i="39"/>
  <c r="AX17" i="39" s="1"/>
  <c r="P66" i="40" s="1"/>
  <c r="AP99" i="39"/>
  <c r="CT123" i="39"/>
  <c r="AX123" i="39" s="1"/>
  <c r="P74" i="40" s="1"/>
  <c r="AP218" i="39"/>
  <c r="CT220" i="39"/>
  <c r="AX220" i="39" s="1"/>
  <c r="AP179" i="39"/>
  <c r="CT228" i="39"/>
  <c r="AX228" i="39" s="1"/>
  <c r="AP15" i="39"/>
  <c r="CT236" i="39"/>
  <c r="AX236" i="39" s="1"/>
  <c r="AP12" i="39"/>
  <c r="CT244" i="39"/>
  <c r="AX244" i="39" s="1"/>
  <c r="AP190" i="39"/>
  <c r="CT246" i="39"/>
  <c r="AX246" i="39" s="1"/>
  <c r="G203" i="39"/>
  <c r="CT203" i="39"/>
  <c r="AX203" i="39" s="1"/>
  <c r="P21" i="40" s="1"/>
  <c r="K33" i="39"/>
  <c r="K23" i="39"/>
  <c r="K166" i="39"/>
  <c r="K160" i="39"/>
  <c r="K30" i="39"/>
  <c r="K230" i="39"/>
  <c r="Q230" i="39"/>
  <c r="N230" i="39" s="1"/>
  <c r="K246" i="39"/>
  <c r="CO246" i="39"/>
  <c r="K382" i="39"/>
  <c r="Q382" i="39"/>
  <c r="K383" i="39"/>
  <c r="Q383" i="39"/>
  <c r="K161" i="39"/>
  <c r="K165" i="39"/>
  <c r="K45" i="39"/>
  <c r="K191" i="39"/>
  <c r="K232" i="39"/>
  <c r="Q232" i="39"/>
  <c r="N232" i="39" s="1"/>
  <c r="K248" i="39"/>
  <c r="Q248" i="39"/>
  <c r="N248" i="39" s="1"/>
  <c r="K32" i="39"/>
  <c r="K40" i="39"/>
  <c r="K152" i="39"/>
  <c r="K44" i="39"/>
  <c r="K158" i="39"/>
  <c r="K233" i="39"/>
  <c r="Q233" i="39"/>
  <c r="N233" i="39" s="1"/>
  <c r="K231" i="39"/>
  <c r="Q231" i="39"/>
  <c r="N231" i="39" s="1"/>
  <c r="K386" i="39"/>
  <c r="Q386" i="39"/>
  <c r="K156" i="39"/>
  <c r="K46" i="39"/>
  <c r="K98" i="39"/>
  <c r="K234" i="39"/>
  <c r="Q234" i="39"/>
  <c r="N234" i="39" s="1"/>
  <c r="K64" i="39"/>
  <c r="K47" i="39"/>
  <c r="K26" i="39"/>
  <c r="K31" i="39"/>
  <c r="K131" i="39"/>
  <c r="K155" i="39"/>
  <c r="K17" i="39"/>
  <c r="K220" i="39"/>
  <c r="Q220" i="39"/>
  <c r="N220" i="39" s="1"/>
  <c r="K236" i="39"/>
  <c r="Q236" i="39"/>
  <c r="N236" i="39" s="1"/>
  <c r="K235" i="39"/>
  <c r="Q235" i="39"/>
  <c r="N235" i="39" s="1"/>
  <c r="K163" i="39"/>
  <c r="K27" i="39"/>
  <c r="K21" i="39"/>
  <c r="K124" i="39"/>
  <c r="K221" i="39"/>
  <c r="Q221" i="39"/>
  <c r="N221" i="39" s="1"/>
  <c r="K237" i="39"/>
  <c r="Q237" i="39"/>
  <c r="N237" i="39" s="1"/>
  <c r="K167" i="39"/>
  <c r="CO380" i="39"/>
  <c r="CO177" i="39"/>
  <c r="CO175" i="39"/>
  <c r="CO36" i="39"/>
  <c r="CO34" i="39"/>
  <c r="CO178" i="39"/>
  <c r="K162" i="39"/>
  <c r="K387" i="39"/>
  <c r="Q387" i="39"/>
  <c r="K390" i="39"/>
  <c r="K18" i="39"/>
  <c r="K222" i="39"/>
  <c r="Q222" i="39"/>
  <c r="N222" i="39" s="1"/>
  <c r="K238" i="39"/>
  <c r="Q238" i="39"/>
  <c r="N238" i="39" s="1"/>
  <c r="K168" i="39"/>
  <c r="K203" i="39"/>
  <c r="K388" i="39"/>
  <c r="Q388" i="39"/>
  <c r="K391" i="39"/>
  <c r="Q391" i="39"/>
  <c r="K219" i="39"/>
  <c r="K223" i="39"/>
  <c r="Q223" i="39"/>
  <c r="N223" i="39" s="1"/>
  <c r="K239" i="39"/>
  <c r="Q239" i="39"/>
  <c r="N239" i="39" s="1"/>
  <c r="K247" i="39"/>
  <c r="Q247" i="39"/>
  <c r="N247" i="39" s="1"/>
  <c r="K392" i="39"/>
  <c r="Q392" i="39"/>
  <c r="K204" i="39"/>
  <c r="K129" i="39"/>
  <c r="K19" i="39"/>
  <c r="K25" i="39"/>
  <c r="K224" i="39"/>
  <c r="Q224" i="39"/>
  <c r="N224" i="39" s="1"/>
  <c r="K240" i="39"/>
  <c r="Q240" i="39"/>
  <c r="N240" i="39" s="1"/>
  <c r="K192" i="39"/>
  <c r="K22" i="39"/>
  <c r="K49" i="39"/>
  <c r="K128" i="39"/>
  <c r="K20" i="39"/>
  <c r="K50" i="39"/>
  <c r="Q225" i="39"/>
  <c r="N225" i="39" s="1"/>
  <c r="K225" i="39"/>
  <c r="Q241" i="39"/>
  <c r="N241" i="39" s="1"/>
  <c r="K241" i="39"/>
  <c r="K157" i="39"/>
  <c r="K24" i="39"/>
  <c r="K159" i="39"/>
  <c r="K48" i="39"/>
  <c r="K389" i="39"/>
  <c r="K42" i="39"/>
  <c r="Q393" i="39"/>
  <c r="K393" i="39"/>
  <c r="Q227" i="39"/>
  <c r="N227" i="39" s="1"/>
  <c r="K227" i="39"/>
  <c r="Q243" i="39"/>
  <c r="N243" i="39" s="1"/>
  <c r="K243" i="39"/>
  <c r="K202" i="39"/>
  <c r="Q226" i="39"/>
  <c r="N226" i="39" s="1"/>
  <c r="K226" i="39"/>
  <c r="CO35" i="39"/>
  <c r="Q384" i="39"/>
  <c r="K384" i="39"/>
  <c r="K164" i="39"/>
  <c r="K43" i="39"/>
  <c r="K123" i="39"/>
  <c r="Q228" i="39"/>
  <c r="N228" i="39" s="1"/>
  <c r="K228" i="39"/>
  <c r="Q244" i="39"/>
  <c r="N244" i="39" s="1"/>
  <c r="K244" i="39"/>
  <c r="K28" i="39"/>
  <c r="Q242" i="39"/>
  <c r="N242" i="39" s="1"/>
  <c r="K242" i="39"/>
  <c r="K381" i="39"/>
  <c r="Q385" i="39"/>
  <c r="K385" i="39"/>
  <c r="K29" i="39"/>
  <c r="K41" i="39"/>
  <c r="K176" i="39"/>
  <c r="Q229" i="39"/>
  <c r="N229" i="39" s="1"/>
  <c r="K229" i="39"/>
  <c r="Q245" i="39"/>
  <c r="N245" i="39" s="1"/>
  <c r="K245" i="39"/>
  <c r="G388" i="39"/>
  <c r="P232" i="39"/>
  <c r="CP380" i="39"/>
  <c r="BO380" i="39"/>
  <c r="BF380" i="39"/>
  <c r="P167" i="39"/>
  <c r="BO167" i="39"/>
  <c r="BF167" i="39"/>
  <c r="CP167" i="39"/>
  <c r="CP48" i="39"/>
  <c r="BO48" i="39"/>
  <c r="BF48" i="39"/>
  <c r="BO26" i="39"/>
  <c r="CP26" i="39"/>
  <c r="BF26" i="39"/>
  <c r="CP389" i="39"/>
  <c r="BO389" i="39"/>
  <c r="BF389" i="39"/>
  <c r="P22" i="39"/>
  <c r="BF22" i="39"/>
  <c r="CP22" i="39"/>
  <c r="BO22" i="39"/>
  <c r="CP42" i="39"/>
  <c r="BF42" i="39"/>
  <c r="BO42" i="39"/>
  <c r="BO392" i="39"/>
  <c r="CP392" i="39"/>
  <c r="BF392" i="39"/>
  <c r="BO393" i="39"/>
  <c r="BF393" i="39"/>
  <c r="CP393" i="39"/>
  <c r="L47" i="39"/>
  <c r="O47" i="39" s="1"/>
  <c r="BH47" i="39" s="1"/>
  <c r="BI47" i="39" s="1"/>
  <c r="BO47" i="39"/>
  <c r="CP47" i="39"/>
  <c r="BF47" i="39"/>
  <c r="CP227" i="39"/>
  <c r="BF227" i="39"/>
  <c r="BO227" i="39"/>
  <c r="CP235" i="39"/>
  <c r="BO235" i="39"/>
  <c r="BF235" i="39"/>
  <c r="BO243" i="39"/>
  <c r="BF243" i="39"/>
  <c r="CP243" i="39"/>
  <c r="B156" i="39"/>
  <c r="CP156" i="39"/>
  <c r="BO156" i="39"/>
  <c r="BF156" i="39"/>
  <c r="CP234" i="39"/>
  <c r="BO234" i="39"/>
  <c r="BF234" i="39"/>
  <c r="CP35" i="39"/>
  <c r="BO35" i="39"/>
  <c r="BF35" i="39"/>
  <c r="CP31" i="39"/>
  <c r="BO31" i="39"/>
  <c r="BF31" i="39"/>
  <c r="CP384" i="39"/>
  <c r="BO384" i="39"/>
  <c r="BF384" i="39"/>
  <c r="CP131" i="39"/>
  <c r="BO131" i="39"/>
  <c r="BF131" i="39"/>
  <c r="CP164" i="39"/>
  <c r="BO164" i="39"/>
  <c r="BF164" i="39"/>
  <c r="CP155" i="39"/>
  <c r="BO155" i="39"/>
  <c r="BF155" i="39"/>
  <c r="CP43" i="39"/>
  <c r="BO43" i="39"/>
  <c r="BF43" i="39"/>
  <c r="CP17" i="39"/>
  <c r="BO17" i="39"/>
  <c r="BF17" i="39"/>
  <c r="CP123" i="39"/>
  <c r="BO123" i="39"/>
  <c r="BF123" i="39"/>
  <c r="CP220" i="39"/>
  <c r="BO220" i="39"/>
  <c r="BF220" i="39"/>
  <c r="G228" i="39"/>
  <c r="J228" i="39" s="1"/>
  <c r="CP228" i="39"/>
  <c r="BO228" i="39"/>
  <c r="BF228" i="39"/>
  <c r="CP236" i="39"/>
  <c r="BO236" i="39"/>
  <c r="BF236" i="39"/>
  <c r="CP244" i="39"/>
  <c r="BO244" i="39"/>
  <c r="BF244" i="39"/>
  <c r="CP159" i="39"/>
  <c r="BO159" i="39"/>
  <c r="BF159" i="39"/>
  <c r="CP242" i="39"/>
  <c r="BO242" i="39"/>
  <c r="BF242" i="39"/>
  <c r="CP381" i="39"/>
  <c r="BO381" i="39"/>
  <c r="BF381" i="39"/>
  <c r="CP163" i="39"/>
  <c r="BO163" i="39"/>
  <c r="BF163" i="39"/>
  <c r="L385" i="39"/>
  <c r="O385" i="39" s="1"/>
  <c r="BH385" i="39" s="1"/>
  <c r="BI385" i="39" s="1"/>
  <c r="CP385" i="39"/>
  <c r="BO385" i="39"/>
  <c r="BF385" i="39"/>
  <c r="L27" i="39"/>
  <c r="O27" i="39" s="1"/>
  <c r="BH27" i="39" s="1"/>
  <c r="BI27" i="39" s="1"/>
  <c r="CP27" i="39"/>
  <c r="BO27" i="39"/>
  <c r="BF27" i="39"/>
  <c r="B29" i="39"/>
  <c r="CP29" i="39"/>
  <c r="BO29" i="39"/>
  <c r="BF29" i="39"/>
  <c r="L21" i="39"/>
  <c r="O21" i="39" s="1"/>
  <c r="BH21" i="39" s="1"/>
  <c r="BJ21" i="39" s="1"/>
  <c r="CP21" i="39"/>
  <c r="BO21" i="39"/>
  <c r="BF21" i="39"/>
  <c r="CP41" i="39"/>
  <c r="BO41" i="39"/>
  <c r="BF41" i="39"/>
  <c r="L124" i="39"/>
  <c r="O124" i="39" s="1"/>
  <c r="BH124" i="39" s="1"/>
  <c r="BJ124" i="39" s="1"/>
  <c r="CP124" i="39"/>
  <c r="BO124" i="39"/>
  <c r="BF124" i="39"/>
  <c r="CP176" i="39"/>
  <c r="BO176" i="39"/>
  <c r="BF176" i="39"/>
  <c r="B221" i="39"/>
  <c r="CP221" i="39"/>
  <c r="BO221" i="39"/>
  <c r="BF221" i="39"/>
  <c r="L229" i="39"/>
  <c r="O229" i="39" s="1"/>
  <c r="BH229" i="39" s="1"/>
  <c r="BI229" i="39" s="1"/>
  <c r="CP229" i="39"/>
  <c r="BO229" i="39"/>
  <c r="BF229" i="39"/>
  <c r="B237" i="39"/>
  <c r="CP237" i="39"/>
  <c r="BO237" i="39"/>
  <c r="BF237" i="39"/>
  <c r="CP245" i="39"/>
  <c r="BO245" i="39"/>
  <c r="BF245" i="39"/>
  <c r="CP177" i="39"/>
  <c r="BO177" i="39"/>
  <c r="BF177" i="39"/>
  <c r="CP28" i="39"/>
  <c r="BO28" i="39"/>
  <c r="BF28" i="39"/>
  <c r="CP226" i="39"/>
  <c r="BO226" i="39"/>
  <c r="BF226" i="39"/>
  <c r="CP33" i="39"/>
  <c r="BO33" i="39"/>
  <c r="BF33" i="39"/>
  <c r="CP162" i="39"/>
  <c r="BO162" i="39"/>
  <c r="BF162" i="39"/>
  <c r="L23" i="39"/>
  <c r="O23" i="39" s="1"/>
  <c r="BH23" i="39" s="1"/>
  <c r="BK23" i="39" s="1"/>
  <c r="CP23" i="39"/>
  <c r="BO23" i="39"/>
  <c r="BF23" i="39"/>
  <c r="S387" i="39"/>
  <c r="CP387" i="39"/>
  <c r="BO387" i="39"/>
  <c r="BF387" i="39"/>
  <c r="CP166" i="39"/>
  <c r="BO166" i="39"/>
  <c r="BF166" i="39"/>
  <c r="CP390" i="39"/>
  <c r="BO390" i="39"/>
  <c r="BF390" i="39"/>
  <c r="L160" i="39"/>
  <c r="O160" i="39" s="1"/>
  <c r="BH160" i="39" s="1"/>
  <c r="BI160" i="39" s="1"/>
  <c r="CP160" i="39"/>
  <c r="BO160" i="39"/>
  <c r="BF160" i="39"/>
  <c r="CP18" i="39"/>
  <c r="BO18" i="39"/>
  <c r="BF18" i="39"/>
  <c r="CP30" i="39"/>
  <c r="BO30" i="39"/>
  <c r="BF30" i="39"/>
  <c r="CO222" i="39"/>
  <c r="CP222" i="39"/>
  <c r="BO222" i="39"/>
  <c r="BF222" i="39"/>
  <c r="L230" i="39"/>
  <c r="O230" i="39" s="1"/>
  <c r="BH230" i="39" s="1"/>
  <c r="BK230" i="39" s="1"/>
  <c r="CP230" i="39"/>
  <c r="BO230" i="39"/>
  <c r="BF230" i="39"/>
  <c r="CP238" i="39"/>
  <c r="BO238" i="39"/>
  <c r="BF238" i="39"/>
  <c r="CP246" i="39"/>
  <c r="BO246" i="39"/>
  <c r="BF246" i="39"/>
  <c r="CP202" i="39"/>
  <c r="BO202" i="39"/>
  <c r="BF202" i="39"/>
  <c r="CP46" i="39"/>
  <c r="BO46" i="39"/>
  <c r="BF46" i="39"/>
  <c r="CP382" i="39"/>
  <c r="BO382" i="39"/>
  <c r="BF382" i="39"/>
  <c r="CP203" i="39"/>
  <c r="BO203" i="39"/>
  <c r="BF203" i="39"/>
  <c r="CP168" i="39"/>
  <c r="BO168" i="39"/>
  <c r="BF168" i="39"/>
  <c r="CP388" i="39"/>
  <c r="BO388" i="39"/>
  <c r="BF388" i="39"/>
  <c r="CP64" i="39"/>
  <c r="BO64" i="39"/>
  <c r="BF64" i="39"/>
  <c r="CP391" i="39"/>
  <c r="BO391" i="39"/>
  <c r="BF391" i="39"/>
  <c r="CP157" i="39"/>
  <c r="BO157" i="39"/>
  <c r="BF157" i="39"/>
  <c r="CP219" i="39"/>
  <c r="BO219" i="39"/>
  <c r="BF219" i="39"/>
  <c r="CP192" i="39"/>
  <c r="BO192" i="39"/>
  <c r="BF192" i="39"/>
  <c r="CO223" i="39"/>
  <c r="CP223" i="39"/>
  <c r="BO223" i="39"/>
  <c r="BF223" i="39"/>
  <c r="G231" i="39"/>
  <c r="J231" i="39" s="1"/>
  <c r="CP231" i="39"/>
  <c r="BO231" i="39"/>
  <c r="BF231" i="39"/>
  <c r="G239" i="39"/>
  <c r="J239" i="39" s="1"/>
  <c r="CP239" i="39"/>
  <c r="BO239" i="39"/>
  <c r="BF239" i="39"/>
  <c r="CP247" i="39"/>
  <c r="BO247" i="39"/>
  <c r="BF247" i="39"/>
  <c r="CP386" i="39"/>
  <c r="BO386" i="39"/>
  <c r="BF386" i="39"/>
  <c r="CP98" i="39"/>
  <c r="BO98" i="39"/>
  <c r="BF98" i="39"/>
  <c r="CP36" i="39"/>
  <c r="BO36" i="39"/>
  <c r="BF36" i="39"/>
  <c r="P383" i="39"/>
  <c r="CP383" i="39"/>
  <c r="BO383" i="39"/>
  <c r="BF383" i="39"/>
  <c r="CP204" i="39"/>
  <c r="BO204" i="39"/>
  <c r="BF204" i="39"/>
  <c r="P161" i="39"/>
  <c r="CP161" i="39"/>
  <c r="BO161" i="39"/>
  <c r="BF161" i="39"/>
  <c r="L129" i="39"/>
  <c r="O129" i="39" s="1"/>
  <c r="BH129" i="39" s="1"/>
  <c r="BJ129" i="39" s="1"/>
  <c r="CP129" i="39"/>
  <c r="BO129" i="39"/>
  <c r="BF129" i="39"/>
  <c r="P165" i="39"/>
  <c r="CP165" i="39"/>
  <c r="BO165" i="39"/>
  <c r="BF165" i="39"/>
  <c r="CP19" i="39"/>
  <c r="BO19" i="39"/>
  <c r="BF19" i="39"/>
  <c r="CP45" i="39"/>
  <c r="BO45" i="39"/>
  <c r="BF45" i="39"/>
  <c r="S25" i="39"/>
  <c r="CP25" i="39"/>
  <c r="BO25" i="39"/>
  <c r="BF25" i="39"/>
  <c r="P191" i="39"/>
  <c r="CP191" i="39"/>
  <c r="BO191" i="39"/>
  <c r="BF191" i="39"/>
  <c r="CP224" i="39"/>
  <c r="BO224" i="39"/>
  <c r="BF224" i="39"/>
  <c r="B232" i="39"/>
  <c r="CP232" i="39"/>
  <c r="BO232" i="39"/>
  <c r="BF232" i="39"/>
  <c r="S240" i="39"/>
  <c r="CP240" i="39"/>
  <c r="BO240" i="39"/>
  <c r="BF240" i="39"/>
  <c r="P248" i="39"/>
  <c r="CP248" i="39"/>
  <c r="BO248" i="39"/>
  <c r="BF248" i="39"/>
  <c r="S232" i="39"/>
  <c r="CP24" i="39"/>
  <c r="BO24" i="39"/>
  <c r="BF24" i="39"/>
  <c r="CP175" i="39"/>
  <c r="BO175" i="39"/>
  <c r="BF175" i="39"/>
  <c r="P32" i="39"/>
  <c r="CP32" i="39"/>
  <c r="BO32" i="39"/>
  <c r="BF32" i="39"/>
  <c r="CP49" i="39"/>
  <c r="BO49" i="39"/>
  <c r="BF49" i="39"/>
  <c r="CP40" i="39"/>
  <c r="BO40" i="39"/>
  <c r="BF40" i="39"/>
  <c r="CP128" i="39"/>
  <c r="BO128" i="39"/>
  <c r="BF128" i="39"/>
  <c r="P152" i="39"/>
  <c r="CP152" i="39"/>
  <c r="BO152" i="39"/>
  <c r="BF152" i="39"/>
  <c r="P20" i="39"/>
  <c r="CP20" i="39"/>
  <c r="BO20" i="39"/>
  <c r="BF20" i="39"/>
  <c r="CP44" i="39"/>
  <c r="BO44" i="39"/>
  <c r="BF44" i="39"/>
  <c r="CP50" i="39"/>
  <c r="BO50" i="39"/>
  <c r="BF50" i="39"/>
  <c r="P158" i="39"/>
  <c r="CP158" i="39"/>
  <c r="BO158" i="39"/>
  <c r="BF158" i="39"/>
  <c r="G225" i="39"/>
  <c r="J225" i="39" s="1"/>
  <c r="CP225" i="39"/>
  <c r="BO225" i="39"/>
  <c r="BF225" i="39"/>
  <c r="CP233" i="39"/>
  <c r="BO233" i="39"/>
  <c r="BF233" i="39"/>
  <c r="CP241" i="39"/>
  <c r="BO241" i="39"/>
  <c r="BF241" i="39"/>
  <c r="B240" i="39"/>
  <c r="S40" i="39"/>
  <c r="G161" i="39"/>
  <c r="G40" i="39"/>
  <c r="CO239" i="39"/>
  <c r="S129" i="39"/>
  <c r="L19" i="39"/>
  <c r="O19" i="39" s="1"/>
  <c r="BH19" i="39" s="1"/>
  <c r="BI19" i="39" s="1"/>
  <c r="G391" i="39"/>
  <c r="L41" i="39"/>
  <c r="O41" i="39" s="1"/>
  <c r="BH41" i="39" s="1"/>
  <c r="BI41" i="39" s="1"/>
  <c r="G157" i="39"/>
  <c r="L45" i="39"/>
  <c r="O45" i="39" s="1"/>
  <c r="BH45" i="39" s="1"/>
  <c r="BI45" i="39" s="1"/>
  <c r="AK45" i="39" s="1"/>
  <c r="Z62" i="40" s="1"/>
  <c r="G45" i="39"/>
  <c r="P204" i="39"/>
  <c r="G44" i="39"/>
  <c r="P40" i="39"/>
  <c r="G25" i="39"/>
  <c r="B165" i="39"/>
  <c r="G233" i="39"/>
  <c r="J233" i="39" s="1"/>
  <c r="P19" i="39"/>
  <c r="B19" i="39"/>
  <c r="I400" i="42" s="1"/>
  <c r="A10" i="41" s="1"/>
  <c r="AA10" i="41" s="1"/>
  <c r="B158" i="39"/>
  <c r="S162" i="39"/>
  <c r="B233" i="39"/>
  <c r="S204" i="39"/>
  <c r="B152" i="39"/>
  <c r="G387" i="39"/>
  <c r="G219" i="39"/>
  <c r="L25" i="39"/>
  <c r="O25" i="39" s="1"/>
  <c r="BH25" i="39" s="1"/>
  <c r="BI25" i="39" s="1"/>
  <c r="AK25" i="39" s="1"/>
  <c r="Z70" i="40" s="1"/>
  <c r="P390" i="39"/>
  <c r="L221" i="39"/>
  <c r="O221" i="39" s="1"/>
  <c r="BH221" i="39" s="1"/>
  <c r="BJ221" i="39" s="1"/>
  <c r="B20" i="39"/>
  <c r="G129" i="39"/>
  <c r="G50" i="39"/>
  <c r="L224" i="39"/>
  <c r="O224" i="39" s="1"/>
  <c r="BH224" i="39" s="1"/>
  <c r="BI224" i="39" s="1"/>
  <c r="P160" i="39"/>
  <c r="S152" i="39"/>
  <c r="B241" i="39"/>
  <c r="G128" i="39"/>
  <c r="G158" i="39"/>
  <c r="P45" i="39"/>
  <c r="S19" i="39"/>
  <c r="G33" i="39"/>
  <c r="G166" i="39"/>
  <c r="G222" i="39"/>
  <c r="J222" i="39" s="1"/>
  <c r="L232" i="39"/>
  <c r="O232" i="39" s="1"/>
  <c r="BH232" i="39" s="1"/>
  <c r="BI232" i="39" s="1"/>
  <c r="P44" i="39"/>
  <c r="S20" i="39"/>
  <c r="G382" i="39"/>
  <c r="G64" i="39"/>
  <c r="G223" i="39"/>
  <c r="J223" i="39" s="1"/>
  <c r="L240" i="39"/>
  <c r="O240" i="39" s="1"/>
  <c r="BH240" i="39" s="1"/>
  <c r="BI240" i="39" s="1"/>
  <c r="P50" i="39"/>
  <c r="S45" i="39"/>
  <c r="G383" i="39"/>
  <c r="G165" i="39"/>
  <c r="G230" i="39"/>
  <c r="J230" i="39" s="1"/>
  <c r="BH36" i="39"/>
  <c r="BI36" i="39" s="1"/>
  <c r="AK36" i="39" s="1"/>
  <c r="Z7" i="40" s="1"/>
  <c r="P222" i="39"/>
  <c r="S158" i="39"/>
  <c r="G32" i="39"/>
  <c r="G152" i="39"/>
  <c r="L163" i="39"/>
  <c r="O163" i="39" s="1"/>
  <c r="BH163" i="39" s="1"/>
  <c r="BI163" i="39" s="1"/>
  <c r="AK163" i="39" s="1"/>
  <c r="Z19" i="40" s="1"/>
  <c r="P224" i="39"/>
  <c r="S224" i="39"/>
  <c r="B191" i="39"/>
  <c r="G162" i="39"/>
  <c r="G390" i="39"/>
  <c r="G232" i="39"/>
  <c r="J232" i="39" s="1"/>
  <c r="L204" i="39"/>
  <c r="O204" i="39" s="1"/>
  <c r="BH204" i="39" s="1"/>
  <c r="BI204" i="39" s="1"/>
  <c r="P162" i="39"/>
  <c r="P230" i="39"/>
  <c r="S225" i="39"/>
  <c r="B224" i="39"/>
  <c r="G204" i="39"/>
  <c r="G19" i="39"/>
  <c r="L161" i="39"/>
  <c r="O161" i="39" s="1"/>
  <c r="BH161" i="39" s="1"/>
  <c r="BI161" i="39" s="1"/>
  <c r="P49" i="39"/>
  <c r="P128" i="39"/>
  <c r="B225" i="39"/>
  <c r="G49" i="39"/>
  <c r="G20" i="39"/>
  <c r="G240" i="39"/>
  <c r="J240" i="39" s="1"/>
  <c r="P23" i="39"/>
  <c r="G23" i="39"/>
  <c r="G160" i="39"/>
  <c r="G241" i="39"/>
  <c r="J241" i="39" s="1"/>
  <c r="S32" i="39"/>
  <c r="S202" i="39"/>
  <c r="P202" i="39"/>
  <c r="L202" i="39"/>
  <c r="O202" i="39" s="1"/>
  <c r="BH202" i="39" s="1"/>
  <c r="G202" i="39"/>
  <c r="S159" i="39"/>
  <c r="P159" i="39"/>
  <c r="L159" i="39"/>
  <c r="O159" i="39" s="1"/>
  <c r="BH159" i="39" s="1"/>
  <c r="G159" i="39"/>
  <c r="S98" i="39"/>
  <c r="P98" i="39"/>
  <c r="L98" i="39"/>
  <c r="O98" i="39" s="1"/>
  <c r="BH98" i="39" s="1"/>
  <c r="B98" i="39"/>
  <c r="G98" i="39"/>
  <c r="CO234" i="39"/>
  <c r="S234" i="39"/>
  <c r="P234" i="39"/>
  <c r="G234" i="39"/>
  <c r="J234" i="39" s="1"/>
  <c r="B234" i="39"/>
  <c r="L234" i="39"/>
  <c r="O234" i="39" s="1"/>
  <c r="BH234" i="39" s="1"/>
  <c r="P47" i="39"/>
  <c r="BH177" i="39"/>
  <c r="S28" i="39"/>
  <c r="G28" i="39"/>
  <c r="P28" i="39"/>
  <c r="L28" i="39"/>
  <c r="O28" i="39" s="1"/>
  <c r="BH28" i="39" s="1"/>
  <c r="S24" i="39"/>
  <c r="G24" i="39"/>
  <c r="P24" i="39"/>
  <c r="L24" i="39"/>
  <c r="O24" i="39" s="1"/>
  <c r="BH24" i="39" s="1"/>
  <c r="S22" i="39"/>
  <c r="B22" i="39"/>
  <c r="G22" i="39"/>
  <c r="S156" i="39"/>
  <c r="P156" i="39"/>
  <c r="L156" i="39"/>
  <c r="O156" i="39" s="1"/>
  <c r="BH156" i="39" s="1"/>
  <c r="G156" i="39"/>
  <c r="CO226" i="39"/>
  <c r="S226" i="39"/>
  <c r="G226" i="39"/>
  <c r="J226" i="39" s="1"/>
  <c r="P226" i="39"/>
  <c r="L226" i="39"/>
  <c r="O226" i="39" s="1"/>
  <c r="BH226" i="39" s="1"/>
  <c r="B226" i="39"/>
  <c r="CO242" i="39"/>
  <c r="S242" i="39"/>
  <c r="P242" i="39"/>
  <c r="B242" i="39"/>
  <c r="I267" i="42" s="1"/>
  <c r="A140" i="41" s="1"/>
  <c r="AA140" i="41" s="1"/>
  <c r="G242" i="39"/>
  <c r="J242" i="39" s="1"/>
  <c r="L242" i="39"/>
  <c r="O242" i="39" s="1"/>
  <c r="BH242" i="39" s="1"/>
  <c r="S26" i="39"/>
  <c r="G26" i="39"/>
  <c r="P26" i="39"/>
  <c r="L26" i="39"/>
  <c r="O26" i="39" s="1"/>
  <c r="BH26" i="39" s="1"/>
  <c r="S386" i="39"/>
  <c r="G386" i="39"/>
  <c r="P386" i="39"/>
  <c r="L386" i="39"/>
  <c r="O386" i="39" s="1"/>
  <c r="BH386" i="39" s="1"/>
  <c r="S46" i="39"/>
  <c r="G46" i="39"/>
  <c r="P46" i="39"/>
  <c r="L46" i="39"/>
  <c r="O46" i="39" s="1"/>
  <c r="BH46" i="39" s="1"/>
  <c r="S167" i="39"/>
  <c r="G167" i="39"/>
  <c r="S42" i="39"/>
  <c r="P42" i="39"/>
  <c r="L42" i="39"/>
  <c r="O42" i="39" s="1"/>
  <c r="BH42" i="39" s="1"/>
  <c r="G42" i="39"/>
  <c r="S47" i="39"/>
  <c r="G47" i="39"/>
  <c r="CO243" i="39"/>
  <c r="S243" i="39"/>
  <c r="G243" i="39"/>
  <c r="J243" i="39" s="1"/>
  <c r="L243" i="39"/>
  <c r="O243" i="39" s="1"/>
  <c r="BH243" i="39" s="1"/>
  <c r="B243" i="39"/>
  <c r="P384" i="39"/>
  <c r="L384" i="39"/>
  <c r="O384" i="39" s="1"/>
  <c r="BH384" i="39" s="1"/>
  <c r="G384" i="39"/>
  <c r="S384" i="39"/>
  <c r="S155" i="39"/>
  <c r="G155" i="39"/>
  <c r="B155" i="39"/>
  <c r="I401" i="42" s="1"/>
  <c r="A11" i="41" s="1"/>
  <c r="AA11" i="41" s="1"/>
  <c r="P155" i="39"/>
  <c r="L155" i="39"/>
  <c r="O155" i="39" s="1"/>
  <c r="BH155" i="39" s="1"/>
  <c r="S123" i="39"/>
  <c r="G123" i="39"/>
  <c r="P123" i="39"/>
  <c r="L123" i="39"/>
  <c r="O123" i="39" s="1"/>
  <c r="BH123" i="39" s="1"/>
  <c r="CO236" i="39"/>
  <c r="S236" i="39"/>
  <c r="G236" i="39"/>
  <c r="J236" i="39" s="1"/>
  <c r="L236" i="39"/>
  <c r="O236" i="39" s="1"/>
  <c r="BH236" i="39" s="1"/>
  <c r="P236" i="39"/>
  <c r="B236" i="39"/>
  <c r="L22" i="39"/>
  <c r="O22" i="39" s="1"/>
  <c r="BH22" i="39" s="1"/>
  <c r="BH380" i="39"/>
  <c r="S389" i="39"/>
  <c r="B389" i="39"/>
  <c r="G389" i="39"/>
  <c r="P389" i="39"/>
  <c r="L389" i="39"/>
  <c r="O389" i="39" s="1"/>
  <c r="BH389" i="39" s="1"/>
  <c r="S393" i="39"/>
  <c r="G393" i="39"/>
  <c r="P393" i="39"/>
  <c r="L393" i="39"/>
  <c r="O393" i="39" s="1"/>
  <c r="BH393" i="39" s="1"/>
  <c r="CO235" i="39"/>
  <c r="S235" i="39"/>
  <c r="G235" i="39"/>
  <c r="J235" i="39" s="1"/>
  <c r="B235" i="39"/>
  <c r="L235" i="39"/>
  <c r="O235" i="39" s="1"/>
  <c r="BH235" i="39" s="1"/>
  <c r="P235" i="39"/>
  <c r="G31" i="39"/>
  <c r="S31" i="39"/>
  <c r="P31" i="39"/>
  <c r="L31" i="39"/>
  <c r="O31" i="39" s="1"/>
  <c r="BH31" i="39" s="1"/>
  <c r="G164" i="39"/>
  <c r="S164" i="39"/>
  <c r="B164" i="39"/>
  <c r="P164" i="39"/>
  <c r="L164" i="39"/>
  <c r="O164" i="39" s="1"/>
  <c r="BH164" i="39" s="1"/>
  <c r="S17" i="39"/>
  <c r="G17" i="39"/>
  <c r="P17" i="39"/>
  <c r="L17" i="39"/>
  <c r="O17" i="39" s="1"/>
  <c r="BH17" i="39" s="1"/>
  <c r="P243" i="39"/>
  <c r="S48" i="39"/>
  <c r="P48" i="39"/>
  <c r="L48" i="39"/>
  <c r="O48" i="39" s="1"/>
  <c r="BH48" i="39" s="1"/>
  <c r="G48" i="39"/>
  <c r="S392" i="39"/>
  <c r="G392" i="39"/>
  <c r="P392" i="39"/>
  <c r="L392" i="39"/>
  <c r="O392" i="39" s="1"/>
  <c r="BH392" i="39" s="1"/>
  <c r="CO227" i="39"/>
  <c r="S227" i="39"/>
  <c r="G227" i="39"/>
  <c r="J227" i="39" s="1"/>
  <c r="P227" i="39"/>
  <c r="L227" i="39"/>
  <c r="O227" i="39" s="1"/>
  <c r="BH227" i="39" s="1"/>
  <c r="B227" i="39"/>
  <c r="BH35" i="39"/>
  <c r="G131" i="39"/>
  <c r="P131" i="39"/>
  <c r="L131" i="39"/>
  <c r="O131" i="39" s="1"/>
  <c r="BH131" i="39" s="1"/>
  <c r="S131" i="39"/>
  <c r="S43" i="39"/>
  <c r="P43" i="39"/>
  <c r="L43" i="39"/>
  <c r="O43" i="39" s="1"/>
  <c r="BH43" i="39" s="1"/>
  <c r="G43" i="39"/>
  <c r="CO220" i="39"/>
  <c r="S220" i="39"/>
  <c r="G220" i="39"/>
  <c r="J220" i="39" s="1"/>
  <c r="B220" i="39"/>
  <c r="P220" i="39"/>
  <c r="L220" i="39"/>
  <c r="O220" i="39" s="1"/>
  <c r="BH220" i="39" s="1"/>
  <c r="CO228" i="39"/>
  <c r="S228" i="39"/>
  <c r="P228" i="39"/>
  <c r="L228" i="39"/>
  <c r="O228" i="39" s="1"/>
  <c r="BH228" i="39" s="1"/>
  <c r="B228" i="39"/>
  <c r="CO244" i="39"/>
  <c r="S244" i="39"/>
  <c r="P244" i="39"/>
  <c r="G244" i="39"/>
  <c r="J244" i="39" s="1"/>
  <c r="B244" i="39"/>
  <c r="L244" i="39"/>
  <c r="O244" i="39" s="1"/>
  <c r="BH244" i="39" s="1"/>
  <c r="B28" i="39"/>
  <c r="L167" i="39"/>
  <c r="O167" i="39" s="1"/>
  <c r="BH167" i="39" s="1"/>
  <c r="P246" i="39"/>
  <c r="S385" i="39"/>
  <c r="P385" i="39"/>
  <c r="S176" i="39"/>
  <c r="G176" i="39"/>
  <c r="P176" i="39"/>
  <c r="CO245" i="39"/>
  <c r="S245" i="39"/>
  <c r="G245" i="39"/>
  <c r="J245" i="39" s="1"/>
  <c r="P245" i="39"/>
  <c r="L162" i="39"/>
  <c r="O162" i="39" s="1"/>
  <c r="BH162" i="39" s="1"/>
  <c r="L390" i="39"/>
  <c r="O390" i="39" s="1"/>
  <c r="BH390" i="39" s="1"/>
  <c r="L222" i="39"/>
  <c r="O222" i="39" s="1"/>
  <c r="BH222" i="39" s="1"/>
  <c r="S381" i="39"/>
  <c r="P381" i="39"/>
  <c r="S21" i="39"/>
  <c r="P21" i="39"/>
  <c r="CO229" i="39"/>
  <c r="S229" i="39"/>
  <c r="G229" i="39"/>
  <c r="J229" i="39" s="1"/>
  <c r="P229" i="39"/>
  <c r="S390" i="39"/>
  <c r="S160" i="39"/>
  <c r="S18" i="39"/>
  <c r="S30" i="39"/>
  <c r="S222" i="39"/>
  <c r="S230" i="39"/>
  <c r="S238" i="39"/>
  <c r="S246" i="39"/>
  <c r="L381" i="39"/>
  <c r="O381" i="39" s="1"/>
  <c r="BH381" i="39" s="1"/>
  <c r="L29" i="39"/>
  <c r="O29" i="39" s="1"/>
  <c r="BH29" i="39" s="1"/>
  <c r="L176" i="39"/>
  <c r="O176" i="39" s="1"/>
  <c r="BH176" i="39" s="1"/>
  <c r="L245" i="39"/>
  <c r="O245" i="39" s="1"/>
  <c r="BH245" i="39" s="1"/>
  <c r="P33" i="39"/>
  <c r="P166" i="39"/>
  <c r="P30" i="39"/>
  <c r="P225" i="39"/>
  <c r="S128" i="39"/>
  <c r="S44" i="39"/>
  <c r="S233" i="39"/>
  <c r="S41" i="39"/>
  <c r="P41" i="39"/>
  <c r="S382" i="39"/>
  <c r="P382" i="39"/>
  <c r="L382" i="39"/>
  <c r="O382" i="39" s="1"/>
  <c r="BH382" i="39" s="1"/>
  <c r="S203" i="39"/>
  <c r="P203" i="39"/>
  <c r="L203" i="39"/>
  <c r="O203" i="39" s="1"/>
  <c r="BH203" i="39" s="1"/>
  <c r="S168" i="39"/>
  <c r="P168" i="39"/>
  <c r="L168" i="39"/>
  <c r="O168" i="39" s="1"/>
  <c r="BH168" i="39" s="1"/>
  <c r="S388" i="39"/>
  <c r="P388" i="39"/>
  <c r="L388" i="39"/>
  <c r="O388" i="39" s="1"/>
  <c r="BH388" i="39" s="1"/>
  <c r="S64" i="39"/>
  <c r="P64" i="39"/>
  <c r="L64" i="39"/>
  <c r="O64" i="39" s="1"/>
  <c r="BH64" i="39" s="1"/>
  <c r="S391" i="39"/>
  <c r="P391" i="39"/>
  <c r="L391" i="39"/>
  <c r="O391" i="39" s="1"/>
  <c r="BH391" i="39" s="1"/>
  <c r="S157" i="39"/>
  <c r="P157" i="39"/>
  <c r="L157" i="39"/>
  <c r="O157" i="39" s="1"/>
  <c r="BH157" i="39" s="1"/>
  <c r="S219" i="39"/>
  <c r="P219" i="39"/>
  <c r="L219" i="39"/>
  <c r="O219" i="39" s="1"/>
  <c r="BH219" i="39" s="1"/>
  <c r="S192" i="39"/>
  <c r="P192" i="39"/>
  <c r="L192" i="39"/>
  <c r="O192" i="39" s="1"/>
  <c r="BH192" i="39" s="1"/>
  <c r="S223" i="39"/>
  <c r="P223" i="39"/>
  <c r="L223" i="39"/>
  <c r="O223" i="39" s="1"/>
  <c r="BH223" i="39" s="1"/>
  <c r="S231" i="39"/>
  <c r="P231" i="39"/>
  <c r="L231" i="39"/>
  <c r="O231" i="39" s="1"/>
  <c r="BH231" i="39" s="1"/>
  <c r="S239" i="39"/>
  <c r="P239" i="39"/>
  <c r="L239" i="39"/>
  <c r="O239" i="39" s="1"/>
  <c r="BH239" i="39" s="1"/>
  <c r="S247" i="39"/>
  <c r="P247" i="39"/>
  <c r="L247" i="39"/>
  <c r="O247" i="39" s="1"/>
  <c r="BH247" i="39" s="1"/>
  <c r="B21" i="39"/>
  <c r="B176" i="39"/>
  <c r="B229" i="39"/>
  <c r="B245" i="39"/>
  <c r="G30" i="39"/>
  <c r="G224" i="39"/>
  <c r="J224" i="39" s="1"/>
  <c r="G246" i="39"/>
  <c r="O33" i="39"/>
  <c r="BH33" i="39" s="1"/>
  <c r="L166" i="39"/>
  <c r="O166" i="39" s="1"/>
  <c r="BH166" i="39" s="1"/>
  <c r="L30" i="39"/>
  <c r="O30" i="39" s="1"/>
  <c r="BH30" i="39" s="1"/>
  <c r="L246" i="39"/>
  <c r="O246" i="39" s="1"/>
  <c r="BH246" i="39" s="1"/>
  <c r="P238" i="39"/>
  <c r="CO230" i="39"/>
  <c r="P163" i="39"/>
  <c r="S29" i="39"/>
  <c r="P29" i="39"/>
  <c r="CO221" i="39"/>
  <c r="S221" i="39"/>
  <c r="G221" i="39"/>
  <c r="J221" i="39" s="1"/>
  <c r="P221" i="39"/>
  <c r="CO237" i="39"/>
  <c r="S237" i="39"/>
  <c r="G237" i="39"/>
  <c r="J237" i="39" s="1"/>
  <c r="P237" i="39"/>
  <c r="CO224" i="39"/>
  <c r="CO232" i="39"/>
  <c r="CO240" i="39"/>
  <c r="B166" i="39"/>
  <c r="I405" i="42" s="1"/>
  <c r="A15" i="41" s="1"/>
  <c r="AA15" i="41" s="1"/>
  <c r="B390" i="39"/>
  <c r="B30" i="39"/>
  <c r="B222" i="39"/>
  <c r="B230" i="39"/>
  <c r="B238" i="39"/>
  <c r="G192" i="39"/>
  <c r="G247" i="39"/>
  <c r="J247" i="39" s="1"/>
  <c r="L383" i="39"/>
  <c r="O383" i="39" s="1"/>
  <c r="BH383" i="39" s="1"/>
  <c r="L165" i="39"/>
  <c r="O165" i="39" s="1"/>
  <c r="BH165" i="39" s="1"/>
  <c r="L191" i="39"/>
  <c r="O191" i="39" s="1"/>
  <c r="BH191" i="39" s="1"/>
  <c r="L237" i="39"/>
  <c r="O237" i="39" s="1"/>
  <c r="BH237" i="39" s="1"/>
  <c r="L248" i="39"/>
  <c r="O248" i="39" s="1"/>
  <c r="BH248" i="39" s="1"/>
  <c r="P387" i="39"/>
  <c r="P18" i="39"/>
  <c r="P240" i="39"/>
  <c r="S33" i="39"/>
  <c r="S23" i="39"/>
  <c r="S166" i="39"/>
  <c r="S50" i="39"/>
  <c r="S241" i="39"/>
  <c r="CO231" i="39"/>
  <c r="S27" i="39"/>
  <c r="P27" i="39"/>
  <c r="S124" i="39"/>
  <c r="G124" i="39"/>
  <c r="P124" i="39"/>
  <c r="BH175" i="39"/>
  <c r="L32" i="39"/>
  <c r="O32" i="39" s="1"/>
  <c r="BH32" i="39" s="1"/>
  <c r="L49" i="39"/>
  <c r="O49" i="39" s="1"/>
  <c r="BH49" i="39" s="1"/>
  <c r="L40" i="39"/>
  <c r="O40" i="39" s="1"/>
  <c r="BH40" i="39" s="1"/>
  <c r="L128" i="39"/>
  <c r="O128" i="39" s="1"/>
  <c r="BH128" i="39" s="1"/>
  <c r="L152" i="39"/>
  <c r="O152" i="39" s="1"/>
  <c r="BH152" i="39" s="1"/>
  <c r="L20" i="39"/>
  <c r="O20" i="39" s="1"/>
  <c r="BH20" i="39" s="1"/>
  <c r="L44" i="39"/>
  <c r="O44" i="39" s="1"/>
  <c r="BH44" i="39" s="1"/>
  <c r="L50" i="39"/>
  <c r="O50" i="39" s="1"/>
  <c r="BH50" i="39" s="1"/>
  <c r="L158" i="39"/>
  <c r="O158" i="39" s="1"/>
  <c r="BH158" i="39" s="1"/>
  <c r="L225" i="39"/>
  <c r="O225" i="39" s="1"/>
  <c r="BH225" i="39" s="1"/>
  <c r="CO225" i="39"/>
  <c r="P233" i="39"/>
  <c r="L233" i="39"/>
  <c r="O233" i="39" s="1"/>
  <c r="BH233" i="39" s="1"/>
  <c r="CO233" i="39"/>
  <c r="P241" i="39"/>
  <c r="L241" i="39"/>
  <c r="O241" i="39" s="1"/>
  <c r="BH241" i="39" s="1"/>
  <c r="CO241" i="39"/>
  <c r="B64" i="39"/>
  <c r="B391" i="39"/>
  <c r="B192" i="39"/>
  <c r="I332" i="42" s="1"/>
  <c r="A352" i="41" s="1"/>
  <c r="AA352" i="41" s="1"/>
  <c r="B223" i="39"/>
  <c r="B231" i="39"/>
  <c r="B239" i="39"/>
  <c r="G381" i="39"/>
  <c r="G163" i="39"/>
  <c r="G385" i="39"/>
  <c r="G27" i="39"/>
  <c r="G29" i="39"/>
  <c r="G21" i="39"/>
  <c r="G41" i="39"/>
  <c r="G18" i="39"/>
  <c r="G191" i="39"/>
  <c r="G238" i="39"/>
  <c r="J238" i="39" s="1"/>
  <c r="G248" i="39"/>
  <c r="J248" i="39" s="1"/>
  <c r="L387" i="39"/>
  <c r="O387" i="39" s="1"/>
  <c r="BH387" i="39" s="1"/>
  <c r="L18" i="39"/>
  <c r="O18" i="39" s="1"/>
  <c r="BH18" i="39" s="1"/>
  <c r="L238" i="39"/>
  <c r="O238" i="39" s="1"/>
  <c r="BH238" i="39" s="1"/>
  <c r="P129" i="39"/>
  <c r="P25" i="39"/>
  <c r="S383" i="39"/>
  <c r="S161" i="39"/>
  <c r="S165" i="39"/>
  <c r="S191" i="39"/>
  <c r="S248" i="39"/>
  <c r="CO238" i="39"/>
  <c r="B120" i="40"/>
  <c r="B119" i="40"/>
  <c r="B118" i="40"/>
  <c r="B117" i="40"/>
  <c r="B116" i="40"/>
  <c r="B115" i="40"/>
  <c r="B114" i="40"/>
  <c r="B113" i="40"/>
  <c r="B112" i="40"/>
  <c r="B111" i="40"/>
  <c r="B249" i="39" s="1"/>
  <c r="B110" i="40"/>
  <c r="B248" i="39" s="1"/>
  <c r="B109" i="40"/>
  <c r="B247" i="39" s="1"/>
  <c r="B108" i="40"/>
  <c r="B246" i="39" s="1"/>
  <c r="B107" i="40"/>
  <c r="B106" i="40"/>
  <c r="B105" i="40"/>
  <c r="B104" i="40"/>
  <c r="B103" i="40"/>
  <c r="B102" i="40"/>
  <c r="B101" i="40"/>
  <c r="B100" i="40"/>
  <c r="B99" i="40"/>
  <c r="B98" i="40"/>
  <c r="B74" i="40"/>
  <c r="B123" i="39" s="1"/>
  <c r="B73" i="40"/>
  <c r="B393" i="39" s="1"/>
  <c r="B72" i="40"/>
  <c r="B24" i="39" s="1"/>
  <c r="B71" i="40"/>
  <c r="B50" i="39" s="1"/>
  <c r="B70" i="40"/>
  <c r="B25" i="39" s="1"/>
  <c r="B69" i="40"/>
  <c r="B219" i="39" s="1"/>
  <c r="B68" i="40"/>
  <c r="B18" i="39" s="1"/>
  <c r="B67" i="40"/>
  <c r="B124" i="39" s="1"/>
  <c r="B66" i="40"/>
  <c r="AP22" i="39" s="1"/>
  <c r="B65" i="40"/>
  <c r="B392" i="39" s="1"/>
  <c r="B64" i="40"/>
  <c r="B46" i="39" s="1"/>
  <c r="B63" i="40"/>
  <c r="B44" i="39" s="1"/>
  <c r="B62" i="40"/>
  <c r="B45" i="39" s="1"/>
  <c r="B61" i="40"/>
  <c r="B157" i="39" s="1"/>
  <c r="B60" i="40"/>
  <c r="B160" i="39" s="1"/>
  <c r="B59" i="40"/>
  <c r="B41" i="39" s="1"/>
  <c r="B58" i="40"/>
  <c r="B43" i="39" s="1"/>
  <c r="B57" i="40"/>
  <c r="B42" i="39" s="1"/>
  <c r="B56" i="40"/>
  <c r="B159" i="39" s="1"/>
  <c r="B39" i="40"/>
  <c r="B128" i="39" s="1"/>
  <c r="I399" i="42" s="1"/>
  <c r="A9" i="41" s="1"/>
  <c r="AA9" i="41" s="1"/>
  <c r="B38" i="40"/>
  <c r="B129" i="39" s="1"/>
  <c r="B37" i="40"/>
  <c r="B388" i="39" s="1"/>
  <c r="B36" i="40"/>
  <c r="B387" i="39" s="1"/>
  <c r="B35" i="40"/>
  <c r="B27" i="39" s="1"/>
  <c r="B34" i="40"/>
  <c r="B131" i="39" s="1"/>
  <c r="B33" i="40"/>
  <c r="B26" i="39" s="1"/>
  <c r="B32" i="40"/>
  <c r="B386" i="39" s="1"/>
  <c r="B31" i="40"/>
  <c r="B40" i="39" s="1"/>
  <c r="B30" i="40"/>
  <c r="B161" i="39" s="1"/>
  <c r="B29" i="40"/>
  <c r="B168" i="39" s="1"/>
  <c r="B28" i="40"/>
  <c r="B23" i="39" s="1"/>
  <c r="B27" i="40"/>
  <c r="B385" i="39" s="1"/>
  <c r="B26" i="40"/>
  <c r="B384" i="39" s="1"/>
  <c r="B25" i="40"/>
  <c r="B48" i="39" s="1"/>
  <c r="B24" i="40"/>
  <c r="B202" i="39" s="1"/>
  <c r="B23" i="40"/>
  <c r="B49" i="39" s="1"/>
  <c r="B22" i="40"/>
  <c r="B204" i="39" s="1"/>
  <c r="I410" i="42" s="1"/>
  <c r="A20" i="41" s="1"/>
  <c r="AA20" i="41" s="1"/>
  <c r="B21" i="40"/>
  <c r="B203" i="39" s="1"/>
  <c r="B20" i="40"/>
  <c r="B162" i="39" s="1"/>
  <c r="B19" i="40"/>
  <c r="B163" i="39" s="1"/>
  <c r="B18" i="40"/>
  <c r="B31" i="39" s="1"/>
  <c r="B17" i="40"/>
  <c r="B167" i="39" s="1"/>
  <c r="B16" i="40"/>
  <c r="B32" i="39" s="1"/>
  <c r="B15" i="40"/>
  <c r="B383" i="39" s="1"/>
  <c r="B14" i="40"/>
  <c r="B382" i="39" s="1"/>
  <c r="B13" i="40"/>
  <c r="B33" i="39" s="1"/>
  <c r="B12" i="40"/>
  <c r="B11" i="40"/>
  <c r="B35" i="39" s="1"/>
  <c r="B380" i="39"/>
  <c r="B9" i="40"/>
  <c r="B177" i="39" s="1"/>
  <c r="CI248" i="39"/>
  <c r="CC248" i="39"/>
  <c r="BX248" i="39"/>
  <c r="BV248" i="39"/>
  <c r="BQ248" i="39"/>
  <c r="CI247" i="39"/>
  <c r="CC247" i="39"/>
  <c r="BX247" i="39"/>
  <c r="BV247" i="39"/>
  <c r="BQ247" i="39"/>
  <c r="CI246" i="39"/>
  <c r="CC246" i="39"/>
  <c r="BX246" i="39"/>
  <c r="BV246" i="39"/>
  <c r="BQ246" i="39"/>
  <c r="CI245" i="39"/>
  <c r="CC245" i="39"/>
  <c r="BX245" i="39"/>
  <c r="BV245" i="39"/>
  <c r="BQ245" i="39"/>
  <c r="CI244" i="39"/>
  <c r="CC244" i="39"/>
  <c r="BX244" i="39"/>
  <c r="BV244" i="39"/>
  <c r="BQ244" i="39"/>
  <c r="CI243" i="39"/>
  <c r="CC243" i="39"/>
  <c r="BX243" i="39"/>
  <c r="BV243" i="39"/>
  <c r="BQ243" i="39"/>
  <c r="CI242" i="39"/>
  <c r="CC242" i="39"/>
  <c r="BX242" i="39"/>
  <c r="BV242" i="39"/>
  <c r="BQ242" i="39"/>
  <c r="CI241" i="39"/>
  <c r="CC241" i="39"/>
  <c r="BX241" i="39"/>
  <c r="BV241" i="39"/>
  <c r="BQ241" i="39"/>
  <c r="CI240" i="39"/>
  <c r="CC240" i="39"/>
  <c r="BX240" i="39"/>
  <c r="BV240" i="39"/>
  <c r="BQ240" i="39"/>
  <c r="CI239" i="39"/>
  <c r="CC239" i="39"/>
  <c r="BX239" i="39"/>
  <c r="BV239" i="39"/>
  <c r="BQ239" i="39"/>
  <c r="CI238" i="39"/>
  <c r="CC238" i="39"/>
  <c r="BX238" i="39"/>
  <c r="BV238" i="39"/>
  <c r="BQ238" i="39"/>
  <c r="CI237" i="39"/>
  <c r="CC237" i="39"/>
  <c r="BX237" i="39"/>
  <c r="BV237" i="39"/>
  <c r="BQ237" i="39"/>
  <c r="CI236" i="39"/>
  <c r="CC236" i="39"/>
  <c r="BX236" i="39"/>
  <c r="BV236" i="39"/>
  <c r="BQ236" i="39"/>
  <c r="CI235" i="39"/>
  <c r="CC235" i="39"/>
  <c r="BX235" i="39"/>
  <c r="BV235" i="39"/>
  <c r="BQ235" i="39"/>
  <c r="CI234" i="39"/>
  <c r="CC234" i="39"/>
  <c r="BX234" i="39"/>
  <c r="BV234" i="39"/>
  <c r="BQ234" i="39"/>
  <c r="CI233" i="39"/>
  <c r="CC233" i="39"/>
  <c r="BX233" i="39"/>
  <c r="BV233" i="39"/>
  <c r="BQ233" i="39"/>
  <c r="CI232" i="39"/>
  <c r="CC232" i="39"/>
  <c r="BX232" i="39"/>
  <c r="BV232" i="39"/>
  <c r="BQ232" i="39"/>
  <c r="CI231" i="39"/>
  <c r="CC231" i="39"/>
  <c r="BX231" i="39"/>
  <c r="BV231" i="39"/>
  <c r="BQ231" i="39"/>
  <c r="CI230" i="39"/>
  <c r="CC230" i="39"/>
  <c r="BX230" i="39"/>
  <c r="BV230" i="39"/>
  <c r="BQ230" i="39"/>
  <c r="CI229" i="39"/>
  <c r="CC229" i="39"/>
  <c r="BX229" i="39"/>
  <c r="BV229" i="39"/>
  <c r="BQ229" i="39"/>
  <c r="CI228" i="39"/>
  <c r="CC228" i="39"/>
  <c r="BX228" i="39"/>
  <c r="BV228" i="39"/>
  <c r="BQ228" i="39"/>
  <c r="CI227" i="39"/>
  <c r="CC227" i="39"/>
  <c r="BX227" i="39"/>
  <c r="BV227" i="39"/>
  <c r="BQ227" i="39"/>
  <c r="CI226" i="39"/>
  <c r="CC226" i="39"/>
  <c r="BX226" i="39"/>
  <c r="BV226" i="39"/>
  <c r="BQ226" i="39"/>
  <c r="CI225" i="39"/>
  <c r="CC225" i="39"/>
  <c r="BX225" i="39"/>
  <c r="BV225" i="39"/>
  <c r="BQ225" i="39"/>
  <c r="CI224" i="39"/>
  <c r="CC224" i="39"/>
  <c r="BX224" i="39"/>
  <c r="BV224" i="39"/>
  <c r="BQ224" i="39"/>
  <c r="CI223" i="39"/>
  <c r="CC223" i="39"/>
  <c r="BX223" i="39"/>
  <c r="BV223" i="39"/>
  <c r="BQ223" i="39"/>
  <c r="CI222" i="39"/>
  <c r="CC222" i="39"/>
  <c r="BX222" i="39"/>
  <c r="BV222" i="39"/>
  <c r="BQ222" i="39"/>
  <c r="CI221" i="39"/>
  <c r="CC221" i="39"/>
  <c r="BX221" i="39"/>
  <c r="BV221" i="39"/>
  <c r="BQ221" i="39"/>
  <c r="CI220" i="39"/>
  <c r="CC220" i="39"/>
  <c r="BX220" i="39"/>
  <c r="BV220" i="39"/>
  <c r="BQ220" i="39"/>
  <c r="CI47" i="39"/>
  <c r="CC47" i="39"/>
  <c r="BX47" i="39"/>
  <c r="BV47" i="39"/>
  <c r="BQ47" i="39"/>
  <c r="CI98" i="39"/>
  <c r="CC98" i="39"/>
  <c r="BX98" i="39"/>
  <c r="BV98" i="39"/>
  <c r="BQ98" i="39"/>
  <c r="CI158" i="39"/>
  <c r="CC158" i="39"/>
  <c r="BX158" i="39"/>
  <c r="BV158" i="39"/>
  <c r="BQ158" i="39"/>
  <c r="CI191" i="39"/>
  <c r="CC191" i="39"/>
  <c r="BX191" i="39"/>
  <c r="BV191" i="39"/>
  <c r="BQ191" i="39"/>
  <c r="CI192" i="39"/>
  <c r="CC192" i="39"/>
  <c r="BX192" i="39"/>
  <c r="BV192" i="39"/>
  <c r="BQ192" i="39"/>
  <c r="CI30" i="39"/>
  <c r="CC30" i="39"/>
  <c r="BX30" i="39"/>
  <c r="BV30" i="39"/>
  <c r="BQ30" i="39"/>
  <c r="CI176" i="39"/>
  <c r="CC176" i="39"/>
  <c r="BX176" i="39"/>
  <c r="BV176" i="39"/>
  <c r="BQ176" i="39"/>
  <c r="CI123" i="39"/>
  <c r="CC123" i="39"/>
  <c r="BX123" i="39"/>
  <c r="BV123" i="39"/>
  <c r="BQ123" i="39"/>
  <c r="CI393" i="39"/>
  <c r="CC393" i="39"/>
  <c r="BX393" i="39"/>
  <c r="BV393" i="39"/>
  <c r="BQ393" i="39"/>
  <c r="CI24" i="39"/>
  <c r="CC24" i="39"/>
  <c r="BX24" i="39"/>
  <c r="BV24" i="39"/>
  <c r="BQ24" i="39"/>
  <c r="CI50" i="39"/>
  <c r="CC50" i="39"/>
  <c r="BX50" i="39"/>
  <c r="BV50" i="39"/>
  <c r="BQ50" i="39"/>
  <c r="CI25" i="39"/>
  <c r="CC25" i="39"/>
  <c r="BX25" i="39"/>
  <c r="BV25" i="39"/>
  <c r="BQ25" i="39"/>
  <c r="CI219" i="39"/>
  <c r="CC219" i="39"/>
  <c r="BX219" i="39"/>
  <c r="BV219" i="39"/>
  <c r="BQ219" i="39"/>
  <c r="CI18" i="39"/>
  <c r="CC18" i="39"/>
  <c r="BX18" i="39"/>
  <c r="BV18" i="39"/>
  <c r="BQ18" i="39"/>
  <c r="CI124" i="39"/>
  <c r="CC124" i="39"/>
  <c r="BX124" i="39"/>
  <c r="BV124" i="39"/>
  <c r="BQ124" i="39"/>
  <c r="CI17" i="39"/>
  <c r="CC17" i="39"/>
  <c r="BX17" i="39"/>
  <c r="BV17" i="39"/>
  <c r="BQ17" i="39"/>
  <c r="CI392" i="39"/>
  <c r="CC392" i="39"/>
  <c r="BX392" i="39"/>
  <c r="BV392" i="39"/>
  <c r="BQ392" i="39"/>
  <c r="CI46" i="39"/>
  <c r="CC46" i="39"/>
  <c r="BX46" i="39"/>
  <c r="BV46" i="39"/>
  <c r="BQ46" i="39"/>
  <c r="CI44" i="39"/>
  <c r="CC44" i="39"/>
  <c r="BX44" i="39"/>
  <c r="BV44" i="39"/>
  <c r="BQ44" i="39"/>
  <c r="CI45" i="39"/>
  <c r="CC45" i="39"/>
  <c r="BX45" i="39"/>
  <c r="BV45" i="39"/>
  <c r="BQ45" i="39"/>
  <c r="CI157" i="39"/>
  <c r="CC157" i="39"/>
  <c r="BX157" i="39"/>
  <c r="BV157" i="39"/>
  <c r="BQ157" i="39"/>
  <c r="CI160" i="39"/>
  <c r="CC160" i="39"/>
  <c r="BX160" i="39"/>
  <c r="BV160" i="39"/>
  <c r="BQ160" i="39"/>
  <c r="CI41" i="39"/>
  <c r="CC41" i="39"/>
  <c r="BX41" i="39"/>
  <c r="BV41" i="39"/>
  <c r="BQ41" i="39"/>
  <c r="CI43" i="39"/>
  <c r="CC43" i="39"/>
  <c r="BX43" i="39"/>
  <c r="BV43" i="39"/>
  <c r="BQ43" i="39"/>
  <c r="CI42" i="39"/>
  <c r="CC42" i="39"/>
  <c r="BX42" i="39"/>
  <c r="BV42" i="39"/>
  <c r="BQ42" i="39"/>
  <c r="CI159" i="39"/>
  <c r="CC159" i="39"/>
  <c r="BX159" i="39"/>
  <c r="BV159" i="39"/>
  <c r="BQ159" i="39"/>
  <c r="CI20" i="39"/>
  <c r="CC20" i="39"/>
  <c r="BX20" i="39"/>
  <c r="BV20" i="39"/>
  <c r="BQ20" i="39"/>
  <c r="CI19" i="39"/>
  <c r="CC19" i="39"/>
  <c r="BX19" i="39"/>
  <c r="BV19" i="39"/>
  <c r="BQ19" i="39"/>
  <c r="CI391" i="39"/>
  <c r="CC391" i="39"/>
  <c r="BX391" i="39"/>
  <c r="BV391" i="39"/>
  <c r="BQ391" i="39"/>
  <c r="CI390" i="39"/>
  <c r="CC390" i="39"/>
  <c r="BX390" i="39"/>
  <c r="BV390" i="39"/>
  <c r="BQ390" i="39"/>
  <c r="CI21" i="39"/>
  <c r="CC21" i="39"/>
  <c r="BX21" i="39"/>
  <c r="BV21" i="39"/>
  <c r="BQ21" i="39"/>
  <c r="CI155" i="39"/>
  <c r="CC155" i="39"/>
  <c r="BX155" i="39"/>
  <c r="BV155" i="39"/>
  <c r="BQ155" i="39"/>
  <c r="CI22" i="39"/>
  <c r="CC22" i="39"/>
  <c r="BX22" i="39"/>
  <c r="BV22" i="39"/>
  <c r="BQ22" i="39"/>
  <c r="CI156" i="39"/>
  <c r="CC156" i="39"/>
  <c r="BX156" i="39"/>
  <c r="BV156" i="39"/>
  <c r="BQ156" i="39"/>
  <c r="CI152" i="39"/>
  <c r="CC152" i="39"/>
  <c r="BX152" i="39"/>
  <c r="BV152" i="39"/>
  <c r="BQ152" i="39"/>
  <c r="CI165" i="39"/>
  <c r="CC165" i="39"/>
  <c r="BX165" i="39"/>
  <c r="BV165" i="39"/>
  <c r="BQ165" i="39"/>
  <c r="CI64" i="39"/>
  <c r="CC64" i="39"/>
  <c r="BX64" i="39"/>
  <c r="BV64" i="39"/>
  <c r="BQ64" i="39"/>
  <c r="CI166" i="39"/>
  <c r="CC166" i="39"/>
  <c r="BX166" i="39"/>
  <c r="BV166" i="39"/>
  <c r="BQ166" i="39"/>
  <c r="CI29" i="39"/>
  <c r="CC29" i="39"/>
  <c r="BX29" i="39"/>
  <c r="BV29" i="39"/>
  <c r="BQ29" i="39"/>
  <c r="CI164" i="39"/>
  <c r="CC164" i="39"/>
  <c r="BX164" i="39"/>
  <c r="BV164" i="39"/>
  <c r="BQ164" i="39"/>
  <c r="CI389" i="39"/>
  <c r="CC389" i="39"/>
  <c r="BX389" i="39"/>
  <c r="BV389" i="39"/>
  <c r="BQ389" i="39"/>
  <c r="CI28" i="39"/>
  <c r="CC28" i="39"/>
  <c r="BX28" i="39"/>
  <c r="BV28" i="39"/>
  <c r="BQ28" i="39"/>
  <c r="CI128" i="39"/>
  <c r="CC128" i="39"/>
  <c r="BX128" i="39"/>
  <c r="BV128" i="39"/>
  <c r="BQ128" i="39"/>
  <c r="CI129" i="39"/>
  <c r="CC129" i="39"/>
  <c r="BX129" i="39"/>
  <c r="BV129" i="39"/>
  <c r="BQ129" i="39"/>
  <c r="CI388" i="39"/>
  <c r="CC388" i="39"/>
  <c r="BX388" i="39"/>
  <c r="BV388" i="39"/>
  <c r="BQ388" i="39"/>
  <c r="CI387" i="39"/>
  <c r="CC387" i="39"/>
  <c r="BX387" i="39"/>
  <c r="BV387" i="39"/>
  <c r="BQ387" i="39"/>
  <c r="CI27" i="39"/>
  <c r="CC27" i="39"/>
  <c r="BX27" i="39"/>
  <c r="BV27" i="39"/>
  <c r="BQ27" i="39"/>
  <c r="CI131" i="39"/>
  <c r="CC131" i="39"/>
  <c r="BX131" i="39"/>
  <c r="BV131" i="39"/>
  <c r="BQ131" i="39"/>
  <c r="CI26" i="39"/>
  <c r="CC26" i="39"/>
  <c r="BX26" i="39"/>
  <c r="BV26" i="39"/>
  <c r="BQ26" i="39"/>
  <c r="CI386" i="39"/>
  <c r="CC386" i="39"/>
  <c r="BX386" i="39"/>
  <c r="BV386" i="39"/>
  <c r="BQ386" i="39"/>
  <c r="CI40" i="39"/>
  <c r="CC40" i="39"/>
  <c r="BX40" i="39"/>
  <c r="BV40" i="39"/>
  <c r="BQ40" i="39"/>
  <c r="CI161" i="39"/>
  <c r="CC161" i="39"/>
  <c r="BX161" i="39"/>
  <c r="BV161" i="39"/>
  <c r="BQ161" i="39"/>
  <c r="CI168" i="39"/>
  <c r="CC168" i="39"/>
  <c r="BX168" i="39"/>
  <c r="BV168" i="39"/>
  <c r="BQ168" i="39"/>
  <c r="CI23" i="39"/>
  <c r="CC23" i="39"/>
  <c r="BX23" i="39"/>
  <c r="BV23" i="39"/>
  <c r="BQ23" i="39"/>
  <c r="CI385" i="39"/>
  <c r="CC385" i="39"/>
  <c r="BX385" i="39"/>
  <c r="BV385" i="39"/>
  <c r="BQ385" i="39"/>
  <c r="CI384" i="39"/>
  <c r="CC384" i="39"/>
  <c r="BX384" i="39"/>
  <c r="BV384" i="39"/>
  <c r="BQ384" i="39"/>
  <c r="CI48" i="39"/>
  <c r="CC48" i="39"/>
  <c r="BX48" i="39"/>
  <c r="BV48" i="39"/>
  <c r="BQ48" i="39"/>
  <c r="CI202" i="39"/>
  <c r="CC202" i="39"/>
  <c r="BX202" i="39"/>
  <c r="BV202" i="39"/>
  <c r="BQ202" i="39"/>
  <c r="CI49" i="39"/>
  <c r="CC49" i="39"/>
  <c r="BX49" i="39"/>
  <c r="BV49" i="39"/>
  <c r="BQ49" i="39"/>
  <c r="CI204" i="39"/>
  <c r="CC204" i="39"/>
  <c r="BX204" i="39"/>
  <c r="BV204" i="39"/>
  <c r="BQ204" i="39"/>
  <c r="CI203" i="39"/>
  <c r="CC203" i="39"/>
  <c r="BX203" i="39"/>
  <c r="BV203" i="39"/>
  <c r="BQ203" i="39"/>
  <c r="CI162" i="39"/>
  <c r="CC162" i="39"/>
  <c r="BX162" i="39"/>
  <c r="BV162" i="39"/>
  <c r="BQ162" i="39"/>
  <c r="CI163" i="39"/>
  <c r="CC163" i="39"/>
  <c r="BX163" i="39"/>
  <c r="BV163" i="39"/>
  <c r="BQ163" i="39"/>
  <c r="CI31" i="39"/>
  <c r="CC31" i="39"/>
  <c r="BX31" i="39"/>
  <c r="BV31" i="39"/>
  <c r="BQ31" i="39"/>
  <c r="CI167" i="39"/>
  <c r="CC167" i="39"/>
  <c r="BX167" i="39"/>
  <c r="BV167" i="39"/>
  <c r="BQ167" i="39"/>
  <c r="CI32" i="39"/>
  <c r="CC32" i="39"/>
  <c r="BX32" i="39"/>
  <c r="BV32" i="39"/>
  <c r="BQ32" i="39"/>
  <c r="CI383" i="39"/>
  <c r="CC383" i="39"/>
  <c r="BX383" i="39"/>
  <c r="BV383" i="39"/>
  <c r="BQ383" i="39"/>
  <c r="CI382" i="39"/>
  <c r="CC382" i="39"/>
  <c r="BX382" i="39"/>
  <c r="BV382" i="39"/>
  <c r="BQ382" i="39"/>
  <c r="CI33" i="39"/>
  <c r="CC33" i="39"/>
  <c r="BX33" i="39"/>
  <c r="BV33" i="39"/>
  <c r="BQ33" i="39"/>
  <c r="CI381" i="39"/>
  <c r="CC381" i="39"/>
  <c r="BX381" i="39"/>
  <c r="BV381" i="39"/>
  <c r="BQ381" i="39"/>
  <c r="CI35" i="39"/>
  <c r="CC35" i="39"/>
  <c r="BX35" i="39"/>
  <c r="BV35" i="39"/>
  <c r="BQ35" i="39"/>
  <c r="CI380" i="39"/>
  <c r="CC380" i="39"/>
  <c r="BX380" i="39"/>
  <c r="BV380" i="39"/>
  <c r="BQ380" i="39"/>
  <c r="CI177" i="39"/>
  <c r="CC177" i="39"/>
  <c r="BX177" i="39"/>
  <c r="BV177" i="39"/>
  <c r="BQ177" i="39"/>
  <c r="CI175" i="39"/>
  <c r="CC175" i="39"/>
  <c r="BX175" i="39"/>
  <c r="BV175" i="39"/>
  <c r="BQ175" i="39"/>
  <c r="CI36" i="39"/>
  <c r="CC36" i="39"/>
  <c r="BX36" i="39"/>
  <c r="BV36" i="39"/>
  <c r="BQ36" i="39"/>
  <c r="CO404" i="39"/>
  <c r="CM404" i="39"/>
  <c r="CC404" i="39"/>
  <c r="BX404" i="39"/>
  <c r="BV404" i="39"/>
  <c r="BS404" i="39"/>
  <c r="BQ404" i="39"/>
  <c r="BP404" i="39"/>
  <c r="CB404" i="39" s="1"/>
  <c r="BN404" i="39"/>
  <c r="V404" i="39"/>
  <c r="U404" i="39"/>
  <c r="CO403" i="39"/>
  <c r="CM403" i="39"/>
  <c r="CC403" i="39"/>
  <c r="BX403" i="39"/>
  <c r="BV403" i="39"/>
  <c r="BS403" i="39"/>
  <c r="BQ403" i="39"/>
  <c r="BP403" i="39"/>
  <c r="CB403" i="39" s="1"/>
  <c r="BN403" i="39"/>
  <c r="V403" i="39"/>
  <c r="U403" i="39"/>
  <c r="CO402" i="39"/>
  <c r="CM402" i="39"/>
  <c r="CC402" i="39"/>
  <c r="BX402" i="39"/>
  <c r="BV402" i="39"/>
  <c r="BS402" i="39"/>
  <c r="BQ402" i="39"/>
  <c r="BP402" i="39"/>
  <c r="CB402" i="39" s="1"/>
  <c r="BN402" i="39"/>
  <c r="V402" i="39"/>
  <c r="U402" i="39"/>
  <c r="CO401" i="39"/>
  <c r="CM401" i="39"/>
  <c r="CC401" i="39"/>
  <c r="BX401" i="39"/>
  <c r="BV401" i="39"/>
  <c r="BS401" i="39"/>
  <c r="BQ401" i="39"/>
  <c r="BP401" i="39"/>
  <c r="CB401" i="39" s="1"/>
  <c r="BN401" i="39"/>
  <c r="V401" i="39"/>
  <c r="U401" i="39"/>
  <c r="CO400" i="39"/>
  <c r="CM400" i="39"/>
  <c r="CC400" i="39"/>
  <c r="BX400" i="39"/>
  <c r="BV400" i="39"/>
  <c r="BS400" i="39"/>
  <c r="BQ400" i="39"/>
  <c r="BP400" i="39"/>
  <c r="CB400" i="39" s="1"/>
  <c r="BN400" i="39"/>
  <c r="V400" i="39"/>
  <c r="U400" i="39"/>
  <c r="CO399" i="39"/>
  <c r="CM399" i="39"/>
  <c r="CC399" i="39"/>
  <c r="BX399" i="39"/>
  <c r="BV399" i="39"/>
  <c r="BS399" i="39"/>
  <c r="BQ399" i="39"/>
  <c r="BP399" i="39"/>
  <c r="BN399" i="39"/>
  <c r="V399" i="39"/>
  <c r="U399" i="39"/>
  <c r="CO398" i="39"/>
  <c r="CM398" i="39"/>
  <c r="CC398" i="39"/>
  <c r="BX398" i="39"/>
  <c r="BV398" i="39"/>
  <c r="BS398" i="39"/>
  <c r="BQ398" i="39"/>
  <c r="BP398" i="39"/>
  <c r="CB398" i="39" s="1"/>
  <c r="BN398" i="39"/>
  <c r="V398" i="39"/>
  <c r="U398" i="39"/>
  <c r="CO397" i="39"/>
  <c r="CM397" i="39"/>
  <c r="CC397" i="39"/>
  <c r="BX397" i="39"/>
  <c r="BV397" i="39"/>
  <c r="BS397" i="39"/>
  <c r="BQ397" i="39"/>
  <c r="BP397" i="39"/>
  <c r="BN397" i="39"/>
  <c r="V397" i="39"/>
  <c r="U397" i="39"/>
  <c r="CO396" i="39"/>
  <c r="CM396" i="39"/>
  <c r="CC396" i="39"/>
  <c r="BX396" i="39"/>
  <c r="BV396" i="39"/>
  <c r="BS396" i="39"/>
  <c r="BQ396" i="39"/>
  <c r="BP396" i="39"/>
  <c r="BN396" i="39"/>
  <c r="V396" i="39"/>
  <c r="U396" i="39"/>
  <c r="CO395" i="39"/>
  <c r="CM395" i="39"/>
  <c r="CC395" i="39"/>
  <c r="BX395" i="39"/>
  <c r="BV395" i="39"/>
  <c r="BS395" i="39"/>
  <c r="BQ395" i="39"/>
  <c r="BP395" i="39"/>
  <c r="CB395" i="39" s="1"/>
  <c r="BN395" i="39"/>
  <c r="CO411" i="39"/>
  <c r="CM411" i="39"/>
  <c r="CC411" i="39"/>
  <c r="BX411" i="39"/>
  <c r="BV411" i="39"/>
  <c r="BS411" i="39"/>
  <c r="BQ411" i="39"/>
  <c r="BP411" i="39"/>
  <c r="CB411" i="39" s="1"/>
  <c r="BN411" i="39"/>
  <c r="V411" i="39"/>
  <c r="U411" i="39"/>
  <c r="CO410" i="39"/>
  <c r="CM410" i="39"/>
  <c r="CC410" i="39"/>
  <c r="BX410" i="39"/>
  <c r="BV410" i="39"/>
  <c r="BS410" i="39"/>
  <c r="BQ410" i="39"/>
  <c r="BP410" i="39"/>
  <c r="CB410" i="39" s="1"/>
  <c r="BN410" i="39"/>
  <c r="V410" i="39"/>
  <c r="U410" i="39"/>
  <c r="CO409" i="39"/>
  <c r="CM409" i="39"/>
  <c r="CC409" i="39"/>
  <c r="BX409" i="39"/>
  <c r="BV409" i="39"/>
  <c r="BS409" i="39"/>
  <c r="BQ409" i="39"/>
  <c r="BP409" i="39"/>
  <c r="CB409" i="39" s="1"/>
  <c r="BN409" i="39"/>
  <c r="V409" i="39"/>
  <c r="U409" i="39"/>
  <c r="CO408" i="39"/>
  <c r="CM408" i="39"/>
  <c r="CC408" i="39"/>
  <c r="BX408" i="39"/>
  <c r="BV408" i="39"/>
  <c r="BS408" i="39"/>
  <c r="BQ408" i="39"/>
  <c r="BP408" i="39"/>
  <c r="BN408" i="39"/>
  <c r="V408" i="39"/>
  <c r="U408" i="39"/>
  <c r="CO407" i="39"/>
  <c r="CM407" i="39"/>
  <c r="CC407" i="39"/>
  <c r="BX407" i="39"/>
  <c r="BV407" i="39"/>
  <c r="BS407" i="39"/>
  <c r="BQ407" i="39"/>
  <c r="BP407" i="39"/>
  <c r="BN407" i="39"/>
  <c r="V407" i="39"/>
  <c r="U407" i="39"/>
  <c r="CO406" i="39"/>
  <c r="CM406" i="39"/>
  <c r="CC406" i="39"/>
  <c r="BX406" i="39"/>
  <c r="BV406" i="39"/>
  <c r="BS406" i="39"/>
  <c r="BQ406" i="39"/>
  <c r="BP406" i="39"/>
  <c r="CB406" i="39" s="1"/>
  <c r="BN406" i="39"/>
  <c r="V406" i="39"/>
  <c r="U406" i="39"/>
  <c r="CO405" i="39"/>
  <c r="CM405" i="39"/>
  <c r="CC405" i="39"/>
  <c r="BX405" i="39"/>
  <c r="BV405" i="39"/>
  <c r="BS405" i="39"/>
  <c r="BQ405" i="39"/>
  <c r="BP405" i="39"/>
  <c r="CB405" i="39" s="1"/>
  <c r="BN405" i="39"/>
  <c r="V405" i="39"/>
  <c r="U405" i="39"/>
  <c r="CO140" i="39"/>
  <c r="CM140" i="39"/>
  <c r="CC140" i="39"/>
  <c r="BX140" i="39"/>
  <c r="BV140" i="39"/>
  <c r="BS140" i="39"/>
  <c r="BQ140" i="39"/>
  <c r="BP140" i="39"/>
  <c r="CB140" i="39" s="1"/>
  <c r="BN140" i="39"/>
  <c r="U140" i="39"/>
  <c r="CO394" i="39"/>
  <c r="CM394" i="39"/>
  <c r="CC394" i="39"/>
  <c r="BX394" i="39"/>
  <c r="BV394" i="39"/>
  <c r="BS394" i="39"/>
  <c r="BQ394" i="39"/>
  <c r="BP394" i="39"/>
  <c r="CB394" i="39" s="1"/>
  <c r="BN394" i="39"/>
  <c r="U394" i="39"/>
  <c r="CO367" i="39"/>
  <c r="CM367" i="39"/>
  <c r="CC367" i="39"/>
  <c r="AY367" i="39"/>
  <c r="CI367" i="39" s="1"/>
  <c r="BX367" i="39"/>
  <c r="BV367" i="39"/>
  <c r="BS367" i="39"/>
  <c r="BQ367" i="39"/>
  <c r="BP367" i="39"/>
  <c r="BN367" i="39"/>
  <c r="V367" i="39"/>
  <c r="U367" i="39"/>
  <c r="CO366" i="39"/>
  <c r="CM366" i="39"/>
  <c r="CC366" i="39"/>
  <c r="AY366" i="39"/>
  <c r="CI366" i="39" s="1"/>
  <c r="BX366" i="39"/>
  <c r="BV366" i="39"/>
  <c r="BS366" i="39"/>
  <c r="BQ366" i="39"/>
  <c r="BP366" i="39"/>
  <c r="BN366" i="39"/>
  <c r="V366" i="39"/>
  <c r="U366" i="39"/>
  <c r="CO365" i="39"/>
  <c r="CM365" i="39"/>
  <c r="CC365" i="39"/>
  <c r="AY365" i="39"/>
  <c r="CI365" i="39" s="1"/>
  <c r="BX365" i="39"/>
  <c r="BV365" i="39"/>
  <c r="BS365" i="39"/>
  <c r="BQ365" i="39"/>
  <c r="BP365" i="39"/>
  <c r="CB365" i="39" s="1"/>
  <c r="BN365" i="39"/>
  <c r="V365" i="39"/>
  <c r="U365" i="39"/>
  <c r="CO364" i="39"/>
  <c r="CM364" i="39"/>
  <c r="CC364" i="39"/>
  <c r="AY364" i="39"/>
  <c r="CI364" i="39" s="1"/>
  <c r="BX364" i="39"/>
  <c r="BV364" i="39"/>
  <c r="BS364" i="39"/>
  <c r="BQ364" i="39"/>
  <c r="BP364" i="39"/>
  <c r="CB364" i="39" s="1"/>
  <c r="BN364" i="39"/>
  <c r="V364" i="39"/>
  <c r="U364" i="39"/>
  <c r="CO363" i="39"/>
  <c r="CM363" i="39"/>
  <c r="CC363" i="39"/>
  <c r="AY363" i="39"/>
  <c r="CI363" i="39" s="1"/>
  <c r="BX363" i="39"/>
  <c r="BV363" i="39"/>
  <c r="BS363" i="39"/>
  <c r="BQ363" i="39"/>
  <c r="BP363" i="39"/>
  <c r="BN363" i="39"/>
  <c r="V363" i="39"/>
  <c r="U363" i="39"/>
  <c r="CO362" i="39"/>
  <c r="CM362" i="39"/>
  <c r="CC362" i="39"/>
  <c r="AY362" i="39"/>
  <c r="CI362" i="39" s="1"/>
  <c r="BX362" i="39"/>
  <c r="BV362" i="39"/>
  <c r="BS362" i="39"/>
  <c r="BQ362" i="39"/>
  <c r="BP362" i="39"/>
  <c r="CB362" i="39" s="1"/>
  <c r="BN362" i="39"/>
  <c r="V362" i="39"/>
  <c r="U362" i="39"/>
  <c r="CO361" i="39"/>
  <c r="CM361" i="39"/>
  <c r="CC361" i="39"/>
  <c r="AY361" i="39"/>
  <c r="CI361" i="39" s="1"/>
  <c r="BX361" i="39"/>
  <c r="BV361" i="39"/>
  <c r="BS361" i="39"/>
  <c r="BQ361" i="39"/>
  <c r="BP361" i="39"/>
  <c r="CB361" i="39" s="1"/>
  <c r="BN361" i="39"/>
  <c r="V361" i="39"/>
  <c r="U361" i="39"/>
  <c r="CO360" i="39"/>
  <c r="CM360" i="39"/>
  <c r="CC360" i="39"/>
  <c r="AY360" i="39"/>
  <c r="CI360" i="39" s="1"/>
  <c r="BX360" i="39"/>
  <c r="BV360" i="39"/>
  <c r="BS360" i="39"/>
  <c r="BQ360" i="39"/>
  <c r="BP360" i="39"/>
  <c r="BN360" i="39"/>
  <c r="V360" i="39"/>
  <c r="U360" i="39"/>
  <c r="CO359" i="39"/>
  <c r="CM359" i="39"/>
  <c r="CC359" i="39"/>
  <c r="AY359" i="39"/>
  <c r="CI359" i="39" s="1"/>
  <c r="BX359" i="39"/>
  <c r="BV359" i="39"/>
  <c r="BS359" i="39"/>
  <c r="BQ359" i="39"/>
  <c r="BP359" i="39"/>
  <c r="CB359" i="39" s="1"/>
  <c r="BN359" i="39"/>
  <c r="V359" i="39"/>
  <c r="U359" i="39"/>
  <c r="CO358" i="39"/>
  <c r="CM358" i="39"/>
  <c r="CC358" i="39"/>
  <c r="AY358" i="39"/>
  <c r="CI358" i="39" s="1"/>
  <c r="BX358" i="39"/>
  <c r="BV358" i="39"/>
  <c r="BS358" i="39"/>
  <c r="BQ358" i="39"/>
  <c r="BP358" i="39"/>
  <c r="CB358" i="39" s="1"/>
  <c r="BN358" i="39"/>
  <c r="V358" i="39"/>
  <c r="U358" i="39"/>
  <c r="CO357" i="39"/>
  <c r="CM357" i="39"/>
  <c r="CC357" i="39"/>
  <c r="AY357" i="39"/>
  <c r="CI357" i="39" s="1"/>
  <c r="BX357" i="39"/>
  <c r="BV357" i="39"/>
  <c r="BS357" i="39"/>
  <c r="BQ357" i="39"/>
  <c r="BP357" i="39"/>
  <c r="BN357" i="39"/>
  <c r="V357" i="39"/>
  <c r="U357" i="39"/>
  <c r="CO356" i="39"/>
  <c r="CM356" i="39"/>
  <c r="CC356" i="39"/>
  <c r="AY356" i="39"/>
  <c r="CI356" i="39" s="1"/>
  <c r="BX356" i="39"/>
  <c r="BV356" i="39"/>
  <c r="BS356" i="39"/>
  <c r="BQ356" i="39"/>
  <c r="BP356" i="39"/>
  <c r="BN356" i="39"/>
  <c r="V356" i="39"/>
  <c r="U356" i="39"/>
  <c r="CO355" i="39"/>
  <c r="CM355" i="39"/>
  <c r="CC355" i="39"/>
  <c r="AY355" i="39"/>
  <c r="CI355" i="39" s="1"/>
  <c r="BX355" i="39"/>
  <c r="BV355" i="39"/>
  <c r="BS355" i="39"/>
  <c r="BQ355" i="39"/>
  <c r="BP355" i="39"/>
  <c r="CB355" i="39" s="1"/>
  <c r="BN355" i="39"/>
  <c r="V355" i="39"/>
  <c r="U355" i="39"/>
  <c r="CO354" i="39"/>
  <c r="CM354" i="39"/>
  <c r="CC354" i="39"/>
  <c r="AY354" i="39"/>
  <c r="CI354" i="39" s="1"/>
  <c r="BX354" i="39"/>
  <c r="BV354" i="39"/>
  <c r="BS354" i="39"/>
  <c r="BQ354" i="39"/>
  <c r="BP354" i="39"/>
  <c r="CB354" i="39" s="1"/>
  <c r="BN354" i="39"/>
  <c r="V354" i="39"/>
  <c r="U354" i="39"/>
  <c r="CO353" i="39"/>
  <c r="CM353" i="39"/>
  <c r="CC353" i="39"/>
  <c r="AY353" i="39"/>
  <c r="CI353" i="39" s="1"/>
  <c r="BX353" i="39"/>
  <c r="BV353" i="39"/>
  <c r="BS353" i="39"/>
  <c r="BQ353" i="39"/>
  <c r="BP353" i="39"/>
  <c r="BN353" i="39"/>
  <c r="V353" i="39"/>
  <c r="U353" i="39"/>
  <c r="CO352" i="39"/>
  <c r="CM352" i="39"/>
  <c r="CC352" i="39"/>
  <c r="AY352" i="39"/>
  <c r="CI352" i="39" s="1"/>
  <c r="BX352" i="39"/>
  <c r="BV352" i="39"/>
  <c r="BS352" i="39"/>
  <c r="BQ352" i="39"/>
  <c r="BP352" i="39"/>
  <c r="CB352" i="39" s="1"/>
  <c r="BN352" i="39"/>
  <c r="V352" i="39"/>
  <c r="U352" i="39"/>
  <c r="CO185" i="39"/>
  <c r="CM185" i="39"/>
  <c r="CC185" i="39"/>
  <c r="BX185" i="39"/>
  <c r="BV185" i="39"/>
  <c r="BS185" i="39"/>
  <c r="BQ185" i="39"/>
  <c r="BP185" i="39"/>
  <c r="BN185" i="39"/>
  <c r="V185" i="39"/>
  <c r="U185" i="39"/>
  <c r="CO55" i="39"/>
  <c r="CM55" i="39"/>
  <c r="CC55" i="39"/>
  <c r="BX55" i="39"/>
  <c r="BV55" i="39"/>
  <c r="BS55" i="39"/>
  <c r="BQ55" i="39"/>
  <c r="BP55" i="39"/>
  <c r="BN55" i="39"/>
  <c r="V55" i="39"/>
  <c r="U55" i="39"/>
  <c r="CO316" i="39"/>
  <c r="CM316" i="39"/>
  <c r="CC316" i="39"/>
  <c r="AY316" i="39"/>
  <c r="CI316" i="39" s="1"/>
  <c r="BX316" i="39"/>
  <c r="BV316" i="39"/>
  <c r="BS316" i="39"/>
  <c r="BQ316" i="39"/>
  <c r="BP316" i="39"/>
  <c r="CB316" i="39" s="1"/>
  <c r="BN316" i="39"/>
  <c r="V316" i="39"/>
  <c r="U316" i="39"/>
  <c r="CO281" i="39"/>
  <c r="CM281" i="39"/>
  <c r="CC281" i="39"/>
  <c r="AY281" i="39"/>
  <c r="CI281" i="39" s="1"/>
  <c r="BX281" i="39"/>
  <c r="BV281" i="39"/>
  <c r="BS281" i="39"/>
  <c r="BQ281" i="39"/>
  <c r="BP281" i="39"/>
  <c r="BN281" i="39"/>
  <c r="V281" i="39"/>
  <c r="U281" i="39"/>
  <c r="CO280" i="39"/>
  <c r="CM280" i="39"/>
  <c r="CC280" i="39"/>
  <c r="AY280" i="39"/>
  <c r="CI280" i="39" s="1"/>
  <c r="BX280" i="39"/>
  <c r="BV280" i="39"/>
  <c r="BS280" i="39"/>
  <c r="BQ280" i="39"/>
  <c r="BP280" i="39"/>
  <c r="BN280" i="39"/>
  <c r="V280" i="39"/>
  <c r="U280" i="39"/>
  <c r="CO214" i="39"/>
  <c r="CM214" i="39"/>
  <c r="CC214" i="39"/>
  <c r="BX214" i="39"/>
  <c r="BV214" i="39"/>
  <c r="BS214" i="39"/>
  <c r="BQ214" i="39"/>
  <c r="BP214" i="39"/>
  <c r="CB214" i="39" s="1"/>
  <c r="BN214" i="39"/>
  <c r="V214" i="39"/>
  <c r="U214" i="39"/>
  <c r="CO376" i="39"/>
  <c r="CM376" i="39"/>
  <c r="CC376" i="39"/>
  <c r="AY376" i="39"/>
  <c r="CI376" i="39" s="1"/>
  <c r="BX376" i="39"/>
  <c r="BV376" i="39"/>
  <c r="BS376" i="39"/>
  <c r="BQ376" i="39"/>
  <c r="BP376" i="39"/>
  <c r="CB376" i="39" s="1"/>
  <c r="BN376" i="39"/>
  <c r="V376" i="39"/>
  <c r="U376" i="39"/>
  <c r="CO153" i="39"/>
  <c r="CM153" i="39"/>
  <c r="CC153" i="39"/>
  <c r="AY153" i="39"/>
  <c r="CI153" i="39" s="1"/>
  <c r="BX153" i="39"/>
  <c r="BV153" i="39"/>
  <c r="BS153" i="39"/>
  <c r="BQ153" i="39"/>
  <c r="BP153" i="39"/>
  <c r="BN153" i="39"/>
  <c r="V153" i="39"/>
  <c r="U153" i="39"/>
  <c r="CO2" i="39"/>
  <c r="CM2" i="39"/>
  <c r="CC2" i="39"/>
  <c r="BX2" i="39"/>
  <c r="BV2" i="39"/>
  <c r="BS2" i="39"/>
  <c r="BQ2" i="39"/>
  <c r="BP2" i="39"/>
  <c r="BN2" i="39"/>
  <c r="V2" i="39"/>
  <c r="U2" i="39"/>
  <c r="CO113" i="39"/>
  <c r="CM113" i="39"/>
  <c r="CC113" i="39"/>
  <c r="BX113" i="39"/>
  <c r="BV113" i="39"/>
  <c r="BS113" i="39"/>
  <c r="BQ113" i="39"/>
  <c r="BP113" i="39"/>
  <c r="CB113" i="39" s="1"/>
  <c r="BN113" i="39"/>
  <c r="V113" i="39"/>
  <c r="U113" i="39"/>
  <c r="CO309" i="39"/>
  <c r="CM309" i="39"/>
  <c r="CC309" i="39"/>
  <c r="AY309" i="39"/>
  <c r="CI309" i="39" s="1"/>
  <c r="BX309" i="39"/>
  <c r="BV309" i="39"/>
  <c r="BS309" i="39"/>
  <c r="BQ309" i="39"/>
  <c r="BP309" i="39"/>
  <c r="CB309" i="39" s="1"/>
  <c r="BN309" i="39"/>
  <c r="V309" i="39"/>
  <c r="U309" i="39"/>
  <c r="CO318" i="39"/>
  <c r="CM318" i="39"/>
  <c r="CC318" i="39"/>
  <c r="AY318" i="39"/>
  <c r="CI318" i="39" s="1"/>
  <c r="BX318" i="39"/>
  <c r="BV318" i="39"/>
  <c r="BS318" i="39"/>
  <c r="BQ318" i="39"/>
  <c r="BP318" i="39"/>
  <c r="BN318" i="39"/>
  <c r="V318" i="39"/>
  <c r="U318" i="39"/>
  <c r="CO66" i="39"/>
  <c r="CM66" i="39"/>
  <c r="CC66" i="39"/>
  <c r="BX66" i="39"/>
  <c r="BV66" i="39"/>
  <c r="BS66" i="39"/>
  <c r="BQ66" i="39"/>
  <c r="BP66" i="39"/>
  <c r="CB66" i="39" s="1"/>
  <c r="BN66" i="39"/>
  <c r="V66" i="39"/>
  <c r="U66" i="39"/>
  <c r="CO295" i="39"/>
  <c r="CM295" i="39"/>
  <c r="CC295" i="39"/>
  <c r="AY295" i="39"/>
  <c r="CI295" i="39" s="1"/>
  <c r="BX295" i="39"/>
  <c r="BV295" i="39"/>
  <c r="BS295" i="39"/>
  <c r="BQ295" i="39"/>
  <c r="BP295" i="39"/>
  <c r="CB295" i="39" s="1"/>
  <c r="BN295" i="39"/>
  <c r="V295" i="39"/>
  <c r="U295" i="39"/>
  <c r="CO329" i="39"/>
  <c r="CM329" i="39"/>
  <c r="CC329" i="39"/>
  <c r="AY329" i="39"/>
  <c r="CI329" i="39" s="1"/>
  <c r="BX329" i="39"/>
  <c r="BV329" i="39"/>
  <c r="BS329" i="39"/>
  <c r="BQ329" i="39"/>
  <c r="BP329" i="39"/>
  <c r="CB329" i="39" s="1"/>
  <c r="BN329" i="39"/>
  <c r="V329" i="39"/>
  <c r="U329" i="39"/>
  <c r="CO276" i="39"/>
  <c r="CM276" i="39"/>
  <c r="CC276" i="39"/>
  <c r="AY276" i="39"/>
  <c r="CI276" i="39" s="1"/>
  <c r="BX276" i="39"/>
  <c r="BV276" i="39"/>
  <c r="BS276" i="39"/>
  <c r="BQ276" i="39"/>
  <c r="BP276" i="39"/>
  <c r="CB276" i="39" s="1"/>
  <c r="BN276" i="39"/>
  <c r="V276" i="39"/>
  <c r="U276" i="39"/>
  <c r="CO340" i="39"/>
  <c r="CM340" i="39"/>
  <c r="CC340" i="39"/>
  <c r="AY340" i="39"/>
  <c r="CI340" i="39" s="1"/>
  <c r="BX340" i="39"/>
  <c r="BV340" i="39"/>
  <c r="BS340" i="39"/>
  <c r="BQ340" i="39"/>
  <c r="BP340" i="39"/>
  <c r="BN340" i="39"/>
  <c r="V340" i="39"/>
  <c r="U340" i="39"/>
  <c r="CO52" i="39"/>
  <c r="CM52" i="39"/>
  <c r="CC52" i="39"/>
  <c r="AY52" i="39"/>
  <c r="CI52" i="39" s="1"/>
  <c r="BX52" i="39"/>
  <c r="BV52" i="39"/>
  <c r="BS52" i="39"/>
  <c r="BQ52" i="39"/>
  <c r="BP52" i="39"/>
  <c r="BN52" i="39"/>
  <c r="V52" i="39"/>
  <c r="U52" i="39"/>
  <c r="CO275" i="39"/>
  <c r="CM275" i="39"/>
  <c r="CC275" i="39"/>
  <c r="AY275" i="39"/>
  <c r="CI275" i="39" s="1"/>
  <c r="BX275" i="39"/>
  <c r="BV275" i="39"/>
  <c r="BS275" i="39"/>
  <c r="BQ275" i="39"/>
  <c r="BP275" i="39"/>
  <c r="CB275" i="39" s="1"/>
  <c r="BN275" i="39"/>
  <c r="V275" i="39"/>
  <c r="U275" i="39"/>
  <c r="CO351" i="39"/>
  <c r="CM351" i="39"/>
  <c r="CC351" i="39"/>
  <c r="AY351" i="39"/>
  <c r="CI351" i="39" s="1"/>
  <c r="BX351" i="39"/>
  <c r="BV351" i="39"/>
  <c r="BS351" i="39"/>
  <c r="BQ351" i="39"/>
  <c r="BP351" i="39"/>
  <c r="CB351" i="39" s="1"/>
  <c r="BN351" i="39"/>
  <c r="V351" i="39"/>
  <c r="U351" i="39"/>
  <c r="CO207" i="39"/>
  <c r="CM207" i="39"/>
  <c r="CC207" i="39"/>
  <c r="BX207" i="39"/>
  <c r="BV207" i="39"/>
  <c r="BS207" i="39"/>
  <c r="BQ207" i="39"/>
  <c r="BP207" i="39"/>
  <c r="BN207" i="39"/>
  <c r="V207" i="39"/>
  <c r="U207" i="39"/>
  <c r="CO294" i="39"/>
  <c r="CM294" i="39"/>
  <c r="CC294" i="39"/>
  <c r="AY294" i="39"/>
  <c r="CI294" i="39" s="1"/>
  <c r="BX294" i="39"/>
  <c r="BV294" i="39"/>
  <c r="BS294" i="39"/>
  <c r="BQ294" i="39"/>
  <c r="BP294" i="39"/>
  <c r="CB294" i="39" s="1"/>
  <c r="BN294" i="39"/>
  <c r="V294" i="39"/>
  <c r="U294" i="39"/>
  <c r="CO288" i="39"/>
  <c r="CM288" i="39"/>
  <c r="CC288" i="39"/>
  <c r="AY288" i="39"/>
  <c r="CI288" i="39" s="1"/>
  <c r="BX288" i="39"/>
  <c r="BV288" i="39"/>
  <c r="BS288" i="39"/>
  <c r="BQ288" i="39"/>
  <c r="BP288" i="39"/>
  <c r="CB288" i="39" s="1"/>
  <c r="BN288" i="39"/>
  <c r="V288" i="39"/>
  <c r="U288" i="39"/>
  <c r="CO4" i="39"/>
  <c r="CM4" i="39"/>
  <c r="CC4" i="39"/>
  <c r="AY4" i="39"/>
  <c r="CI4" i="39" s="1"/>
  <c r="BX4" i="39"/>
  <c r="BV4" i="39"/>
  <c r="BS4" i="39"/>
  <c r="BQ4" i="39"/>
  <c r="BP4" i="39"/>
  <c r="BN4" i="39"/>
  <c r="V4" i="39"/>
  <c r="U4" i="39"/>
  <c r="CO186" i="39"/>
  <c r="CM186" i="39"/>
  <c r="CC186" i="39"/>
  <c r="AY186" i="39"/>
  <c r="CI186" i="39" s="1"/>
  <c r="BX186" i="39"/>
  <c r="BV186" i="39"/>
  <c r="BS186" i="39"/>
  <c r="BQ186" i="39"/>
  <c r="BP186" i="39"/>
  <c r="CB186" i="39" s="1"/>
  <c r="BN186" i="39"/>
  <c r="CO274" i="39"/>
  <c r="CM274" i="39"/>
  <c r="CC274" i="39"/>
  <c r="AY274" i="39"/>
  <c r="CI274" i="39" s="1"/>
  <c r="BX274" i="39"/>
  <c r="BV274" i="39"/>
  <c r="BS274" i="39"/>
  <c r="BQ274" i="39"/>
  <c r="BP274" i="39"/>
  <c r="BN274" i="39"/>
  <c r="V274" i="39"/>
  <c r="U274" i="39"/>
  <c r="CO273" i="39"/>
  <c r="CM273" i="39"/>
  <c r="CC273" i="39"/>
  <c r="AY273" i="39"/>
  <c r="CI273" i="39" s="1"/>
  <c r="BX273" i="39"/>
  <c r="BV273" i="39"/>
  <c r="BS273" i="39"/>
  <c r="BQ273" i="39"/>
  <c r="BP273" i="39"/>
  <c r="CB273" i="39" s="1"/>
  <c r="BN273" i="39"/>
  <c r="V273" i="39"/>
  <c r="U273" i="39"/>
  <c r="CO379" i="39"/>
  <c r="CM379" i="39"/>
  <c r="CC379" i="39"/>
  <c r="AY379" i="39"/>
  <c r="CI379" i="39" s="1"/>
  <c r="BX379" i="39"/>
  <c r="BV379" i="39"/>
  <c r="BS379" i="39"/>
  <c r="BQ379" i="39"/>
  <c r="BP379" i="39"/>
  <c r="CB379" i="39" s="1"/>
  <c r="BN379" i="39"/>
  <c r="V379" i="39"/>
  <c r="U379" i="39"/>
  <c r="CO73" i="39"/>
  <c r="CM73" i="39"/>
  <c r="CC73" i="39"/>
  <c r="AY73" i="39"/>
  <c r="CI73" i="39" s="1"/>
  <c r="BX73" i="39"/>
  <c r="BV73" i="39"/>
  <c r="BS73" i="39"/>
  <c r="BQ73" i="39"/>
  <c r="BP73" i="39"/>
  <c r="CB73" i="39" s="1"/>
  <c r="BN73" i="39"/>
  <c r="V73" i="39"/>
  <c r="U73" i="39"/>
  <c r="CO78" i="39"/>
  <c r="CM78" i="39"/>
  <c r="CC78" i="39"/>
  <c r="AY78" i="39"/>
  <c r="CI78" i="39" s="1"/>
  <c r="BX78" i="39"/>
  <c r="BV78" i="39"/>
  <c r="BS78" i="39"/>
  <c r="BQ78" i="39"/>
  <c r="BP78" i="39"/>
  <c r="CB78" i="39" s="1"/>
  <c r="BN78" i="39"/>
  <c r="V78" i="39"/>
  <c r="U78" i="39"/>
  <c r="CO341" i="39"/>
  <c r="CM341" i="39"/>
  <c r="CC341" i="39"/>
  <c r="AY341" i="39"/>
  <c r="CI341" i="39" s="1"/>
  <c r="BX341" i="39"/>
  <c r="BV341" i="39"/>
  <c r="BS341" i="39"/>
  <c r="BQ341" i="39"/>
  <c r="BP341" i="39"/>
  <c r="BN341" i="39"/>
  <c r="V341" i="39"/>
  <c r="U341" i="39"/>
  <c r="CO308" i="39"/>
  <c r="CM308" i="39"/>
  <c r="CC308" i="39"/>
  <c r="AY308" i="39"/>
  <c r="CI308" i="39" s="1"/>
  <c r="BX308" i="39"/>
  <c r="BV308" i="39"/>
  <c r="BS308" i="39"/>
  <c r="BQ308" i="39"/>
  <c r="BP308" i="39"/>
  <c r="CB308" i="39" s="1"/>
  <c r="BN308" i="39"/>
  <c r="V308" i="39"/>
  <c r="U308" i="39"/>
  <c r="CO297" i="39"/>
  <c r="CM297" i="39"/>
  <c r="CC297" i="39"/>
  <c r="AY297" i="39"/>
  <c r="CI297" i="39" s="1"/>
  <c r="BX297" i="39"/>
  <c r="BV297" i="39"/>
  <c r="BS297" i="39"/>
  <c r="BQ297" i="39"/>
  <c r="BP297" i="39"/>
  <c r="CB297" i="39" s="1"/>
  <c r="BN297" i="39"/>
  <c r="V297" i="39"/>
  <c r="U297" i="39"/>
  <c r="CO210" i="39"/>
  <c r="CM210" i="39"/>
  <c r="CC210" i="39"/>
  <c r="AY210" i="39"/>
  <c r="CI210" i="39" s="1"/>
  <c r="BX210" i="39"/>
  <c r="BV210" i="39"/>
  <c r="BS210" i="39"/>
  <c r="BQ210" i="39"/>
  <c r="BP210" i="39"/>
  <c r="BN210" i="39"/>
  <c r="V210" i="39"/>
  <c r="U210" i="39"/>
  <c r="CO172" i="39"/>
  <c r="CM172" i="39"/>
  <c r="CC172" i="39"/>
  <c r="BX172" i="39"/>
  <c r="BV172" i="39"/>
  <c r="BS172" i="39"/>
  <c r="BQ172" i="39"/>
  <c r="BP172" i="39"/>
  <c r="CB172" i="39" s="1"/>
  <c r="BN172" i="39"/>
  <c r="V172" i="39"/>
  <c r="U172" i="39"/>
  <c r="CO290" i="39"/>
  <c r="CM290" i="39"/>
  <c r="CC290" i="39"/>
  <c r="AY290" i="39"/>
  <c r="CI290" i="39" s="1"/>
  <c r="BX290" i="39"/>
  <c r="BV290" i="39"/>
  <c r="BS290" i="39"/>
  <c r="BQ290" i="39"/>
  <c r="BP290" i="39"/>
  <c r="CB290" i="39" s="1"/>
  <c r="BN290" i="39"/>
  <c r="V290" i="39"/>
  <c r="U290" i="39"/>
  <c r="CO136" i="39"/>
  <c r="CM136" i="39"/>
  <c r="CC136" i="39"/>
  <c r="BX136" i="39"/>
  <c r="BV136" i="39"/>
  <c r="BS136" i="39"/>
  <c r="BQ136" i="39"/>
  <c r="BP136" i="39"/>
  <c r="BN136" i="39"/>
  <c r="V136" i="39"/>
  <c r="U136" i="39"/>
  <c r="CO109" i="39"/>
  <c r="CM109" i="39"/>
  <c r="CC109" i="39"/>
  <c r="BX109" i="39"/>
  <c r="BV109" i="39"/>
  <c r="BS109" i="39"/>
  <c r="BQ109" i="39"/>
  <c r="BP109" i="39"/>
  <c r="CB109" i="39" s="1"/>
  <c r="BN109" i="39"/>
  <c r="V109" i="39"/>
  <c r="U109" i="39"/>
  <c r="CO279" i="39"/>
  <c r="CM279" i="39"/>
  <c r="CC279" i="39"/>
  <c r="AY279" i="39"/>
  <c r="CI279" i="39" s="1"/>
  <c r="BX279" i="39"/>
  <c r="BV279" i="39"/>
  <c r="BS279" i="39"/>
  <c r="BQ279" i="39"/>
  <c r="BP279" i="39"/>
  <c r="CB279" i="39" s="1"/>
  <c r="BN279" i="39"/>
  <c r="V279" i="39"/>
  <c r="U279" i="39"/>
  <c r="CO110" i="39"/>
  <c r="CM110" i="39"/>
  <c r="CC110" i="39"/>
  <c r="BX110" i="39"/>
  <c r="BV110" i="39"/>
  <c r="BS110" i="39"/>
  <c r="BQ110" i="39"/>
  <c r="BP110" i="39"/>
  <c r="BN110" i="39"/>
  <c r="U110" i="39"/>
  <c r="CO60" i="39"/>
  <c r="CM60" i="39"/>
  <c r="CC60" i="39"/>
  <c r="BX60" i="39"/>
  <c r="BV60" i="39"/>
  <c r="BS60" i="39"/>
  <c r="BQ60" i="39"/>
  <c r="BP60" i="39"/>
  <c r="CB60" i="39" s="1"/>
  <c r="BN60" i="39"/>
  <c r="V60" i="39"/>
  <c r="U60" i="39"/>
  <c r="CO343" i="39"/>
  <c r="CM343" i="39"/>
  <c r="CC343" i="39"/>
  <c r="AY343" i="39"/>
  <c r="CI343" i="39" s="1"/>
  <c r="BX343" i="39"/>
  <c r="BV343" i="39"/>
  <c r="BS343" i="39"/>
  <c r="BQ343" i="39"/>
  <c r="BP343" i="39"/>
  <c r="CB343" i="39" s="1"/>
  <c r="BN343" i="39"/>
  <c r="V343" i="39"/>
  <c r="U343" i="39"/>
  <c r="CO65" i="39"/>
  <c r="CM65" i="39"/>
  <c r="CC65" i="39"/>
  <c r="BX65" i="39"/>
  <c r="BV65" i="39"/>
  <c r="BS65" i="39"/>
  <c r="BQ65" i="39"/>
  <c r="BP65" i="39"/>
  <c r="BN65" i="39"/>
  <c r="V65" i="39"/>
  <c r="U65" i="39"/>
  <c r="CO8" i="39"/>
  <c r="CM8" i="39"/>
  <c r="CC8" i="39"/>
  <c r="BX8" i="39"/>
  <c r="BV8" i="39"/>
  <c r="BS8" i="39"/>
  <c r="BQ8" i="39"/>
  <c r="BP8" i="39"/>
  <c r="CB8" i="39" s="1"/>
  <c r="BN8" i="39"/>
  <c r="V8" i="39"/>
  <c r="U8" i="39"/>
  <c r="CO53" i="39"/>
  <c r="CM53" i="39"/>
  <c r="CC53" i="39"/>
  <c r="BX53" i="39"/>
  <c r="BV53" i="39"/>
  <c r="BS53" i="39"/>
  <c r="BQ53" i="39"/>
  <c r="BP53" i="39"/>
  <c r="BN53" i="39"/>
  <c r="V53" i="39"/>
  <c r="U53" i="39"/>
  <c r="CO289" i="39"/>
  <c r="CM289" i="39"/>
  <c r="CC289" i="39"/>
  <c r="AY289" i="39"/>
  <c r="CI289" i="39" s="1"/>
  <c r="BX289" i="39"/>
  <c r="BV289" i="39"/>
  <c r="BS289" i="39"/>
  <c r="BQ289" i="39"/>
  <c r="BP289" i="39"/>
  <c r="CB289" i="39" s="1"/>
  <c r="BN289" i="39"/>
  <c r="V289" i="39"/>
  <c r="U289" i="39"/>
  <c r="CO195" i="39"/>
  <c r="CM195" i="39"/>
  <c r="CC195" i="39"/>
  <c r="BX195" i="39"/>
  <c r="BV195" i="39"/>
  <c r="BS195" i="39"/>
  <c r="BQ195" i="39"/>
  <c r="BP195" i="39"/>
  <c r="BN195" i="39"/>
  <c r="V195" i="39"/>
  <c r="U195" i="39"/>
  <c r="CO106" i="39"/>
  <c r="CM106" i="39"/>
  <c r="CC106" i="39"/>
  <c r="BX106" i="39"/>
  <c r="BV106" i="39"/>
  <c r="BS106" i="39"/>
  <c r="BQ106" i="39"/>
  <c r="BP106" i="39"/>
  <c r="CB106" i="39" s="1"/>
  <c r="BN106" i="39"/>
  <c r="V106" i="39"/>
  <c r="U106" i="39"/>
  <c r="CO339" i="39"/>
  <c r="CM339" i="39"/>
  <c r="CC339" i="39"/>
  <c r="AY339" i="39"/>
  <c r="CI339" i="39" s="1"/>
  <c r="BX339" i="39"/>
  <c r="BV339" i="39"/>
  <c r="BS339" i="39"/>
  <c r="BQ339" i="39"/>
  <c r="BP339" i="39"/>
  <c r="CB339" i="39" s="1"/>
  <c r="BN339" i="39"/>
  <c r="V339" i="39"/>
  <c r="U339" i="39"/>
  <c r="CO139" i="39"/>
  <c r="CM139" i="39"/>
  <c r="CC139" i="39"/>
  <c r="BX139" i="39"/>
  <c r="BV139" i="39"/>
  <c r="BS139" i="39"/>
  <c r="BQ139" i="39"/>
  <c r="BP139" i="39"/>
  <c r="BN139" i="39"/>
  <c r="V139" i="39"/>
  <c r="U139" i="39"/>
  <c r="CO310" i="39"/>
  <c r="CM310" i="39"/>
  <c r="CC310" i="39"/>
  <c r="AY310" i="39"/>
  <c r="CI310" i="39" s="1"/>
  <c r="BX310" i="39"/>
  <c r="BV310" i="39"/>
  <c r="BS310" i="39"/>
  <c r="BQ310" i="39"/>
  <c r="BP310" i="39"/>
  <c r="BN310" i="39"/>
  <c r="V310" i="39"/>
  <c r="U310" i="39"/>
  <c r="CO315" i="39"/>
  <c r="CM315" i="39"/>
  <c r="CC315" i="39"/>
  <c r="AY315" i="39"/>
  <c r="CI315" i="39" s="1"/>
  <c r="BX315" i="39"/>
  <c r="BV315" i="39"/>
  <c r="BS315" i="39"/>
  <c r="BQ315" i="39"/>
  <c r="BP315" i="39"/>
  <c r="CB315" i="39" s="1"/>
  <c r="BN315" i="39"/>
  <c r="V315" i="39"/>
  <c r="U315" i="39"/>
  <c r="CO296" i="39"/>
  <c r="CM296" i="39"/>
  <c r="CC296" i="39"/>
  <c r="AY296" i="39"/>
  <c r="CI296" i="39" s="1"/>
  <c r="BX296" i="39"/>
  <c r="BV296" i="39"/>
  <c r="BS296" i="39"/>
  <c r="BQ296" i="39"/>
  <c r="BP296" i="39"/>
  <c r="BN296" i="39"/>
  <c r="V296" i="39"/>
  <c r="U296" i="39"/>
  <c r="CO138" i="39"/>
  <c r="CM138" i="39"/>
  <c r="CC138" i="39"/>
  <c r="BX138" i="39"/>
  <c r="BV138" i="39"/>
  <c r="BS138" i="39"/>
  <c r="BQ138" i="39"/>
  <c r="BP138" i="39"/>
  <c r="CB138" i="39" s="1"/>
  <c r="BN138" i="39"/>
  <c r="U138" i="39"/>
  <c r="CO111" i="39"/>
  <c r="CM111" i="39"/>
  <c r="CC111" i="39"/>
  <c r="BX111" i="39"/>
  <c r="BV111" i="39"/>
  <c r="BS111" i="39"/>
  <c r="BQ111" i="39"/>
  <c r="BP111" i="39"/>
  <c r="BN111" i="39"/>
  <c r="V111" i="39"/>
  <c r="U111" i="39"/>
  <c r="CO194" i="39"/>
  <c r="CM194" i="39"/>
  <c r="CC194" i="39"/>
  <c r="BX194" i="39"/>
  <c r="BV194" i="39"/>
  <c r="BS194" i="39"/>
  <c r="BQ194" i="39"/>
  <c r="BP194" i="39"/>
  <c r="BN194" i="39"/>
  <c r="V194" i="39"/>
  <c r="U194" i="39"/>
  <c r="CO338" i="39"/>
  <c r="CM338" i="39"/>
  <c r="CC338" i="39"/>
  <c r="AY338" i="39"/>
  <c r="CI338" i="39" s="1"/>
  <c r="BX338" i="39"/>
  <c r="BV338" i="39"/>
  <c r="BS338" i="39"/>
  <c r="BQ338" i="39"/>
  <c r="BP338" i="39"/>
  <c r="BN338" i="39"/>
  <c r="V338" i="39"/>
  <c r="U338" i="39"/>
  <c r="CO181" i="39"/>
  <c r="CM181" i="39"/>
  <c r="CC181" i="39"/>
  <c r="BX181" i="39"/>
  <c r="BV181" i="39"/>
  <c r="BS181" i="39"/>
  <c r="BQ181" i="39"/>
  <c r="BP181" i="39"/>
  <c r="BN181" i="39"/>
  <c r="V181" i="39"/>
  <c r="U181" i="39"/>
  <c r="CO335" i="39"/>
  <c r="CM335" i="39"/>
  <c r="CC335" i="39"/>
  <c r="AY335" i="39"/>
  <c r="CI335" i="39" s="1"/>
  <c r="BX335" i="39"/>
  <c r="BV335" i="39"/>
  <c r="BS335" i="39"/>
  <c r="BQ335" i="39"/>
  <c r="BP335" i="39"/>
  <c r="CB335" i="39" s="1"/>
  <c r="BN335" i="39"/>
  <c r="V335" i="39"/>
  <c r="U335" i="39"/>
  <c r="CO278" i="39"/>
  <c r="CM278" i="39"/>
  <c r="CC278" i="39"/>
  <c r="AY278" i="39"/>
  <c r="CI278" i="39" s="1"/>
  <c r="BX278" i="39"/>
  <c r="BV278" i="39"/>
  <c r="BS278" i="39"/>
  <c r="BQ278" i="39"/>
  <c r="BP278" i="39"/>
  <c r="BN278" i="39"/>
  <c r="V278" i="39"/>
  <c r="U278" i="39"/>
  <c r="CO347" i="39"/>
  <c r="CM347" i="39"/>
  <c r="CC347" i="39"/>
  <c r="AY347" i="39"/>
  <c r="CI347" i="39" s="1"/>
  <c r="BX347" i="39"/>
  <c r="BV347" i="39"/>
  <c r="BS347" i="39"/>
  <c r="BQ347" i="39"/>
  <c r="BP347" i="39"/>
  <c r="CB347" i="39" s="1"/>
  <c r="BN347" i="39"/>
  <c r="V347" i="39"/>
  <c r="U347" i="39"/>
  <c r="CO184" i="39"/>
  <c r="CM184" i="39"/>
  <c r="CC184" i="39"/>
  <c r="BX184" i="39"/>
  <c r="BV184" i="39"/>
  <c r="BS184" i="39"/>
  <c r="BQ184" i="39"/>
  <c r="BP184" i="39"/>
  <c r="BN184" i="39"/>
  <c r="V184" i="39"/>
  <c r="U184" i="39"/>
  <c r="CO74" i="39"/>
  <c r="CM74" i="39"/>
  <c r="CC74" i="39"/>
  <c r="BX74" i="39"/>
  <c r="BV74" i="39"/>
  <c r="BS74" i="39"/>
  <c r="BQ74" i="39"/>
  <c r="BP74" i="39"/>
  <c r="BN74" i="39"/>
  <c r="V74" i="39"/>
  <c r="U74" i="39"/>
  <c r="CO377" i="39"/>
  <c r="CM377" i="39"/>
  <c r="CC377" i="39"/>
  <c r="AY377" i="39"/>
  <c r="CI377" i="39" s="1"/>
  <c r="BX377" i="39"/>
  <c r="BV377" i="39"/>
  <c r="BS377" i="39"/>
  <c r="BQ377" i="39"/>
  <c r="BP377" i="39"/>
  <c r="CB377" i="39" s="1"/>
  <c r="BN377" i="39"/>
  <c r="U377" i="39"/>
  <c r="CO303" i="39"/>
  <c r="CM303" i="39"/>
  <c r="CC303" i="39"/>
  <c r="AY303" i="39"/>
  <c r="CI303" i="39" s="1"/>
  <c r="BX303" i="39"/>
  <c r="BV303" i="39"/>
  <c r="BS303" i="39"/>
  <c r="BQ303" i="39"/>
  <c r="BP303" i="39"/>
  <c r="CB303" i="39" s="1"/>
  <c r="BN303" i="39"/>
  <c r="V303" i="39"/>
  <c r="U303" i="39"/>
  <c r="CO301" i="39"/>
  <c r="CM301" i="39"/>
  <c r="CC301" i="39"/>
  <c r="AY301" i="39"/>
  <c r="CI301" i="39" s="1"/>
  <c r="BX301" i="39"/>
  <c r="BV301" i="39"/>
  <c r="BS301" i="39"/>
  <c r="BQ301" i="39"/>
  <c r="BP301" i="39"/>
  <c r="BN301" i="39"/>
  <c r="V301" i="39"/>
  <c r="U301" i="39"/>
  <c r="CO182" i="39"/>
  <c r="CM182" i="39"/>
  <c r="CC182" i="39"/>
  <c r="BX182" i="39"/>
  <c r="BV182" i="39"/>
  <c r="BS182" i="39"/>
  <c r="BQ182" i="39"/>
  <c r="BP182" i="39"/>
  <c r="CB182" i="39" s="1"/>
  <c r="BN182" i="39"/>
  <c r="U182" i="39"/>
  <c r="CO130" i="39"/>
  <c r="CM130" i="39"/>
  <c r="CC130" i="39"/>
  <c r="BX130" i="39"/>
  <c r="BV130" i="39"/>
  <c r="BS130" i="39"/>
  <c r="BQ130" i="39"/>
  <c r="BP130" i="39"/>
  <c r="BN130" i="39"/>
  <c r="V130" i="39"/>
  <c r="U130" i="39"/>
  <c r="CO350" i="39"/>
  <c r="CM350" i="39"/>
  <c r="CC350" i="39"/>
  <c r="AY350" i="39"/>
  <c r="CI350" i="39" s="1"/>
  <c r="BX350" i="39"/>
  <c r="BV350" i="39"/>
  <c r="BS350" i="39"/>
  <c r="BQ350" i="39"/>
  <c r="BP350" i="39"/>
  <c r="CB350" i="39" s="1"/>
  <c r="BN350" i="39"/>
  <c r="V350" i="39"/>
  <c r="U350" i="39"/>
  <c r="CO107" i="39"/>
  <c r="CM107" i="39"/>
  <c r="CC107" i="39"/>
  <c r="BX107" i="39"/>
  <c r="BV107" i="39"/>
  <c r="BS107" i="39"/>
  <c r="BQ107" i="39"/>
  <c r="BP107" i="39"/>
  <c r="CB107" i="39" s="1"/>
  <c r="BN107" i="39"/>
  <c r="V107" i="39"/>
  <c r="CO122" i="39"/>
  <c r="CM122" i="39"/>
  <c r="CC122" i="39"/>
  <c r="AY122" i="39"/>
  <c r="CI122" i="39" s="1"/>
  <c r="BX122" i="39"/>
  <c r="BV122" i="39"/>
  <c r="BS122" i="39"/>
  <c r="BQ122" i="39"/>
  <c r="BP122" i="39"/>
  <c r="CB122" i="39" s="1"/>
  <c r="BN122" i="39"/>
  <c r="V122" i="39"/>
  <c r="U122" i="39"/>
  <c r="CO336" i="39"/>
  <c r="CM336" i="39"/>
  <c r="CC336" i="39"/>
  <c r="AY336" i="39"/>
  <c r="CI336" i="39" s="1"/>
  <c r="BX336" i="39"/>
  <c r="BV336" i="39"/>
  <c r="BS336" i="39"/>
  <c r="BQ336" i="39"/>
  <c r="BP336" i="39"/>
  <c r="BN336" i="39"/>
  <c r="V336" i="39"/>
  <c r="U336" i="39"/>
  <c r="CO215" i="39"/>
  <c r="CM215" i="39"/>
  <c r="CC215" i="39"/>
  <c r="BX215" i="39"/>
  <c r="BV215" i="39"/>
  <c r="BS215" i="39"/>
  <c r="BQ215" i="39"/>
  <c r="BP215" i="39"/>
  <c r="CB215" i="39" s="1"/>
  <c r="BN215" i="39"/>
  <c r="CO75" i="39"/>
  <c r="CM75" i="39"/>
  <c r="CC75" i="39"/>
  <c r="AY75" i="39"/>
  <c r="CI75" i="39" s="1"/>
  <c r="BX75" i="39"/>
  <c r="BV75" i="39"/>
  <c r="BS75" i="39"/>
  <c r="BQ75" i="39"/>
  <c r="BP75" i="39"/>
  <c r="CB75" i="39" s="1"/>
  <c r="BN75" i="39"/>
  <c r="V75" i="39"/>
  <c r="U75" i="39"/>
  <c r="CO370" i="39"/>
  <c r="CM370" i="39"/>
  <c r="CC370" i="39"/>
  <c r="BX370" i="39"/>
  <c r="BV370" i="39"/>
  <c r="BS370" i="39"/>
  <c r="BQ370" i="39"/>
  <c r="BP370" i="39"/>
  <c r="CB370" i="39" s="1"/>
  <c r="BN370" i="39"/>
  <c r="V370" i="39"/>
  <c r="U370" i="39"/>
  <c r="CO311" i="39"/>
  <c r="CM311" i="39"/>
  <c r="CC311" i="39"/>
  <c r="AY311" i="39"/>
  <c r="CI311" i="39" s="1"/>
  <c r="BX311" i="39"/>
  <c r="BV311" i="39"/>
  <c r="BS311" i="39"/>
  <c r="BQ311" i="39"/>
  <c r="BP311" i="39"/>
  <c r="CB311" i="39" s="1"/>
  <c r="BN311" i="39"/>
  <c r="V311" i="39"/>
  <c r="U311" i="39"/>
  <c r="CO287" i="39"/>
  <c r="CM287" i="39"/>
  <c r="CC287" i="39"/>
  <c r="AY287" i="39"/>
  <c r="CI287" i="39" s="1"/>
  <c r="BX287" i="39"/>
  <c r="BV287" i="39"/>
  <c r="BS287" i="39"/>
  <c r="BQ287" i="39"/>
  <c r="BP287" i="39"/>
  <c r="CB287" i="39" s="1"/>
  <c r="BN287" i="39"/>
  <c r="V287" i="39"/>
  <c r="U287" i="39"/>
  <c r="CO328" i="39"/>
  <c r="CM328" i="39"/>
  <c r="CC328" i="39"/>
  <c r="AY328" i="39"/>
  <c r="CI328" i="39" s="1"/>
  <c r="BX328" i="39"/>
  <c r="BV328" i="39"/>
  <c r="BS328" i="39"/>
  <c r="BQ328" i="39"/>
  <c r="BP328" i="39"/>
  <c r="BN328" i="39"/>
  <c r="V328" i="39"/>
  <c r="U328" i="39"/>
  <c r="CO286" i="39"/>
  <c r="CM286" i="39"/>
  <c r="CC286" i="39"/>
  <c r="AY286" i="39"/>
  <c r="CI286" i="39" s="1"/>
  <c r="BX286" i="39"/>
  <c r="BV286" i="39"/>
  <c r="BS286" i="39"/>
  <c r="BQ286" i="39"/>
  <c r="BP286" i="39"/>
  <c r="CB286" i="39" s="1"/>
  <c r="BN286" i="39"/>
  <c r="V286" i="39"/>
  <c r="U286" i="39"/>
  <c r="CO293" i="39"/>
  <c r="CM293" i="39"/>
  <c r="CC293" i="39"/>
  <c r="AY293" i="39"/>
  <c r="CI293" i="39" s="1"/>
  <c r="BX293" i="39"/>
  <c r="BV293" i="39"/>
  <c r="BS293" i="39"/>
  <c r="BQ293" i="39"/>
  <c r="BP293" i="39"/>
  <c r="CB293" i="39" s="1"/>
  <c r="BN293" i="39"/>
  <c r="V293" i="39"/>
  <c r="U293" i="39"/>
  <c r="CO346" i="39"/>
  <c r="CM346" i="39"/>
  <c r="CC346" i="39"/>
  <c r="AY346" i="39"/>
  <c r="CI346" i="39" s="1"/>
  <c r="BX346" i="39"/>
  <c r="BV346" i="39"/>
  <c r="BS346" i="39"/>
  <c r="BQ346" i="39"/>
  <c r="BP346" i="39"/>
  <c r="BN346" i="39"/>
  <c r="V346" i="39"/>
  <c r="U346" i="39"/>
  <c r="CO349" i="39"/>
  <c r="CM349" i="39"/>
  <c r="CC349" i="39"/>
  <c r="AY349" i="39"/>
  <c r="CI349" i="39" s="1"/>
  <c r="BX349" i="39"/>
  <c r="BV349" i="39"/>
  <c r="BS349" i="39"/>
  <c r="BQ349" i="39"/>
  <c r="BP349" i="39"/>
  <c r="BN349" i="39"/>
  <c r="V349" i="39"/>
  <c r="U349" i="39"/>
  <c r="CO277" i="39"/>
  <c r="CM277" i="39"/>
  <c r="CC277" i="39"/>
  <c r="AY277" i="39"/>
  <c r="CI277" i="39" s="1"/>
  <c r="BX277" i="39"/>
  <c r="BV277" i="39"/>
  <c r="BS277" i="39"/>
  <c r="BQ277" i="39"/>
  <c r="BP277" i="39"/>
  <c r="BN277" i="39"/>
  <c r="V277" i="39"/>
  <c r="U277" i="39"/>
  <c r="CO14" i="39"/>
  <c r="CM14" i="39"/>
  <c r="CC14" i="39"/>
  <c r="BX14" i="39"/>
  <c r="BV14" i="39"/>
  <c r="BS14" i="39"/>
  <c r="BQ14" i="39"/>
  <c r="BP14" i="39"/>
  <c r="CB14" i="39" s="1"/>
  <c r="BN14" i="39"/>
  <c r="V14" i="39"/>
  <c r="U14" i="39"/>
  <c r="CO300" i="39"/>
  <c r="CM300" i="39"/>
  <c r="CC300" i="39"/>
  <c r="AY300" i="39"/>
  <c r="CI300" i="39" s="1"/>
  <c r="BX300" i="39"/>
  <c r="BV300" i="39"/>
  <c r="BS300" i="39"/>
  <c r="BQ300" i="39"/>
  <c r="BP300" i="39"/>
  <c r="BN300" i="39"/>
  <c r="V300" i="39"/>
  <c r="U300" i="39"/>
  <c r="CO171" i="39"/>
  <c r="CM171" i="39"/>
  <c r="CC171" i="39"/>
  <c r="BX171" i="39"/>
  <c r="BV171" i="39"/>
  <c r="BS171" i="39"/>
  <c r="BQ171" i="39"/>
  <c r="BP171" i="39"/>
  <c r="CB171" i="39" s="1"/>
  <c r="BN171" i="39"/>
  <c r="V171" i="39"/>
  <c r="U171" i="39"/>
  <c r="CO143" i="39"/>
  <c r="CM143" i="39"/>
  <c r="CC143" i="39"/>
  <c r="BX143" i="39"/>
  <c r="BV143" i="39"/>
  <c r="BS143" i="39"/>
  <c r="BQ143" i="39"/>
  <c r="BP143" i="39"/>
  <c r="CB143" i="39" s="1"/>
  <c r="BN143" i="39"/>
  <c r="CO327" i="39"/>
  <c r="CM327" i="39"/>
  <c r="CC327" i="39"/>
  <c r="AY327" i="39"/>
  <c r="CI327" i="39" s="1"/>
  <c r="BX327" i="39"/>
  <c r="BV327" i="39"/>
  <c r="BS327" i="39"/>
  <c r="BQ327" i="39"/>
  <c r="BP327" i="39"/>
  <c r="BN327" i="39"/>
  <c r="V327" i="39"/>
  <c r="U327" i="39"/>
  <c r="CO307" i="39"/>
  <c r="CM307" i="39"/>
  <c r="CC307" i="39"/>
  <c r="AY307" i="39"/>
  <c r="CI307" i="39" s="1"/>
  <c r="BX307" i="39"/>
  <c r="BV307" i="39"/>
  <c r="BS307" i="39"/>
  <c r="BQ307" i="39"/>
  <c r="BP307" i="39"/>
  <c r="CB307" i="39" s="1"/>
  <c r="BN307" i="39"/>
  <c r="V307" i="39"/>
  <c r="U307" i="39"/>
  <c r="CO299" i="39"/>
  <c r="CM299" i="39"/>
  <c r="CC299" i="39"/>
  <c r="AY299" i="39"/>
  <c r="CI299" i="39" s="1"/>
  <c r="BX299" i="39"/>
  <c r="BV299" i="39"/>
  <c r="BS299" i="39"/>
  <c r="BQ299" i="39"/>
  <c r="BP299" i="39"/>
  <c r="BN299" i="39"/>
  <c r="V299" i="39"/>
  <c r="U299" i="39"/>
  <c r="CO108" i="39"/>
  <c r="CM108" i="39"/>
  <c r="CC108" i="39"/>
  <c r="BX108" i="39"/>
  <c r="BV108" i="39"/>
  <c r="BS108" i="39"/>
  <c r="BQ108" i="39"/>
  <c r="BP108" i="39"/>
  <c r="CB108" i="39" s="1"/>
  <c r="BN108" i="39"/>
  <c r="V108" i="39"/>
  <c r="U108" i="39"/>
  <c r="CO183" i="39"/>
  <c r="CM183" i="39"/>
  <c r="CC183" i="39"/>
  <c r="BX183" i="39"/>
  <c r="BV183" i="39"/>
  <c r="BS183" i="39"/>
  <c r="BQ183" i="39"/>
  <c r="BP183" i="39"/>
  <c r="BN183" i="39"/>
  <c r="U183" i="39"/>
  <c r="CO326" i="39"/>
  <c r="CM326" i="39"/>
  <c r="CC326" i="39"/>
  <c r="AY326" i="39"/>
  <c r="CI326" i="39" s="1"/>
  <c r="BX326" i="39"/>
  <c r="BV326" i="39"/>
  <c r="BS326" i="39"/>
  <c r="BQ326" i="39"/>
  <c r="BP326" i="39"/>
  <c r="CB326" i="39" s="1"/>
  <c r="BN326" i="39"/>
  <c r="V326" i="39"/>
  <c r="U326" i="39"/>
  <c r="CO63" i="39"/>
  <c r="CM63" i="39"/>
  <c r="CC63" i="39"/>
  <c r="BX63" i="39"/>
  <c r="BV63" i="39"/>
  <c r="BS63" i="39"/>
  <c r="BQ63" i="39"/>
  <c r="BP63" i="39"/>
  <c r="CB63" i="39" s="1"/>
  <c r="BN63" i="39"/>
  <c r="V63" i="39"/>
  <c r="U63" i="39"/>
  <c r="CO51" i="39"/>
  <c r="CM51" i="39"/>
  <c r="CC51" i="39"/>
  <c r="AY51" i="39"/>
  <c r="CI51" i="39" s="1"/>
  <c r="BX51" i="39"/>
  <c r="BV51" i="39"/>
  <c r="BS51" i="39"/>
  <c r="BQ51" i="39"/>
  <c r="BP51" i="39"/>
  <c r="BN51" i="39"/>
  <c r="V51" i="39"/>
  <c r="U51" i="39"/>
  <c r="CO13" i="39"/>
  <c r="CM13" i="39"/>
  <c r="CC13" i="39"/>
  <c r="AY13" i="39"/>
  <c r="CI13" i="39" s="1"/>
  <c r="BX13" i="39"/>
  <c r="BV13" i="39"/>
  <c r="BS13" i="39"/>
  <c r="BQ13" i="39"/>
  <c r="BP13" i="39"/>
  <c r="CB13" i="39" s="1"/>
  <c r="BN13" i="39"/>
  <c r="V13" i="39"/>
  <c r="U13" i="39"/>
  <c r="CO118" i="39"/>
  <c r="CM118" i="39"/>
  <c r="CC118" i="39"/>
  <c r="BX118" i="39"/>
  <c r="BV118" i="39"/>
  <c r="BS118" i="39"/>
  <c r="BQ118" i="39"/>
  <c r="BP118" i="39"/>
  <c r="CB118" i="39" s="1"/>
  <c r="BN118" i="39"/>
  <c r="U118" i="39"/>
  <c r="CO306" i="39"/>
  <c r="CM306" i="39"/>
  <c r="CC306" i="39"/>
  <c r="AY306" i="39"/>
  <c r="CI306" i="39" s="1"/>
  <c r="BX306" i="39"/>
  <c r="BV306" i="39"/>
  <c r="BS306" i="39"/>
  <c r="BQ306" i="39"/>
  <c r="BP306" i="39"/>
  <c r="BN306" i="39"/>
  <c r="V306" i="39"/>
  <c r="U306" i="39"/>
  <c r="CO216" i="39"/>
  <c r="CM216" i="39"/>
  <c r="CC216" i="39"/>
  <c r="AY216" i="39"/>
  <c r="CI216" i="39" s="1"/>
  <c r="BX216" i="39"/>
  <c r="BV216" i="39"/>
  <c r="BS216" i="39"/>
  <c r="BQ216" i="39"/>
  <c r="BP216" i="39"/>
  <c r="BN216" i="39"/>
  <c r="V216" i="39"/>
  <c r="U216" i="39"/>
  <c r="CO132" i="39"/>
  <c r="CM132" i="39"/>
  <c r="CC132" i="39"/>
  <c r="BX132" i="39"/>
  <c r="BV132" i="39"/>
  <c r="BS132" i="39"/>
  <c r="BQ132" i="39"/>
  <c r="BP132" i="39"/>
  <c r="CB132" i="39" s="1"/>
  <c r="BN132" i="39"/>
  <c r="V132" i="39"/>
  <c r="U132" i="39"/>
  <c r="CO285" i="39"/>
  <c r="CM285" i="39"/>
  <c r="CC285" i="39"/>
  <c r="AY285" i="39"/>
  <c r="CI285" i="39" s="1"/>
  <c r="BX285" i="39"/>
  <c r="BV285" i="39"/>
  <c r="BS285" i="39"/>
  <c r="BQ285" i="39"/>
  <c r="BP285" i="39"/>
  <c r="BN285" i="39"/>
  <c r="V285" i="39"/>
  <c r="U285" i="39"/>
  <c r="CO97" i="39"/>
  <c r="CM97" i="39"/>
  <c r="CC97" i="39"/>
  <c r="AY97" i="39"/>
  <c r="CI97" i="39" s="1"/>
  <c r="BX97" i="39"/>
  <c r="BV97" i="39"/>
  <c r="BS97" i="39"/>
  <c r="BQ97" i="39"/>
  <c r="BP97" i="39"/>
  <c r="CB97" i="39" s="1"/>
  <c r="BN97" i="39"/>
  <c r="CO334" i="39"/>
  <c r="CM334" i="39"/>
  <c r="CC334" i="39"/>
  <c r="AY334" i="39"/>
  <c r="CI334" i="39" s="1"/>
  <c r="BX334" i="39"/>
  <c r="BV334" i="39"/>
  <c r="BS334" i="39"/>
  <c r="BQ334" i="39"/>
  <c r="BP334" i="39"/>
  <c r="CB334" i="39" s="1"/>
  <c r="BN334" i="39"/>
  <c r="V334" i="39"/>
  <c r="U334" i="39"/>
  <c r="CO305" i="39"/>
  <c r="CM305" i="39"/>
  <c r="CC305" i="39"/>
  <c r="AY305" i="39"/>
  <c r="CI305" i="39" s="1"/>
  <c r="BX305" i="39"/>
  <c r="BV305" i="39"/>
  <c r="BS305" i="39"/>
  <c r="BQ305" i="39"/>
  <c r="BP305" i="39"/>
  <c r="BN305" i="39"/>
  <c r="V305" i="39"/>
  <c r="U305" i="39"/>
  <c r="CO324" i="39"/>
  <c r="CM324" i="39"/>
  <c r="CC324" i="39"/>
  <c r="AY324" i="39"/>
  <c r="CI324" i="39" s="1"/>
  <c r="BX324" i="39"/>
  <c r="BV324" i="39"/>
  <c r="BS324" i="39"/>
  <c r="BQ324" i="39"/>
  <c r="BP324" i="39"/>
  <c r="CB324" i="39" s="1"/>
  <c r="BN324" i="39"/>
  <c r="V324" i="39"/>
  <c r="U324" i="39"/>
  <c r="CO105" i="39"/>
  <c r="CM105" i="39"/>
  <c r="CC105" i="39"/>
  <c r="BX105" i="39"/>
  <c r="BV105" i="39"/>
  <c r="BS105" i="39"/>
  <c r="BQ105" i="39"/>
  <c r="BP105" i="39"/>
  <c r="CB105" i="39" s="1"/>
  <c r="BN105" i="39"/>
  <c r="V105" i="39"/>
  <c r="U105" i="39"/>
  <c r="CO325" i="39"/>
  <c r="CM325" i="39"/>
  <c r="CC325" i="39"/>
  <c r="AY325" i="39"/>
  <c r="CI325" i="39" s="1"/>
  <c r="BX325" i="39"/>
  <c r="BV325" i="39"/>
  <c r="BS325" i="39"/>
  <c r="BQ325" i="39"/>
  <c r="BP325" i="39"/>
  <c r="CB325" i="39" s="1"/>
  <c r="BN325" i="39"/>
  <c r="V325" i="39"/>
  <c r="U325" i="39"/>
  <c r="CO342" i="39"/>
  <c r="CM342" i="39"/>
  <c r="CC342" i="39"/>
  <c r="AY342" i="39"/>
  <c r="CI342" i="39" s="1"/>
  <c r="BX342" i="39"/>
  <c r="BV342" i="39"/>
  <c r="BS342" i="39"/>
  <c r="BQ342" i="39"/>
  <c r="BP342" i="39"/>
  <c r="BN342" i="39"/>
  <c r="V342" i="39"/>
  <c r="U342" i="39"/>
  <c r="CO189" i="39"/>
  <c r="CM189" i="39"/>
  <c r="CC189" i="39"/>
  <c r="AY189" i="39"/>
  <c r="CI189" i="39" s="1"/>
  <c r="BX189" i="39"/>
  <c r="BV189" i="39"/>
  <c r="BS189" i="39"/>
  <c r="BQ189" i="39"/>
  <c r="BP189" i="39"/>
  <c r="CB189" i="39" s="1"/>
  <c r="BN189" i="39"/>
  <c r="V189" i="39"/>
  <c r="CO154" i="39"/>
  <c r="CM154" i="39"/>
  <c r="CC154" i="39"/>
  <c r="BX154" i="39"/>
  <c r="BV154" i="39"/>
  <c r="BS154" i="39"/>
  <c r="BQ154" i="39"/>
  <c r="BP154" i="39"/>
  <c r="CB154" i="39" s="1"/>
  <c r="BN154" i="39"/>
  <c r="V154" i="39"/>
  <c r="U154" i="39"/>
  <c r="CO337" i="39"/>
  <c r="CM337" i="39"/>
  <c r="CC337" i="39"/>
  <c r="AY337" i="39"/>
  <c r="CI337" i="39" s="1"/>
  <c r="BX337" i="39"/>
  <c r="BV337" i="39"/>
  <c r="BS337" i="39"/>
  <c r="BQ337" i="39"/>
  <c r="BP337" i="39"/>
  <c r="BN337" i="39"/>
  <c r="V337" i="39"/>
  <c r="U337" i="39"/>
  <c r="CO333" i="39"/>
  <c r="CM333" i="39"/>
  <c r="CC333" i="39"/>
  <c r="AY333" i="39"/>
  <c r="CI333" i="39" s="1"/>
  <c r="BX333" i="39"/>
  <c r="BV333" i="39"/>
  <c r="BS333" i="39"/>
  <c r="BQ333" i="39"/>
  <c r="BP333" i="39"/>
  <c r="CB333" i="39" s="1"/>
  <c r="BN333" i="39"/>
  <c r="V333" i="39"/>
  <c r="U333" i="39"/>
  <c r="CO332" i="39"/>
  <c r="CM332" i="39"/>
  <c r="CC332" i="39"/>
  <c r="AY332" i="39"/>
  <c r="CI332" i="39" s="1"/>
  <c r="BX332" i="39"/>
  <c r="BV332" i="39"/>
  <c r="BS332" i="39"/>
  <c r="BQ332" i="39"/>
  <c r="BP332" i="39"/>
  <c r="BN332" i="39"/>
  <c r="V332" i="39"/>
  <c r="U332" i="39"/>
  <c r="CO331" i="39"/>
  <c r="CM331" i="39"/>
  <c r="CC331" i="39"/>
  <c r="AY331" i="39"/>
  <c r="CI331" i="39" s="1"/>
  <c r="BX331" i="39"/>
  <c r="BV331" i="39"/>
  <c r="BS331" i="39"/>
  <c r="BQ331" i="39"/>
  <c r="BP331" i="39"/>
  <c r="CB331" i="39" s="1"/>
  <c r="BN331" i="39"/>
  <c r="V331" i="39"/>
  <c r="U331" i="39"/>
  <c r="CO330" i="39"/>
  <c r="CM330" i="39"/>
  <c r="CC330" i="39"/>
  <c r="AY330" i="39"/>
  <c r="CI330" i="39" s="1"/>
  <c r="BX330" i="39"/>
  <c r="BV330" i="39"/>
  <c r="BS330" i="39"/>
  <c r="BQ330" i="39"/>
  <c r="BP330" i="39"/>
  <c r="BN330" i="39"/>
  <c r="V330" i="39"/>
  <c r="U330" i="39"/>
  <c r="CO298" i="39"/>
  <c r="CM298" i="39"/>
  <c r="CC298" i="39"/>
  <c r="AY298" i="39"/>
  <c r="CI298" i="39" s="1"/>
  <c r="BX298" i="39"/>
  <c r="BV298" i="39"/>
  <c r="BS298" i="39"/>
  <c r="BQ298" i="39"/>
  <c r="BP298" i="39"/>
  <c r="BN298" i="39"/>
  <c r="V298" i="39"/>
  <c r="U298" i="39"/>
  <c r="CO112" i="39"/>
  <c r="CM112" i="39"/>
  <c r="CC112" i="39"/>
  <c r="AY112" i="39"/>
  <c r="CI112" i="39" s="1"/>
  <c r="BX112" i="39"/>
  <c r="BV112" i="39"/>
  <c r="BS112" i="39"/>
  <c r="BQ112" i="39"/>
  <c r="BP112" i="39"/>
  <c r="CB112" i="39" s="1"/>
  <c r="BN112" i="39"/>
  <c r="V112" i="39"/>
  <c r="U112" i="39"/>
  <c r="CO250" i="39"/>
  <c r="CM250" i="39"/>
  <c r="CC250" i="39"/>
  <c r="AY250" i="39"/>
  <c r="CI250" i="39" s="1"/>
  <c r="BX250" i="39"/>
  <c r="BV250" i="39"/>
  <c r="BS250" i="39"/>
  <c r="BQ250" i="39"/>
  <c r="BP250" i="39"/>
  <c r="CB250" i="39" s="1"/>
  <c r="BN250" i="39"/>
  <c r="CO314" i="39"/>
  <c r="CM314" i="39"/>
  <c r="CC314" i="39"/>
  <c r="AY314" i="39"/>
  <c r="CI314" i="39" s="1"/>
  <c r="BX314" i="39"/>
  <c r="BV314" i="39"/>
  <c r="BS314" i="39"/>
  <c r="BQ314" i="39"/>
  <c r="BP314" i="39"/>
  <c r="BN314" i="39"/>
  <c r="V314" i="39"/>
  <c r="U314" i="39"/>
  <c r="CO77" i="39"/>
  <c r="CM77" i="39"/>
  <c r="CC77" i="39"/>
  <c r="AY77" i="39"/>
  <c r="CI77" i="39" s="1"/>
  <c r="BX77" i="39"/>
  <c r="BV77" i="39"/>
  <c r="BS77" i="39"/>
  <c r="BQ77" i="39"/>
  <c r="BP77" i="39"/>
  <c r="BN77" i="39"/>
  <c r="V77" i="39"/>
  <c r="U77" i="39"/>
  <c r="CO3" i="39"/>
  <c r="CM3" i="39"/>
  <c r="CC3" i="39"/>
  <c r="AY3" i="39"/>
  <c r="CI3" i="39" s="1"/>
  <c r="BX3" i="39"/>
  <c r="BV3" i="39"/>
  <c r="BS3" i="39"/>
  <c r="BQ3" i="39"/>
  <c r="BP3" i="39"/>
  <c r="CB3" i="39" s="1"/>
  <c r="BN3" i="39"/>
  <c r="V3" i="39"/>
  <c r="U3" i="39"/>
  <c r="CO319" i="39"/>
  <c r="CM319" i="39"/>
  <c r="CC319" i="39"/>
  <c r="AY319" i="39"/>
  <c r="CI319" i="39" s="1"/>
  <c r="BX319" i="39"/>
  <c r="BV319" i="39"/>
  <c r="BS319" i="39"/>
  <c r="BQ319" i="39"/>
  <c r="BP319" i="39"/>
  <c r="BN319" i="39"/>
  <c r="V319" i="39"/>
  <c r="U319" i="39"/>
  <c r="CO67" i="39"/>
  <c r="CM67" i="39"/>
  <c r="CC67" i="39"/>
  <c r="BX67" i="39"/>
  <c r="BV67" i="39"/>
  <c r="BS67" i="39"/>
  <c r="BQ67" i="39"/>
  <c r="BP67" i="39"/>
  <c r="BN67" i="39"/>
  <c r="V67" i="39"/>
  <c r="U67" i="39"/>
  <c r="CO304" i="39"/>
  <c r="CM304" i="39"/>
  <c r="CC304" i="39"/>
  <c r="AY304" i="39"/>
  <c r="CI304" i="39" s="1"/>
  <c r="BX304" i="39"/>
  <c r="BV304" i="39"/>
  <c r="BS304" i="39"/>
  <c r="BQ304" i="39"/>
  <c r="BP304" i="39"/>
  <c r="BN304" i="39"/>
  <c r="V304" i="39"/>
  <c r="U304" i="39"/>
  <c r="CO323" i="39"/>
  <c r="CM323" i="39"/>
  <c r="CC323" i="39"/>
  <c r="AY323" i="39"/>
  <c r="CI323" i="39" s="1"/>
  <c r="BX323" i="39"/>
  <c r="BV323" i="39"/>
  <c r="BS323" i="39"/>
  <c r="BQ323" i="39"/>
  <c r="BP323" i="39"/>
  <c r="CB323" i="39" s="1"/>
  <c r="BN323" i="39"/>
  <c r="V323" i="39"/>
  <c r="U323" i="39"/>
  <c r="CO284" i="39"/>
  <c r="CM284" i="39"/>
  <c r="CC284" i="39"/>
  <c r="AY284" i="39"/>
  <c r="CI284" i="39" s="1"/>
  <c r="BX284" i="39"/>
  <c r="BV284" i="39"/>
  <c r="BS284" i="39"/>
  <c r="BQ284" i="39"/>
  <c r="BP284" i="39"/>
  <c r="BN284" i="39"/>
  <c r="V284" i="39"/>
  <c r="U284" i="39"/>
  <c r="CO79" i="39"/>
  <c r="CM79" i="39"/>
  <c r="CC79" i="39"/>
  <c r="AY79" i="39"/>
  <c r="CI79" i="39" s="1"/>
  <c r="BX79" i="39"/>
  <c r="BV79" i="39"/>
  <c r="BS79" i="39"/>
  <c r="BQ79" i="39"/>
  <c r="BP79" i="39"/>
  <c r="BN79" i="39"/>
  <c r="V79" i="39"/>
  <c r="U79" i="39"/>
  <c r="CO283" i="39"/>
  <c r="CM283" i="39"/>
  <c r="CC283" i="39"/>
  <c r="AY283" i="39"/>
  <c r="CI283" i="39" s="1"/>
  <c r="BX283" i="39"/>
  <c r="BV283" i="39"/>
  <c r="BS283" i="39"/>
  <c r="BQ283" i="39"/>
  <c r="BP283" i="39"/>
  <c r="CB283" i="39" s="1"/>
  <c r="BN283" i="39"/>
  <c r="V283" i="39"/>
  <c r="U283" i="39"/>
  <c r="CO137" i="39"/>
  <c r="CM137" i="39"/>
  <c r="CC137" i="39"/>
  <c r="BX137" i="39"/>
  <c r="BV137" i="39"/>
  <c r="BS137" i="39"/>
  <c r="BQ137" i="39"/>
  <c r="BP137" i="39"/>
  <c r="BN137" i="39"/>
  <c r="V137" i="39"/>
  <c r="U137" i="39"/>
  <c r="CO292" i="39"/>
  <c r="CM292" i="39"/>
  <c r="CC292" i="39"/>
  <c r="AY292" i="39"/>
  <c r="CI292" i="39" s="1"/>
  <c r="BX292" i="39"/>
  <c r="BV292" i="39"/>
  <c r="BS292" i="39"/>
  <c r="BQ292" i="39"/>
  <c r="BP292" i="39"/>
  <c r="BN292" i="39"/>
  <c r="V292" i="39"/>
  <c r="U292" i="39"/>
  <c r="CO249" i="39"/>
  <c r="CM249" i="39"/>
  <c r="CC249" i="39"/>
  <c r="AY249" i="39"/>
  <c r="CI249" i="39" s="1"/>
  <c r="BX249" i="39"/>
  <c r="BV249" i="39"/>
  <c r="BS249" i="39"/>
  <c r="BQ249" i="39"/>
  <c r="BP249" i="39"/>
  <c r="CO348" i="39"/>
  <c r="CM348" i="39"/>
  <c r="CC348" i="39"/>
  <c r="AY348" i="39"/>
  <c r="CI348" i="39" s="1"/>
  <c r="BX348" i="39"/>
  <c r="BV348" i="39"/>
  <c r="BS348" i="39"/>
  <c r="BQ348" i="39"/>
  <c r="BP348" i="39"/>
  <c r="BN348" i="39"/>
  <c r="V348" i="39"/>
  <c r="U348" i="39"/>
  <c r="CO371" i="39"/>
  <c r="CM371" i="39"/>
  <c r="CC371" i="39"/>
  <c r="BX371" i="39"/>
  <c r="BV371" i="39"/>
  <c r="BS371" i="39"/>
  <c r="BQ371" i="39"/>
  <c r="BP371" i="39"/>
  <c r="CB371" i="39" s="1"/>
  <c r="BZ371" i="39" s="1"/>
  <c r="AY371" i="39" s="1"/>
  <c r="CI371" i="39" s="1"/>
  <c r="BN371" i="39"/>
  <c r="V371" i="39"/>
  <c r="U371" i="39"/>
  <c r="CO170" i="39"/>
  <c r="CM170" i="39"/>
  <c r="CC170" i="39"/>
  <c r="BX170" i="39"/>
  <c r="BV170" i="39"/>
  <c r="BS170" i="39"/>
  <c r="BQ170" i="39"/>
  <c r="BP170" i="39"/>
  <c r="CB170" i="39" s="1"/>
  <c r="BN170" i="39"/>
  <c r="V170" i="39"/>
  <c r="U170" i="39"/>
  <c r="CO291" i="39"/>
  <c r="CM291" i="39"/>
  <c r="CC291" i="39"/>
  <c r="AY291" i="39"/>
  <c r="CI291" i="39" s="1"/>
  <c r="BX291" i="39"/>
  <c r="BV291" i="39"/>
  <c r="BS291" i="39"/>
  <c r="BQ291" i="39"/>
  <c r="BP291" i="39"/>
  <c r="CB291" i="39" s="1"/>
  <c r="BN291" i="39"/>
  <c r="V291" i="39"/>
  <c r="U291" i="39"/>
  <c r="CO313" i="39"/>
  <c r="CM313" i="39"/>
  <c r="CC313" i="39"/>
  <c r="AY313" i="39"/>
  <c r="CI313" i="39" s="1"/>
  <c r="BX313" i="39"/>
  <c r="BV313" i="39"/>
  <c r="BS313" i="39"/>
  <c r="BQ313" i="39"/>
  <c r="BP313" i="39"/>
  <c r="BN313" i="39"/>
  <c r="V313" i="39"/>
  <c r="U313" i="39"/>
  <c r="CO345" i="39"/>
  <c r="CM345" i="39"/>
  <c r="CC345" i="39"/>
  <c r="AY345" i="39"/>
  <c r="CI345" i="39" s="1"/>
  <c r="BX345" i="39"/>
  <c r="BV345" i="39"/>
  <c r="BS345" i="39"/>
  <c r="BQ345" i="39"/>
  <c r="BP345" i="39"/>
  <c r="CB345" i="39" s="1"/>
  <c r="BN345" i="39"/>
  <c r="V345" i="39"/>
  <c r="U345" i="39"/>
  <c r="CO206" i="39"/>
  <c r="CM206" i="39"/>
  <c r="CC206" i="39"/>
  <c r="AY206" i="39"/>
  <c r="CI206" i="39" s="1"/>
  <c r="BX206" i="39"/>
  <c r="BV206" i="39"/>
  <c r="BS206" i="39"/>
  <c r="BQ206" i="39"/>
  <c r="BP206" i="39"/>
  <c r="CB206" i="39" s="1"/>
  <c r="BN206" i="39"/>
  <c r="V206" i="39"/>
  <c r="U206" i="39"/>
  <c r="CO211" i="39"/>
  <c r="CM211" i="39"/>
  <c r="CC211" i="39"/>
  <c r="BX211" i="39"/>
  <c r="BV211" i="39"/>
  <c r="BS211" i="39"/>
  <c r="BQ211" i="39"/>
  <c r="BP211" i="39"/>
  <c r="BN211" i="39"/>
  <c r="V211" i="39"/>
  <c r="U211" i="39"/>
  <c r="CO54" i="39"/>
  <c r="CM54" i="39"/>
  <c r="CC54" i="39"/>
  <c r="BX54" i="39"/>
  <c r="BV54" i="39"/>
  <c r="BS54" i="39"/>
  <c r="BQ54" i="39"/>
  <c r="BP54" i="39"/>
  <c r="CB54" i="39" s="1"/>
  <c r="BN54" i="39"/>
  <c r="V54" i="39"/>
  <c r="U54" i="39"/>
  <c r="CO208" i="39"/>
  <c r="CM208" i="39"/>
  <c r="CC208" i="39"/>
  <c r="BX208" i="39"/>
  <c r="BV208" i="39"/>
  <c r="BS208" i="39"/>
  <c r="BQ208" i="39"/>
  <c r="BP208" i="39"/>
  <c r="CB208" i="39" s="1"/>
  <c r="BN208" i="39"/>
  <c r="BH208" i="39"/>
  <c r="BG208" i="39"/>
  <c r="V208" i="39"/>
  <c r="U208" i="39"/>
  <c r="CO169" i="39"/>
  <c r="CM169" i="39"/>
  <c r="CC169" i="39"/>
  <c r="BX169" i="39"/>
  <c r="BV169" i="39"/>
  <c r="BS169" i="39"/>
  <c r="BQ169" i="39"/>
  <c r="BP169" i="39"/>
  <c r="CB169" i="39" s="1"/>
  <c r="BN169" i="39"/>
  <c r="BH169" i="39"/>
  <c r="BG169" i="39"/>
  <c r="U169" i="39"/>
  <c r="CO282" i="39"/>
  <c r="CM282" i="39"/>
  <c r="CC282" i="39"/>
  <c r="AY282" i="39"/>
  <c r="CI282" i="39" s="1"/>
  <c r="BX282" i="39"/>
  <c r="BV282" i="39"/>
  <c r="BS282" i="39"/>
  <c r="BQ282" i="39"/>
  <c r="BP282" i="39"/>
  <c r="BN282" i="39"/>
  <c r="BH282" i="39"/>
  <c r="BG282" i="39"/>
  <c r="V282" i="39"/>
  <c r="U282" i="39"/>
  <c r="CO213" i="39"/>
  <c r="CM213" i="39"/>
  <c r="CC213" i="39"/>
  <c r="BX213" i="39"/>
  <c r="BV213" i="39"/>
  <c r="BS213" i="39"/>
  <c r="BQ213" i="39"/>
  <c r="BP213" i="39"/>
  <c r="CB213" i="39" s="1"/>
  <c r="BN213" i="39"/>
  <c r="BH213" i="39"/>
  <c r="BG213" i="39"/>
  <c r="CO321" i="39"/>
  <c r="CM321" i="39"/>
  <c r="CC321" i="39"/>
  <c r="AY321" i="39"/>
  <c r="CI321" i="39" s="1"/>
  <c r="BX321" i="39"/>
  <c r="BV321" i="39"/>
  <c r="BS321" i="39"/>
  <c r="BQ321" i="39"/>
  <c r="BP321" i="39"/>
  <c r="CB321" i="39" s="1"/>
  <c r="BN321" i="39"/>
  <c r="BH321" i="39"/>
  <c r="BG321" i="39"/>
  <c r="V321" i="39"/>
  <c r="U321" i="39"/>
  <c r="CO302" i="39"/>
  <c r="CM302" i="39"/>
  <c r="CC302" i="39"/>
  <c r="AY302" i="39"/>
  <c r="CI302" i="39" s="1"/>
  <c r="BX302" i="39"/>
  <c r="BV302" i="39"/>
  <c r="BS302" i="39"/>
  <c r="BQ302" i="39"/>
  <c r="BP302" i="39"/>
  <c r="CB302" i="39" s="1"/>
  <c r="BN302" i="39"/>
  <c r="BH302" i="39"/>
  <c r="BG302" i="39"/>
  <c r="V302" i="39"/>
  <c r="U302" i="39"/>
  <c r="CO320" i="39"/>
  <c r="CM320" i="39"/>
  <c r="CC320" i="39"/>
  <c r="AY320" i="39"/>
  <c r="CI320" i="39" s="1"/>
  <c r="BX320" i="39"/>
  <c r="BV320" i="39"/>
  <c r="BS320" i="39"/>
  <c r="BQ320" i="39"/>
  <c r="BP320" i="39"/>
  <c r="CB320" i="39" s="1"/>
  <c r="BN320" i="39"/>
  <c r="BH320" i="39"/>
  <c r="BG320" i="39"/>
  <c r="V320" i="39"/>
  <c r="U320" i="39"/>
  <c r="CO104" i="39"/>
  <c r="CM104" i="39"/>
  <c r="CC104" i="39"/>
  <c r="BX104" i="39"/>
  <c r="BV104" i="39"/>
  <c r="BS104" i="39"/>
  <c r="BQ104" i="39"/>
  <c r="BP104" i="39"/>
  <c r="CB104" i="39" s="1"/>
  <c r="BN104" i="39"/>
  <c r="BH104" i="39"/>
  <c r="BG104" i="39"/>
  <c r="V104" i="39"/>
  <c r="U104" i="39"/>
  <c r="CO209" i="39"/>
  <c r="CM209" i="39"/>
  <c r="CC209" i="39"/>
  <c r="BX209" i="39"/>
  <c r="BV209" i="39"/>
  <c r="BS209" i="39"/>
  <c r="BQ209" i="39"/>
  <c r="BP209" i="39"/>
  <c r="CB209" i="39" s="1"/>
  <c r="BN209" i="39"/>
  <c r="BH209" i="39"/>
  <c r="BG209" i="39"/>
  <c r="V209" i="39"/>
  <c r="U209" i="39"/>
  <c r="CO119" i="39"/>
  <c r="CM119" i="39"/>
  <c r="CC119" i="39"/>
  <c r="AY119" i="39"/>
  <c r="CI119" i="39" s="1"/>
  <c r="BX119" i="39"/>
  <c r="BV119" i="39"/>
  <c r="BS119" i="39"/>
  <c r="BQ119" i="39"/>
  <c r="BP119" i="39"/>
  <c r="BN119" i="39"/>
  <c r="BH119" i="39"/>
  <c r="BG119" i="39"/>
  <c r="V119" i="39"/>
  <c r="U119" i="39"/>
  <c r="CO312" i="39"/>
  <c r="CM312" i="39"/>
  <c r="CC312" i="39"/>
  <c r="AY312" i="39"/>
  <c r="CI312" i="39" s="1"/>
  <c r="BX312" i="39"/>
  <c r="BV312" i="39"/>
  <c r="BS312" i="39"/>
  <c r="BQ312" i="39"/>
  <c r="BP312" i="39"/>
  <c r="CB312" i="39" s="1"/>
  <c r="BN312" i="39"/>
  <c r="BH312" i="39"/>
  <c r="BG312" i="39"/>
  <c r="V312" i="39"/>
  <c r="U312" i="39"/>
  <c r="CO317" i="39"/>
  <c r="CM317" i="39"/>
  <c r="CC317" i="39"/>
  <c r="AY317" i="39"/>
  <c r="CI317" i="39" s="1"/>
  <c r="BX317" i="39"/>
  <c r="BV317" i="39"/>
  <c r="BS317" i="39"/>
  <c r="BQ317" i="39"/>
  <c r="BP317" i="39"/>
  <c r="CB317" i="39" s="1"/>
  <c r="BN317" i="39"/>
  <c r="BH317" i="39"/>
  <c r="BG317" i="39"/>
  <c r="V317" i="39"/>
  <c r="U317" i="39"/>
  <c r="CO344" i="39"/>
  <c r="CM344" i="39"/>
  <c r="CC344" i="39"/>
  <c r="BX344" i="39"/>
  <c r="BV344" i="39"/>
  <c r="BS344" i="39"/>
  <c r="BQ344" i="39"/>
  <c r="BP344" i="39"/>
  <c r="BN344" i="39"/>
  <c r="BH344" i="39"/>
  <c r="V344" i="39"/>
  <c r="U344" i="39"/>
  <c r="CO322" i="39"/>
  <c r="CM322" i="39"/>
  <c r="CC322" i="39"/>
  <c r="AY322" i="39"/>
  <c r="BX322" i="39"/>
  <c r="BV322" i="39"/>
  <c r="BS322" i="39"/>
  <c r="BQ322" i="39"/>
  <c r="BP322" i="39"/>
  <c r="CB322" i="39" s="1"/>
  <c r="BN322" i="39"/>
  <c r="BH322" i="39"/>
  <c r="V322" i="39"/>
  <c r="U322" i="39"/>
  <c r="I390" i="42" l="1"/>
  <c r="A410" i="41" s="1"/>
  <c r="AA410" i="41" s="1"/>
  <c r="I162" i="42"/>
  <c r="A79" i="41" s="1"/>
  <c r="AA79" i="41" s="1"/>
  <c r="I158" i="42"/>
  <c r="A176" i="41" s="1"/>
  <c r="AA176" i="41" s="1"/>
  <c r="I161" i="42"/>
  <c r="A62" i="41" s="1"/>
  <c r="AA62" i="41" s="1"/>
  <c r="I389" i="42"/>
  <c r="A409" i="41" s="1"/>
  <c r="AA409" i="41" s="1"/>
  <c r="BZ370" i="39"/>
  <c r="AY370" i="39" s="1"/>
  <c r="CI370" i="39" s="1"/>
  <c r="I391" i="42"/>
  <c r="A411" i="41" s="1"/>
  <c r="AA411" i="41" s="1"/>
  <c r="I385" i="42"/>
  <c r="A405" i="41" s="1"/>
  <c r="AA405" i="41" s="1"/>
  <c r="I392" i="42"/>
  <c r="A412" i="41" s="1"/>
  <c r="AA412" i="41" s="1"/>
  <c r="I388" i="42"/>
  <c r="A408" i="41" s="1"/>
  <c r="AA408" i="41" s="1"/>
  <c r="I386" i="42"/>
  <c r="A406" i="41" s="1"/>
  <c r="AA406" i="41" s="1"/>
  <c r="I164" i="42"/>
  <c r="A162" i="41" s="1"/>
  <c r="AA162" i="41" s="1"/>
  <c r="I408" i="42"/>
  <c r="A18" i="41" s="1"/>
  <c r="AA18" i="41" s="1"/>
  <c r="I165" i="42"/>
  <c r="A63" i="41" s="1"/>
  <c r="AA63" i="41" s="1"/>
  <c r="I339" i="42"/>
  <c r="A359" i="41" s="1"/>
  <c r="AA359" i="41" s="1"/>
  <c r="I329" i="42"/>
  <c r="A349" i="41" s="1"/>
  <c r="AA349" i="41" s="1"/>
  <c r="I320" i="42"/>
  <c r="A340" i="41" s="1"/>
  <c r="AA340" i="41" s="1"/>
  <c r="I312" i="42"/>
  <c r="A332" i="41" s="1"/>
  <c r="AA332" i="41" s="1"/>
  <c r="I347" i="42"/>
  <c r="A367" i="41" s="1"/>
  <c r="AA367" i="41" s="1"/>
  <c r="I335" i="42"/>
  <c r="A355" i="41" s="1"/>
  <c r="AA355" i="41" s="1"/>
  <c r="I387" i="42"/>
  <c r="A407" i="41" s="1"/>
  <c r="AA407" i="41" s="1"/>
  <c r="I344" i="42"/>
  <c r="A364" i="41" s="1"/>
  <c r="AA364" i="41" s="1"/>
  <c r="I374" i="42"/>
  <c r="A394" i="41" s="1"/>
  <c r="AA394" i="41" s="1"/>
  <c r="I365" i="42"/>
  <c r="A385" i="41" s="1"/>
  <c r="AA385" i="41" s="1"/>
  <c r="I377" i="42"/>
  <c r="A397" i="41" s="1"/>
  <c r="AA397" i="41" s="1"/>
  <c r="I368" i="42"/>
  <c r="A388" i="41" s="1"/>
  <c r="AA388" i="41" s="1"/>
  <c r="I380" i="42"/>
  <c r="A400" i="41" s="1"/>
  <c r="AA400" i="41" s="1"/>
  <c r="I370" i="42"/>
  <c r="A390" i="41" s="1"/>
  <c r="AA390" i="41" s="1"/>
  <c r="I303" i="42"/>
  <c r="A323" i="41" s="1"/>
  <c r="AA323" i="41" s="1"/>
  <c r="I298" i="42"/>
  <c r="A318" i="41" s="1"/>
  <c r="AA318" i="41" s="1"/>
  <c r="I375" i="42"/>
  <c r="A395" i="41" s="1"/>
  <c r="AA395" i="41" s="1"/>
  <c r="I366" i="42"/>
  <c r="A386" i="41" s="1"/>
  <c r="AA386" i="41" s="1"/>
  <c r="I378" i="42"/>
  <c r="A398" i="41" s="1"/>
  <c r="AA398" i="41" s="1"/>
  <c r="I369" i="42"/>
  <c r="A389" i="41" s="1"/>
  <c r="AA389" i="41" s="1"/>
  <c r="I371" i="42"/>
  <c r="A391" i="41" s="1"/>
  <c r="AA391" i="41" s="1"/>
  <c r="I383" i="42"/>
  <c r="A403" i="41" s="1"/>
  <c r="AA403" i="41" s="1"/>
  <c r="I343" i="42"/>
  <c r="A363" i="41" s="1"/>
  <c r="AA363" i="41" s="1"/>
  <c r="I379" i="42"/>
  <c r="A399" i="41" s="1"/>
  <c r="AA399" i="41" s="1"/>
  <c r="I382" i="42"/>
  <c r="A402" i="41" s="1"/>
  <c r="AA402" i="41" s="1"/>
  <c r="I372" i="42"/>
  <c r="A392" i="41" s="1"/>
  <c r="AA392" i="41" s="1"/>
  <c r="I384" i="42"/>
  <c r="A404" i="41" s="1"/>
  <c r="AA404" i="41" s="1"/>
  <c r="I373" i="42"/>
  <c r="A393" i="41" s="1"/>
  <c r="AA393" i="41" s="1"/>
  <c r="I393" i="42"/>
  <c r="A3" i="41" s="1"/>
  <c r="AA3" i="41" s="1"/>
  <c r="I345" i="42"/>
  <c r="A365" i="41" s="1"/>
  <c r="AA365" i="41" s="1"/>
  <c r="I321" i="42"/>
  <c r="A341" i="41" s="1"/>
  <c r="AA341" i="41" s="1"/>
  <c r="I313" i="42"/>
  <c r="A333" i="41" s="1"/>
  <c r="AA333" i="41" s="1"/>
  <c r="I319" i="42"/>
  <c r="A339" i="41" s="1"/>
  <c r="AA339" i="41" s="1"/>
  <c r="I311" i="42"/>
  <c r="A331" i="41" s="1"/>
  <c r="AA331" i="41" s="1"/>
  <c r="N47" i="39"/>
  <c r="H81" i="40"/>
  <c r="CO47" i="39" s="1"/>
  <c r="I406" i="42"/>
  <c r="A16" i="41" s="1"/>
  <c r="AA16" i="41" s="1"/>
  <c r="I340" i="42"/>
  <c r="A360" i="41" s="1"/>
  <c r="AA360" i="41" s="1"/>
  <c r="I4" i="42"/>
  <c r="A189" i="41" s="1"/>
  <c r="AA189" i="41" s="1"/>
  <c r="I266" i="42"/>
  <c r="A126" i="41" s="1"/>
  <c r="AA126" i="41" s="1"/>
  <c r="I402" i="42"/>
  <c r="A12" i="41" s="1"/>
  <c r="AA12" i="41" s="1"/>
  <c r="I318" i="42"/>
  <c r="A338" i="41" s="1"/>
  <c r="AA338" i="41" s="1"/>
  <c r="I407" i="42"/>
  <c r="A17" i="41" s="1"/>
  <c r="AA17" i="41" s="1"/>
  <c r="I322" i="42"/>
  <c r="A342" i="41" s="1"/>
  <c r="AA342" i="41" s="1"/>
  <c r="I263" i="42"/>
  <c r="A50" i="41" s="1"/>
  <c r="AA50" i="41" s="1"/>
  <c r="I260" i="42"/>
  <c r="A118" i="41" s="1"/>
  <c r="AA118" i="41" s="1"/>
  <c r="I256" i="42"/>
  <c r="A138" i="41" s="1"/>
  <c r="AA138" i="41" s="1"/>
  <c r="I268" i="42"/>
  <c r="A110" i="41" s="1"/>
  <c r="AA110" i="41" s="1"/>
  <c r="I258" i="42"/>
  <c r="A109" i="41" s="1"/>
  <c r="AA109" i="41" s="1"/>
  <c r="I262" i="42"/>
  <c r="A85" i="41" s="1"/>
  <c r="AA85" i="41" s="1"/>
  <c r="I255" i="42"/>
  <c r="A137" i="41" s="1"/>
  <c r="AA137" i="41" s="1"/>
  <c r="I269" i="42"/>
  <c r="A86" i="41" s="1"/>
  <c r="AA86" i="41" s="1"/>
  <c r="I159" i="42"/>
  <c r="A146" i="41" s="1"/>
  <c r="AA146" i="41" s="1"/>
  <c r="I275" i="42"/>
  <c r="A147" i="41" s="1"/>
  <c r="AA147" i="41" s="1"/>
  <c r="I264" i="42"/>
  <c r="A42" i="41" s="1"/>
  <c r="AA42" i="41" s="1"/>
  <c r="I261" i="42"/>
  <c r="A125" i="41" s="1"/>
  <c r="AA125" i="41" s="1"/>
  <c r="I259" i="42"/>
  <c r="A49" i="41" s="1"/>
  <c r="AA49" i="41" s="1"/>
  <c r="I265" i="42"/>
  <c r="A144" i="41" s="1"/>
  <c r="AA144" i="41" s="1"/>
  <c r="I257" i="42"/>
  <c r="A108" i="41" s="1"/>
  <c r="AA108" i="41" s="1"/>
  <c r="I163" i="42"/>
  <c r="A53" i="41" s="1"/>
  <c r="AA53" i="41" s="1"/>
  <c r="I166" i="42"/>
  <c r="A37" i="41" s="1"/>
  <c r="AA37" i="41" s="1"/>
  <c r="CF34" i="39"/>
  <c r="BZ34" i="39" s="1"/>
  <c r="I160" i="42"/>
  <c r="A61" i="41" s="1"/>
  <c r="AA61" i="41" s="1"/>
  <c r="I168" i="42"/>
  <c r="A64" i="41" s="1"/>
  <c r="AA64" i="41" s="1"/>
  <c r="I167" i="42"/>
  <c r="A38" i="41" s="1"/>
  <c r="AA38" i="41" s="1"/>
  <c r="I171" i="42"/>
  <c r="A130" i="41" s="1"/>
  <c r="AA130" i="41" s="1"/>
  <c r="I169" i="42"/>
  <c r="A65" i="41" s="1"/>
  <c r="AA65" i="41" s="1"/>
  <c r="I2" i="42"/>
  <c r="A187" i="41" s="1"/>
  <c r="AA187" i="41" s="1"/>
  <c r="I172" i="42"/>
  <c r="A153" i="41" s="1"/>
  <c r="AA153" i="41" s="1"/>
  <c r="N98" i="39"/>
  <c r="H80" i="40"/>
  <c r="CO98" i="39" s="1"/>
  <c r="N158" i="39"/>
  <c r="H79" i="40"/>
  <c r="CO158" i="39" s="1"/>
  <c r="N191" i="39"/>
  <c r="H78" i="40"/>
  <c r="CO191" i="39" s="1"/>
  <c r="N192" i="39"/>
  <c r="H77" i="40"/>
  <c r="CO192" i="39" s="1"/>
  <c r="N30" i="39"/>
  <c r="H76" i="40"/>
  <c r="CO30" i="39" s="1"/>
  <c r="N24" i="39"/>
  <c r="H72" i="40"/>
  <c r="CO24" i="39" s="1"/>
  <c r="N50" i="39"/>
  <c r="H71" i="40"/>
  <c r="CO50" i="39" s="1"/>
  <c r="N393" i="39"/>
  <c r="H73" i="40"/>
  <c r="CO393" i="39" s="1"/>
  <c r="N123" i="39"/>
  <c r="H74" i="40"/>
  <c r="CO123" i="39" s="1"/>
  <c r="N176" i="39"/>
  <c r="H75" i="40"/>
  <c r="CO176" i="39" s="1"/>
  <c r="N25" i="39"/>
  <c r="H70" i="40"/>
  <c r="CO25" i="39" s="1"/>
  <c r="N219" i="39"/>
  <c r="H69" i="40"/>
  <c r="CO219" i="39" s="1"/>
  <c r="N18" i="39"/>
  <c r="H68" i="40"/>
  <c r="CO18" i="39" s="1"/>
  <c r="N124" i="39"/>
  <c r="H67" i="40"/>
  <c r="CO124" i="39" s="1"/>
  <c r="N17" i="39"/>
  <c r="H66" i="40"/>
  <c r="CO17" i="39" s="1"/>
  <c r="N46" i="39"/>
  <c r="H64" i="40"/>
  <c r="CO46" i="39" s="1"/>
  <c r="N392" i="39"/>
  <c r="H65" i="40"/>
  <c r="CO392" i="39" s="1"/>
  <c r="N41" i="39"/>
  <c r="H59" i="40"/>
  <c r="CO41" i="39" s="1"/>
  <c r="N157" i="39"/>
  <c r="H61" i="40"/>
  <c r="CO157" i="39" s="1"/>
  <c r="N43" i="39"/>
  <c r="H58" i="40"/>
  <c r="CO43" i="39" s="1"/>
  <c r="N44" i="39"/>
  <c r="H63" i="40"/>
  <c r="CO44" i="39" s="1"/>
  <c r="N42" i="39"/>
  <c r="H57" i="40"/>
  <c r="CO42" i="39" s="1"/>
  <c r="N45" i="39"/>
  <c r="H62" i="40"/>
  <c r="CO45" i="39" s="1"/>
  <c r="N160" i="39"/>
  <c r="H60" i="40"/>
  <c r="CO160" i="39" s="1"/>
  <c r="N159" i="39"/>
  <c r="H56" i="40"/>
  <c r="CO159" i="39" s="1"/>
  <c r="N21" i="39"/>
  <c r="H51" i="40"/>
  <c r="CO21" i="39" s="1"/>
  <c r="N156" i="39"/>
  <c r="H48" i="40"/>
  <c r="CO156" i="39" s="1"/>
  <c r="N19" i="39"/>
  <c r="H54" i="40"/>
  <c r="CO19" i="39" s="1"/>
  <c r="N391" i="39"/>
  <c r="H53" i="40"/>
  <c r="CO391" i="39" s="1"/>
  <c r="N20" i="39"/>
  <c r="H55" i="40"/>
  <c r="CO20" i="39" s="1"/>
  <c r="N155" i="39"/>
  <c r="H50" i="40"/>
  <c r="CO155" i="39" s="1"/>
  <c r="N22" i="39"/>
  <c r="H49" i="40"/>
  <c r="CO22" i="39" s="1"/>
  <c r="N390" i="39"/>
  <c r="H52" i="40"/>
  <c r="CO390" i="39" s="1"/>
  <c r="N152" i="39"/>
  <c r="H47" i="40"/>
  <c r="CO152" i="39" s="1"/>
  <c r="N165" i="39"/>
  <c r="H46" i="40"/>
  <c r="CO165" i="39" s="1"/>
  <c r="N64" i="39"/>
  <c r="H45" i="40"/>
  <c r="CO64" i="39" s="1"/>
  <c r="N166" i="39"/>
  <c r="H44" i="40"/>
  <c r="CO166" i="39" s="1"/>
  <c r="N164" i="39"/>
  <c r="H42" i="40"/>
  <c r="CO164" i="39" s="1"/>
  <c r="N389" i="39"/>
  <c r="H41" i="40"/>
  <c r="CO389" i="39" s="1"/>
  <c r="N29" i="39"/>
  <c r="H43" i="40"/>
  <c r="CO29" i="39" s="1"/>
  <c r="N28" i="39"/>
  <c r="H40" i="40"/>
  <c r="CO28" i="39" s="1"/>
  <c r="N128" i="39"/>
  <c r="H39" i="40"/>
  <c r="CO128" i="39" s="1"/>
  <c r="N387" i="39"/>
  <c r="H36" i="40"/>
  <c r="CO387" i="39" s="1"/>
  <c r="N27" i="39"/>
  <c r="H35" i="40"/>
  <c r="CO27" i="39" s="1"/>
  <c r="N129" i="39"/>
  <c r="H38" i="40"/>
  <c r="CO129" i="39" s="1"/>
  <c r="N388" i="39"/>
  <c r="H37" i="40"/>
  <c r="CO388" i="39" s="1"/>
  <c r="N131" i="39"/>
  <c r="H34" i="40"/>
  <c r="CO131" i="39" s="1"/>
  <c r="N26" i="39"/>
  <c r="H33" i="40"/>
  <c r="CO26" i="39" s="1"/>
  <c r="N386" i="39"/>
  <c r="H32" i="40"/>
  <c r="CO386" i="39" s="1"/>
  <c r="N40" i="39"/>
  <c r="H31" i="40"/>
  <c r="CO40" i="39" s="1"/>
  <c r="N161" i="39"/>
  <c r="H30" i="40"/>
  <c r="CO161" i="39" s="1"/>
  <c r="N168" i="39"/>
  <c r="H29" i="40"/>
  <c r="CO168" i="39" s="1"/>
  <c r="N23" i="39"/>
  <c r="H28" i="40"/>
  <c r="CO23" i="39" s="1"/>
  <c r="N384" i="39"/>
  <c r="H26" i="40"/>
  <c r="CO384" i="39" s="1"/>
  <c r="N48" i="39"/>
  <c r="H25" i="40"/>
  <c r="CO48" i="39" s="1"/>
  <c r="N385" i="39"/>
  <c r="H27" i="40"/>
  <c r="CO385" i="39" s="1"/>
  <c r="N204" i="39"/>
  <c r="H22" i="40"/>
  <c r="CO204" i="39" s="1"/>
  <c r="N202" i="39"/>
  <c r="H24" i="40"/>
  <c r="CO202" i="39" s="1"/>
  <c r="N49" i="39"/>
  <c r="H23" i="40"/>
  <c r="CO49" i="39" s="1"/>
  <c r="N163" i="39"/>
  <c r="H19" i="40"/>
  <c r="CO163" i="39" s="1"/>
  <c r="N162" i="39"/>
  <c r="H20" i="40"/>
  <c r="CO162" i="39" s="1"/>
  <c r="N203" i="39"/>
  <c r="H21" i="40"/>
  <c r="CO203" i="39" s="1"/>
  <c r="N167" i="39"/>
  <c r="H17" i="40"/>
  <c r="CO167" i="39" s="1"/>
  <c r="N32" i="39"/>
  <c r="H16" i="40"/>
  <c r="CO32" i="39" s="1"/>
  <c r="N31" i="39"/>
  <c r="H18" i="40"/>
  <c r="CO31" i="39" s="1"/>
  <c r="N382" i="39"/>
  <c r="H14" i="40"/>
  <c r="CO382" i="39" s="1"/>
  <c r="N381" i="39"/>
  <c r="H12" i="40"/>
  <c r="CO381" i="39" s="1"/>
  <c r="N383" i="39"/>
  <c r="H15" i="40"/>
  <c r="CO383" i="39" s="1"/>
  <c r="N33" i="39"/>
  <c r="H13" i="40"/>
  <c r="CO33" i="39" s="1"/>
  <c r="I270" i="42"/>
  <c r="A111" i="41" s="1"/>
  <c r="AA111" i="41" s="1"/>
  <c r="I155" i="42"/>
  <c r="A96" i="41" s="1"/>
  <c r="AA96" i="41" s="1"/>
  <c r="I272" i="42"/>
  <c r="A93" i="41" s="1"/>
  <c r="AA93" i="41" s="1"/>
  <c r="I157" i="42"/>
  <c r="A129" i="41" s="1"/>
  <c r="AA129" i="41" s="1"/>
  <c r="I271" i="42"/>
  <c r="A73" i="41" s="1"/>
  <c r="AA73" i="41" s="1"/>
  <c r="I156" i="42"/>
  <c r="A175" i="41" s="1"/>
  <c r="AA175" i="41" s="1"/>
  <c r="C35" i="39"/>
  <c r="I174" i="42"/>
  <c r="A154" i="41" s="1"/>
  <c r="AA154" i="41" s="1"/>
  <c r="C32" i="39"/>
  <c r="I179" i="42"/>
  <c r="A180" i="41" s="1"/>
  <c r="AA180" i="41" s="1"/>
  <c r="C384" i="39"/>
  <c r="I189" i="42"/>
  <c r="A28" i="41" s="1"/>
  <c r="AA28" i="41" s="1"/>
  <c r="C387" i="39"/>
  <c r="I199" i="42"/>
  <c r="A182" i="41" s="1"/>
  <c r="AA182" i="41" s="1"/>
  <c r="C42" i="39"/>
  <c r="I220" i="42"/>
  <c r="A88" i="41" s="1"/>
  <c r="AA88" i="41" s="1"/>
  <c r="C124" i="39"/>
  <c r="I230" i="42"/>
  <c r="A104" i="41" s="1"/>
  <c r="AA104" i="41" s="1"/>
  <c r="I153" i="42"/>
  <c r="A161" i="41" s="1"/>
  <c r="AA161" i="41" s="1"/>
  <c r="I273" i="42"/>
  <c r="A112" i="41" s="1"/>
  <c r="AA112" i="41" s="1"/>
  <c r="I248" i="42"/>
  <c r="A107" i="41" s="1"/>
  <c r="AA107" i="41" s="1"/>
  <c r="C64" i="39"/>
  <c r="I208" i="42"/>
  <c r="A36" i="41" s="1"/>
  <c r="AA36" i="41" s="1"/>
  <c r="I247" i="42"/>
  <c r="A124" i="41" s="1"/>
  <c r="AA124" i="41" s="1"/>
  <c r="C393" i="39"/>
  <c r="I236" i="42"/>
  <c r="A136" i="41" s="1"/>
  <c r="AA136" i="41" s="1"/>
  <c r="I244" i="42"/>
  <c r="A84" i="41" s="1"/>
  <c r="AA84" i="41" s="1"/>
  <c r="C98" i="39"/>
  <c r="I243" i="42"/>
  <c r="A52" i="41" s="1"/>
  <c r="AA52" i="41" s="1"/>
  <c r="C49" i="39"/>
  <c r="I186" i="42"/>
  <c r="A115" i="41" s="1"/>
  <c r="AA115" i="41" s="1"/>
  <c r="I246" i="42"/>
  <c r="A72" i="41" s="1"/>
  <c r="AA72" i="41" s="1"/>
  <c r="C163" i="39"/>
  <c r="I182" i="42"/>
  <c r="A98" i="41" s="1"/>
  <c r="AA98" i="41" s="1"/>
  <c r="C167" i="39"/>
  <c r="I180" i="42"/>
  <c r="A54" i="41" s="1"/>
  <c r="AA54" i="41" s="1"/>
  <c r="C388" i="39"/>
  <c r="I200" i="42"/>
  <c r="A76" i="41" s="1"/>
  <c r="AA76" i="41" s="1"/>
  <c r="C43" i="39"/>
  <c r="I221" i="42"/>
  <c r="A70" i="41" s="1"/>
  <c r="AA70" i="41" s="1"/>
  <c r="C44" i="39"/>
  <c r="I226" i="42"/>
  <c r="A139" i="41" s="1"/>
  <c r="AA139" i="41" s="1"/>
  <c r="I154" i="42"/>
  <c r="A174" i="41" s="1"/>
  <c r="AA174" i="41" s="1"/>
  <c r="I274" i="42"/>
  <c r="A152" i="41" s="1"/>
  <c r="AA152" i="41" s="1"/>
  <c r="C192" i="39"/>
  <c r="I240" i="42"/>
  <c r="A186" i="41" s="1"/>
  <c r="AA186" i="41" s="1"/>
  <c r="C168" i="39"/>
  <c r="I192" i="42"/>
  <c r="A83" i="41" s="1"/>
  <c r="AA83" i="41" s="1"/>
  <c r="C30" i="39"/>
  <c r="I239" i="42"/>
  <c r="A51" i="41" s="1"/>
  <c r="AA51" i="41" s="1"/>
  <c r="I254" i="42"/>
  <c r="A80" i="41" s="1"/>
  <c r="AA80" i="41" s="1"/>
  <c r="I253" i="42"/>
  <c r="A134" i="41" s="1"/>
  <c r="AA134" i="41" s="1"/>
  <c r="I252" i="42"/>
  <c r="A133" i="41" s="1"/>
  <c r="AA133" i="41" s="1"/>
  <c r="C45" i="39"/>
  <c r="I225" i="42"/>
  <c r="A116" i="41" s="1"/>
  <c r="AA116" i="41" s="1"/>
  <c r="C156" i="39"/>
  <c r="I211" i="42"/>
  <c r="A39" i="41" s="1"/>
  <c r="AA39" i="41" s="1"/>
  <c r="C33" i="39"/>
  <c r="C31" i="39"/>
  <c r="I181" i="42"/>
  <c r="A183" i="41" s="1"/>
  <c r="AA183" i="41" s="1"/>
  <c r="C23" i="39"/>
  <c r="I191" i="42"/>
  <c r="A29" i="41" s="1"/>
  <c r="AA29" i="41" s="1"/>
  <c r="C26" i="39"/>
  <c r="I196" i="42"/>
  <c r="A100" i="41" s="1"/>
  <c r="AA100" i="41" s="1"/>
  <c r="C41" i="39"/>
  <c r="C46" i="39"/>
  <c r="I227" i="42"/>
  <c r="A56" i="41" s="1"/>
  <c r="AA56" i="41" s="1"/>
  <c r="C219" i="39"/>
  <c r="I232" i="42"/>
  <c r="A178" i="41" s="1"/>
  <c r="AA178" i="41" s="1"/>
  <c r="C203" i="39"/>
  <c r="I184" i="42"/>
  <c r="A27" i="41" s="1"/>
  <c r="AA27" i="41" s="1"/>
  <c r="C18" i="39"/>
  <c r="I231" i="42"/>
  <c r="A177" i="41" s="1"/>
  <c r="AA177" i="41" s="1"/>
  <c r="C176" i="39"/>
  <c r="I238" i="42"/>
  <c r="A105" i="41" s="1"/>
  <c r="AA105" i="41" s="1"/>
  <c r="C164" i="39"/>
  <c r="I205" i="42"/>
  <c r="A101" i="41" s="1"/>
  <c r="AA101" i="41" s="1"/>
  <c r="C123" i="39"/>
  <c r="I237" i="42"/>
  <c r="A77" i="41" s="1"/>
  <c r="AA77" i="41" s="1"/>
  <c r="C202" i="39"/>
  <c r="I187" i="42"/>
  <c r="A181" i="41" s="1"/>
  <c r="AA181" i="41" s="1"/>
  <c r="C40" i="39"/>
  <c r="I194" i="42"/>
  <c r="A45" i="41" s="1"/>
  <c r="AA45" i="41" s="1"/>
  <c r="I250" i="42"/>
  <c r="A47" i="41" s="1"/>
  <c r="AA47" i="41" s="1"/>
  <c r="C165" i="39"/>
  <c r="I209" i="42"/>
  <c r="A132" i="41" s="1"/>
  <c r="AA132" i="41" s="1"/>
  <c r="C204" i="39"/>
  <c r="I185" i="42"/>
  <c r="A81" i="41" s="1"/>
  <c r="AA81" i="41" s="1"/>
  <c r="C382" i="39"/>
  <c r="C131" i="39"/>
  <c r="I197" i="42"/>
  <c r="A169" i="41" s="1"/>
  <c r="AA169" i="41" s="1"/>
  <c r="C128" i="39"/>
  <c r="I202" i="42"/>
  <c r="A91" i="41" s="1"/>
  <c r="AA91" i="41" s="1"/>
  <c r="C160" i="39"/>
  <c r="C392" i="39"/>
  <c r="I228" i="42"/>
  <c r="A57" i="41" s="1"/>
  <c r="AA57" i="41" s="1"/>
  <c r="C25" i="39"/>
  <c r="I233" i="42"/>
  <c r="A58" i="41" s="1"/>
  <c r="AA58" i="41" s="1"/>
  <c r="C157" i="39"/>
  <c r="I224" i="42"/>
  <c r="A71" i="41" s="1"/>
  <c r="AA71" i="41" s="1"/>
  <c r="C390" i="39"/>
  <c r="I215" i="42"/>
  <c r="A32" i="41" s="1"/>
  <c r="AA32" i="41" s="1"/>
  <c r="C21" i="39"/>
  <c r="I214" i="42"/>
  <c r="A69" i="41" s="1"/>
  <c r="AA69" i="41" s="1"/>
  <c r="C28" i="39"/>
  <c r="I245" i="42"/>
  <c r="A106" i="41" s="1"/>
  <c r="AA106" i="41" s="1"/>
  <c r="C159" i="39"/>
  <c r="C155" i="39"/>
  <c r="I213" i="42"/>
  <c r="A68" i="41" s="1"/>
  <c r="AA68" i="41" s="1"/>
  <c r="I251" i="42"/>
  <c r="A48" i="41" s="1"/>
  <c r="AA48" i="41" s="1"/>
  <c r="C161" i="39"/>
  <c r="I193" i="42"/>
  <c r="A30" i="41" s="1"/>
  <c r="AA30" i="41" s="1"/>
  <c r="C191" i="39"/>
  <c r="I241" i="42"/>
  <c r="A46" i="41" s="1"/>
  <c r="AA46" i="41" s="1"/>
  <c r="C20" i="39"/>
  <c r="I218" i="42"/>
  <c r="A164" i="41" s="1"/>
  <c r="AA164" i="41" s="1"/>
  <c r="C158" i="39"/>
  <c r="I242" i="42"/>
  <c r="A78" i="41" s="1"/>
  <c r="AA78" i="41" s="1"/>
  <c r="C29" i="39"/>
  <c r="I206" i="42"/>
  <c r="A35" i="41" s="1"/>
  <c r="AA35" i="41" s="1"/>
  <c r="C383" i="39"/>
  <c r="C162" i="39"/>
  <c r="I183" i="42"/>
  <c r="A155" i="41" s="1"/>
  <c r="AA155" i="41" s="1"/>
  <c r="C48" i="39"/>
  <c r="I188" i="42"/>
  <c r="A99" i="41" s="1"/>
  <c r="AA99" i="41" s="1"/>
  <c r="C27" i="39"/>
  <c r="I198" i="42"/>
  <c r="A158" i="41" s="1"/>
  <c r="AA158" i="41" s="1"/>
  <c r="C50" i="39"/>
  <c r="I234" i="42"/>
  <c r="A117" i="41" s="1"/>
  <c r="AA117" i="41" s="1"/>
  <c r="C391" i="39"/>
  <c r="C166" i="39"/>
  <c r="I207" i="42"/>
  <c r="A102" i="41" s="1"/>
  <c r="AA102" i="41" s="1"/>
  <c r="C385" i="39"/>
  <c r="I190" i="42"/>
  <c r="A82" i="41" s="1"/>
  <c r="AA82" i="41" s="1"/>
  <c r="C386" i="39"/>
  <c r="I195" i="42"/>
  <c r="A168" i="41" s="1"/>
  <c r="AA168" i="41" s="1"/>
  <c r="C389" i="39"/>
  <c r="I204" i="42"/>
  <c r="A31" i="41" s="1"/>
  <c r="AA31" i="41" s="1"/>
  <c r="C22" i="39"/>
  <c r="I212" i="42"/>
  <c r="A67" i="41" s="1"/>
  <c r="AA67" i="41" s="1"/>
  <c r="I249" i="42"/>
  <c r="A59" i="41" s="1"/>
  <c r="AA59" i="41" s="1"/>
  <c r="C152" i="39"/>
  <c r="I210" i="42"/>
  <c r="A66" i="41" s="1"/>
  <c r="AA66" i="41" s="1"/>
  <c r="C19" i="39"/>
  <c r="I217" i="42"/>
  <c r="A163" i="41" s="1"/>
  <c r="AA163" i="41" s="1"/>
  <c r="C129" i="39"/>
  <c r="I201" i="42"/>
  <c r="A185" i="41" s="1"/>
  <c r="AA185" i="41" s="1"/>
  <c r="C24" i="39"/>
  <c r="I235" i="42"/>
  <c r="A135" i="41" s="1"/>
  <c r="AA135" i="41" s="1"/>
  <c r="I131" i="42"/>
  <c r="A316" i="41" s="1"/>
  <c r="AA316" i="41" s="1"/>
  <c r="I151" i="42"/>
  <c r="A165" i="41" s="1"/>
  <c r="AA165" i="41" s="1"/>
  <c r="I132" i="42"/>
  <c r="A95" i="41" s="1"/>
  <c r="AA95" i="41" s="1"/>
  <c r="I152" i="42"/>
  <c r="A166" i="41" s="1"/>
  <c r="AA166" i="41" s="1"/>
  <c r="I144" i="42"/>
  <c r="A172" i="41" s="1"/>
  <c r="AA172" i="41" s="1"/>
  <c r="I136" i="42"/>
  <c r="A143" i="41" s="1"/>
  <c r="AA143" i="41" s="1"/>
  <c r="I143" i="42"/>
  <c r="A171" i="41" s="1"/>
  <c r="AA171" i="41" s="1"/>
  <c r="I135" i="42"/>
  <c r="A24" i="41" s="1"/>
  <c r="AA24" i="41" s="1"/>
  <c r="I130" i="42"/>
  <c r="A315" i="41" s="1"/>
  <c r="AA315" i="41" s="1"/>
  <c r="I150" i="42"/>
  <c r="A141" i="41" s="1"/>
  <c r="AA141" i="41" s="1"/>
  <c r="I129" i="42"/>
  <c r="A314" i="41" s="1"/>
  <c r="AA314" i="41" s="1"/>
  <c r="I149" i="42"/>
  <c r="A26" i="41" s="1"/>
  <c r="AA26" i="41" s="1"/>
  <c r="I140" i="42"/>
  <c r="A149" i="41" s="1"/>
  <c r="AA149" i="41" s="1"/>
  <c r="I141" i="42"/>
  <c r="A159" i="41" s="1"/>
  <c r="AA159" i="41" s="1"/>
  <c r="I128" i="42"/>
  <c r="A313" i="41" s="1"/>
  <c r="AA313" i="41" s="1"/>
  <c r="I148" i="42"/>
  <c r="A157" i="41" s="1"/>
  <c r="AA157" i="41" s="1"/>
  <c r="I127" i="42"/>
  <c r="A312" i="41" s="1"/>
  <c r="AA312" i="41" s="1"/>
  <c r="I147" i="42"/>
  <c r="A25" i="41" s="1"/>
  <c r="AA25" i="41" s="1"/>
  <c r="I139" i="42"/>
  <c r="A145" i="41" s="1"/>
  <c r="AA145" i="41" s="1"/>
  <c r="I146" i="42"/>
  <c r="A184" i="41" s="1"/>
  <c r="AA184" i="41" s="1"/>
  <c r="I138" i="42"/>
  <c r="A170" i="41" s="1"/>
  <c r="AA170" i="41" s="1"/>
  <c r="I145" i="42"/>
  <c r="A173" i="41" s="1"/>
  <c r="AA173" i="41" s="1"/>
  <c r="I137" i="42"/>
  <c r="A151" i="41" s="1"/>
  <c r="AA151" i="41" s="1"/>
  <c r="I142" i="42"/>
  <c r="A160" i="41" s="1"/>
  <c r="AA160" i="41" s="1"/>
  <c r="I125" i="42"/>
  <c r="A310" i="41" s="1"/>
  <c r="AA310" i="41" s="1"/>
  <c r="I133" i="42"/>
  <c r="A22" i="41" s="1"/>
  <c r="AA22" i="41" s="1"/>
  <c r="I126" i="42"/>
  <c r="A311" i="41" s="1"/>
  <c r="AA311" i="41" s="1"/>
  <c r="I134" i="42"/>
  <c r="A23" i="41" s="1"/>
  <c r="AA23" i="41" s="1"/>
  <c r="I119" i="42"/>
  <c r="A304" i="41" s="1"/>
  <c r="AA304" i="41" s="1"/>
  <c r="I120" i="42"/>
  <c r="A305" i="41" s="1"/>
  <c r="AA305" i="41" s="1"/>
  <c r="I124" i="42"/>
  <c r="A309" i="41" s="1"/>
  <c r="AA309" i="41" s="1"/>
  <c r="I115" i="42"/>
  <c r="A300" i="41" s="1"/>
  <c r="AA300" i="41" s="1"/>
  <c r="I113" i="42"/>
  <c r="A298" i="41" s="1"/>
  <c r="AA298" i="41" s="1"/>
  <c r="I121" i="42"/>
  <c r="A306" i="41" s="1"/>
  <c r="AA306" i="41" s="1"/>
  <c r="I118" i="42"/>
  <c r="A303" i="41" s="1"/>
  <c r="AA303" i="41" s="1"/>
  <c r="I116" i="42"/>
  <c r="A301" i="41" s="1"/>
  <c r="AA301" i="41" s="1"/>
  <c r="I122" i="42"/>
  <c r="A307" i="41" s="1"/>
  <c r="AA307" i="41" s="1"/>
  <c r="I117" i="42"/>
  <c r="A302" i="41" s="1"/>
  <c r="AA302" i="41" s="1"/>
  <c r="I110" i="42"/>
  <c r="A295" i="41" s="1"/>
  <c r="AA295" i="41" s="1"/>
  <c r="I111" i="42"/>
  <c r="A296" i="41" s="1"/>
  <c r="AA296" i="41" s="1"/>
  <c r="I112" i="42"/>
  <c r="A297" i="41" s="1"/>
  <c r="AA297" i="41" s="1"/>
  <c r="C177" i="39"/>
  <c r="I82" i="42"/>
  <c r="A267" i="41" s="1"/>
  <c r="AA267" i="41" s="1"/>
  <c r="I8" i="42"/>
  <c r="A193" i="41" s="1"/>
  <c r="AA193" i="41" s="1"/>
  <c r="I22" i="42"/>
  <c r="A207" i="41" s="1"/>
  <c r="AA207" i="41" s="1"/>
  <c r="I36" i="42"/>
  <c r="A221" i="41" s="1"/>
  <c r="AA221" i="41" s="1"/>
  <c r="I58" i="42"/>
  <c r="A243" i="41" s="1"/>
  <c r="AA243" i="41" s="1"/>
  <c r="I103" i="42"/>
  <c r="A288" i="41" s="1"/>
  <c r="AA288" i="41" s="1"/>
  <c r="I44" i="42"/>
  <c r="A229" i="41" s="1"/>
  <c r="AA229" i="41" s="1"/>
  <c r="I33" i="42"/>
  <c r="A218" i="41" s="1"/>
  <c r="AA218" i="41" s="1"/>
  <c r="I86" i="42"/>
  <c r="A271" i="41" s="1"/>
  <c r="AA271" i="41" s="1"/>
  <c r="I29" i="42"/>
  <c r="A214" i="41" s="1"/>
  <c r="AA214" i="41" s="1"/>
  <c r="I38" i="42"/>
  <c r="A223" i="41" s="1"/>
  <c r="AA223" i="41" s="1"/>
  <c r="I7" i="42"/>
  <c r="A192" i="41" s="1"/>
  <c r="AA192" i="41" s="1"/>
  <c r="I19" i="42"/>
  <c r="A204" i="41" s="1"/>
  <c r="AA204" i="41" s="1"/>
  <c r="I50" i="42"/>
  <c r="A235" i="41" s="1"/>
  <c r="AA235" i="41" s="1"/>
  <c r="I78" i="42"/>
  <c r="A263" i="41" s="1"/>
  <c r="AA263" i="41" s="1"/>
  <c r="I85" i="42"/>
  <c r="A270" i="41" s="1"/>
  <c r="AA270" i="41" s="1"/>
  <c r="I16" i="42"/>
  <c r="A201" i="41" s="1"/>
  <c r="AA201" i="41" s="1"/>
  <c r="I45" i="42"/>
  <c r="A230" i="41" s="1"/>
  <c r="AA230" i="41" s="1"/>
  <c r="I24" i="42"/>
  <c r="A209" i="41" s="1"/>
  <c r="AA209" i="41" s="1"/>
  <c r="I54" i="42"/>
  <c r="A239" i="41" s="1"/>
  <c r="AA239" i="41" s="1"/>
  <c r="I105" i="42"/>
  <c r="A290" i="41" s="1"/>
  <c r="AA290" i="41" s="1"/>
  <c r="I42" i="42"/>
  <c r="A227" i="41" s="1"/>
  <c r="AA227" i="41" s="1"/>
  <c r="I53" i="42"/>
  <c r="A238" i="41" s="1"/>
  <c r="AA238" i="41" s="1"/>
  <c r="I100" i="42"/>
  <c r="A285" i="41" s="1"/>
  <c r="AA285" i="41" s="1"/>
  <c r="I92" i="42"/>
  <c r="A277" i="41" s="1"/>
  <c r="AA277" i="41" s="1"/>
  <c r="I25" i="42"/>
  <c r="A210" i="41" s="1"/>
  <c r="AA210" i="41" s="1"/>
  <c r="I106" i="42"/>
  <c r="A291" i="41" s="1"/>
  <c r="AA291" i="41" s="1"/>
  <c r="I26" i="42"/>
  <c r="A211" i="41" s="1"/>
  <c r="AA211" i="41" s="1"/>
  <c r="I97" i="42"/>
  <c r="A282" i="41" s="1"/>
  <c r="AA282" i="41" s="1"/>
  <c r="I70" i="42"/>
  <c r="A255" i="41" s="1"/>
  <c r="AA255" i="41" s="1"/>
  <c r="I95" i="42"/>
  <c r="A280" i="41" s="1"/>
  <c r="AA280" i="41" s="1"/>
  <c r="I47" i="42"/>
  <c r="A232" i="41" s="1"/>
  <c r="AA232" i="41" s="1"/>
  <c r="I40" i="42"/>
  <c r="A225" i="41" s="1"/>
  <c r="AA225" i="41" s="1"/>
  <c r="I64" i="42"/>
  <c r="A249" i="41" s="1"/>
  <c r="AA249" i="41" s="1"/>
  <c r="I79" i="42"/>
  <c r="A264" i="41" s="1"/>
  <c r="AA264" i="41" s="1"/>
  <c r="I46" i="42"/>
  <c r="A231" i="41" s="1"/>
  <c r="AA231" i="41" s="1"/>
  <c r="I99" i="42"/>
  <c r="A284" i="41" s="1"/>
  <c r="AA284" i="41" s="1"/>
  <c r="I12" i="42"/>
  <c r="A197" i="41" s="1"/>
  <c r="AA197" i="41" s="1"/>
  <c r="I56" i="42"/>
  <c r="A241" i="41" s="1"/>
  <c r="AA241" i="41" s="1"/>
  <c r="I107" i="42"/>
  <c r="A292" i="41" s="1"/>
  <c r="AA292" i="41" s="1"/>
  <c r="I18" i="42"/>
  <c r="A203" i="41" s="1"/>
  <c r="AA203" i="41" s="1"/>
  <c r="I39" i="42"/>
  <c r="A224" i="41" s="1"/>
  <c r="AA224" i="41" s="1"/>
  <c r="I76" i="42"/>
  <c r="A261" i="41" s="1"/>
  <c r="AA261" i="41" s="1"/>
  <c r="I91" i="42"/>
  <c r="A276" i="41" s="1"/>
  <c r="AA276" i="41" s="1"/>
  <c r="I71" i="42"/>
  <c r="A256" i="41" s="1"/>
  <c r="AA256" i="41" s="1"/>
  <c r="I74" i="42"/>
  <c r="A259" i="41" s="1"/>
  <c r="AA259" i="41" s="1"/>
  <c r="I84" i="42"/>
  <c r="A269" i="41" s="1"/>
  <c r="AA269" i="41" s="1"/>
  <c r="I57" i="42"/>
  <c r="A242" i="41" s="1"/>
  <c r="AA242" i="41" s="1"/>
  <c r="I108" i="42"/>
  <c r="A293" i="41" s="1"/>
  <c r="AA293" i="41" s="1"/>
  <c r="I87" i="42"/>
  <c r="A272" i="41" s="1"/>
  <c r="AA272" i="41" s="1"/>
  <c r="I51" i="42"/>
  <c r="A236" i="41" s="1"/>
  <c r="AA236" i="41" s="1"/>
  <c r="I96" i="42"/>
  <c r="A281" i="41" s="1"/>
  <c r="AA281" i="41" s="1"/>
  <c r="I34" i="42"/>
  <c r="A219" i="41" s="1"/>
  <c r="AA219" i="41" s="1"/>
  <c r="I14" i="42"/>
  <c r="A199" i="41" s="1"/>
  <c r="AA199" i="41" s="1"/>
  <c r="I73" i="42"/>
  <c r="A258" i="41" s="1"/>
  <c r="AA258" i="41" s="1"/>
  <c r="I83" i="42"/>
  <c r="A268" i="41" s="1"/>
  <c r="AA268" i="41" s="1"/>
  <c r="I37" i="42"/>
  <c r="A222" i="41" s="1"/>
  <c r="AA222" i="41" s="1"/>
  <c r="I94" i="42"/>
  <c r="A279" i="41" s="1"/>
  <c r="AA279" i="41" s="1"/>
  <c r="I93" i="42"/>
  <c r="A278" i="41" s="1"/>
  <c r="AA278" i="41" s="1"/>
  <c r="I80" i="42"/>
  <c r="A265" i="41" s="1"/>
  <c r="AA265" i="41" s="1"/>
  <c r="I65" i="42"/>
  <c r="A250" i="41" s="1"/>
  <c r="AA250" i="41" s="1"/>
  <c r="I104" i="42"/>
  <c r="A289" i="41" s="1"/>
  <c r="AA289" i="41" s="1"/>
  <c r="I20" i="42"/>
  <c r="A205" i="41" s="1"/>
  <c r="AA205" i="41" s="1"/>
  <c r="I101" i="42"/>
  <c r="A286" i="41" s="1"/>
  <c r="AA286" i="41" s="1"/>
  <c r="I30" i="42"/>
  <c r="A215" i="41" s="1"/>
  <c r="AA215" i="41" s="1"/>
  <c r="I49" i="42"/>
  <c r="A234" i="41" s="1"/>
  <c r="AA234" i="41" s="1"/>
  <c r="I88" i="42"/>
  <c r="A273" i="41" s="1"/>
  <c r="AA273" i="41" s="1"/>
  <c r="I28" i="42"/>
  <c r="A213" i="41" s="1"/>
  <c r="AA213" i="41" s="1"/>
  <c r="I52" i="42"/>
  <c r="A237" i="41" s="1"/>
  <c r="AA237" i="41" s="1"/>
  <c r="I31" i="42"/>
  <c r="A216" i="41" s="1"/>
  <c r="AA216" i="41" s="1"/>
  <c r="I61" i="42"/>
  <c r="A246" i="41" s="1"/>
  <c r="AA246" i="41" s="1"/>
  <c r="I98" i="42"/>
  <c r="A283" i="41" s="1"/>
  <c r="AA283" i="41" s="1"/>
  <c r="I41" i="42"/>
  <c r="A226" i="41" s="1"/>
  <c r="AA226" i="41" s="1"/>
  <c r="I72" i="42"/>
  <c r="A257" i="41" s="1"/>
  <c r="AA257" i="41" s="1"/>
  <c r="I32" i="42"/>
  <c r="A217" i="41" s="1"/>
  <c r="AA217" i="41" s="1"/>
  <c r="I62" i="42"/>
  <c r="A247" i="41" s="1"/>
  <c r="AA247" i="41" s="1"/>
  <c r="I90" i="42"/>
  <c r="A275" i="41" s="1"/>
  <c r="AA275" i="41" s="1"/>
  <c r="I48" i="42"/>
  <c r="A233" i="41" s="1"/>
  <c r="AA233" i="41" s="1"/>
  <c r="I102" i="42"/>
  <c r="A287" i="41" s="1"/>
  <c r="AA287" i="41" s="1"/>
  <c r="BK178" i="39"/>
  <c r="AK178" i="39" s="1"/>
  <c r="Z5" i="40" s="1"/>
  <c r="BJ178" i="39"/>
  <c r="M229" i="39"/>
  <c r="M28" i="39"/>
  <c r="M25" i="39"/>
  <c r="M223" i="39"/>
  <c r="M222" i="39"/>
  <c r="M167" i="39"/>
  <c r="M235" i="39"/>
  <c r="M26" i="39"/>
  <c r="M386" i="39"/>
  <c r="M32" i="39"/>
  <c r="M383" i="39"/>
  <c r="M23" i="39"/>
  <c r="M238" i="39"/>
  <c r="M31" i="39"/>
  <c r="M166" i="39"/>
  <c r="M226" i="39"/>
  <c r="M48" i="39"/>
  <c r="M20" i="39"/>
  <c r="M239" i="39"/>
  <c r="M40" i="39"/>
  <c r="M176" i="39"/>
  <c r="M244" i="39"/>
  <c r="M19" i="39"/>
  <c r="M219" i="39"/>
  <c r="M18" i="39"/>
  <c r="M237" i="39"/>
  <c r="M236" i="39"/>
  <c r="M47" i="39"/>
  <c r="M231" i="39"/>
  <c r="M248" i="39"/>
  <c r="M384" i="39"/>
  <c r="M50" i="39"/>
  <c r="M202" i="39"/>
  <c r="M159" i="39"/>
  <c r="M128" i="39"/>
  <c r="M163" i="39"/>
  <c r="M41" i="39"/>
  <c r="M228" i="39"/>
  <c r="M129" i="39"/>
  <c r="M391" i="39"/>
  <c r="M390" i="39"/>
  <c r="M221" i="39"/>
  <c r="M220" i="39"/>
  <c r="M64" i="39"/>
  <c r="M233" i="39"/>
  <c r="M232" i="39"/>
  <c r="M243" i="39"/>
  <c r="M24" i="39"/>
  <c r="M49" i="39"/>
  <c r="M29" i="39"/>
  <c r="M123" i="39"/>
  <c r="M157" i="39"/>
  <c r="M22" i="39"/>
  <c r="M204" i="39"/>
  <c r="M388" i="39"/>
  <c r="M387" i="39"/>
  <c r="M124" i="39"/>
  <c r="M17" i="39"/>
  <c r="M234" i="39"/>
  <c r="M158" i="39"/>
  <c r="M191" i="39"/>
  <c r="M230" i="39"/>
  <c r="M242" i="39"/>
  <c r="M227" i="39"/>
  <c r="M224" i="39"/>
  <c r="M389" i="39"/>
  <c r="M385" i="39"/>
  <c r="M43" i="39"/>
  <c r="M192" i="39"/>
  <c r="M392" i="39"/>
  <c r="M203" i="39"/>
  <c r="M162" i="39"/>
  <c r="M21" i="39"/>
  <c r="M155" i="39"/>
  <c r="M98" i="39"/>
  <c r="M44" i="39"/>
  <c r="M45" i="39"/>
  <c r="M30" i="39"/>
  <c r="M393" i="39"/>
  <c r="M241" i="39"/>
  <c r="M245" i="39"/>
  <c r="M156" i="39"/>
  <c r="M164" i="39"/>
  <c r="M240" i="39"/>
  <c r="M247" i="39"/>
  <c r="M168" i="39"/>
  <c r="M27" i="39"/>
  <c r="M131" i="39"/>
  <c r="M46" i="39"/>
  <c r="M152" i="39"/>
  <c r="M165" i="39"/>
  <c r="M160" i="39"/>
  <c r="M161" i="39"/>
  <c r="M42" i="39"/>
  <c r="M225" i="39"/>
  <c r="M382" i="39"/>
  <c r="M33" i="39"/>
  <c r="M381" i="39"/>
  <c r="CM244" i="39"/>
  <c r="CO248" i="39"/>
  <c r="CM391" i="39"/>
  <c r="CM230" i="39"/>
  <c r="CM30" i="39"/>
  <c r="CO247" i="39"/>
  <c r="I6" i="42"/>
  <c r="A191" i="41" s="1"/>
  <c r="AA191" i="41" s="1"/>
  <c r="CR249" i="39"/>
  <c r="A249" i="39" s="1"/>
  <c r="AQ249" i="39" s="1"/>
  <c r="CM166" i="39"/>
  <c r="B17" i="39"/>
  <c r="CM381" i="39"/>
  <c r="BN249" i="39"/>
  <c r="CA203" i="39"/>
  <c r="CA168" i="39"/>
  <c r="CA243" i="39"/>
  <c r="CA389" i="39"/>
  <c r="CA20" i="39"/>
  <c r="CA22" i="39"/>
  <c r="CA25" i="39"/>
  <c r="CA392" i="39"/>
  <c r="CA219" i="39"/>
  <c r="CA390" i="39"/>
  <c r="CA176" i="39"/>
  <c r="CA381" i="39"/>
  <c r="CA228" i="39"/>
  <c r="CA384" i="39"/>
  <c r="CA157" i="39"/>
  <c r="CA237" i="39"/>
  <c r="CA27" i="39"/>
  <c r="CA220" i="39"/>
  <c r="CA31" i="39"/>
  <c r="CA234" i="39"/>
  <c r="CA386" i="39"/>
  <c r="CA158" i="39"/>
  <c r="CA32" i="39"/>
  <c r="CA45" i="39"/>
  <c r="CA382" i="39"/>
  <c r="CA160" i="39"/>
  <c r="CA227" i="39"/>
  <c r="CA48" i="39"/>
  <c r="CA241" i="39"/>
  <c r="CA128" i="39"/>
  <c r="CA192" i="39"/>
  <c r="CA19" i="39"/>
  <c r="CA247" i="39"/>
  <c r="CA391" i="39"/>
  <c r="CA238" i="39"/>
  <c r="CA387" i="39"/>
  <c r="CA41" i="39"/>
  <c r="CA242" i="39"/>
  <c r="CA123" i="39"/>
  <c r="CA221" i="39"/>
  <c r="CA163" i="39"/>
  <c r="CA17" i="39"/>
  <c r="CA26" i="39"/>
  <c r="CA98" i="39"/>
  <c r="CA44" i="39"/>
  <c r="CA248" i="39"/>
  <c r="CA165" i="39"/>
  <c r="CA246" i="39"/>
  <c r="CA166" i="39"/>
  <c r="CA226" i="39"/>
  <c r="CA393" i="39"/>
  <c r="CA159" i="39"/>
  <c r="CA225" i="39"/>
  <c r="CA49" i="39"/>
  <c r="CA240" i="39"/>
  <c r="CA129" i="39"/>
  <c r="CA239" i="39"/>
  <c r="CA388" i="39"/>
  <c r="CA222" i="39"/>
  <c r="CA162" i="39"/>
  <c r="CA245" i="39"/>
  <c r="CA29" i="39"/>
  <c r="CA28" i="39"/>
  <c r="CA43" i="39"/>
  <c r="CA124" i="39"/>
  <c r="CA235" i="39"/>
  <c r="CA155" i="39"/>
  <c r="CA47" i="39"/>
  <c r="CA46" i="39"/>
  <c r="CA231" i="39"/>
  <c r="CA152" i="39"/>
  <c r="CA232" i="39"/>
  <c r="CA161" i="39"/>
  <c r="CA230" i="39"/>
  <c r="CA23" i="39"/>
  <c r="CA202" i="39"/>
  <c r="CA42" i="39"/>
  <c r="CA24" i="39"/>
  <c r="CA50" i="39"/>
  <c r="CA224" i="39"/>
  <c r="CA204" i="39"/>
  <c r="CA223" i="39"/>
  <c r="CA18" i="39"/>
  <c r="CA229" i="39"/>
  <c r="CA385" i="39"/>
  <c r="CA244" i="39"/>
  <c r="CA164" i="39"/>
  <c r="CA167" i="39"/>
  <c r="CA21" i="39"/>
  <c r="CA236" i="39"/>
  <c r="CA131" i="39"/>
  <c r="CA64" i="39"/>
  <c r="CA156" i="39"/>
  <c r="CA233" i="39"/>
  <c r="CA40" i="39"/>
  <c r="CA191" i="39"/>
  <c r="CA383" i="39"/>
  <c r="CA30" i="39"/>
  <c r="CA33" i="39"/>
  <c r="CM19" i="39"/>
  <c r="BI230" i="39"/>
  <c r="B381" i="39"/>
  <c r="BI129" i="39"/>
  <c r="AK129" i="39" s="1"/>
  <c r="Z38" i="40" s="1"/>
  <c r="BJ230" i="39"/>
  <c r="BK129" i="39"/>
  <c r="BK160" i="39"/>
  <c r="BJ23" i="39"/>
  <c r="BI23" i="39"/>
  <c r="BK229" i="39"/>
  <c r="BJ229" i="39"/>
  <c r="BJ160" i="39"/>
  <c r="BK385" i="39"/>
  <c r="BJ385" i="39"/>
  <c r="BG246" i="39"/>
  <c r="BG44" i="39"/>
  <c r="BG226" i="39"/>
  <c r="BG248" i="39"/>
  <c r="BG49" i="39"/>
  <c r="BG388" i="39"/>
  <c r="BG17" i="39"/>
  <c r="BG32" i="39"/>
  <c r="BG234" i="39"/>
  <c r="BG168" i="39"/>
  <c r="BG393" i="39"/>
  <c r="BG247" i="39"/>
  <c r="BG203" i="39"/>
  <c r="BG167" i="39"/>
  <c r="BG233" i="39"/>
  <c r="BG23" i="39"/>
  <c r="BG382" i="39"/>
  <c r="BG25" i="39"/>
  <c r="BG219" i="39"/>
  <c r="BG28" i="39"/>
  <c r="BG384" i="39"/>
  <c r="CR230" i="39"/>
  <c r="A230" i="39" s="1"/>
  <c r="AQ230" i="39" s="1"/>
  <c r="CR98" i="39"/>
  <c r="A98" i="39" s="1"/>
  <c r="CR225" i="39"/>
  <c r="A225" i="39" s="1"/>
  <c r="AQ225" i="39" s="1"/>
  <c r="CR244" i="39"/>
  <c r="A244" i="39" s="1"/>
  <c r="AQ244" i="39" s="1"/>
  <c r="CR157" i="39"/>
  <c r="A157" i="39" s="1"/>
  <c r="CR246" i="39"/>
  <c r="A246" i="39" s="1"/>
  <c r="AQ246" i="39" s="1"/>
  <c r="CR166" i="39"/>
  <c r="A166" i="39" s="1"/>
  <c r="CR27" i="39"/>
  <c r="A27" i="39" s="1"/>
  <c r="AQ27" i="39" s="1"/>
  <c r="CR386" i="39"/>
  <c r="A386" i="39" s="1"/>
  <c r="AQ386" i="39" s="1"/>
  <c r="CR43" i="39"/>
  <c r="A43" i="39" s="1"/>
  <c r="CR227" i="39"/>
  <c r="A227" i="39" s="1"/>
  <c r="AQ227" i="39" s="1"/>
  <c r="CR48" i="39"/>
  <c r="A48" i="39" s="1"/>
  <c r="AQ48" i="39" s="1"/>
  <c r="CR202" i="39"/>
  <c r="A202" i="39" s="1"/>
  <c r="CR44" i="39"/>
  <c r="A44" i="39" s="1"/>
  <c r="AQ44" i="39" s="1"/>
  <c r="CR45" i="39"/>
  <c r="A45" i="39" s="1"/>
  <c r="CR158" i="39"/>
  <c r="A158" i="39" s="1"/>
  <c r="AQ158" i="39" s="1"/>
  <c r="CR123" i="39"/>
  <c r="A123" i="39" s="1"/>
  <c r="AQ123" i="39" s="1"/>
  <c r="CR191" i="39"/>
  <c r="A191" i="39" s="1"/>
  <c r="AQ191" i="39" s="1"/>
  <c r="CR204" i="39"/>
  <c r="A204" i="39" s="1"/>
  <c r="CR221" i="39"/>
  <c r="A221" i="39" s="1"/>
  <c r="AQ221" i="39" s="1"/>
  <c r="CR239" i="39"/>
  <c r="A239" i="39" s="1"/>
  <c r="AQ239" i="39" s="1"/>
  <c r="CR222" i="39"/>
  <c r="A222" i="39" s="1"/>
  <c r="AQ222" i="39" s="1"/>
  <c r="CR242" i="39"/>
  <c r="A242" i="39" s="1"/>
  <c r="AQ242" i="39" s="1"/>
  <c r="CR32" i="39"/>
  <c r="A32" i="39" s="1"/>
  <c r="CR391" i="39"/>
  <c r="A391" i="39" s="1"/>
  <c r="AQ391" i="39" s="1"/>
  <c r="CR238" i="39"/>
  <c r="A238" i="39" s="1"/>
  <c r="AQ238" i="39" s="1"/>
  <c r="CR387" i="39"/>
  <c r="A387" i="39" s="1"/>
  <c r="AQ387" i="39" s="1"/>
  <c r="CR385" i="39"/>
  <c r="A385" i="39" s="1"/>
  <c r="AQ385" i="39" s="1"/>
  <c r="CR228" i="39"/>
  <c r="A228" i="39" s="1"/>
  <c r="AQ228" i="39" s="1"/>
  <c r="CR131" i="39"/>
  <c r="A131" i="39" s="1"/>
  <c r="CR226" i="39"/>
  <c r="A226" i="39" s="1"/>
  <c r="AQ226" i="39" s="1"/>
  <c r="CR224" i="39"/>
  <c r="A224" i="39" s="1"/>
  <c r="AQ224" i="39" s="1"/>
  <c r="CR241" i="39"/>
  <c r="A241" i="39" s="1"/>
  <c r="AQ241" i="39" s="1"/>
  <c r="CR20" i="39"/>
  <c r="A20" i="39" s="1"/>
  <c r="CR248" i="39"/>
  <c r="A248" i="39" s="1"/>
  <c r="AQ248" i="39" s="1"/>
  <c r="CR163" i="39"/>
  <c r="A163" i="39" s="1"/>
  <c r="CR23" i="39"/>
  <c r="A23" i="39" s="1"/>
  <c r="AQ23" i="39" s="1"/>
  <c r="CR383" i="39"/>
  <c r="A383" i="39" s="1"/>
  <c r="AQ383" i="39" s="1"/>
  <c r="CR19" i="39"/>
  <c r="A19" i="39" s="1"/>
  <c r="CR388" i="39"/>
  <c r="A388" i="39" s="1"/>
  <c r="AQ388" i="39" s="1"/>
  <c r="CR162" i="39"/>
  <c r="A162" i="39" s="1"/>
  <c r="CR392" i="39"/>
  <c r="A392" i="39" s="1"/>
  <c r="AQ392" i="39" s="1"/>
  <c r="CR240" i="39"/>
  <c r="A240" i="39" s="1"/>
  <c r="AQ240" i="39" s="1"/>
  <c r="CR232" i="39"/>
  <c r="A232" i="39" s="1"/>
  <c r="AQ232" i="39" s="1"/>
  <c r="CR231" i="39"/>
  <c r="A231" i="39" s="1"/>
  <c r="AQ231" i="39" s="1"/>
  <c r="CR168" i="39"/>
  <c r="A168" i="39" s="1"/>
  <c r="AQ168" i="39" s="1"/>
  <c r="CR30" i="39"/>
  <c r="A30" i="39" s="1"/>
  <c r="AQ30" i="39" s="1"/>
  <c r="CR33" i="39"/>
  <c r="A33" i="39" s="1"/>
  <c r="AQ33" i="39" s="1"/>
  <c r="CR176" i="39"/>
  <c r="A176" i="39" s="1"/>
  <c r="AQ176" i="39" s="1"/>
  <c r="CR393" i="39"/>
  <c r="A393" i="39" s="1"/>
  <c r="AQ393" i="39" s="1"/>
  <c r="CR46" i="39"/>
  <c r="A46" i="39" s="1"/>
  <c r="AQ46" i="39" s="1"/>
  <c r="CR26" i="39"/>
  <c r="A26" i="39" s="1"/>
  <c r="CR50" i="39"/>
  <c r="A50" i="39" s="1"/>
  <c r="AQ50" i="39" s="1"/>
  <c r="CR247" i="39"/>
  <c r="A247" i="39" s="1"/>
  <c r="AQ247" i="39" s="1"/>
  <c r="CR155" i="39"/>
  <c r="A155" i="39" s="1"/>
  <c r="CR49" i="39"/>
  <c r="A49" i="39" s="1"/>
  <c r="CR237" i="39"/>
  <c r="A237" i="39" s="1"/>
  <c r="AQ237" i="39" s="1"/>
  <c r="CR161" i="39"/>
  <c r="A161" i="39" s="1"/>
  <c r="AQ161" i="39" s="1"/>
  <c r="CR128" i="39"/>
  <c r="A128" i="39" s="1"/>
  <c r="CR223" i="39"/>
  <c r="A223" i="39" s="1"/>
  <c r="AQ223" i="39" s="1"/>
  <c r="CR203" i="39"/>
  <c r="A203" i="39" s="1"/>
  <c r="CR18" i="39"/>
  <c r="A18" i="39" s="1"/>
  <c r="AQ18" i="39" s="1"/>
  <c r="CR124" i="39"/>
  <c r="A124" i="39" s="1"/>
  <c r="CR42" i="39"/>
  <c r="A42" i="39" s="1"/>
  <c r="CR167" i="39"/>
  <c r="A167" i="39" s="1"/>
  <c r="CR22" i="39"/>
  <c r="A22" i="39" s="1"/>
  <c r="CR40" i="39"/>
  <c r="A40" i="39" s="1"/>
  <c r="AQ40" i="39" s="1"/>
  <c r="CR175" i="39"/>
  <c r="A175" i="39" s="1"/>
  <c r="CR233" i="39"/>
  <c r="A233" i="39" s="1"/>
  <c r="AQ233" i="39" s="1"/>
  <c r="CR165" i="39"/>
  <c r="A165" i="39" s="1"/>
  <c r="CR29" i="39"/>
  <c r="A29" i="39" s="1"/>
  <c r="CR64" i="39"/>
  <c r="A64" i="39" s="1"/>
  <c r="AQ64" i="39" s="1"/>
  <c r="CR245" i="39"/>
  <c r="A245" i="39" s="1"/>
  <c r="AQ245" i="39" s="1"/>
  <c r="CR152" i="39"/>
  <c r="A152" i="39" s="1"/>
  <c r="CR229" i="39"/>
  <c r="A229" i="39" s="1"/>
  <c r="AQ229" i="39" s="1"/>
  <c r="CR220" i="39"/>
  <c r="A220" i="39" s="1"/>
  <c r="AQ220" i="39" s="1"/>
  <c r="CR35" i="39"/>
  <c r="A35" i="39" s="1"/>
  <c r="AQ35" i="39" s="1"/>
  <c r="CR192" i="39"/>
  <c r="A192" i="39" s="1"/>
  <c r="AQ192" i="39" s="1"/>
  <c r="CR382" i="39"/>
  <c r="A382" i="39" s="1"/>
  <c r="AQ382" i="39" s="1"/>
  <c r="CR160" i="39"/>
  <c r="A160" i="39" s="1"/>
  <c r="AQ160" i="39" s="1"/>
  <c r="CR41" i="39"/>
  <c r="A41" i="39" s="1"/>
  <c r="AQ41" i="39" s="1"/>
  <c r="CR164" i="39"/>
  <c r="A164" i="39" s="1"/>
  <c r="CR235" i="39"/>
  <c r="A235" i="39" s="1"/>
  <c r="AQ235" i="39" s="1"/>
  <c r="CR380" i="39"/>
  <c r="A380" i="39" s="1"/>
  <c r="CR159" i="39"/>
  <c r="A159" i="39" s="1"/>
  <c r="CR47" i="39"/>
  <c r="A47" i="39" s="1"/>
  <c r="CR25" i="39"/>
  <c r="A25" i="39" s="1"/>
  <c r="AQ25" i="39" s="1"/>
  <c r="CR24" i="39"/>
  <c r="A24" i="39" s="1"/>
  <c r="AQ24" i="39" s="1"/>
  <c r="CR156" i="39"/>
  <c r="A156" i="39" s="1"/>
  <c r="CR234" i="39"/>
  <c r="A234" i="39" s="1"/>
  <c r="AQ234" i="39" s="1"/>
  <c r="CR177" i="39"/>
  <c r="A177" i="39" s="1"/>
  <c r="CR219" i="39"/>
  <c r="A219" i="39" s="1"/>
  <c r="AQ219" i="39" s="1"/>
  <c r="CR390" i="39"/>
  <c r="A390" i="39" s="1"/>
  <c r="AQ390" i="39" s="1"/>
  <c r="CR21" i="39"/>
  <c r="A21" i="39" s="1"/>
  <c r="AQ21" i="39" s="1"/>
  <c r="CR28" i="39"/>
  <c r="A28" i="39" s="1"/>
  <c r="AQ28" i="39" s="1"/>
  <c r="CR31" i="39"/>
  <c r="A31" i="39" s="1"/>
  <c r="CR389" i="39"/>
  <c r="A389" i="39" s="1"/>
  <c r="AQ389" i="39" s="1"/>
  <c r="CR236" i="39"/>
  <c r="A236" i="39" s="1"/>
  <c r="AQ236" i="39" s="1"/>
  <c r="CR384" i="39"/>
  <c r="A384" i="39" s="1"/>
  <c r="AQ384" i="39" s="1"/>
  <c r="CR243" i="39"/>
  <c r="A243" i="39" s="1"/>
  <c r="AQ243" i="39" s="1"/>
  <c r="CR36" i="39"/>
  <c r="A36" i="39" s="1"/>
  <c r="CR129" i="39"/>
  <c r="A129" i="39" s="1"/>
  <c r="BK47" i="39"/>
  <c r="BJ47" i="39"/>
  <c r="AK47" i="39" s="1"/>
  <c r="Z81" i="40" s="1"/>
  <c r="BG224" i="39"/>
  <c r="BG163" i="39"/>
  <c r="BG124" i="39"/>
  <c r="BG152" i="39"/>
  <c r="BG192" i="39"/>
  <c r="BG160" i="39"/>
  <c r="BG41" i="39"/>
  <c r="BG164" i="39"/>
  <c r="BG235" i="39"/>
  <c r="BG380" i="39"/>
  <c r="BG159" i="39"/>
  <c r="BG47" i="39"/>
  <c r="BG161" i="39"/>
  <c r="BG128" i="39"/>
  <c r="BG240" i="39"/>
  <c r="BG232" i="39"/>
  <c r="BG176" i="39"/>
  <c r="BG20" i="39"/>
  <c r="BG42" i="39"/>
  <c r="BG19" i="39"/>
  <c r="BG237" i="39"/>
  <c r="BG390" i="39"/>
  <c r="BG21" i="39"/>
  <c r="BG31" i="39"/>
  <c r="BG389" i="39"/>
  <c r="BG236" i="39"/>
  <c r="BG243" i="39"/>
  <c r="BG50" i="39"/>
  <c r="BG241" i="39"/>
  <c r="BG223" i="39"/>
  <c r="BG18" i="39"/>
  <c r="BG22" i="39"/>
  <c r="BG225" i="39"/>
  <c r="BG191" i="39"/>
  <c r="BG204" i="39"/>
  <c r="BG221" i="39"/>
  <c r="BG157" i="39"/>
  <c r="BG166" i="39"/>
  <c r="BG27" i="39"/>
  <c r="BG386" i="39"/>
  <c r="BG43" i="39"/>
  <c r="BG227" i="39"/>
  <c r="BG48" i="39"/>
  <c r="BG202" i="39"/>
  <c r="BG40" i="39"/>
  <c r="BG175" i="39"/>
  <c r="BG165" i="39"/>
  <c r="BG29" i="39"/>
  <c r="BG231" i="39"/>
  <c r="BG33" i="39"/>
  <c r="BG391" i="39"/>
  <c r="BG238" i="39"/>
  <c r="BG387" i="39"/>
  <c r="BG385" i="39"/>
  <c r="BG228" i="39"/>
  <c r="BG131" i="39"/>
  <c r="BG24" i="39"/>
  <c r="BG156" i="39"/>
  <c r="BG46" i="39"/>
  <c r="BG383" i="39"/>
  <c r="BG64" i="39"/>
  <c r="BG230" i="39"/>
  <c r="BG245" i="39"/>
  <c r="BG381" i="39"/>
  <c r="BG123" i="39"/>
  <c r="BG155" i="39"/>
  <c r="BG98" i="39"/>
  <c r="BG36" i="39"/>
  <c r="BG129" i="39"/>
  <c r="BG30" i="39"/>
  <c r="BG26" i="39"/>
  <c r="BG239" i="39"/>
  <c r="BG222" i="39"/>
  <c r="BG162" i="39"/>
  <c r="BG229" i="39"/>
  <c r="BG244" i="39"/>
  <c r="BG220" i="39"/>
  <c r="BG35" i="39"/>
  <c r="BG392" i="39"/>
  <c r="BG177" i="39"/>
  <c r="BG242" i="39"/>
  <c r="BG45" i="39"/>
  <c r="BG158" i="39"/>
  <c r="BI21" i="39"/>
  <c r="BI124" i="39"/>
  <c r="AK124" i="39" s="1"/>
  <c r="Z67" i="40" s="1"/>
  <c r="BR284" i="39"/>
  <c r="CD106" i="39"/>
  <c r="BK19" i="39"/>
  <c r="BK27" i="39"/>
  <c r="BJ19" i="39"/>
  <c r="AK19" i="39" s="1"/>
  <c r="Z54" i="40" s="1"/>
  <c r="BJ27" i="39"/>
  <c r="CD211" i="39"/>
  <c r="BK21" i="39"/>
  <c r="BK124" i="39"/>
  <c r="BN98" i="39"/>
  <c r="BN242" i="39"/>
  <c r="BK41" i="39"/>
  <c r="BK45" i="39"/>
  <c r="BJ45" i="39"/>
  <c r="BJ41" i="39"/>
  <c r="CD333" i="39"/>
  <c r="CD105" i="39"/>
  <c r="CD14" i="39"/>
  <c r="CD406" i="39"/>
  <c r="BR65" i="39"/>
  <c r="CD356" i="39"/>
  <c r="BK36" i="39"/>
  <c r="BJ36" i="39"/>
  <c r="BK25" i="39"/>
  <c r="BJ25" i="39"/>
  <c r="BI221" i="39"/>
  <c r="BK204" i="39"/>
  <c r="BK221" i="39"/>
  <c r="BJ204" i="39"/>
  <c r="AK204" i="39" s="1"/>
  <c r="Z22" i="40" s="1"/>
  <c r="BK240" i="39"/>
  <c r="BJ240" i="39"/>
  <c r="BN44" i="39"/>
  <c r="BN152" i="39"/>
  <c r="BK232" i="39"/>
  <c r="BJ232" i="39"/>
  <c r="BN49" i="39"/>
  <c r="BK161" i="39"/>
  <c r="BJ161" i="39"/>
  <c r="BK163" i="39"/>
  <c r="BJ163" i="39"/>
  <c r="BK224" i="39"/>
  <c r="BJ224" i="39"/>
  <c r="BK238" i="39"/>
  <c r="BI238" i="39"/>
  <c r="BJ238" i="39"/>
  <c r="BI237" i="39"/>
  <c r="BJ237" i="39"/>
  <c r="BK237" i="39"/>
  <c r="BK166" i="39"/>
  <c r="BI166" i="39"/>
  <c r="BJ166" i="39"/>
  <c r="BI157" i="39"/>
  <c r="BK157" i="39"/>
  <c r="BJ157" i="39"/>
  <c r="BI381" i="39"/>
  <c r="BJ381" i="39"/>
  <c r="BK381" i="39"/>
  <c r="BI244" i="39"/>
  <c r="BJ244" i="39"/>
  <c r="BK244" i="39"/>
  <c r="BI48" i="39"/>
  <c r="BK48" i="39"/>
  <c r="BJ48" i="39"/>
  <c r="BI393" i="39"/>
  <c r="BK393" i="39"/>
  <c r="BJ393" i="39"/>
  <c r="BI389" i="39"/>
  <c r="BJ389" i="39"/>
  <c r="BK389" i="39"/>
  <c r="BI236" i="39"/>
  <c r="BJ236" i="39"/>
  <c r="BK236" i="39"/>
  <c r="BI155" i="39"/>
  <c r="BJ155" i="39"/>
  <c r="BK155" i="39"/>
  <c r="BK46" i="39"/>
  <c r="BI46" i="39"/>
  <c r="AK46" i="39" s="1"/>
  <c r="Z64" i="40" s="1"/>
  <c r="BJ46" i="39"/>
  <c r="BI50" i="39"/>
  <c r="BJ50" i="39"/>
  <c r="BK50" i="39"/>
  <c r="BI175" i="39"/>
  <c r="AK175" i="39" s="1"/>
  <c r="Z8" i="40" s="1"/>
  <c r="BJ175" i="39"/>
  <c r="BK175" i="39"/>
  <c r="BJ239" i="39"/>
  <c r="BI239" i="39"/>
  <c r="BK239" i="39"/>
  <c r="BK18" i="39"/>
  <c r="BI18" i="39"/>
  <c r="AK18" i="39" s="1"/>
  <c r="Z68" i="40" s="1"/>
  <c r="BJ18" i="39"/>
  <c r="BI191" i="39"/>
  <c r="BJ191" i="39"/>
  <c r="BK191" i="39"/>
  <c r="BK33" i="39"/>
  <c r="BI33" i="39"/>
  <c r="BJ33" i="39"/>
  <c r="BJ223" i="39"/>
  <c r="BI223" i="39"/>
  <c r="BK223" i="39"/>
  <c r="BJ203" i="39"/>
  <c r="BI203" i="39"/>
  <c r="AK203" i="39" s="1"/>
  <c r="Z21" i="40" s="1"/>
  <c r="BK203" i="39"/>
  <c r="BI220" i="39"/>
  <c r="BJ220" i="39"/>
  <c r="BK220" i="39"/>
  <c r="BK386" i="39"/>
  <c r="BI386" i="39"/>
  <c r="BJ386" i="39"/>
  <c r="BI26" i="39"/>
  <c r="AK26" i="39" s="1"/>
  <c r="Z33" i="40" s="1"/>
  <c r="BJ26" i="39"/>
  <c r="BK26" i="39"/>
  <c r="BK24" i="39"/>
  <c r="BI24" i="39"/>
  <c r="BJ24" i="39"/>
  <c r="BK28" i="39"/>
  <c r="BI28" i="39"/>
  <c r="BJ28" i="39"/>
  <c r="BK177" i="39"/>
  <c r="BI177" i="39"/>
  <c r="AK177" i="39" s="1"/>
  <c r="Z9" i="40" s="1"/>
  <c r="BJ177" i="39"/>
  <c r="BK30" i="39"/>
  <c r="BI30" i="39"/>
  <c r="BJ30" i="39"/>
  <c r="BI388" i="39"/>
  <c r="BJ388" i="39"/>
  <c r="BK388" i="39"/>
  <c r="BI29" i="39"/>
  <c r="BJ29" i="39"/>
  <c r="BK29" i="39"/>
  <c r="BK387" i="39"/>
  <c r="BI387" i="39"/>
  <c r="BJ387" i="39"/>
  <c r="BI233" i="39"/>
  <c r="BJ233" i="39"/>
  <c r="BK233" i="39"/>
  <c r="BI165" i="39"/>
  <c r="BJ165" i="39"/>
  <c r="BK165" i="39"/>
  <c r="BI247" i="39"/>
  <c r="BK247" i="39"/>
  <c r="BJ247" i="39"/>
  <c r="BJ64" i="39"/>
  <c r="BI64" i="39"/>
  <c r="BK64" i="39"/>
  <c r="BI228" i="39"/>
  <c r="BJ228" i="39"/>
  <c r="BK228" i="39"/>
  <c r="BI22" i="39"/>
  <c r="AK22" i="39" s="1"/>
  <c r="Z49" i="40" s="1"/>
  <c r="BJ22" i="39"/>
  <c r="BK22" i="39"/>
  <c r="BI243" i="39"/>
  <c r="BJ243" i="39"/>
  <c r="BK243" i="39"/>
  <c r="BJ42" i="39"/>
  <c r="BI42" i="39"/>
  <c r="AK42" i="39" s="1"/>
  <c r="Z57" i="40" s="1"/>
  <c r="BK42" i="39"/>
  <c r="BK242" i="39"/>
  <c r="BI242" i="39"/>
  <c r="BJ242" i="39"/>
  <c r="BI128" i="39"/>
  <c r="BJ128" i="39"/>
  <c r="BK128" i="39"/>
  <c r="BJ235" i="39"/>
  <c r="BI235" i="39"/>
  <c r="BK235" i="39"/>
  <c r="BI158" i="39"/>
  <c r="BJ158" i="39"/>
  <c r="BK158" i="39"/>
  <c r="BI44" i="39"/>
  <c r="BJ44" i="39"/>
  <c r="BK44" i="39"/>
  <c r="BI152" i="39"/>
  <c r="BJ152" i="39"/>
  <c r="BK152" i="39"/>
  <c r="BI40" i="39"/>
  <c r="BJ40" i="39"/>
  <c r="BK40" i="39"/>
  <c r="BI32" i="39"/>
  <c r="AK32" i="39" s="1"/>
  <c r="Z16" i="40" s="1"/>
  <c r="BJ32" i="39"/>
  <c r="BK32" i="39"/>
  <c r="BI383" i="39"/>
  <c r="BJ383" i="39"/>
  <c r="BK383" i="39"/>
  <c r="BI219" i="39"/>
  <c r="AK219" i="39" s="1"/>
  <c r="Z69" i="40" s="1"/>
  <c r="BJ219" i="39"/>
  <c r="BK219" i="39"/>
  <c r="BK234" i="39"/>
  <c r="BI234" i="39"/>
  <c r="BJ234" i="39"/>
  <c r="BI225" i="39"/>
  <c r="BJ225" i="39"/>
  <c r="BK225" i="39"/>
  <c r="BJ231" i="39"/>
  <c r="BI231" i="39"/>
  <c r="BK231" i="39"/>
  <c r="BI168" i="39"/>
  <c r="BJ168" i="39"/>
  <c r="BK168" i="39"/>
  <c r="BK222" i="39"/>
  <c r="BI222" i="39"/>
  <c r="BJ222" i="39"/>
  <c r="BI167" i="39"/>
  <c r="AK167" i="39" s="1"/>
  <c r="Z17" i="40" s="1"/>
  <c r="BJ167" i="39"/>
  <c r="BK167" i="39"/>
  <c r="BI43" i="39"/>
  <c r="AK43" i="39" s="1"/>
  <c r="Z58" i="40" s="1"/>
  <c r="BJ43" i="39"/>
  <c r="BK43" i="39"/>
  <c r="BI35" i="39"/>
  <c r="BJ35" i="39"/>
  <c r="BK35" i="39"/>
  <c r="BI17" i="39"/>
  <c r="BJ17" i="39"/>
  <c r="BK17" i="39"/>
  <c r="BI164" i="39"/>
  <c r="BJ164" i="39"/>
  <c r="BK164" i="39"/>
  <c r="BJ380" i="39"/>
  <c r="BI380" i="39"/>
  <c r="BK380" i="39"/>
  <c r="BI384" i="39"/>
  <c r="BJ384" i="39"/>
  <c r="BK384" i="39"/>
  <c r="BI20" i="39"/>
  <c r="AK20" i="39" s="1"/>
  <c r="Z55" i="40" s="1"/>
  <c r="BJ20" i="39"/>
  <c r="BK20" i="39"/>
  <c r="BI248" i="39"/>
  <c r="BJ248" i="39"/>
  <c r="BK248" i="39"/>
  <c r="BI123" i="39"/>
  <c r="BJ123" i="39"/>
  <c r="BK123" i="39"/>
  <c r="BI241" i="39"/>
  <c r="BJ241" i="39"/>
  <c r="BK241" i="39"/>
  <c r="BI391" i="39"/>
  <c r="BJ391" i="39"/>
  <c r="BK391" i="39"/>
  <c r="BI245" i="39"/>
  <c r="BJ245" i="39"/>
  <c r="BK245" i="39"/>
  <c r="BK390" i="39"/>
  <c r="BI390" i="39"/>
  <c r="BJ390" i="39"/>
  <c r="BI131" i="39"/>
  <c r="AK131" i="39" s="1"/>
  <c r="Z34" i="40" s="1"/>
  <c r="BJ131" i="39"/>
  <c r="BK131" i="39"/>
  <c r="BI227" i="39"/>
  <c r="BJ227" i="39"/>
  <c r="BK227" i="39"/>
  <c r="BI392" i="39"/>
  <c r="BK392" i="39"/>
  <c r="BJ392" i="39"/>
  <c r="BI31" i="39"/>
  <c r="AK31" i="39" s="1"/>
  <c r="Z18" i="40" s="1"/>
  <c r="BJ31" i="39"/>
  <c r="BK31" i="39"/>
  <c r="BK226" i="39"/>
  <c r="BI226" i="39"/>
  <c r="BJ226" i="39"/>
  <c r="BI49" i="39"/>
  <c r="AK49" i="39" s="1"/>
  <c r="Z23" i="40" s="1"/>
  <c r="BJ49" i="39"/>
  <c r="BK49" i="39"/>
  <c r="BK98" i="39"/>
  <c r="BI98" i="39"/>
  <c r="AK98" i="39" s="1"/>
  <c r="Z80" i="40" s="1"/>
  <c r="BJ98" i="39"/>
  <c r="BI246" i="39"/>
  <c r="BJ246" i="39"/>
  <c r="BK246" i="39"/>
  <c r="BJ192" i="39"/>
  <c r="BI192" i="39"/>
  <c r="AK192" i="39" s="1"/>
  <c r="Z77" i="40" s="1"/>
  <c r="BK192" i="39"/>
  <c r="BI382" i="39"/>
  <c r="BJ382" i="39"/>
  <c r="BK382" i="39"/>
  <c r="BI176" i="39"/>
  <c r="BJ176" i="39"/>
  <c r="BK176" i="39"/>
  <c r="BK162" i="39"/>
  <c r="BI162" i="39"/>
  <c r="BJ162" i="39"/>
  <c r="BK156" i="39"/>
  <c r="BI156" i="39"/>
  <c r="BJ156" i="39"/>
  <c r="BK159" i="39"/>
  <c r="BI159" i="39"/>
  <c r="AK159" i="39" s="1"/>
  <c r="Z56" i="40" s="1"/>
  <c r="BJ159" i="39"/>
  <c r="BK202" i="39"/>
  <c r="BI202" i="39"/>
  <c r="AK202" i="39" s="1"/>
  <c r="Z24" i="40" s="1"/>
  <c r="BJ202" i="39"/>
  <c r="BR285" i="39"/>
  <c r="BJ320" i="39"/>
  <c r="BI320" i="39"/>
  <c r="BK320" i="39"/>
  <c r="BI169" i="39"/>
  <c r="BK169" i="39"/>
  <c r="BJ169" i="39"/>
  <c r="CD279" i="39"/>
  <c r="BI209" i="39"/>
  <c r="AK209" i="39" s="1"/>
  <c r="BJ209" i="39"/>
  <c r="BK209" i="39"/>
  <c r="BK213" i="39"/>
  <c r="BJ213" i="39"/>
  <c r="BI213" i="39"/>
  <c r="CD335" i="39"/>
  <c r="BK322" i="39"/>
  <c r="BJ322" i="39"/>
  <c r="BI322" i="39"/>
  <c r="BI208" i="39"/>
  <c r="BJ208" i="39"/>
  <c r="BK208" i="39"/>
  <c r="CD363" i="39"/>
  <c r="BK312" i="39"/>
  <c r="BJ312" i="39"/>
  <c r="BI312" i="39"/>
  <c r="BJ302" i="39"/>
  <c r="BK302" i="39"/>
  <c r="BI302" i="39"/>
  <c r="BR51" i="39"/>
  <c r="BK282" i="39"/>
  <c r="BJ282" i="39"/>
  <c r="BI282" i="39"/>
  <c r="BK317" i="39"/>
  <c r="BI317" i="39"/>
  <c r="BJ317" i="39"/>
  <c r="BI104" i="39"/>
  <c r="AK104" i="39" s="1"/>
  <c r="BK104" i="39"/>
  <c r="BJ104" i="39"/>
  <c r="BK344" i="39"/>
  <c r="BJ344" i="39"/>
  <c r="BI344" i="39"/>
  <c r="BR338" i="39"/>
  <c r="BR318" i="39"/>
  <c r="BI119" i="39"/>
  <c r="BK119" i="39"/>
  <c r="BJ119" i="39"/>
  <c r="BK321" i="39"/>
  <c r="BJ321" i="39"/>
  <c r="BI321" i="39"/>
  <c r="BR137" i="39"/>
  <c r="BR340" i="39"/>
  <c r="BN18" i="39"/>
  <c r="BN160" i="39"/>
  <c r="CD2" i="39"/>
  <c r="BR357" i="39"/>
  <c r="CD411" i="39"/>
  <c r="CD396" i="39"/>
  <c r="CD291" i="39"/>
  <c r="CD67" i="39"/>
  <c r="CD132" i="39"/>
  <c r="CD74" i="39"/>
  <c r="CD214" i="39"/>
  <c r="BR363" i="39"/>
  <c r="BR405" i="39"/>
  <c r="BR407" i="39"/>
  <c r="BR282" i="39"/>
  <c r="BR319" i="39"/>
  <c r="BR77" i="39"/>
  <c r="BR184" i="39"/>
  <c r="CD172" i="39"/>
  <c r="BR404" i="39"/>
  <c r="BR122" i="39"/>
  <c r="CD379" i="39"/>
  <c r="BR360" i="39"/>
  <c r="BR365" i="39"/>
  <c r="BR367" i="39"/>
  <c r="CD402" i="39"/>
  <c r="BR332" i="39"/>
  <c r="BR328" i="39"/>
  <c r="CD122" i="39"/>
  <c r="BR130" i="39"/>
  <c r="BR210" i="39"/>
  <c r="CD308" i="39"/>
  <c r="CD398" i="39"/>
  <c r="BN192" i="39"/>
  <c r="BN222" i="39"/>
  <c r="BN227" i="39"/>
  <c r="CD330" i="39"/>
  <c r="CD299" i="39"/>
  <c r="BR344" i="39"/>
  <c r="CD302" i="39"/>
  <c r="BR313" i="39"/>
  <c r="CD249" i="39"/>
  <c r="BR79" i="39"/>
  <c r="BR314" i="39"/>
  <c r="BR337" i="39"/>
  <c r="BR216" i="39"/>
  <c r="CD326" i="39"/>
  <c r="CD171" i="39"/>
  <c r="CD311" i="39"/>
  <c r="BR336" i="39"/>
  <c r="CD364" i="39"/>
  <c r="CD394" i="39"/>
  <c r="CD410" i="39"/>
  <c r="BR401" i="39"/>
  <c r="BN26" i="39"/>
  <c r="CD108" i="39"/>
  <c r="CD182" i="39"/>
  <c r="CD186" i="39"/>
  <c r="CD319" i="39"/>
  <c r="CD97" i="39"/>
  <c r="BR300" i="39"/>
  <c r="CD138" i="39"/>
  <c r="BR274" i="39"/>
  <c r="CD113" i="39"/>
  <c r="CD280" i="39"/>
  <c r="CD352" i="39"/>
  <c r="CD357" i="39"/>
  <c r="BR361" i="39"/>
  <c r="CD362" i="39"/>
  <c r="BR400" i="39"/>
  <c r="CD403" i="39"/>
  <c r="BR330" i="39"/>
  <c r="CD325" i="39"/>
  <c r="CD183" i="39"/>
  <c r="BR299" i="39"/>
  <c r="BR277" i="39"/>
  <c r="CD293" i="39"/>
  <c r="CD215" i="39"/>
  <c r="CD303" i="39"/>
  <c r="CD278" i="39"/>
  <c r="CD109" i="39"/>
  <c r="CD153" i="39"/>
  <c r="BR185" i="39"/>
  <c r="BN168" i="39"/>
  <c r="BR52" i="39"/>
  <c r="CD355" i="39"/>
  <c r="CD365" i="39"/>
  <c r="BN159" i="39"/>
  <c r="AP226" i="39"/>
  <c r="AP225" i="39"/>
  <c r="AP390" i="39"/>
  <c r="AP388" i="39"/>
  <c r="AP20" i="39"/>
  <c r="AP46" i="39"/>
  <c r="AP175" i="39"/>
  <c r="AP35" i="39"/>
  <c r="AP21" i="39"/>
  <c r="AP124" i="39"/>
  <c r="AP165" i="39"/>
  <c r="AP45" i="39"/>
  <c r="BR97" i="39"/>
  <c r="BR355" i="39"/>
  <c r="CD139" i="39"/>
  <c r="BR354" i="39"/>
  <c r="CD360" i="39"/>
  <c r="CD292" i="39"/>
  <c r="CD273" i="39"/>
  <c r="CD353" i="39"/>
  <c r="CD358" i="39"/>
  <c r="CB357" i="39"/>
  <c r="CB363" i="39"/>
  <c r="CD189" i="39"/>
  <c r="CD322" i="39"/>
  <c r="BR172" i="39"/>
  <c r="BR63" i="39"/>
  <c r="CD290" i="39"/>
  <c r="CB184" i="39"/>
  <c r="CD324" i="39"/>
  <c r="CD277" i="39"/>
  <c r="CD208" i="39"/>
  <c r="CD154" i="39"/>
  <c r="CB130" i="39"/>
  <c r="BZ130" i="39" s="1"/>
  <c r="AY130" i="39" s="1"/>
  <c r="CI130" i="39" s="1"/>
  <c r="BR105" i="39"/>
  <c r="CD216" i="39"/>
  <c r="BR287" i="39"/>
  <c r="BR335" i="39"/>
  <c r="CD281" i="39"/>
  <c r="BR326" i="39"/>
  <c r="BR317" i="39"/>
  <c r="CD318" i="39"/>
  <c r="CD321" i="39"/>
  <c r="CD169" i="39"/>
  <c r="BR206" i="39"/>
  <c r="BR118" i="39"/>
  <c r="BR339" i="39"/>
  <c r="CB300" i="39"/>
  <c r="CD316" i="39"/>
  <c r="CD207" i="39"/>
  <c r="CD317" i="39"/>
  <c r="CD283" i="39"/>
  <c r="CD60" i="39"/>
  <c r="CB52" i="39"/>
  <c r="CD337" i="39"/>
  <c r="CD300" i="39"/>
  <c r="BR303" i="39"/>
  <c r="BR290" i="39"/>
  <c r="CB282" i="39"/>
  <c r="BR333" i="39"/>
  <c r="CB65" i="39"/>
  <c r="BR376" i="39"/>
  <c r="BR154" i="39"/>
  <c r="BR169" i="39"/>
  <c r="BR104" i="39"/>
  <c r="CD282" i="39"/>
  <c r="BR331" i="39"/>
  <c r="BR334" i="39"/>
  <c r="BR286" i="39"/>
  <c r="BR289" i="39"/>
  <c r="CD65" i="39"/>
  <c r="BR343" i="39"/>
  <c r="CD136" i="39"/>
  <c r="CD288" i="39"/>
  <c r="BR309" i="39"/>
  <c r="CD348" i="39"/>
  <c r="BR302" i="39"/>
  <c r="CD209" i="39"/>
  <c r="CD323" i="39"/>
  <c r="CD307" i="39"/>
  <c r="CD349" i="39"/>
  <c r="CD328" i="39"/>
  <c r="CD51" i="39"/>
  <c r="CD111" i="39"/>
  <c r="BR275" i="39"/>
  <c r="CD276" i="39"/>
  <c r="CD54" i="39"/>
  <c r="CD313" i="39"/>
  <c r="BR189" i="39"/>
  <c r="BR13" i="39"/>
  <c r="BR75" i="39"/>
  <c r="CB210" i="39"/>
  <c r="CD344" i="39"/>
  <c r="BR347" i="39"/>
  <c r="CD170" i="39"/>
  <c r="BR320" i="39"/>
  <c r="BR321" i="39"/>
  <c r="BR186" i="39"/>
  <c r="CD206" i="39"/>
  <c r="CB285" i="39"/>
  <c r="BR293" i="39"/>
  <c r="CD286" i="39"/>
  <c r="CD119" i="39"/>
  <c r="CD284" i="39"/>
  <c r="CD66" i="39"/>
  <c r="CM41" i="39"/>
  <c r="BN389" i="39"/>
  <c r="BN128" i="39"/>
  <c r="BN167" i="39"/>
  <c r="BN246" i="39"/>
  <c r="BN177" i="39"/>
  <c r="CM29" i="39"/>
  <c r="CM160" i="39"/>
  <c r="BS244" i="39"/>
  <c r="CM380" i="39"/>
  <c r="BS163" i="39"/>
  <c r="BN203" i="39"/>
  <c r="BN390" i="39"/>
  <c r="CM236" i="39"/>
  <c r="BN238" i="39"/>
  <c r="CM238" i="39"/>
  <c r="BN239" i="39"/>
  <c r="CM246" i="39"/>
  <c r="AP33" i="39"/>
  <c r="AP163" i="39"/>
  <c r="AP161" i="39"/>
  <c r="CM161" i="39"/>
  <c r="BN386" i="39"/>
  <c r="CM389" i="39"/>
  <c r="BN45" i="39"/>
  <c r="CM222" i="39"/>
  <c r="BN223" i="39"/>
  <c r="CM129" i="39"/>
  <c r="BN30" i="39"/>
  <c r="BN23" i="39"/>
  <c r="CM388" i="39"/>
  <c r="BN46" i="39"/>
  <c r="BN175" i="39"/>
  <c r="BN165" i="39"/>
  <c r="BN155" i="39"/>
  <c r="BN235" i="39"/>
  <c r="CM242" i="39"/>
  <c r="AP28" i="39"/>
  <c r="CB137" i="39"/>
  <c r="CB319" i="39"/>
  <c r="CB77" i="39"/>
  <c r="CD314" i="39"/>
  <c r="CB332" i="39"/>
  <c r="CB51" i="39"/>
  <c r="CB299" i="39"/>
  <c r="CD312" i="39"/>
  <c r="CB284" i="39"/>
  <c r="CD3" i="39"/>
  <c r="CD77" i="39"/>
  <c r="CB314" i="39"/>
  <c r="CD250" i="39"/>
  <c r="BR112" i="39"/>
  <c r="CD332" i="39"/>
  <c r="CB337" i="39"/>
  <c r="BR342" i="39"/>
  <c r="BR305" i="39"/>
  <c r="CD13" i="39"/>
  <c r="CB181" i="39"/>
  <c r="BR181" i="39"/>
  <c r="CD310" i="39"/>
  <c r="CB344" i="39"/>
  <c r="CD306" i="39"/>
  <c r="CB53" i="39"/>
  <c r="BR53" i="39"/>
  <c r="CD104" i="39"/>
  <c r="BR54" i="39"/>
  <c r="BR291" i="39"/>
  <c r="BR371" i="39"/>
  <c r="BR323" i="39"/>
  <c r="BR250" i="39"/>
  <c r="CD331" i="39"/>
  <c r="CD342" i="39"/>
  <c r="BR324" i="39"/>
  <c r="CB305" i="39"/>
  <c r="CD334" i="39"/>
  <c r="CD285" i="39"/>
  <c r="CD63" i="39"/>
  <c r="BR307" i="39"/>
  <c r="CB346" i="39"/>
  <c r="BR346" i="39"/>
  <c r="CB310" i="39"/>
  <c r="BR310" i="39"/>
  <c r="BR139" i="39"/>
  <c r="CB139" i="39"/>
  <c r="BR119" i="39"/>
  <c r="CD320" i="39"/>
  <c r="CD213" i="39"/>
  <c r="BR345" i="39"/>
  <c r="BR292" i="39"/>
  <c r="CD79" i="39"/>
  <c r="CD304" i="39"/>
  <c r="CD112" i="39"/>
  <c r="CD298" i="39"/>
  <c r="CD305" i="39"/>
  <c r="CD118" i="39"/>
  <c r="BR183" i="39"/>
  <c r="BR327" i="39"/>
  <c r="CB327" i="39"/>
  <c r="BR143" i="39"/>
  <c r="CD377" i="39"/>
  <c r="BR171" i="39"/>
  <c r="CD287" i="39"/>
  <c r="BR370" i="39"/>
  <c r="CD336" i="39"/>
  <c r="CD107" i="39"/>
  <c r="BR301" i="39"/>
  <c r="CD315" i="39"/>
  <c r="CD339" i="39"/>
  <c r="CD195" i="39"/>
  <c r="CD289" i="39"/>
  <c r="CD53" i="39"/>
  <c r="BR110" i="39"/>
  <c r="BR341" i="39"/>
  <c r="BR78" i="39"/>
  <c r="BR73" i="39"/>
  <c r="CD294" i="39"/>
  <c r="BR207" i="39"/>
  <c r="CD52" i="39"/>
  <c r="CD329" i="39"/>
  <c r="BR295" i="39"/>
  <c r="BR113" i="39"/>
  <c r="CD185" i="39"/>
  <c r="CD400" i="39"/>
  <c r="BR408" i="39"/>
  <c r="CB408" i="39"/>
  <c r="CD143" i="39"/>
  <c r="CB338" i="39"/>
  <c r="BR296" i="39"/>
  <c r="BR315" i="39"/>
  <c r="CD110" i="39"/>
  <c r="CD210" i="39"/>
  <c r="BR297" i="39"/>
  <c r="CD274" i="39"/>
  <c r="CD4" i="39"/>
  <c r="BR288" i="39"/>
  <c r="CD275" i="39"/>
  <c r="CD309" i="39"/>
  <c r="BR316" i="39"/>
  <c r="CB360" i="39"/>
  <c r="BR397" i="39"/>
  <c r="CB397" i="39"/>
  <c r="CD327" i="39"/>
  <c r="CD346" i="39"/>
  <c r="CD370" i="39"/>
  <c r="BR107" i="39"/>
  <c r="CD130" i="39"/>
  <c r="CD301" i="39"/>
  <c r="CD338" i="39"/>
  <c r="CD194" i="39"/>
  <c r="BR195" i="39"/>
  <c r="CD8" i="39"/>
  <c r="BR60" i="39"/>
  <c r="CD297" i="39"/>
  <c r="CD341" i="39"/>
  <c r="CD78" i="39"/>
  <c r="CD73" i="39"/>
  <c r="BR294" i="39"/>
  <c r="CB207" i="39"/>
  <c r="CD351" i="39"/>
  <c r="BR329" i="39"/>
  <c r="CD295" i="39"/>
  <c r="BR153" i="39"/>
  <c r="CB153" i="39"/>
  <c r="BR358" i="39"/>
  <c r="BR396" i="39"/>
  <c r="CB396" i="39"/>
  <c r="CD404" i="39"/>
  <c r="CB340" i="39"/>
  <c r="CD184" i="39"/>
  <c r="BR138" i="39"/>
  <c r="CD296" i="39"/>
  <c r="BR109" i="39"/>
  <c r="BR55" i="39"/>
  <c r="CD140" i="39"/>
  <c r="BR406" i="39"/>
  <c r="CD409" i="39"/>
  <c r="BR403" i="39"/>
  <c r="BR280" i="39"/>
  <c r="CD367" i="39"/>
  <c r="BR409" i="39"/>
  <c r="CD405" i="39"/>
  <c r="CD395" i="39"/>
  <c r="CD354" i="39"/>
  <c r="CD359" i="39"/>
  <c r="CD366" i="39"/>
  <c r="BR394" i="39"/>
  <c r="CD407" i="39"/>
  <c r="CD408" i="39"/>
  <c r="CD397" i="39"/>
  <c r="BR402" i="39"/>
  <c r="BS164" i="39"/>
  <c r="BP164" i="39"/>
  <c r="BR164" i="39" s="1"/>
  <c r="BN234" i="39"/>
  <c r="CM234" i="39"/>
  <c r="CM20" i="39"/>
  <c r="BN41" i="39"/>
  <c r="BN388" i="39"/>
  <c r="BN29" i="39"/>
  <c r="BS234" i="39"/>
  <c r="CM240" i="39"/>
  <c r="CM226" i="39"/>
  <c r="CM231" i="39"/>
  <c r="CM247" i="39"/>
  <c r="BN20" i="39"/>
  <c r="BP24" i="39"/>
  <c r="BR24" i="39" s="1"/>
  <c r="CM47" i="39"/>
  <c r="CM223" i="39"/>
  <c r="CM224" i="39"/>
  <c r="BN32" i="39"/>
  <c r="BP46" i="39"/>
  <c r="BR46" i="39" s="1"/>
  <c r="CM392" i="39"/>
  <c r="CM24" i="39"/>
  <c r="CM232" i="39"/>
  <c r="BN243" i="39"/>
  <c r="CM46" i="39"/>
  <c r="BN231" i="39"/>
  <c r="BN247" i="39"/>
  <c r="CM248" i="39"/>
  <c r="BN164" i="39"/>
  <c r="CM44" i="39"/>
  <c r="BP380" i="39"/>
  <c r="BR380" i="39" s="1"/>
  <c r="CM167" i="39"/>
  <c r="CM203" i="39"/>
  <c r="CM235" i="39"/>
  <c r="BN33" i="39"/>
  <c r="BN230" i="39"/>
  <c r="CM243" i="39"/>
  <c r="BP221" i="39"/>
  <c r="BR221" i="39" s="1"/>
  <c r="CM239" i="39"/>
  <c r="CM98" i="39"/>
  <c r="BN156" i="39"/>
  <c r="CM156" i="39"/>
  <c r="CM382" i="39"/>
  <c r="CM177" i="39"/>
  <c r="CM165" i="39"/>
  <c r="BS389" i="39"/>
  <c r="CM28" i="39"/>
  <c r="BN24" i="39"/>
  <c r="CM64" i="39"/>
  <c r="BN124" i="39"/>
  <c r="CM35" i="39"/>
  <c r="CM168" i="39"/>
  <c r="CM18" i="39"/>
  <c r="CM204" i="39"/>
  <c r="CM27" i="39"/>
  <c r="BP166" i="39"/>
  <c r="BR166" i="39" s="1"/>
  <c r="BP64" i="39"/>
  <c r="BR64" i="39" s="1"/>
  <c r="BP387" i="39"/>
  <c r="BR387" i="39" s="1"/>
  <c r="CM175" i="39"/>
  <c r="BN380" i="39"/>
  <c r="BN162" i="39"/>
  <c r="CM164" i="39"/>
  <c r="CM21" i="39"/>
  <c r="CM219" i="39"/>
  <c r="CM123" i="39"/>
  <c r="BS392" i="39"/>
  <c r="CM50" i="39"/>
  <c r="CM159" i="39"/>
  <c r="BP31" i="39"/>
  <c r="BR31" i="39" s="1"/>
  <c r="CM26" i="39"/>
  <c r="CM157" i="39"/>
  <c r="CM124" i="39"/>
  <c r="BN393" i="39"/>
  <c r="BN64" i="39"/>
  <c r="BN21" i="39"/>
  <c r="CM390" i="39"/>
  <c r="BP160" i="39"/>
  <c r="BR160" i="39" s="1"/>
  <c r="CM31" i="39"/>
  <c r="BP131" i="39"/>
  <c r="BR131" i="39" s="1"/>
  <c r="CM128" i="39"/>
  <c r="BP20" i="39"/>
  <c r="BN50" i="39"/>
  <c r="CM48" i="39"/>
  <c r="CM36" i="39"/>
  <c r="BN382" i="39"/>
  <c r="CM163" i="39"/>
  <c r="BN163" i="39"/>
  <c r="CM49" i="39"/>
  <c r="BN202" i="39"/>
  <c r="BS387" i="39"/>
  <c r="BS21" i="39"/>
  <c r="BP21" i="39"/>
  <c r="BS380" i="39"/>
  <c r="BP163" i="39"/>
  <c r="BR163" i="39" s="1"/>
  <c r="BS20" i="39"/>
  <c r="CD20" i="39" s="1"/>
  <c r="BN42" i="39"/>
  <c r="CM42" i="39"/>
  <c r="BS41" i="39"/>
  <c r="BP23" i="39"/>
  <c r="BR23" i="39" s="1"/>
  <c r="BS166" i="39"/>
  <c r="BN35" i="39"/>
  <c r="BN383" i="39"/>
  <c r="CM202" i="39"/>
  <c r="BP17" i="39"/>
  <c r="BR17" i="39" s="1"/>
  <c r="BS17" i="39"/>
  <c r="BN385" i="39"/>
  <c r="BP388" i="39"/>
  <c r="BN40" i="39"/>
  <c r="CM40" i="39"/>
  <c r="CM386" i="39"/>
  <c r="BN36" i="39"/>
  <c r="CM162" i="39"/>
  <c r="CM384" i="39"/>
  <c r="BN384" i="39"/>
  <c r="CM23" i="39"/>
  <c r="BP124" i="39"/>
  <c r="BR124" i="39" s="1"/>
  <c r="BN48" i="39"/>
  <c r="CM32" i="39"/>
  <c r="BN31" i="39"/>
  <c r="BN204" i="39"/>
  <c r="BS384" i="39"/>
  <c r="CD384" i="39" s="1"/>
  <c r="BP384" i="39"/>
  <c r="BR384" i="39" s="1"/>
  <c r="BP19" i="39"/>
  <c r="BR19" i="39" s="1"/>
  <c r="BS19" i="39"/>
  <c r="BS160" i="39"/>
  <c r="CM33" i="39"/>
  <c r="CM383" i="39"/>
  <c r="CM385" i="39"/>
  <c r="BS131" i="39"/>
  <c r="BN131" i="39"/>
  <c r="CM25" i="39"/>
  <c r="BN43" i="39"/>
  <c r="CM387" i="39"/>
  <c r="BN129" i="39"/>
  <c r="CM152" i="39"/>
  <c r="CM45" i="39"/>
  <c r="BN27" i="39"/>
  <c r="CM17" i="39"/>
  <c r="CM43" i="39"/>
  <c r="BN25" i="39"/>
  <c r="BP50" i="39"/>
  <c r="BR50" i="39" s="1"/>
  <c r="BS50" i="39"/>
  <c r="BS191" i="39"/>
  <c r="BP191" i="39"/>
  <c r="BR191" i="39" s="1"/>
  <c r="BN161" i="39"/>
  <c r="CM131" i="39"/>
  <c r="BN28" i="39"/>
  <c r="BN387" i="39"/>
  <c r="BS28" i="39"/>
  <c r="BN166" i="39"/>
  <c r="BN22" i="39"/>
  <c r="CM155" i="39"/>
  <c r="BS222" i="39"/>
  <c r="BP222" i="39"/>
  <c r="BR222" i="39" s="1"/>
  <c r="BS46" i="39"/>
  <c r="BP392" i="39"/>
  <c r="BS24" i="39"/>
  <c r="CD24" i="39" s="1"/>
  <c r="CM192" i="39"/>
  <c r="BN391" i="39"/>
  <c r="BN19" i="39"/>
  <c r="BN220" i="39"/>
  <c r="CM220" i="39"/>
  <c r="CM22" i="39"/>
  <c r="BP30" i="39"/>
  <c r="BR30" i="39" s="1"/>
  <c r="BS123" i="39"/>
  <c r="BP123" i="39"/>
  <c r="BR123" i="39" s="1"/>
  <c r="BN191" i="39"/>
  <c r="CM191" i="39"/>
  <c r="CM221" i="39"/>
  <c r="BN221" i="39"/>
  <c r="BS246" i="39"/>
  <c r="CD246" i="39" s="1"/>
  <c r="BP246" i="39"/>
  <c r="BS221" i="39"/>
  <c r="CD221" i="39" s="1"/>
  <c r="BP234" i="39"/>
  <c r="CM229" i="39"/>
  <c r="BN229" i="39"/>
  <c r="BP242" i="39"/>
  <c r="CM158" i="39"/>
  <c r="BN158" i="39"/>
  <c r="BP232" i="39"/>
  <c r="BR232" i="39" s="1"/>
  <c r="BS158" i="39"/>
  <c r="BN228" i="39"/>
  <c r="BP236" i="39"/>
  <c r="BR236" i="39" s="1"/>
  <c r="BN157" i="39"/>
  <c r="BN392" i="39"/>
  <c r="BN219" i="39"/>
  <c r="BN123" i="39"/>
  <c r="BP158" i="39"/>
  <c r="BR158" i="39" s="1"/>
  <c r="BN226" i="39"/>
  <c r="BP240" i="39"/>
  <c r="BR240" i="39" s="1"/>
  <c r="BP244" i="39"/>
  <c r="BR244" i="39" s="1"/>
  <c r="BN224" i="39"/>
  <c r="CM225" i="39"/>
  <c r="BN225" i="39"/>
  <c r="CM176" i="39"/>
  <c r="BN176" i="39"/>
  <c r="CM227" i="39"/>
  <c r="CM393" i="39"/>
  <c r="BN47" i="39"/>
  <c r="CM228" i="39"/>
  <c r="CM233" i="39"/>
  <c r="BN233" i="39"/>
  <c r="CM245" i="39"/>
  <c r="BN245" i="39"/>
  <c r="CM237" i="39"/>
  <c r="BN237" i="39"/>
  <c r="BP230" i="39"/>
  <c r="BS230" i="39"/>
  <c r="CD230" i="39" s="1"/>
  <c r="CM241" i="39"/>
  <c r="BN241" i="39"/>
  <c r="BN232" i="39"/>
  <c r="BN236" i="39"/>
  <c r="BN240" i="39"/>
  <c r="BN244" i="39"/>
  <c r="BN248" i="39"/>
  <c r="BP248" i="39"/>
  <c r="BR248" i="39" s="1"/>
  <c r="BR322" i="39"/>
  <c r="BR170" i="39"/>
  <c r="CB348" i="39"/>
  <c r="BR348" i="39"/>
  <c r="CB349" i="39"/>
  <c r="BR349" i="39"/>
  <c r="BR209" i="39"/>
  <c r="CB79" i="39"/>
  <c r="CB67" i="39"/>
  <c r="BR67" i="39"/>
  <c r="BR3" i="39"/>
  <c r="CB119" i="39"/>
  <c r="BR213" i="39"/>
  <c r="BR312" i="39"/>
  <c r="BR208" i="39"/>
  <c r="CB292" i="39"/>
  <c r="CB211" i="39"/>
  <c r="BR211" i="39"/>
  <c r="CB313" i="39"/>
  <c r="CD345" i="39"/>
  <c r="CD137" i="39"/>
  <c r="CB298" i="39"/>
  <c r="BR298" i="39"/>
  <c r="BR304" i="39"/>
  <c r="CB304" i="39"/>
  <c r="CB278" i="39"/>
  <c r="BR278" i="39"/>
  <c r="CB306" i="39"/>
  <c r="BR306" i="39"/>
  <c r="CD371" i="39"/>
  <c r="BR283" i="39"/>
  <c r="BR249" i="39"/>
  <c r="BR74" i="39"/>
  <c r="CB74" i="39"/>
  <c r="CB249" i="39"/>
  <c r="CB330" i="39"/>
  <c r="BR325" i="39"/>
  <c r="CB216" i="39"/>
  <c r="BR108" i="39"/>
  <c r="CB277" i="39"/>
  <c r="CB328" i="39"/>
  <c r="BR350" i="39"/>
  <c r="CB342" i="39"/>
  <c r="BR132" i="39"/>
  <c r="CB183" i="39"/>
  <c r="BR14" i="39"/>
  <c r="BR311" i="39"/>
  <c r="BR182" i="39"/>
  <c r="BR377" i="39"/>
  <c r="CD75" i="39"/>
  <c r="CB336" i="39"/>
  <c r="CB111" i="39"/>
  <c r="BR111" i="39"/>
  <c r="CD181" i="39"/>
  <c r="CB136" i="39"/>
  <c r="BR136" i="39"/>
  <c r="CD347" i="39"/>
  <c r="CB296" i="39"/>
  <c r="CD343" i="39"/>
  <c r="CD340" i="39"/>
  <c r="CD350" i="39"/>
  <c r="CB301" i="39"/>
  <c r="BR194" i="39"/>
  <c r="CB194" i="39"/>
  <c r="CB4" i="39"/>
  <c r="BR4" i="39"/>
  <c r="BR215" i="39"/>
  <c r="BR8" i="39"/>
  <c r="CB195" i="39"/>
  <c r="BR279" i="39"/>
  <c r="CB341" i="39"/>
  <c r="CB274" i="39"/>
  <c r="CB318" i="39"/>
  <c r="CB353" i="39"/>
  <c r="BR353" i="39"/>
  <c r="BR106" i="39"/>
  <c r="CB110" i="39"/>
  <c r="BR308" i="39"/>
  <c r="BR273" i="39"/>
  <c r="CB55" i="39"/>
  <c r="CD55" i="39"/>
  <c r="BR276" i="39"/>
  <c r="CD376" i="39"/>
  <c r="CB280" i="39"/>
  <c r="BR352" i="39"/>
  <c r="CD361" i="39"/>
  <c r="CB281" i="39"/>
  <c r="BR281" i="39"/>
  <c r="BR66" i="39"/>
  <c r="CB366" i="39"/>
  <c r="BR366" i="39"/>
  <c r="BR351" i="39"/>
  <c r="CB2" i="39"/>
  <c r="BR2" i="39"/>
  <c r="BR362" i="39"/>
  <c r="BR379" i="39"/>
  <c r="BR214" i="39"/>
  <c r="BR356" i="39"/>
  <c r="CB356" i="39"/>
  <c r="CB185" i="39"/>
  <c r="BR359" i="39"/>
  <c r="CB367" i="39"/>
  <c r="BR410" i="39"/>
  <c r="CD399" i="39"/>
  <c r="BR364" i="39"/>
  <c r="CB407" i="39"/>
  <c r="BR140" i="39"/>
  <c r="BR411" i="39"/>
  <c r="BR398" i="39"/>
  <c r="CD401" i="39"/>
  <c r="BR399" i="39"/>
  <c r="CB399" i="39"/>
  <c r="BR395" i="39"/>
  <c r="I123" i="42" l="1"/>
  <c r="A308" i="41" s="1"/>
  <c r="AA308" i="41" s="1"/>
  <c r="I261" i="41"/>
  <c r="H261" i="41"/>
  <c r="G261" i="41"/>
  <c r="F261" i="41"/>
  <c r="E261" i="41"/>
  <c r="AK208" i="39"/>
  <c r="AK123" i="39"/>
  <c r="Z74" i="40" s="1"/>
  <c r="AK17" i="39"/>
  <c r="Z66" i="40" s="1"/>
  <c r="AK169" i="39"/>
  <c r="I367" i="42"/>
  <c r="A387" i="41" s="1"/>
  <c r="AA387" i="41" s="1"/>
  <c r="I381" i="42"/>
  <c r="A401" i="41" s="1"/>
  <c r="AA401" i="41" s="1"/>
  <c r="I21" i="42"/>
  <c r="A206" i="41" s="1"/>
  <c r="AA206" i="41" s="1"/>
  <c r="I17" i="42"/>
  <c r="A202" i="41" s="1"/>
  <c r="AA202" i="41" s="1"/>
  <c r="AK162" i="39"/>
  <c r="Z20" i="40" s="1"/>
  <c r="AK155" i="39"/>
  <c r="Z50" i="40" s="1"/>
  <c r="AK128" i="39"/>
  <c r="Z39" i="40" s="1"/>
  <c r="I178" i="42"/>
  <c r="A127" i="41" s="1"/>
  <c r="AA127" i="41" s="1"/>
  <c r="I3" i="42"/>
  <c r="A188" i="41" s="1"/>
  <c r="AA188" i="41" s="1"/>
  <c r="I222" i="42"/>
  <c r="A123" i="41" s="1"/>
  <c r="AA123" i="41" s="1"/>
  <c r="I376" i="42"/>
  <c r="A396" i="41" s="1"/>
  <c r="AA396" i="41" s="1"/>
  <c r="I177" i="42"/>
  <c r="A179" i="41" s="1"/>
  <c r="AA179" i="41" s="1"/>
  <c r="AK157" i="39"/>
  <c r="Z61" i="40" s="1"/>
  <c r="K259" i="41"/>
  <c r="E259" i="41"/>
  <c r="I127" i="41"/>
  <c r="E258" i="41"/>
  <c r="K258" i="41"/>
  <c r="I219" i="42"/>
  <c r="A148" i="41" s="1"/>
  <c r="AA148" i="41" s="1"/>
  <c r="K257" i="41"/>
  <c r="E257" i="41"/>
  <c r="F127" i="41"/>
  <c r="G114" i="41"/>
  <c r="H113" i="41"/>
  <c r="I112" i="41"/>
  <c r="D127" i="41"/>
  <c r="K127" i="41" s="1"/>
  <c r="F114" i="41"/>
  <c r="G113" i="41"/>
  <c r="H112" i="41"/>
  <c r="D114" i="41"/>
  <c r="K114" i="41" s="1"/>
  <c r="F113" i="41"/>
  <c r="G112" i="41"/>
  <c r="I11" i="42"/>
  <c r="A196" i="41" s="1"/>
  <c r="AA196" i="41" s="1"/>
  <c r="I5" i="42"/>
  <c r="A190" i="41" s="1"/>
  <c r="AA190" i="41" s="1"/>
  <c r="D113" i="41"/>
  <c r="K113" i="41" s="1"/>
  <c r="F112" i="41"/>
  <c r="H127" i="41"/>
  <c r="I114" i="41"/>
  <c r="D112" i="41"/>
  <c r="K112" i="41" s="1"/>
  <c r="G127" i="41"/>
  <c r="H114" i="41"/>
  <c r="I113" i="41"/>
  <c r="AK156" i="39"/>
  <c r="Z48" i="40" s="1"/>
  <c r="I68" i="42"/>
  <c r="A253" i="41" s="1"/>
  <c r="AA253" i="41" s="1"/>
  <c r="I176" i="42"/>
  <c r="A75" i="41" s="1"/>
  <c r="AA75" i="41" s="1"/>
  <c r="AK166" i="39"/>
  <c r="Z44" i="40" s="1"/>
  <c r="I223" i="42"/>
  <c r="A41" i="41" s="1"/>
  <c r="AA41" i="41" s="1"/>
  <c r="AK152" i="39"/>
  <c r="Z47" i="40" s="1"/>
  <c r="D116" i="41"/>
  <c r="K116" i="41" s="1"/>
  <c r="D118" i="41"/>
  <c r="K118" i="41" s="1"/>
  <c r="D122" i="41"/>
  <c r="K122" i="41" s="1"/>
  <c r="D124" i="41"/>
  <c r="K124" i="41" s="1"/>
  <c r="D126" i="41"/>
  <c r="K126" i="41" s="1"/>
  <c r="D128" i="41"/>
  <c r="K128" i="41" s="1"/>
  <c r="D130" i="41"/>
  <c r="K130" i="41" s="1"/>
  <c r="I86" i="41"/>
  <c r="I104" i="41"/>
  <c r="H86" i="41"/>
  <c r="H104" i="41"/>
  <c r="G86" i="41"/>
  <c r="G104" i="41"/>
  <c r="F86" i="41"/>
  <c r="F104" i="41"/>
  <c r="E86" i="41"/>
  <c r="E104" i="41"/>
  <c r="D86" i="41"/>
  <c r="K86" i="41" s="1"/>
  <c r="D104" i="41"/>
  <c r="K104" i="41" s="1"/>
  <c r="I10" i="42"/>
  <c r="A195" i="41" s="1"/>
  <c r="AA195" i="41" s="1"/>
  <c r="AK213" i="39"/>
  <c r="AK29" i="39"/>
  <c r="Z43" i="40" s="1"/>
  <c r="G133" i="41"/>
  <c r="AK165" i="39"/>
  <c r="Z46" i="40" s="1"/>
  <c r="I98" i="41"/>
  <c r="D98" i="41"/>
  <c r="K98" i="41" s="1"/>
  <c r="E98" i="41"/>
  <c r="F98" i="41"/>
  <c r="G98" i="41"/>
  <c r="H98" i="41"/>
  <c r="D161" i="41"/>
  <c r="K161" i="41" s="1"/>
  <c r="D137" i="41"/>
  <c r="K137" i="41" s="1"/>
  <c r="D208" i="41"/>
  <c r="K208" i="41" s="1"/>
  <c r="D181" i="41"/>
  <c r="K181" i="41" s="1"/>
  <c r="D110" i="41"/>
  <c r="K110" i="41" s="1"/>
  <c r="D76" i="41"/>
  <c r="K76" i="41" s="1"/>
  <c r="D71" i="41"/>
  <c r="K71" i="41" s="1"/>
  <c r="D67" i="41"/>
  <c r="K67" i="41" s="1"/>
  <c r="D63" i="41"/>
  <c r="K63" i="41" s="1"/>
  <c r="F131" i="41"/>
  <c r="F123" i="41"/>
  <c r="F117" i="41"/>
  <c r="F109" i="41"/>
  <c r="F75" i="41"/>
  <c r="F70" i="41"/>
  <c r="F66" i="41"/>
  <c r="F62" i="41"/>
  <c r="G130" i="41"/>
  <c r="G126" i="41"/>
  <c r="G122" i="41"/>
  <c r="G116" i="41"/>
  <c r="G78" i="41"/>
  <c r="G74" i="41"/>
  <c r="G69" i="41"/>
  <c r="G65" i="41"/>
  <c r="G61" i="41"/>
  <c r="H129" i="41"/>
  <c r="H125" i="41"/>
  <c r="H121" i="41"/>
  <c r="H115" i="41"/>
  <c r="H111" i="41"/>
  <c r="H77" i="41"/>
  <c r="H72" i="41"/>
  <c r="H68" i="41"/>
  <c r="H64" i="41"/>
  <c r="H47" i="41"/>
  <c r="I128" i="41"/>
  <c r="I124" i="41"/>
  <c r="I118" i="41"/>
  <c r="I110" i="41"/>
  <c r="I76" i="41"/>
  <c r="I71" i="41"/>
  <c r="I67" i="41"/>
  <c r="I63" i="41"/>
  <c r="D105" i="41"/>
  <c r="K105" i="41" s="1"/>
  <c r="D97" i="41"/>
  <c r="K97" i="41" s="1"/>
  <c r="E103" i="41"/>
  <c r="F105" i="41"/>
  <c r="F97" i="41"/>
  <c r="G103" i="41"/>
  <c r="H105" i="41"/>
  <c r="H97" i="41"/>
  <c r="I103" i="41"/>
  <c r="D220" i="41"/>
  <c r="K220" i="41" s="1"/>
  <c r="D171" i="41"/>
  <c r="K171" i="41" s="1"/>
  <c r="K131" i="41"/>
  <c r="D123" i="41"/>
  <c r="K123" i="41" s="1"/>
  <c r="D117" i="41"/>
  <c r="K117" i="41" s="1"/>
  <c r="D109" i="41"/>
  <c r="K109" i="41" s="1"/>
  <c r="D75" i="41"/>
  <c r="K75" i="41" s="1"/>
  <c r="D70" i="41"/>
  <c r="K70" i="41" s="1"/>
  <c r="D66" i="41"/>
  <c r="K66" i="41" s="1"/>
  <c r="D62" i="41"/>
  <c r="K62" i="41" s="1"/>
  <c r="F130" i="41"/>
  <c r="F126" i="41"/>
  <c r="F122" i="41"/>
  <c r="F116" i="41"/>
  <c r="F78" i="41"/>
  <c r="F74" i="41"/>
  <c r="F69" i="41"/>
  <c r="F65" i="41"/>
  <c r="F61" i="41"/>
  <c r="G129" i="41"/>
  <c r="G125" i="41"/>
  <c r="G121" i="41"/>
  <c r="G115" i="41"/>
  <c r="G111" i="41"/>
  <c r="G77" i="41"/>
  <c r="G72" i="41"/>
  <c r="G68" i="41"/>
  <c r="G64" i="41"/>
  <c r="G47" i="41"/>
  <c r="H128" i="41"/>
  <c r="H124" i="41"/>
  <c r="H118" i="41"/>
  <c r="H110" i="41"/>
  <c r="H76" i="41"/>
  <c r="H71" i="41"/>
  <c r="H67" i="41"/>
  <c r="H63" i="41"/>
  <c r="I123" i="41"/>
  <c r="I117" i="41"/>
  <c r="I109" i="41"/>
  <c r="I75" i="41"/>
  <c r="I70" i="41"/>
  <c r="I66" i="41"/>
  <c r="I62" i="41"/>
  <c r="D78" i="41"/>
  <c r="K78" i="41" s="1"/>
  <c r="D74" i="41"/>
  <c r="K74" i="41" s="1"/>
  <c r="D69" i="41"/>
  <c r="K69" i="41" s="1"/>
  <c r="D65" i="41"/>
  <c r="K65" i="41" s="1"/>
  <c r="D61" i="41"/>
  <c r="K61" i="41" s="1"/>
  <c r="F129" i="41"/>
  <c r="F125" i="41"/>
  <c r="F121" i="41"/>
  <c r="F115" i="41"/>
  <c r="F111" i="41"/>
  <c r="F77" i="41"/>
  <c r="F72" i="41"/>
  <c r="F68" i="41"/>
  <c r="F64" i="41"/>
  <c r="F47" i="41"/>
  <c r="G128" i="41"/>
  <c r="G124" i="41"/>
  <c r="G118" i="41"/>
  <c r="G110" i="41"/>
  <c r="G76" i="41"/>
  <c r="G71" i="41"/>
  <c r="G67" i="41"/>
  <c r="G63" i="41"/>
  <c r="H123" i="41"/>
  <c r="H117" i="41"/>
  <c r="H109" i="41"/>
  <c r="H75" i="41"/>
  <c r="H70" i="41"/>
  <c r="H66" i="41"/>
  <c r="H62" i="41"/>
  <c r="I126" i="41"/>
  <c r="I122" i="41"/>
  <c r="I116" i="41"/>
  <c r="I78" i="41"/>
  <c r="I74" i="41"/>
  <c r="I69" i="41"/>
  <c r="I65" i="41"/>
  <c r="I61" i="41"/>
  <c r="D103" i="41"/>
  <c r="K103" i="41" s="1"/>
  <c r="E105" i="41"/>
  <c r="E97" i="41"/>
  <c r="F103" i="41"/>
  <c r="G105" i="41"/>
  <c r="G97" i="41"/>
  <c r="H103" i="41"/>
  <c r="I105" i="41"/>
  <c r="I97" i="41"/>
  <c r="D191" i="41"/>
  <c r="K191" i="41" s="1"/>
  <c r="D147" i="41"/>
  <c r="K147" i="41" s="1"/>
  <c r="D129" i="41"/>
  <c r="K129" i="41" s="1"/>
  <c r="D125" i="41"/>
  <c r="K125" i="41" s="1"/>
  <c r="D121" i="41"/>
  <c r="K121" i="41" s="1"/>
  <c r="D115" i="41"/>
  <c r="K115" i="41" s="1"/>
  <c r="D111" i="41"/>
  <c r="K111" i="41" s="1"/>
  <c r="D77" i="41"/>
  <c r="K77" i="41" s="1"/>
  <c r="D72" i="41"/>
  <c r="K72" i="41" s="1"/>
  <c r="D68" i="41"/>
  <c r="K68" i="41" s="1"/>
  <c r="D64" i="41"/>
  <c r="K64" i="41" s="1"/>
  <c r="D47" i="41"/>
  <c r="K47" i="41" s="1"/>
  <c r="F128" i="41"/>
  <c r="F124" i="41"/>
  <c r="F118" i="41"/>
  <c r="F110" i="41"/>
  <c r="F76" i="41"/>
  <c r="F71" i="41"/>
  <c r="F67" i="41"/>
  <c r="F63" i="41"/>
  <c r="G123" i="41"/>
  <c r="G117" i="41"/>
  <c r="G109" i="41"/>
  <c r="G75" i="41"/>
  <c r="G70" i="41"/>
  <c r="G66" i="41"/>
  <c r="G62" i="41"/>
  <c r="H130" i="41"/>
  <c r="H126" i="41"/>
  <c r="H122" i="41"/>
  <c r="H116" i="41"/>
  <c r="H78" i="41"/>
  <c r="H74" i="41"/>
  <c r="H69" i="41"/>
  <c r="H65" i="41"/>
  <c r="H61" i="41"/>
  <c r="I129" i="41"/>
  <c r="I125" i="41"/>
  <c r="I121" i="41"/>
  <c r="I115" i="41"/>
  <c r="I111" i="41"/>
  <c r="I77" i="41"/>
  <c r="I72" i="41"/>
  <c r="I68" i="41"/>
  <c r="I64" i="41"/>
  <c r="I47" i="41"/>
  <c r="D227" i="41"/>
  <c r="K227" i="41" s="1"/>
  <c r="D216" i="41"/>
  <c r="K216" i="41" s="1"/>
  <c r="D198" i="41"/>
  <c r="K198" i="41" s="1"/>
  <c r="D187" i="41"/>
  <c r="K187" i="41" s="1"/>
  <c r="D177" i="41"/>
  <c r="K177" i="41" s="1"/>
  <c r="D167" i="41"/>
  <c r="K167" i="41" s="1"/>
  <c r="D157" i="41"/>
  <c r="K157" i="41" s="1"/>
  <c r="D143" i="41"/>
  <c r="K143" i="41" s="1"/>
  <c r="D133" i="41"/>
  <c r="K133" i="41" s="1"/>
  <c r="D226" i="41"/>
  <c r="K226" i="41" s="1"/>
  <c r="D215" i="41"/>
  <c r="K215" i="41" s="1"/>
  <c r="D197" i="41"/>
  <c r="K197" i="41" s="1"/>
  <c r="D186" i="41"/>
  <c r="K186" i="41" s="1"/>
  <c r="D176" i="41"/>
  <c r="K176" i="41" s="1"/>
  <c r="D166" i="41"/>
  <c r="K166" i="41" s="1"/>
  <c r="D152" i="41"/>
  <c r="K152" i="41" s="1"/>
  <c r="D142" i="41"/>
  <c r="K142" i="41" s="1"/>
  <c r="D222" i="41"/>
  <c r="K222" i="41" s="1"/>
  <c r="D209" i="41"/>
  <c r="K209" i="41" s="1"/>
  <c r="D192" i="41"/>
  <c r="K192" i="41" s="1"/>
  <c r="D182" i="41"/>
  <c r="K182" i="41" s="1"/>
  <c r="D172" i="41"/>
  <c r="K172" i="41" s="1"/>
  <c r="D162" i="41"/>
  <c r="K162" i="41" s="1"/>
  <c r="D148" i="41"/>
  <c r="K148" i="41" s="1"/>
  <c r="D138" i="41"/>
  <c r="K138" i="41" s="1"/>
  <c r="D57" i="41"/>
  <c r="K57" i="41" s="1"/>
  <c r="D52" i="41"/>
  <c r="K52" i="41" s="1"/>
  <c r="D44" i="41"/>
  <c r="K44" i="41" s="1"/>
  <c r="D37" i="41"/>
  <c r="K37" i="41" s="1"/>
  <c r="D32" i="41"/>
  <c r="K32" i="41" s="1"/>
  <c r="D24" i="41"/>
  <c r="K24" i="41" s="1"/>
  <c r="D19" i="41"/>
  <c r="K19" i="41" s="1"/>
  <c r="D14" i="41"/>
  <c r="K14" i="41" s="1"/>
  <c r="D4" i="41"/>
  <c r="K4" i="41" s="1"/>
  <c r="F227" i="41"/>
  <c r="F222" i="41"/>
  <c r="F216" i="41"/>
  <c r="F209" i="41"/>
  <c r="F198" i="41"/>
  <c r="F192" i="41"/>
  <c r="F187" i="41"/>
  <c r="F182" i="41"/>
  <c r="F177" i="41"/>
  <c r="F172" i="41"/>
  <c r="F167" i="41"/>
  <c r="F162" i="41"/>
  <c r="F157" i="41"/>
  <c r="F148" i="41"/>
  <c r="F143" i="41"/>
  <c r="F138" i="41"/>
  <c r="F133" i="41"/>
  <c r="F57" i="41"/>
  <c r="F52" i="41"/>
  <c r="F44" i="41"/>
  <c r="F37" i="41"/>
  <c r="F32" i="41"/>
  <c r="F24" i="41"/>
  <c r="F19" i="41"/>
  <c r="F14" i="41"/>
  <c r="F4" i="41"/>
  <c r="G227" i="41"/>
  <c r="G222" i="41"/>
  <c r="G216" i="41"/>
  <c r="G209" i="41"/>
  <c r="G198" i="41"/>
  <c r="G192" i="41"/>
  <c r="G187" i="41"/>
  <c r="G181" i="41"/>
  <c r="G175" i="41"/>
  <c r="G168" i="41"/>
  <c r="G161" i="41"/>
  <c r="G147" i="41"/>
  <c r="G137" i="41"/>
  <c r="D56" i="41"/>
  <c r="K56" i="41" s="1"/>
  <c r="D51" i="41"/>
  <c r="K51" i="41" s="1"/>
  <c r="D43" i="41"/>
  <c r="K43" i="41" s="1"/>
  <c r="D36" i="41"/>
  <c r="K36" i="41" s="1"/>
  <c r="D31" i="41"/>
  <c r="K31" i="41" s="1"/>
  <c r="D23" i="41"/>
  <c r="K23" i="41" s="1"/>
  <c r="D18" i="41"/>
  <c r="K18" i="41" s="1"/>
  <c r="D12" i="41"/>
  <c r="K12" i="41" s="1"/>
  <c r="D3" i="41"/>
  <c r="K3" i="41" s="1"/>
  <c r="F226" i="41"/>
  <c r="F220" i="41"/>
  <c r="F215" i="41"/>
  <c r="F208" i="41"/>
  <c r="F197" i="41"/>
  <c r="F191" i="41"/>
  <c r="F186" i="41"/>
  <c r="F181" i="41"/>
  <c r="F176" i="41"/>
  <c r="F171" i="41"/>
  <c r="F166" i="41"/>
  <c r="F161" i="41"/>
  <c r="F152" i="41"/>
  <c r="F147" i="41"/>
  <c r="F142" i="41"/>
  <c r="F137" i="41"/>
  <c r="F56" i="41"/>
  <c r="F51" i="41"/>
  <c r="F43" i="41"/>
  <c r="F36" i="41"/>
  <c r="F31" i="41"/>
  <c r="F23" i="41"/>
  <c r="F18" i="41"/>
  <c r="F12" i="41"/>
  <c r="F3" i="41"/>
  <c r="G226" i="41"/>
  <c r="G220" i="41"/>
  <c r="G215" i="41"/>
  <c r="G208" i="41"/>
  <c r="G197" i="41"/>
  <c r="G191" i="41"/>
  <c r="G186" i="41"/>
  <c r="G180" i="41"/>
  <c r="G173" i="41"/>
  <c r="G167" i="41"/>
  <c r="G159" i="41"/>
  <c r="G145" i="41"/>
  <c r="G135" i="41"/>
  <c r="D55" i="41"/>
  <c r="K55" i="41" s="1"/>
  <c r="D42" i="41"/>
  <c r="K42" i="41" s="1"/>
  <c r="D35" i="41"/>
  <c r="K35" i="41" s="1"/>
  <c r="D30" i="41"/>
  <c r="K30" i="41" s="1"/>
  <c r="D22" i="41"/>
  <c r="K22" i="41" s="1"/>
  <c r="D17" i="41"/>
  <c r="D11" i="41"/>
  <c r="K11" i="41" s="1"/>
  <c r="F256" i="41"/>
  <c r="F225" i="41"/>
  <c r="F219" i="41"/>
  <c r="F214" i="41"/>
  <c r="F207" i="41"/>
  <c r="F196" i="41"/>
  <c r="F190" i="41"/>
  <c r="F185" i="41"/>
  <c r="F180" i="41"/>
  <c r="F175" i="41"/>
  <c r="F170" i="41"/>
  <c r="F165" i="41"/>
  <c r="F160" i="41"/>
  <c r="F151" i="41"/>
  <c r="F146" i="41"/>
  <c r="F141" i="41"/>
  <c r="F136" i="41"/>
  <c r="F55" i="41"/>
  <c r="F42" i="41"/>
  <c r="F35" i="41"/>
  <c r="F30" i="41"/>
  <c r="F22" i="41"/>
  <c r="F17" i="41"/>
  <c r="F11" i="41"/>
  <c r="G256" i="41"/>
  <c r="G225" i="41"/>
  <c r="G219" i="41"/>
  <c r="G214" i="41"/>
  <c r="G207" i="41"/>
  <c r="G196" i="41"/>
  <c r="G190" i="41"/>
  <c r="G185" i="41"/>
  <c r="G179" i="41"/>
  <c r="G172" i="41"/>
  <c r="G165" i="41"/>
  <c r="G157" i="41"/>
  <c r="G143" i="41"/>
  <c r="I3" i="41"/>
  <c r="I11" i="41"/>
  <c r="I16" i="41"/>
  <c r="I20" i="41"/>
  <c r="I24" i="41"/>
  <c r="I31" i="41"/>
  <c r="I35" i="41"/>
  <c r="I41" i="41"/>
  <c r="I45" i="41"/>
  <c r="I52" i="41"/>
  <c r="I56" i="41"/>
  <c r="I136" i="41"/>
  <c r="I140" i="41"/>
  <c r="I144" i="41"/>
  <c r="I148" i="41"/>
  <c r="I152" i="41"/>
  <c r="I160" i="41"/>
  <c r="I164" i="41"/>
  <c r="I168" i="41"/>
  <c r="I172" i="41"/>
  <c r="I176" i="41"/>
  <c r="I180" i="41"/>
  <c r="I184" i="41"/>
  <c r="I188" i="41"/>
  <c r="I192" i="41"/>
  <c r="I197" i="41"/>
  <c r="I207" i="41"/>
  <c r="I213" i="41"/>
  <c r="I217" i="41"/>
  <c r="I222" i="41"/>
  <c r="I226" i="41"/>
  <c r="I256" i="41"/>
  <c r="H9" i="41"/>
  <c r="H15" i="41"/>
  <c r="H19" i="41"/>
  <c r="H23" i="41"/>
  <c r="H30" i="41"/>
  <c r="H34" i="41"/>
  <c r="H38" i="41"/>
  <c r="H44" i="41"/>
  <c r="H51" i="41"/>
  <c r="H55" i="41"/>
  <c r="H135" i="41"/>
  <c r="H139" i="41"/>
  <c r="H143" i="41"/>
  <c r="H147" i="41"/>
  <c r="H151" i="41"/>
  <c r="H159" i="41"/>
  <c r="H163" i="41"/>
  <c r="H167" i="41"/>
  <c r="H171" i="41"/>
  <c r="H175" i="41"/>
  <c r="H179" i="41"/>
  <c r="H183" i="41"/>
  <c r="H187" i="41"/>
  <c r="H191" i="41"/>
  <c r="H196" i="41"/>
  <c r="H200" i="41"/>
  <c r="H210" i="41"/>
  <c r="H216" i="41"/>
  <c r="H220" i="41"/>
  <c r="H225" i="41"/>
  <c r="H255" i="41"/>
  <c r="G8" i="41"/>
  <c r="G14" i="41"/>
  <c r="G18" i="41"/>
  <c r="G22" i="41"/>
  <c r="G29" i="41"/>
  <c r="G33" i="41"/>
  <c r="G37" i="41"/>
  <c r="G43" i="41"/>
  <c r="G54" i="41"/>
  <c r="G58" i="41"/>
  <c r="G134" i="41"/>
  <c r="G138" i="41"/>
  <c r="G142" i="41"/>
  <c r="G146" i="41"/>
  <c r="G150" i="41"/>
  <c r="G158" i="41"/>
  <c r="G162" i="41"/>
  <c r="G166" i="41"/>
  <c r="G170" i="41"/>
  <c r="G174" i="41"/>
  <c r="G178" i="41"/>
  <c r="G182" i="41"/>
  <c r="I4" i="41"/>
  <c r="I12" i="41"/>
  <c r="I21" i="41"/>
  <c r="I25" i="41"/>
  <c r="I32" i="41"/>
  <c r="I36" i="41"/>
  <c r="I42" i="41"/>
  <c r="I46" i="41"/>
  <c r="I53" i="41"/>
  <c r="I57" i="41"/>
  <c r="I133" i="41"/>
  <c r="I137" i="41"/>
  <c r="I141" i="41"/>
  <c r="I145" i="41"/>
  <c r="I149" i="41"/>
  <c r="I157" i="41"/>
  <c r="I161" i="41"/>
  <c r="I165" i="41"/>
  <c r="I169" i="41"/>
  <c r="I173" i="41"/>
  <c r="I177" i="41"/>
  <c r="I181" i="41"/>
  <c r="I185" i="41"/>
  <c r="I189" i="41"/>
  <c r="I194" i="41"/>
  <c r="I198" i="41"/>
  <c r="I208" i="41"/>
  <c r="I214" i="41"/>
  <c r="I218" i="41"/>
  <c r="I223" i="41"/>
  <c r="I227" i="41"/>
  <c r="H3" i="41"/>
  <c r="H11" i="41"/>
  <c r="H16" i="41"/>
  <c r="H20" i="41"/>
  <c r="H24" i="41"/>
  <c r="H31" i="41"/>
  <c r="H35" i="41"/>
  <c r="H41" i="41"/>
  <c r="H45" i="41"/>
  <c r="H52" i="41"/>
  <c r="H56" i="41"/>
  <c r="H136" i="41"/>
  <c r="H140" i="41"/>
  <c r="H144" i="41"/>
  <c r="H148" i="41"/>
  <c r="H152" i="41"/>
  <c r="H160" i="41"/>
  <c r="H164" i="41"/>
  <c r="H168" i="41"/>
  <c r="H172" i="41"/>
  <c r="H176" i="41"/>
  <c r="H180" i="41"/>
  <c r="H184" i="41"/>
  <c r="H188" i="41"/>
  <c r="H192" i="41"/>
  <c r="H197" i="41"/>
  <c r="H207" i="41"/>
  <c r="H213" i="41"/>
  <c r="H217" i="41"/>
  <c r="H222" i="41"/>
  <c r="H226" i="41"/>
  <c r="H256" i="41"/>
  <c r="G9" i="41"/>
  <c r="G15" i="41"/>
  <c r="G19" i="41"/>
  <c r="G23" i="41"/>
  <c r="G30" i="41"/>
  <c r="G34" i="41"/>
  <c r="G38" i="41"/>
  <c r="G44" i="41"/>
  <c r="G51" i="41"/>
  <c r="G55" i="41"/>
  <c r="I8" i="41"/>
  <c r="I14" i="41"/>
  <c r="I18" i="41"/>
  <c r="I22" i="41"/>
  <c r="I29" i="41"/>
  <c r="I33" i="41"/>
  <c r="I37" i="41"/>
  <c r="I43" i="41"/>
  <c r="I54" i="41"/>
  <c r="I58" i="41"/>
  <c r="I134" i="41"/>
  <c r="I138" i="41"/>
  <c r="I142" i="41"/>
  <c r="I146" i="41"/>
  <c r="I150" i="41"/>
  <c r="I158" i="41"/>
  <c r="I162" i="41"/>
  <c r="I166" i="41"/>
  <c r="I170" i="41"/>
  <c r="I174" i="41"/>
  <c r="I178" i="41"/>
  <c r="I182" i="41"/>
  <c r="I186" i="41"/>
  <c r="I190" i="41"/>
  <c r="I195" i="41"/>
  <c r="I199" i="41"/>
  <c r="I209" i="41"/>
  <c r="I215" i="41"/>
  <c r="I219" i="41"/>
  <c r="I224" i="41"/>
  <c r="I228" i="41"/>
  <c r="H4" i="41"/>
  <c r="H12" i="41"/>
  <c r="H17" i="41"/>
  <c r="H21" i="41"/>
  <c r="H25" i="41"/>
  <c r="H32" i="41"/>
  <c r="H36" i="41"/>
  <c r="H42" i="41"/>
  <c r="H46" i="41"/>
  <c r="H53" i="41"/>
  <c r="H57" i="41"/>
  <c r="H133" i="41"/>
  <c r="H137" i="41"/>
  <c r="H141" i="41"/>
  <c r="H145" i="41"/>
  <c r="H149" i="41"/>
  <c r="H157" i="41"/>
  <c r="H161" i="41"/>
  <c r="H165" i="41"/>
  <c r="H169" i="41"/>
  <c r="H173" i="41"/>
  <c r="H177" i="41"/>
  <c r="H181" i="41"/>
  <c r="H185" i="41"/>
  <c r="H189" i="41"/>
  <c r="H194" i="41"/>
  <c r="H198" i="41"/>
  <c r="H208" i="41"/>
  <c r="H214" i="41"/>
  <c r="H218" i="41"/>
  <c r="H223" i="41"/>
  <c r="H227" i="41"/>
  <c r="G3" i="41"/>
  <c r="G11" i="41"/>
  <c r="G16" i="41"/>
  <c r="G20" i="41"/>
  <c r="G24" i="41"/>
  <c r="G31" i="41"/>
  <c r="G35" i="41"/>
  <c r="G41" i="41"/>
  <c r="G45" i="41"/>
  <c r="G52" i="41"/>
  <c r="G56" i="41"/>
  <c r="G136" i="41"/>
  <c r="G140" i="41"/>
  <c r="G144" i="41"/>
  <c r="G148" i="41"/>
  <c r="G152" i="41"/>
  <c r="G160" i="41"/>
  <c r="I9" i="41"/>
  <c r="I15" i="41"/>
  <c r="I19" i="41"/>
  <c r="I23" i="41"/>
  <c r="I30" i="41"/>
  <c r="I34" i="41"/>
  <c r="I38" i="41"/>
  <c r="I44" i="41"/>
  <c r="I51" i="41"/>
  <c r="I55" i="41"/>
  <c r="I135" i="41"/>
  <c r="I139" i="41"/>
  <c r="I143" i="41"/>
  <c r="I147" i="41"/>
  <c r="I151" i="41"/>
  <c r="I159" i="41"/>
  <c r="I163" i="41"/>
  <c r="I167" i="41"/>
  <c r="I171" i="41"/>
  <c r="I175" i="41"/>
  <c r="I179" i="41"/>
  <c r="I183" i="41"/>
  <c r="I187" i="41"/>
  <c r="I191" i="41"/>
  <c r="I196" i="41"/>
  <c r="I200" i="41"/>
  <c r="I210" i="41"/>
  <c r="I216" i="41"/>
  <c r="I220" i="41"/>
  <c r="I225" i="41"/>
  <c r="I255" i="41"/>
  <c r="H8" i="41"/>
  <c r="H14" i="41"/>
  <c r="H18" i="41"/>
  <c r="H22" i="41"/>
  <c r="H29" i="41"/>
  <c r="H33" i="41"/>
  <c r="H37" i="41"/>
  <c r="H43" i="41"/>
  <c r="H54" i="41"/>
  <c r="H58" i="41"/>
  <c r="H134" i="41"/>
  <c r="H138" i="41"/>
  <c r="H142" i="41"/>
  <c r="H146" i="41"/>
  <c r="H150" i="41"/>
  <c r="H158" i="41"/>
  <c r="H162" i="41"/>
  <c r="H166" i="41"/>
  <c r="H170" i="41"/>
  <c r="H174" i="41"/>
  <c r="H178" i="41"/>
  <c r="H182" i="41"/>
  <c r="H186" i="41"/>
  <c r="H190" i="41"/>
  <c r="H195" i="41"/>
  <c r="H199" i="41"/>
  <c r="H209" i="41"/>
  <c r="H215" i="41"/>
  <c r="H219" i="41"/>
  <c r="H224" i="41"/>
  <c r="H228" i="41"/>
  <c r="G4" i="41"/>
  <c r="G12" i="41"/>
  <c r="G17" i="41"/>
  <c r="G21" i="41"/>
  <c r="G25" i="41"/>
  <c r="G32" i="41"/>
  <c r="G36" i="41"/>
  <c r="G42" i="41"/>
  <c r="G46" i="41"/>
  <c r="G53" i="41"/>
  <c r="G57" i="41"/>
  <c r="D256" i="41"/>
  <c r="K256" i="41" s="1"/>
  <c r="D225" i="41"/>
  <c r="K225" i="41" s="1"/>
  <c r="D219" i="41"/>
  <c r="K219" i="41" s="1"/>
  <c r="D214" i="41"/>
  <c r="K214" i="41" s="1"/>
  <c r="D207" i="41"/>
  <c r="K207" i="41" s="1"/>
  <c r="D196" i="41"/>
  <c r="K196" i="41" s="1"/>
  <c r="D190" i="41"/>
  <c r="K190" i="41" s="1"/>
  <c r="D185" i="41"/>
  <c r="K185" i="41" s="1"/>
  <c r="D180" i="41"/>
  <c r="K180" i="41" s="1"/>
  <c r="D175" i="41"/>
  <c r="K175" i="41" s="1"/>
  <c r="D170" i="41"/>
  <c r="K170" i="41" s="1"/>
  <c r="D165" i="41"/>
  <c r="K165" i="41" s="1"/>
  <c r="D160" i="41"/>
  <c r="K160" i="41" s="1"/>
  <c r="D151" i="41"/>
  <c r="K151" i="41" s="1"/>
  <c r="D146" i="41"/>
  <c r="K146" i="41" s="1"/>
  <c r="D141" i="41"/>
  <c r="K141" i="41" s="1"/>
  <c r="D136" i="41"/>
  <c r="K136" i="41" s="1"/>
  <c r="D255" i="41"/>
  <c r="K255" i="41" s="1"/>
  <c r="D224" i="41"/>
  <c r="K224" i="41" s="1"/>
  <c r="D218" i="41"/>
  <c r="K218" i="41" s="1"/>
  <c r="D213" i="41"/>
  <c r="K213" i="41" s="1"/>
  <c r="D200" i="41"/>
  <c r="K200" i="41" s="1"/>
  <c r="D195" i="41"/>
  <c r="K195" i="41" s="1"/>
  <c r="D189" i="41"/>
  <c r="K189" i="41" s="1"/>
  <c r="D184" i="41"/>
  <c r="K184" i="41" s="1"/>
  <c r="D179" i="41"/>
  <c r="K179" i="41" s="1"/>
  <c r="D174" i="41"/>
  <c r="K174" i="41" s="1"/>
  <c r="D169" i="41"/>
  <c r="K169" i="41" s="1"/>
  <c r="D164" i="41"/>
  <c r="K164" i="41" s="1"/>
  <c r="D159" i="41"/>
  <c r="K159" i="41" s="1"/>
  <c r="D150" i="41"/>
  <c r="K150" i="41" s="1"/>
  <c r="D145" i="41"/>
  <c r="K145" i="41" s="1"/>
  <c r="D140" i="41"/>
  <c r="K140" i="41" s="1"/>
  <c r="D135" i="41"/>
  <c r="K135" i="41" s="1"/>
  <c r="D54" i="41"/>
  <c r="K54" i="41" s="1"/>
  <c r="D46" i="41"/>
  <c r="K46" i="41" s="1"/>
  <c r="D41" i="41"/>
  <c r="K41" i="41" s="1"/>
  <c r="D34" i="41"/>
  <c r="K34" i="41" s="1"/>
  <c r="D29" i="41"/>
  <c r="K29" i="41" s="1"/>
  <c r="D21" i="41"/>
  <c r="K21" i="41" s="1"/>
  <c r="D16" i="41"/>
  <c r="K16" i="41" s="1"/>
  <c r="D9" i="41"/>
  <c r="K9" i="41" s="1"/>
  <c r="F255" i="41"/>
  <c r="F224" i="41"/>
  <c r="F218" i="41"/>
  <c r="F213" i="41"/>
  <c r="F200" i="41"/>
  <c r="F195" i="41"/>
  <c r="F189" i="41"/>
  <c r="F184" i="41"/>
  <c r="F179" i="41"/>
  <c r="F174" i="41"/>
  <c r="F169" i="41"/>
  <c r="F164" i="41"/>
  <c r="F159" i="41"/>
  <c r="F150" i="41"/>
  <c r="F145" i="41"/>
  <c r="F140" i="41"/>
  <c r="F135" i="41"/>
  <c r="F54" i="41"/>
  <c r="F46" i="41"/>
  <c r="F41" i="41"/>
  <c r="F34" i="41"/>
  <c r="F29" i="41"/>
  <c r="F21" i="41"/>
  <c r="F16" i="41"/>
  <c r="F9" i="41"/>
  <c r="G255" i="41"/>
  <c r="G224" i="41"/>
  <c r="G218" i="41"/>
  <c r="G213" i="41"/>
  <c r="G200" i="41"/>
  <c r="G195" i="41"/>
  <c r="G189" i="41"/>
  <c r="G184" i="41"/>
  <c r="G177" i="41"/>
  <c r="G171" i="41"/>
  <c r="G164" i="41"/>
  <c r="G151" i="41"/>
  <c r="G141" i="41"/>
  <c r="D228" i="41"/>
  <c r="K228" i="41" s="1"/>
  <c r="D223" i="41"/>
  <c r="K223" i="41" s="1"/>
  <c r="D217" i="41"/>
  <c r="K217" i="41" s="1"/>
  <c r="D210" i="41"/>
  <c r="K210" i="41" s="1"/>
  <c r="D199" i="41"/>
  <c r="K199" i="41" s="1"/>
  <c r="D194" i="41"/>
  <c r="K194" i="41" s="1"/>
  <c r="D188" i="41"/>
  <c r="K188" i="41" s="1"/>
  <c r="D183" i="41"/>
  <c r="K183" i="41" s="1"/>
  <c r="D178" i="41"/>
  <c r="K178" i="41" s="1"/>
  <c r="D173" i="41"/>
  <c r="K173" i="41" s="1"/>
  <c r="D168" i="41"/>
  <c r="K168" i="41" s="1"/>
  <c r="D163" i="41"/>
  <c r="K163" i="41" s="1"/>
  <c r="D158" i="41"/>
  <c r="K158" i="41" s="1"/>
  <c r="D149" i="41"/>
  <c r="K149" i="41" s="1"/>
  <c r="D144" i="41"/>
  <c r="K144" i="41" s="1"/>
  <c r="D139" i="41"/>
  <c r="K139" i="41" s="1"/>
  <c r="D134" i="41"/>
  <c r="K134" i="41" s="1"/>
  <c r="D58" i="41"/>
  <c r="K58" i="41" s="1"/>
  <c r="D53" i="41"/>
  <c r="K53" i="41" s="1"/>
  <c r="D45" i="41"/>
  <c r="K45" i="41" s="1"/>
  <c r="D38" i="41"/>
  <c r="K38" i="41" s="1"/>
  <c r="D33" i="41"/>
  <c r="K33" i="41" s="1"/>
  <c r="D25" i="41"/>
  <c r="K25" i="41" s="1"/>
  <c r="D20" i="41"/>
  <c r="K20" i="41" s="1"/>
  <c r="D15" i="41"/>
  <c r="K15" i="41" s="1"/>
  <c r="D8" i="41"/>
  <c r="F228" i="41"/>
  <c r="F223" i="41"/>
  <c r="F217" i="41"/>
  <c r="F210" i="41"/>
  <c r="F199" i="41"/>
  <c r="F194" i="41"/>
  <c r="F188" i="41"/>
  <c r="F183" i="41"/>
  <c r="F178" i="41"/>
  <c r="F173" i="41"/>
  <c r="F168" i="41"/>
  <c r="F163" i="41"/>
  <c r="F158" i="41"/>
  <c r="F149" i="41"/>
  <c r="F144" i="41"/>
  <c r="F139" i="41"/>
  <c r="F134" i="41"/>
  <c r="F58" i="41"/>
  <c r="F53" i="41"/>
  <c r="F45" i="41"/>
  <c r="F38" i="41"/>
  <c r="F33" i="41"/>
  <c r="F25" i="41"/>
  <c r="F20" i="41"/>
  <c r="F15" i="41"/>
  <c r="F8" i="41"/>
  <c r="G228" i="41"/>
  <c r="G223" i="41"/>
  <c r="G217" i="41"/>
  <c r="G210" i="41"/>
  <c r="G199" i="41"/>
  <c r="G194" i="41"/>
  <c r="G188" i="41"/>
  <c r="G183" i="41"/>
  <c r="G176" i="41"/>
  <c r="G169" i="41"/>
  <c r="G163" i="41"/>
  <c r="G149" i="41"/>
  <c r="G139" i="41"/>
  <c r="I43" i="42"/>
  <c r="A228" i="41" s="1"/>
  <c r="AA228" i="41" s="1"/>
  <c r="I59" i="41"/>
  <c r="I60" i="41"/>
  <c r="I73" i="41"/>
  <c r="I79" i="41"/>
  <c r="I80" i="41"/>
  <c r="I81" i="41"/>
  <c r="I82" i="41"/>
  <c r="I83" i="41"/>
  <c r="I84" i="41"/>
  <c r="I85" i="41"/>
  <c r="I87" i="41"/>
  <c r="I88" i="41"/>
  <c r="I89" i="41"/>
  <c r="I90" i="41"/>
  <c r="I91" i="41"/>
  <c r="I92" i="41"/>
  <c r="I93" i="41"/>
  <c r="I94" i="41"/>
  <c r="I95" i="41"/>
  <c r="I96" i="41"/>
  <c r="I99" i="41"/>
  <c r="I100" i="41"/>
  <c r="I101" i="41"/>
  <c r="I102" i="41"/>
  <c r="I106" i="41"/>
  <c r="I107" i="41"/>
  <c r="I108" i="41"/>
  <c r="I119" i="41"/>
  <c r="I120" i="41"/>
  <c r="H59" i="41"/>
  <c r="H60" i="41"/>
  <c r="H73" i="41"/>
  <c r="H79" i="41"/>
  <c r="H80" i="41"/>
  <c r="H81" i="41"/>
  <c r="H82" i="41"/>
  <c r="H83" i="41"/>
  <c r="H84" i="41"/>
  <c r="H85" i="41"/>
  <c r="H87" i="41"/>
  <c r="H88" i="41"/>
  <c r="H89" i="41"/>
  <c r="H90" i="41"/>
  <c r="H91" i="41"/>
  <c r="H92" i="41"/>
  <c r="H93" i="41"/>
  <c r="H94" i="41"/>
  <c r="H95" i="41"/>
  <c r="H96" i="41"/>
  <c r="H99" i="41"/>
  <c r="H100" i="41"/>
  <c r="H101" i="41"/>
  <c r="H102" i="41"/>
  <c r="H106" i="41"/>
  <c r="H107" i="41"/>
  <c r="H108" i="41"/>
  <c r="H119" i="41"/>
  <c r="H120" i="41"/>
  <c r="G59" i="41"/>
  <c r="G60" i="41"/>
  <c r="G73" i="41"/>
  <c r="G79" i="41"/>
  <c r="G80" i="41"/>
  <c r="G81" i="41"/>
  <c r="G82" i="41"/>
  <c r="G83" i="41"/>
  <c r="G84" i="41"/>
  <c r="G85" i="41"/>
  <c r="G87" i="41"/>
  <c r="G88" i="41"/>
  <c r="G89" i="41"/>
  <c r="G90" i="41"/>
  <c r="G91" i="41"/>
  <c r="G92" i="41"/>
  <c r="G93" i="41"/>
  <c r="G94" i="41"/>
  <c r="G95" i="41"/>
  <c r="G96" i="41"/>
  <c r="G99" i="41"/>
  <c r="G100" i="41"/>
  <c r="G101" i="41"/>
  <c r="G102" i="41"/>
  <c r="G106" i="41"/>
  <c r="G107" i="41"/>
  <c r="G108" i="41"/>
  <c r="G119" i="41"/>
  <c r="G120" i="41"/>
  <c r="F59" i="41"/>
  <c r="F60" i="41"/>
  <c r="F73" i="41"/>
  <c r="F79" i="41"/>
  <c r="F80" i="41"/>
  <c r="F81" i="41"/>
  <c r="F82" i="41"/>
  <c r="F83" i="41"/>
  <c r="F84" i="41"/>
  <c r="F85" i="41"/>
  <c r="F87" i="41"/>
  <c r="F88" i="41"/>
  <c r="F89" i="41"/>
  <c r="F90" i="41"/>
  <c r="F91" i="41"/>
  <c r="F92" i="41"/>
  <c r="F93" i="41"/>
  <c r="F94" i="41"/>
  <c r="F95" i="41"/>
  <c r="F96" i="41"/>
  <c r="F99" i="41"/>
  <c r="F100" i="41"/>
  <c r="F101" i="41"/>
  <c r="F102" i="41"/>
  <c r="F106" i="41"/>
  <c r="F107" i="41"/>
  <c r="F108" i="41"/>
  <c r="F119" i="41"/>
  <c r="F120" i="41"/>
  <c r="E59" i="41"/>
  <c r="E60" i="41"/>
  <c r="E73" i="41"/>
  <c r="E79" i="41"/>
  <c r="E80" i="41"/>
  <c r="E81" i="41"/>
  <c r="E82" i="41"/>
  <c r="E83" i="41"/>
  <c r="E84" i="41"/>
  <c r="E85" i="41"/>
  <c r="E87" i="41"/>
  <c r="E88" i="41"/>
  <c r="E89" i="41"/>
  <c r="E90" i="41"/>
  <c r="E91" i="41"/>
  <c r="E92" i="41"/>
  <c r="E93" i="41"/>
  <c r="E94" i="41"/>
  <c r="E95" i="41"/>
  <c r="E96" i="41"/>
  <c r="E99" i="41"/>
  <c r="E100" i="41"/>
  <c r="E101" i="41"/>
  <c r="E102" i="41"/>
  <c r="E106" i="41"/>
  <c r="E107" i="41"/>
  <c r="E108" i="41"/>
  <c r="E119" i="41"/>
  <c r="E120" i="41"/>
  <c r="D59" i="41"/>
  <c r="K59" i="41" s="1"/>
  <c r="D60" i="41"/>
  <c r="K60" i="41" s="1"/>
  <c r="D73" i="41"/>
  <c r="K73" i="41" s="1"/>
  <c r="D79" i="41"/>
  <c r="K79" i="41" s="1"/>
  <c r="D80" i="41"/>
  <c r="K80" i="41" s="1"/>
  <c r="D81" i="41"/>
  <c r="K81" i="41" s="1"/>
  <c r="D82" i="41"/>
  <c r="K82" i="41" s="1"/>
  <c r="D83" i="41"/>
  <c r="K83" i="41" s="1"/>
  <c r="D84" i="41"/>
  <c r="K84" i="41" s="1"/>
  <c r="D85" i="41"/>
  <c r="K85" i="41" s="1"/>
  <c r="D87" i="41"/>
  <c r="K87" i="41" s="1"/>
  <c r="D88" i="41"/>
  <c r="K88" i="41" s="1"/>
  <c r="D89" i="41"/>
  <c r="K89" i="41" s="1"/>
  <c r="D90" i="41"/>
  <c r="K90" i="41" s="1"/>
  <c r="D91" i="41"/>
  <c r="K91" i="41" s="1"/>
  <c r="D92" i="41"/>
  <c r="K92" i="41" s="1"/>
  <c r="D93" i="41"/>
  <c r="K93" i="41" s="1"/>
  <c r="D94" i="41"/>
  <c r="K94" i="41" s="1"/>
  <c r="D95" i="41"/>
  <c r="K95" i="41" s="1"/>
  <c r="D96" i="41"/>
  <c r="K96" i="41" s="1"/>
  <c r="D99" i="41"/>
  <c r="K99" i="41" s="1"/>
  <c r="D100" i="41"/>
  <c r="K100" i="41" s="1"/>
  <c r="D101" i="41"/>
  <c r="K101" i="41" s="1"/>
  <c r="D102" i="41"/>
  <c r="K102" i="41" s="1"/>
  <c r="D106" i="41"/>
  <c r="K106" i="41" s="1"/>
  <c r="D107" i="41"/>
  <c r="K107" i="41" s="1"/>
  <c r="D108" i="41"/>
  <c r="K108" i="41" s="1"/>
  <c r="D119" i="41"/>
  <c r="K119" i="41" s="1"/>
  <c r="D120" i="41"/>
  <c r="K120" i="41" s="1"/>
  <c r="E54" i="41"/>
  <c r="D251" i="41"/>
  <c r="K251" i="41" s="1"/>
  <c r="D231" i="41"/>
  <c r="K231" i="41" s="1"/>
  <c r="D247" i="41"/>
  <c r="K247" i="41" s="1"/>
  <c r="D212" i="41"/>
  <c r="K212" i="41" s="1"/>
  <c r="D243" i="41"/>
  <c r="K243" i="41" s="1"/>
  <c r="D204" i="41"/>
  <c r="K204" i="41" s="1"/>
  <c r="D239" i="41"/>
  <c r="K239" i="41" s="1"/>
  <c r="D193" i="41"/>
  <c r="K193" i="41" s="1"/>
  <c r="D235" i="41"/>
  <c r="K235" i="41" s="1"/>
  <c r="D153" i="41"/>
  <c r="K153" i="41" s="1"/>
  <c r="D252" i="41"/>
  <c r="K252" i="41" s="1"/>
  <c r="D248" i="41"/>
  <c r="K248" i="41" s="1"/>
  <c r="D244" i="41"/>
  <c r="K244" i="41" s="1"/>
  <c r="D240" i="41"/>
  <c r="K240" i="41" s="1"/>
  <c r="D236" i="41"/>
  <c r="K236" i="41" s="1"/>
  <c r="D232" i="41"/>
  <c r="K232" i="41" s="1"/>
  <c r="D221" i="41"/>
  <c r="K221" i="41" s="1"/>
  <c r="D205" i="41"/>
  <c r="K205" i="41" s="1"/>
  <c r="D201" i="41"/>
  <c r="K201" i="41" s="1"/>
  <c r="D154" i="41"/>
  <c r="K154" i="41" s="1"/>
  <c r="D48" i="41"/>
  <c r="K48" i="41" s="1"/>
  <c r="D27" i="41"/>
  <c r="K27" i="41" s="1"/>
  <c r="D7" i="41"/>
  <c r="K7" i="41" s="1"/>
  <c r="E255" i="41"/>
  <c r="E251" i="41"/>
  <c r="E247" i="41"/>
  <c r="E243" i="41"/>
  <c r="E239" i="41"/>
  <c r="E235" i="41"/>
  <c r="E231" i="41"/>
  <c r="E227" i="41"/>
  <c r="E223" i="41"/>
  <c r="E219" i="41"/>
  <c r="E215" i="41"/>
  <c r="E211" i="41"/>
  <c r="E207" i="41"/>
  <c r="E203" i="41"/>
  <c r="E199" i="41"/>
  <c r="E195" i="41"/>
  <c r="E191" i="41"/>
  <c r="E187" i="41"/>
  <c r="E183" i="41"/>
  <c r="E179" i="41"/>
  <c r="E175" i="41"/>
  <c r="E171" i="41"/>
  <c r="E167" i="41"/>
  <c r="E162" i="41"/>
  <c r="E157" i="41"/>
  <c r="E151" i="41"/>
  <c r="E146" i="41"/>
  <c r="E141" i="41"/>
  <c r="E135" i="41"/>
  <c r="E130" i="41"/>
  <c r="E125" i="41"/>
  <c r="E114" i="41"/>
  <c r="E70" i="41"/>
  <c r="D40" i="41"/>
  <c r="K40" i="41" s="1"/>
  <c r="D26" i="41"/>
  <c r="K26" i="41" s="1"/>
  <c r="D6" i="41"/>
  <c r="K6" i="41" s="1"/>
  <c r="E254" i="41"/>
  <c r="E250" i="41"/>
  <c r="E246" i="41"/>
  <c r="E242" i="41"/>
  <c r="E238" i="41"/>
  <c r="E234" i="41"/>
  <c r="E230" i="41"/>
  <c r="E226" i="41"/>
  <c r="E222" i="41"/>
  <c r="E218" i="41"/>
  <c r="E214" i="41"/>
  <c r="E210" i="41"/>
  <c r="E206" i="41"/>
  <c r="E202" i="41"/>
  <c r="E198" i="41"/>
  <c r="E194" i="41"/>
  <c r="E190" i="41"/>
  <c r="E186" i="41"/>
  <c r="E182" i="41"/>
  <c r="E178" i="41"/>
  <c r="E174" i="41"/>
  <c r="E170" i="41"/>
  <c r="E166" i="41"/>
  <c r="E161" i="41"/>
  <c r="E155" i="41"/>
  <c r="E150" i="41"/>
  <c r="E145" i="41"/>
  <c r="E139" i="41"/>
  <c r="E134" i="41"/>
  <c r="E129" i="41"/>
  <c r="E123" i="41"/>
  <c r="E111" i="41"/>
  <c r="E78" i="41"/>
  <c r="E66" i="41"/>
  <c r="E58" i="41"/>
  <c r="D50" i="41"/>
  <c r="K50" i="41" s="1"/>
  <c r="D39" i="41"/>
  <c r="K39" i="41" s="1"/>
  <c r="D13" i="41"/>
  <c r="K13" i="41" s="1"/>
  <c r="K5" i="41"/>
  <c r="E253" i="41"/>
  <c r="E249" i="41"/>
  <c r="E245" i="41"/>
  <c r="E241" i="41"/>
  <c r="E237" i="41"/>
  <c r="E233" i="41"/>
  <c r="E229" i="41"/>
  <c r="E225" i="41"/>
  <c r="E221" i="41"/>
  <c r="E217" i="41"/>
  <c r="E213" i="41"/>
  <c r="E209" i="41"/>
  <c r="E205" i="41"/>
  <c r="E201" i="41"/>
  <c r="E197" i="41"/>
  <c r="E193" i="41"/>
  <c r="E189" i="41"/>
  <c r="E185" i="41"/>
  <c r="E181" i="41"/>
  <c r="E177" i="41"/>
  <c r="E173" i="41"/>
  <c r="E169" i="41"/>
  <c r="E165" i="41"/>
  <c r="E159" i="41"/>
  <c r="E154" i="41"/>
  <c r="E149" i="41"/>
  <c r="E143" i="41"/>
  <c r="E138" i="41"/>
  <c r="E133" i="41"/>
  <c r="E127" i="41"/>
  <c r="E122" i="41"/>
  <c r="E118" i="41"/>
  <c r="E110" i="41"/>
  <c r="E74" i="41"/>
  <c r="E62" i="41"/>
  <c r="I114" i="42"/>
  <c r="A299" i="41" s="1"/>
  <c r="AA299" i="41" s="1"/>
  <c r="I13" i="41"/>
  <c r="I39" i="41"/>
  <c r="I50" i="41"/>
  <c r="I132" i="41"/>
  <c r="I156" i="41"/>
  <c r="I203" i="41"/>
  <c r="I211" i="41"/>
  <c r="I230" i="41"/>
  <c r="I234" i="41"/>
  <c r="I238" i="41"/>
  <c r="I242" i="41"/>
  <c r="I246" i="41"/>
  <c r="I250" i="41"/>
  <c r="I254" i="41"/>
  <c r="H10" i="41"/>
  <c r="H28" i="41"/>
  <c r="H49" i="41"/>
  <c r="H155" i="41"/>
  <c r="H202" i="41"/>
  <c r="H206" i="41"/>
  <c r="H229" i="41"/>
  <c r="H233" i="41"/>
  <c r="H237" i="41"/>
  <c r="H241" i="41"/>
  <c r="H245" i="41"/>
  <c r="H249" i="41"/>
  <c r="H253" i="41"/>
  <c r="G7" i="41"/>
  <c r="G27" i="41"/>
  <c r="G48" i="41"/>
  <c r="G154" i="41"/>
  <c r="G201" i="41"/>
  <c r="G205" i="41"/>
  <c r="G221" i="41"/>
  <c r="G232" i="41"/>
  <c r="G236" i="41"/>
  <c r="G240" i="41"/>
  <c r="G244" i="41"/>
  <c r="G248" i="41"/>
  <c r="G252" i="41"/>
  <c r="F6" i="41"/>
  <c r="F26" i="41"/>
  <c r="F40" i="41"/>
  <c r="F153" i="41"/>
  <c r="F193" i="41"/>
  <c r="F204" i="41"/>
  <c r="F212" i="41"/>
  <c r="F231" i="41"/>
  <c r="F235" i="41"/>
  <c r="F239" i="41"/>
  <c r="F243" i="41"/>
  <c r="F247" i="41"/>
  <c r="F251" i="41"/>
  <c r="E3" i="41"/>
  <c r="E7" i="41"/>
  <c r="E11" i="41"/>
  <c r="E15" i="41"/>
  <c r="E19" i="41"/>
  <c r="E23" i="41"/>
  <c r="E27" i="41"/>
  <c r="E31" i="41"/>
  <c r="E35" i="41"/>
  <c r="E39" i="41"/>
  <c r="E43" i="41"/>
  <c r="E47" i="41"/>
  <c r="E51" i="41"/>
  <c r="E55" i="41"/>
  <c r="E63" i="41"/>
  <c r="E67" i="41"/>
  <c r="E71" i="41"/>
  <c r="E75" i="41"/>
  <c r="I6" i="41"/>
  <c r="I26" i="41"/>
  <c r="I40" i="41"/>
  <c r="I153" i="41"/>
  <c r="I193" i="41"/>
  <c r="I204" i="41"/>
  <c r="I212" i="41"/>
  <c r="I231" i="41"/>
  <c r="I235" i="41"/>
  <c r="I239" i="41"/>
  <c r="I243" i="41"/>
  <c r="I247" i="41"/>
  <c r="I251" i="41"/>
  <c r="H5" i="41"/>
  <c r="H13" i="41"/>
  <c r="H39" i="41"/>
  <c r="H50" i="41"/>
  <c r="H132" i="41"/>
  <c r="H156" i="41"/>
  <c r="H203" i="41"/>
  <c r="H211" i="41"/>
  <c r="H230" i="41"/>
  <c r="H234" i="41"/>
  <c r="H238" i="41"/>
  <c r="H242" i="41"/>
  <c r="H246" i="41"/>
  <c r="H250" i="41"/>
  <c r="H254" i="41"/>
  <c r="G10" i="41"/>
  <c r="G28" i="41"/>
  <c r="G49" i="41"/>
  <c r="G155" i="41"/>
  <c r="G202" i="41"/>
  <c r="G206" i="41"/>
  <c r="G229" i="41"/>
  <c r="G233" i="41"/>
  <c r="G237" i="41"/>
  <c r="G241" i="41"/>
  <c r="G245" i="41"/>
  <c r="G249" i="41"/>
  <c r="G253" i="41"/>
  <c r="F7" i="41"/>
  <c r="F27" i="41"/>
  <c r="F48" i="41"/>
  <c r="F154" i="41"/>
  <c r="F201" i="41"/>
  <c r="F205" i="41"/>
  <c r="F221" i="41"/>
  <c r="F232" i="41"/>
  <c r="F236" i="41"/>
  <c r="F240" i="41"/>
  <c r="F244" i="41"/>
  <c r="F248" i="41"/>
  <c r="F252" i="41"/>
  <c r="E4" i="41"/>
  <c r="E8" i="41"/>
  <c r="E12" i="41"/>
  <c r="E16" i="41"/>
  <c r="E20" i="41"/>
  <c r="E24" i="41"/>
  <c r="E28" i="41"/>
  <c r="E32" i="41"/>
  <c r="E36" i="41"/>
  <c r="E40" i="41"/>
  <c r="E44" i="41"/>
  <c r="E48" i="41"/>
  <c r="E52" i="41"/>
  <c r="E56" i="41"/>
  <c r="E64" i="41"/>
  <c r="E68" i="41"/>
  <c r="E72" i="41"/>
  <c r="E76" i="41"/>
  <c r="E112" i="41"/>
  <c r="E116" i="41"/>
  <c r="E124" i="41"/>
  <c r="E128" i="41"/>
  <c r="E132" i="41"/>
  <c r="E136" i="41"/>
  <c r="E140" i="41"/>
  <c r="E144" i="41"/>
  <c r="E148" i="41"/>
  <c r="E152" i="41"/>
  <c r="E156" i="41"/>
  <c r="E160" i="41"/>
  <c r="E164" i="41"/>
  <c r="I7" i="41"/>
  <c r="I27" i="41"/>
  <c r="I48" i="41"/>
  <c r="I154" i="41"/>
  <c r="I201" i="41"/>
  <c r="I205" i="41"/>
  <c r="I221" i="41"/>
  <c r="I232" i="41"/>
  <c r="I236" i="41"/>
  <c r="I240" i="41"/>
  <c r="I244" i="41"/>
  <c r="I248" i="41"/>
  <c r="I252" i="41"/>
  <c r="H6" i="41"/>
  <c r="H26" i="41"/>
  <c r="H40" i="41"/>
  <c r="H153" i="41"/>
  <c r="H193" i="41"/>
  <c r="H204" i="41"/>
  <c r="H212" i="41"/>
  <c r="H231" i="41"/>
  <c r="H235" i="41"/>
  <c r="H239" i="41"/>
  <c r="H243" i="41"/>
  <c r="H247" i="41"/>
  <c r="H251" i="41"/>
  <c r="G13" i="41"/>
  <c r="G39" i="41"/>
  <c r="G50" i="41"/>
  <c r="G132" i="41"/>
  <c r="G156" i="41"/>
  <c r="G203" i="41"/>
  <c r="G211" i="41"/>
  <c r="G230" i="41"/>
  <c r="G234" i="41"/>
  <c r="G238" i="41"/>
  <c r="G242" i="41"/>
  <c r="G246" i="41"/>
  <c r="G250" i="41"/>
  <c r="G254" i="41"/>
  <c r="F10" i="41"/>
  <c r="F28" i="41"/>
  <c r="F49" i="41"/>
  <c r="F155" i="41"/>
  <c r="F202" i="41"/>
  <c r="F206" i="41"/>
  <c r="F229" i="41"/>
  <c r="F233" i="41"/>
  <c r="F237" i="41"/>
  <c r="F241" i="41"/>
  <c r="F245" i="41"/>
  <c r="F249" i="41"/>
  <c r="F253" i="41"/>
  <c r="E5" i="41"/>
  <c r="E9" i="41"/>
  <c r="E13" i="41"/>
  <c r="E17" i="41"/>
  <c r="E21" i="41"/>
  <c r="E25" i="41"/>
  <c r="E29" i="41"/>
  <c r="E33" i="41"/>
  <c r="E37" i="41"/>
  <c r="E41" i="41"/>
  <c r="E45" i="41"/>
  <c r="E49" i="41"/>
  <c r="E53" i="41"/>
  <c r="E57" i="41"/>
  <c r="E61" i="41"/>
  <c r="E65" i="41"/>
  <c r="E69" i="41"/>
  <c r="E77" i="41"/>
  <c r="E109" i="41"/>
  <c r="E113" i="41"/>
  <c r="E117" i="41"/>
  <c r="I10" i="41"/>
  <c r="I28" i="41"/>
  <c r="I49" i="41"/>
  <c r="I155" i="41"/>
  <c r="I202" i="41"/>
  <c r="I206" i="41"/>
  <c r="I229" i="41"/>
  <c r="I233" i="41"/>
  <c r="I237" i="41"/>
  <c r="I241" i="41"/>
  <c r="I245" i="41"/>
  <c r="I249" i="41"/>
  <c r="I253" i="41"/>
  <c r="H7" i="41"/>
  <c r="H27" i="41"/>
  <c r="H48" i="41"/>
  <c r="H154" i="41"/>
  <c r="H201" i="41"/>
  <c r="H205" i="41"/>
  <c r="H221" i="41"/>
  <c r="H232" i="41"/>
  <c r="H236" i="41"/>
  <c r="H240" i="41"/>
  <c r="H244" i="41"/>
  <c r="H248" i="41"/>
  <c r="H252" i="41"/>
  <c r="G6" i="41"/>
  <c r="G26" i="41"/>
  <c r="G40" i="41"/>
  <c r="G153" i="41"/>
  <c r="G193" i="41"/>
  <c r="G204" i="41"/>
  <c r="G212" i="41"/>
  <c r="G231" i="41"/>
  <c r="G235" i="41"/>
  <c r="G239" i="41"/>
  <c r="G243" i="41"/>
  <c r="G247" i="41"/>
  <c r="G251" i="41"/>
  <c r="F5" i="41"/>
  <c r="F13" i="41"/>
  <c r="F39" i="41"/>
  <c r="F50" i="41"/>
  <c r="F132" i="41"/>
  <c r="F156" i="41"/>
  <c r="F203" i="41"/>
  <c r="F211" i="41"/>
  <c r="F230" i="41"/>
  <c r="F234" i="41"/>
  <c r="F238" i="41"/>
  <c r="F242" i="41"/>
  <c r="F246" i="41"/>
  <c r="F250" i="41"/>
  <c r="F254" i="41"/>
  <c r="E6" i="41"/>
  <c r="E10" i="41"/>
  <c r="E14" i="41"/>
  <c r="E18" i="41"/>
  <c r="E22" i="41"/>
  <c r="E26" i="41"/>
  <c r="E30" i="41"/>
  <c r="E34" i="41"/>
  <c r="E38" i="41"/>
  <c r="E42" i="41"/>
  <c r="E46" i="41"/>
  <c r="D254" i="41"/>
  <c r="K254" i="41" s="1"/>
  <c r="D250" i="41"/>
  <c r="K250" i="41" s="1"/>
  <c r="D246" i="41"/>
  <c r="K246" i="41" s="1"/>
  <c r="D242" i="41"/>
  <c r="K242" i="41" s="1"/>
  <c r="D238" i="41"/>
  <c r="K238" i="41" s="1"/>
  <c r="D234" i="41"/>
  <c r="K234" i="41" s="1"/>
  <c r="D230" i="41"/>
  <c r="K230" i="41" s="1"/>
  <c r="D211" i="41"/>
  <c r="K211" i="41" s="1"/>
  <c r="D203" i="41"/>
  <c r="K203" i="41" s="1"/>
  <c r="D156" i="41"/>
  <c r="K156" i="41" s="1"/>
  <c r="D132" i="41"/>
  <c r="K132" i="41" s="1"/>
  <c r="D253" i="41"/>
  <c r="K253" i="41" s="1"/>
  <c r="D249" i="41"/>
  <c r="K249" i="41" s="1"/>
  <c r="D245" i="41"/>
  <c r="K245" i="41" s="1"/>
  <c r="D241" i="41"/>
  <c r="K241" i="41" s="1"/>
  <c r="D237" i="41"/>
  <c r="K237" i="41" s="1"/>
  <c r="D233" i="41"/>
  <c r="K233" i="41" s="1"/>
  <c r="D229" i="41"/>
  <c r="K229" i="41" s="1"/>
  <c r="D206" i="41"/>
  <c r="K206" i="41" s="1"/>
  <c r="D202" i="41"/>
  <c r="K202" i="41" s="1"/>
  <c r="D155" i="41"/>
  <c r="K155" i="41" s="1"/>
  <c r="D49" i="41"/>
  <c r="K49" i="41" s="1"/>
  <c r="D28" i="41"/>
  <c r="K28" i="41" s="1"/>
  <c r="D10" i="41"/>
  <c r="K10" i="41" s="1"/>
  <c r="E256" i="41"/>
  <c r="E252" i="41"/>
  <c r="E248" i="41"/>
  <c r="E244" i="41"/>
  <c r="E240" i="41"/>
  <c r="E236" i="41"/>
  <c r="E232" i="41"/>
  <c r="E228" i="41"/>
  <c r="E224" i="41"/>
  <c r="E220" i="41"/>
  <c r="E216" i="41"/>
  <c r="E212" i="41"/>
  <c r="E208" i="41"/>
  <c r="E204" i="41"/>
  <c r="E200" i="41"/>
  <c r="E196" i="41"/>
  <c r="E192" i="41"/>
  <c r="E188" i="41"/>
  <c r="E184" i="41"/>
  <c r="E180" i="41"/>
  <c r="E176" i="41"/>
  <c r="E172" i="41"/>
  <c r="E168" i="41"/>
  <c r="E163" i="41"/>
  <c r="E158" i="41"/>
  <c r="E153" i="41"/>
  <c r="E147" i="41"/>
  <c r="E142" i="41"/>
  <c r="E137" i="41"/>
  <c r="E131" i="41"/>
  <c r="E126" i="41"/>
  <c r="E121" i="41"/>
  <c r="E115" i="41"/>
  <c r="E50" i="41"/>
  <c r="AK164" i="39"/>
  <c r="Z42" i="40" s="1"/>
  <c r="I203" i="42"/>
  <c r="A92" i="41" s="1"/>
  <c r="AA92" i="41" s="1"/>
  <c r="I216" i="42"/>
  <c r="A55" i="41" s="1"/>
  <c r="AA55" i="41" s="1"/>
  <c r="I66" i="42"/>
  <c r="A251" i="41" s="1"/>
  <c r="AA251" i="41" s="1"/>
  <c r="I173" i="42"/>
  <c r="A131" i="41" s="1"/>
  <c r="AA131" i="41" s="1"/>
  <c r="I59" i="42"/>
  <c r="A244" i="41" s="1"/>
  <c r="AA244" i="41" s="1"/>
  <c r="I75" i="42"/>
  <c r="A260" i="41" s="1"/>
  <c r="AA260" i="41" s="1"/>
  <c r="I175" i="42"/>
  <c r="A167" i="41" s="1"/>
  <c r="AA167" i="41" s="1"/>
  <c r="I170" i="42"/>
  <c r="A97" i="41" s="1"/>
  <c r="AA97" i="41" s="1"/>
  <c r="I60" i="42"/>
  <c r="A245" i="41" s="1"/>
  <c r="AA245" i="41" s="1"/>
  <c r="I109" i="42"/>
  <c r="A294" i="41" s="1"/>
  <c r="AA294" i="41" s="1"/>
  <c r="I229" i="42"/>
  <c r="A103" i="41" s="1"/>
  <c r="AA103" i="41" s="1"/>
  <c r="I35" i="42"/>
  <c r="A220" i="41" s="1"/>
  <c r="AA220" i="41" s="1"/>
  <c r="I55" i="42"/>
  <c r="A240" i="41" s="1"/>
  <c r="AA240" i="41" s="1"/>
  <c r="I81" i="42"/>
  <c r="A266" i="41" s="1"/>
  <c r="AA266" i="41" s="1"/>
  <c r="I89" i="42"/>
  <c r="A274" i="41" s="1"/>
  <c r="AA274" i="41" s="1"/>
  <c r="C381" i="39"/>
  <c r="I27" i="42"/>
  <c r="A212" i="41" s="1"/>
  <c r="AA212" i="41" s="1"/>
  <c r="C17" i="39"/>
  <c r="I77" i="42"/>
  <c r="A262" i="41" s="1"/>
  <c r="AA262" i="41" s="1"/>
  <c r="I23" i="42"/>
  <c r="A208" i="41" s="1"/>
  <c r="AA208" i="41" s="1"/>
  <c r="I15" i="42"/>
  <c r="A200" i="41" s="1"/>
  <c r="AA200" i="41" s="1"/>
  <c r="I69" i="42"/>
  <c r="A254" i="41" s="1"/>
  <c r="AA254" i="41" s="1"/>
  <c r="I13" i="42"/>
  <c r="A198" i="41" s="1"/>
  <c r="AA198" i="41" s="1"/>
  <c r="I67" i="42"/>
  <c r="A252" i="41" s="1"/>
  <c r="AA252" i="41" s="1"/>
  <c r="G10" i="24"/>
  <c r="G11" i="24"/>
  <c r="G15" i="24"/>
  <c r="G5" i="24"/>
  <c r="G22" i="24"/>
  <c r="G12" i="24"/>
  <c r="G9" i="24"/>
  <c r="G6" i="24"/>
  <c r="G25" i="24"/>
  <c r="G17" i="24"/>
  <c r="G26" i="24"/>
  <c r="G13" i="24"/>
  <c r="G16" i="24"/>
  <c r="G21" i="24"/>
  <c r="G23" i="24"/>
  <c r="G4" i="24"/>
  <c r="G14" i="24"/>
  <c r="G18" i="24"/>
  <c r="G20" i="24"/>
  <c r="G8" i="24"/>
  <c r="G7" i="24"/>
  <c r="G19" i="24"/>
  <c r="G24" i="24"/>
  <c r="T6" i="24"/>
  <c r="T7" i="24"/>
  <c r="T24" i="24"/>
  <c r="T25" i="24"/>
  <c r="I63" i="42"/>
  <c r="A248" i="41" s="1"/>
  <c r="AA248" i="41" s="1"/>
  <c r="I9" i="42"/>
  <c r="A194" i="41" s="1"/>
  <c r="AA194" i="41" s="1"/>
  <c r="T5" i="24"/>
  <c r="T17" i="24"/>
  <c r="T16" i="24"/>
  <c r="T4" i="24"/>
  <c r="T19" i="24"/>
  <c r="T20" i="24"/>
  <c r="T21" i="24"/>
  <c r="T22" i="24"/>
  <c r="T23" i="24"/>
  <c r="T26" i="24"/>
  <c r="BN17" i="39"/>
  <c r="CR17" i="39"/>
  <c r="A17" i="39" s="1"/>
  <c r="AQ17" i="39" s="1"/>
  <c r="CR381" i="39"/>
  <c r="A381" i="39" s="1"/>
  <c r="AQ381" i="39" s="1"/>
  <c r="T11" i="24"/>
  <c r="T18" i="24"/>
  <c r="BN381" i="39"/>
  <c r="T13" i="24"/>
  <c r="T8" i="24"/>
  <c r="T12" i="24"/>
  <c r="T10" i="24"/>
  <c r="T15" i="24"/>
  <c r="T14" i="24"/>
  <c r="T9" i="24"/>
  <c r="BU242" i="39"/>
  <c r="BT242" i="39"/>
  <c r="BT35" i="39"/>
  <c r="CH35" i="39" s="1"/>
  <c r="CJ35" i="39" s="1"/>
  <c r="CK35" i="39" s="1"/>
  <c r="BU35" i="39"/>
  <c r="BT162" i="39"/>
  <c r="CH162" i="39" s="1"/>
  <c r="CJ162" i="39" s="1"/>
  <c r="CK162" i="39" s="1"/>
  <c r="BU162" i="39"/>
  <c r="BU129" i="39"/>
  <c r="BT129" i="39"/>
  <c r="CH129" i="39" s="1"/>
  <c r="CJ129" i="39" s="1"/>
  <c r="CK129" i="39" s="1"/>
  <c r="BU155" i="39"/>
  <c r="BT155" i="39"/>
  <c r="BU23" i="39"/>
  <c r="BT23" i="39"/>
  <c r="CH23" i="39" s="1"/>
  <c r="CJ23" i="39" s="1"/>
  <c r="CK23" i="39" s="1"/>
  <c r="BU156" i="39"/>
  <c r="BT156" i="39"/>
  <c r="BU387" i="39"/>
  <c r="BT387" i="39"/>
  <c r="CH387" i="39" s="1"/>
  <c r="CJ387" i="39" s="1"/>
  <c r="CK387" i="39" s="1"/>
  <c r="BU165" i="39"/>
  <c r="BT165" i="39"/>
  <c r="BU202" i="39"/>
  <c r="BT202" i="39"/>
  <c r="CH202" i="39" s="1"/>
  <c r="CJ202" i="39" s="1"/>
  <c r="CK202" i="39" s="1"/>
  <c r="BU386" i="39"/>
  <c r="BT386" i="39"/>
  <c r="CH386" i="39" s="1"/>
  <c r="CJ386" i="39" s="1"/>
  <c r="CK386" i="39" s="1"/>
  <c r="BU157" i="39"/>
  <c r="BT157" i="39"/>
  <c r="BU236" i="39"/>
  <c r="BT236" i="39"/>
  <c r="CH236" i="39" s="1"/>
  <c r="CJ236" i="39" s="1"/>
  <c r="CK236" i="39" s="1"/>
  <c r="BU21" i="39"/>
  <c r="BT21" i="39"/>
  <c r="BU232" i="39"/>
  <c r="BT232" i="39"/>
  <c r="CH232" i="39" s="1"/>
  <c r="CJ232" i="39" s="1"/>
  <c r="CK232" i="39" s="1"/>
  <c r="BU161" i="39"/>
  <c r="BT161" i="39"/>
  <c r="CH161" i="39" s="1"/>
  <c r="CJ161" i="39" s="1"/>
  <c r="CK161" i="39" s="1"/>
  <c r="BU235" i="39"/>
  <c r="BT235" i="39"/>
  <c r="BT382" i="39"/>
  <c r="CH382" i="39" s="1"/>
  <c r="CJ382" i="39" s="1"/>
  <c r="CK382" i="39" s="1"/>
  <c r="BU382" i="39"/>
  <c r="BU204" i="39"/>
  <c r="BT204" i="39"/>
  <c r="CH204" i="39" s="1"/>
  <c r="CJ204" i="39" s="1"/>
  <c r="CK204" i="39" s="1"/>
  <c r="BU191" i="39"/>
  <c r="BT191" i="39"/>
  <c r="CH191" i="39" s="1"/>
  <c r="CJ191" i="39" s="1"/>
  <c r="CK191" i="39" s="1"/>
  <c r="BT167" i="39"/>
  <c r="BU167" i="39"/>
  <c r="BU203" i="39"/>
  <c r="BT203" i="39"/>
  <c r="CH203" i="39" s="1"/>
  <c r="CJ203" i="39" s="1"/>
  <c r="CK203" i="39" s="1"/>
  <c r="BU168" i="39"/>
  <c r="BT168" i="39"/>
  <c r="BU46" i="39"/>
  <c r="BT46" i="39"/>
  <c r="CH46" i="39" s="1"/>
  <c r="CJ46" i="39" s="1"/>
  <c r="CK46" i="39" s="1"/>
  <c r="BU20" i="39"/>
  <c r="BT20" i="39"/>
  <c r="BU158" i="39"/>
  <c r="BT158" i="39"/>
  <c r="CH158" i="39" s="1"/>
  <c r="CJ158" i="39" s="1"/>
  <c r="CK158" i="39" s="1"/>
  <c r="BT177" i="39"/>
  <c r="BU177" i="39"/>
  <c r="BU220" i="39"/>
  <c r="BT220" i="39"/>
  <c r="CH220" i="39" s="1"/>
  <c r="CJ220" i="39" s="1"/>
  <c r="CK220" i="39" s="1"/>
  <c r="BU222" i="39"/>
  <c r="BT222" i="39"/>
  <c r="CH222" i="39" s="1"/>
  <c r="CJ222" i="39" s="1"/>
  <c r="CK222" i="39" s="1"/>
  <c r="BT36" i="39"/>
  <c r="CH36" i="39" s="1"/>
  <c r="CJ36" i="39" s="1"/>
  <c r="CK36" i="39" s="1"/>
  <c r="BU36" i="39"/>
  <c r="BU123" i="39"/>
  <c r="BT123" i="39"/>
  <c r="CH123" i="39" s="1"/>
  <c r="CJ123" i="39" s="1"/>
  <c r="CK123" i="39" s="1"/>
  <c r="BU230" i="39"/>
  <c r="BT230" i="39"/>
  <c r="BU24" i="39"/>
  <c r="BT24" i="39"/>
  <c r="BU131" i="39"/>
  <c r="BT131" i="39"/>
  <c r="CH131" i="39" s="1"/>
  <c r="CJ131" i="39" s="1"/>
  <c r="CK131" i="39" s="1"/>
  <c r="BU238" i="39"/>
  <c r="BT238" i="39"/>
  <c r="CH238" i="39" s="1"/>
  <c r="CJ238" i="39" s="1"/>
  <c r="CK238" i="39" s="1"/>
  <c r="BU233" i="39"/>
  <c r="BT233" i="39"/>
  <c r="BU48" i="39"/>
  <c r="BT48" i="39"/>
  <c r="CH48" i="39" s="1"/>
  <c r="CJ48" i="39" s="1"/>
  <c r="CK48" i="39" s="1"/>
  <c r="BU27" i="39"/>
  <c r="BT27" i="39"/>
  <c r="BU50" i="39"/>
  <c r="BT50" i="39"/>
  <c r="BU389" i="39"/>
  <c r="BT389" i="39"/>
  <c r="BU390" i="39"/>
  <c r="BT390" i="39"/>
  <c r="BU240" i="39"/>
  <c r="BT240" i="39"/>
  <c r="CH240" i="39" s="1"/>
  <c r="CJ240" i="39" s="1"/>
  <c r="CK240" i="39" s="1"/>
  <c r="BU47" i="39"/>
  <c r="BT47" i="39"/>
  <c r="BU164" i="39"/>
  <c r="BT164" i="39"/>
  <c r="BU192" i="39"/>
  <c r="BT192" i="39"/>
  <c r="CH192" i="39" s="1"/>
  <c r="CJ192" i="39" s="1"/>
  <c r="CK192" i="39" s="1"/>
  <c r="BU19" i="39"/>
  <c r="BT19" i="39"/>
  <c r="BU49" i="39"/>
  <c r="BT49" i="39"/>
  <c r="CH49" i="39" s="1"/>
  <c r="CJ49" i="39" s="1"/>
  <c r="CK49" i="39" s="1"/>
  <c r="BU42" i="39"/>
  <c r="BT42" i="39"/>
  <c r="CH42" i="39" s="1"/>
  <c r="CJ42" i="39" s="1"/>
  <c r="CK42" i="39" s="1"/>
  <c r="BU223" i="39"/>
  <c r="BT223" i="39"/>
  <c r="CH223" i="39" s="1"/>
  <c r="CJ223" i="39" s="1"/>
  <c r="CK223" i="39" s="1"/>
  <c r="BU176" i="39"/>
  <c r="BT176" i="39"/>
  <c r="CH176" i="39" s="1"/>
  <c r="CJ176" i="39" s="1"/>
  <c r="CK176" i="39" s="1"/>
  <c r="BT163" i="39"/>
  <c r="CH163" i="39" s="1"/>
  <c r="CJ163" i="39" s="1"/>
  <c r="CK163" i="39" s="1"/>
  <c r="BU163" i="39"/>
  <c r="BU26" i="39"/>
  <c r="BT26" i="39"/>
  <c r="CH26" i="39" s="1"/>
  <c r="CJ26" i="39" s="1"/>
  <c r="CK26" i="39" s="1"/>
  <c r="BU45" i="39"/>
  <c r="BT45" i="39"/>
  <c r="CH45" i="39" s="1"/>
  <c r="CJ45" i="39" s="1"/>
  <c r="CK45" i="39" s="1"/>
  <c r="BU17" i="39"/>
  <c r="BT17" i="39"/>
  <c r="CH17" i="39" s="1"/>
  <c r="CJ17" i="39" s="1"/>
  <c r="CK17" i="39" s="1"/>
  <c r="BT244" i="39"/>
  <c r="CH244" i="39" s="1"/>
  <c r="CJ244" i="39" s="1"/>
  <c r="CK244" i="39" s="1"/>
  <c r="BU244" i="39"/>
  <c r="BU388" i="39"/>
  <c r="BT388" i="39"/>
  <c r="CH388" i="39" s="1"/>
  <c r="CJ388" i="39" s="1"/>
  <c r="CK388" i="39" s="1"/>
  <c r="BU98" i="39"/>
  <c r="BT98" i="39"/>
  <c r="BT381" i="39"/>
  <c r="CH381" i="39" s="1"/>
  <c r="CJ381" i="39" s="1"/>
  <c r="CK381" i="39" s="1"/>
  <c r="BU381" i="39"/>
  <c r="BU64" i="39"/>
  <c r="BT64" i="39"/>
  <c r="BU25" i="39"/>
  <c r="BT25" i="39"/>
  <c r="CH25" i="39" s="1"/>
  <c r="CJ25" i="39" s="1"/>
  <c r="CK25" i="39" s="1"/>
  <c r="BU228" i="39"/>
  <c r="BT228" i="39"/>
  <c r="CH228" i="39" s="1"/>
  <c r="CJ228" i="39" s="1"/>
  <c r="CK228" i="39" s="1"/>
  <c r="BU391" i="39"/>
  <c r="BT391" i="39"/>
  <c r="CH391" i="39" s="1"/>
  <c r="CJ391" i="39" s="1"/>
  <c r="CK391" i="39" s="1"/>
  <c r="BT175" i="39"/>
  <c r="CH175" i="39" s="1"/>
  <c r="CJ175" i="39" s="1"/>
  <c r="CK175" i="39" s="1"/>
  <c r="BU175" i="39"/>
  <c r="BU227" i="39"/>
  <c r="BT227" i="39"/>
  <c r="BU166" i="39"/>
  <c r="BT166" i="39"/>
  <c r="CH166" i="39" s="1"/>
  <c r="CJ166" i="39" s="1"/>
  <c r="CK166" i="39" s="1"/>
  <c r="BU243" i="39"/>
  <c r="BT243" i="39"/>
  <c r="BT31" i="39"/>
  <c r="CH31" i="39" s="1"/>
  <c r="CJ31" i="39" s="1"/>
  <c r="CK31" i="39" s="1"/>
  <c r="BU31" i="39"/>
  <c r="BU128" i="39"/>
  <c r="BT128" i="39"/>
  <c r="BU159" i="39"/>
  <c r="BT159" i="39"/>
  <c r="CH159" i="39" s="1"/>
  <c r="CJ159" i="39" s="1"/>
  <c r="CK159" i="39" s="1"/>
  <c r="BU41" i="39"/>
  <c r="BT41" i="39"/>
  <c r="BU221" i="39"/>
  <c r="BT221" i="39"/>
  <c r="BU152" i="39"/>
  <c r="BT152" i="39"/>
  <c r="CH152" i="39" s="1"/>
  <c r="CJ152" i="39" s="1"/>
  <c r="CK152" i="39" s="1"/>
  <c r="BU225" i="39"/>
  <c r="BT225" i="39"/>
  <c r="BU124" i="39"/>
  <c r="BT124" i="39"/>
  <c r="BU30" i="39"/>
  <c r="BT30" i="39"/>
  <c r="BU241" i="39"/>
  <c r="BT241" i="39"/>
  <c r="BU224" i="39"/>
  <c r="BT224" i="39"/>
  <c r="CH224" i="39" s="1"/>
  <c r="CJ224" i="39" s="1"/>
  <c r="CK224" i="39" s="1"/>
  <c r="BU44" i="39"/>
  <c r="BT44" i="39"/>
  <c r="BU392" i="39"/>
  <c r="BT392" i="39"/>
  <c r="CH392" i="39" s="1"/>
  <c r="CJ392" i="39" s="1"/>
  <c r="CK392" i="39" s="1"/>
  <c r="BU229" i="39"/>
  <c r="BT229" i="39"/>
  <c r="CH229" i="39" s="1"/>
  <c r="CJ229" i="39" s="1"/>
  <c r="CK229" i="39" s="1"/>
  <c r="BU239" i="39"/>
  <c r="BT239" i="39"/>
  <c r="BU234" i="39"/>
  <c r="BT234" i="39"/>
  <c r="CH234" i="39" s="1"/>
  <c r="CJ234" i="39" s="1"/>
  <c r="CK234" i="39" s="1"/>
  <c r="BT245" i="39"/>
  <c r="BU245" i="39"/>
  <c r="BT247" i="39"/>
  <c r="BU247" i="39"/>
  <c r="BU226" i="39"/>
  <c r="BT226" i="39"/>
  <c r="CH226" i="39" s="1"/>
  <c r="CJ226" i="39" s="1"/>
  <c r="CK226" i="39" s="1"/>
  <c r="BU385" i="39"/>
  <c r="BT385" i="39"/>
  <c r="CH385" i="39" s="1"/>
  <c r="CJ385" i="39" s="1"/>
  <c r="CK385" i="39" s="1"/>
  <c r="BU29" i="39"/>
  <c r="BT29" i="39"/>
  <c r="BU40" i="39"/>
  <c r="BT40" i="39"/>
  <c r="BU43" i="39"/>
  <c r="BT43" i="39"/>
  <c r="CH43" i="39" s="1"/>
  <c r="CJ43" i="39" s="1"/>
  <c r="CK43" i="39" s="1"/>
  <c r="BT246" i="39"/>
  <c r="BU246" i="39"/>
  <c r="BU384" i="39"/>
  <c r="BT384" i="39"/>
  <c r="BU28" i="39"/>
  <c r="BT28" i="39"/>
  <c r="CH28" i="39" s="1"/>
  <c r="CJ28" i="39" s="1"/>
  <c r="CK28" i="39" s="1"/>
  <c r="BU219" i="39"/>
  <c r="BT219" i="39"/>
  <c r="CH219" i="39" s="1"/>
  <c r="CJ219" i="39" s="1"/>
  <c r="CK219" i="39" s="1"/>
  <c r="BT32" i="39"/>
  <c r="CH32" i="39" s="1"/>
  <c r="CJ32" i="39" s="1"/>
  <c r="CK32" i="39" s="1"/>
  <c r="BU32" i="39"/>
  <c r="BT380" i="39"/>
  <c r="BU380" i="39"/>
  <c r="BU160" i="39"/>
  <c r="BT160" i="39"/>
  <c r="CH160" i="39" s="1"/>
  <c r="CJ160" i="39" s="1"/>
  <c r="CK160" i="39" s="1"/>
  <c r="BU237" i="39"/>
  <c r="BT237" i="39"/>
  <c r="CH237" i="39" s="1"/>
  <c r="CJ237" i="39" s="1"/>
  <c r="CK237" i="39" s="1"/>
  <c r="BT383" i="39"/>
  <c r="BU383" i="39"/>
  <c r="BU22" i="39"/>
  <c r="BT22" i="39"/>
  <c r="CH22" i="39" s="1"/>
  <c r="CJ22" i="39" s="1"/>
  <c r="CK22" i="39" s="1"/>
  <c r="BU18" i="39"/>
  <c r="BT18" i="39"/>
  <c r="CH18" i="39" s="1"/>
  <c r="CJ18" i="39" s="1"/>
  <c r="CK18" i="39" s="1"/>
  <c r="BU393" i="39"/>
  <c r="BT393" i="39"/>
  <c r="BT248" i="39"/>
  <c r="CH248" i="39" s="1"/>
  <c r="CJ248" i="39" s="1"/>
  <c r="CK248" i="39" s="1"/>
  <c r="BU248" i="39"/>
  <c r="BU231" i="39"/>
  <c r="BT231" i="39"/>
  <c r="BT33" i="39"/>
  <c r="CH33" i="39" s="1"/>
  <c r="CJ33" i="39" s="1"/>
  <c r="CK33" i="39" s="1"/>
  <c r="BU33" i="39"/>
  <c r="CB24" i="39"/>
  <c r="CD389" i="39"/>
  <c r="CD234" i="39"/>
  <c r="BS204" i="39"/>
  <c r="CD204" i="39" s="1"/>
  <c r="BS26" i="39"/>
  <c r="CD26" i="39" s="1"/>
  <c r="BS232" i="39"/>
  <c r="CD232" i="39" s="1"/>
  <c r="BP204" i="39"/>
  <c r="BR204" i="39" s="1"/>
  <c r="BP26" i="39"/>
  <c r="BR26" i="39" s="1"/>
  <c r="BS219" i="39"/>
  <c r="CD219" i="39" s="1"/>
  <c r="BS22" i="39"/>
  <c r="CD22" i="39" s="1"/>
  <c r="BS98" i="39"/>
  <c r="CD98" i="39" s="1"/>
  <c r="BS240" i="39"/>
  <c r="CD240" i="39" s="1"/>
  <c r="BP49" i="39"/>
  <c r="BR49" i="39" s="1"/>
  <c r="BS124" i="39"/>
  <c r="CD124" i="39" s="1"/>
  <c r="BP98" i="39"/>
  <c r="BR98" i="39" s="1"/>
  <c r="CB380" i="39"/>
  <c r="BS155" i="39"/>
  <c r="CD155" i="39" s="1"/>
  <c r="CD380" i="39"/>
  <c r="BP219" i="39"/>
  <c r="CB219" i="39" s="1"/>
  <c r="AP240" i="39"/>
  <c r="AP239" i="39"/>
  <c r="BP238" i="39"/>
  <c r="CB238" i="39" s="1"/>
  <c r="AP238" i="39"/>
  <c r="AP237" i="39"/>
  <c r="AP236" i="39"/>
  <c r="AP235" i="39"/>
  <c r="AP234" i="39"/>
  <c r="AP233" i="39"/>
  <c r="AP232" i="39"/>
  <c r="AP231" i="39"/>
  <c r="AP230" i="39"/>
  <c r="AP229" i="39"/>
  <c r="AP228" i="39"/>
  <c r="AP227" i="39"/>
  <c r="AP224" i="39"/>
  <c r="AP223" i="39"/>
  <c r="AP222" i="39"/>
  <c r="CB221" i="39"/>
  <c r="AP221" i="39"/>
  <c r="AP220" i="39"/>
  <c r="AP47" i="39"/>
  <c r="BS44" i="39"/>
  <c r="CD44" i="39" s="1"/>
  <c r="BS157" i="39"/>
  <c r="CD157" i="39" s="1"/>
  <c r="BP157" i="39"/>
  <c r="CB157" i="39" s="1"/>
  <c r="BP41" i="39"/>
  <c r="BR41" i="39" s="1"/>
  <c r="BP155" i="39"/>
  <c r="BR155" i="39" s="1"/>
  <c r="CB64" i="39"/>
  <c r="BS388" i="39"/>
  <c r="CD388" i="39" s="1"/>
  <c r="BP381" i="39"/>
  <c r="BR381" i="39" s="1"/>
  <c r="BS381" i="39"/>
  <c r="CD381" i="39" s="1"/>
  <c r="BP177" i="39"/>
  <c r="CB177" i="39" s="1"/>
  <c r="BP35" i="39"/>
  <c r="BR35" i="39" s="1"/>
  <c r="BS35" i="39"/>
  <c r="CD35" i="39" s="1"/>
  <c r="AP392" i="39"/>
  <c r="AP18" i="39"/>
  <c r="AP49" i="39"/>
  <c r="AP166" i="39"/>
  <c r="AP157" i="39"/>
  <c r="AP27" i="39"/>
  <c r="AP380" i="39"/>
  <c r="AP19" i="39"/>
  <c r="AP42" i="39"/>
  <c r="AP40" i="39"/>
  <c r="AP123" i="39"/>
  <c r="AP25" i="39"/>
  <c r="AP192" i="39"/>
  <c r="AP26" i="39"/>
  <c r="AP152" i="39"/>
  <c r="AP155" i="39"/>
  <c r="AP202" i="39"/>
  <c r="AP393" i="39"/>
  <c r="AP29" i="39"/>
  <c r="AP128" i="39"/>
  <c r="AP44" i="39"/>
  <c r="CD21" i="39"/>
  <c r="BP389" i="39"/>
  <c r="AP384" i="39"/>
  <c r="AP386" i="39"/>
  <c r="AP167" i="39"/>
  <c r="AP17" i="39"/>
  <c r="AP204" i="39"/>
  <c r="AP387" i="39"/>
  <c r="AP23" i="39"/>
  <c r="AP191" i="39"/>
  <c r="AP382" i="39"/>
  <c r="AP159" i="39"/>
  <c r="AP168" i="39"/>
  <c r="AP203" i="39"/>
  <c r="AP36" i="39"/>
  <c r="AP64" i="39"/>
  <c r="AP41" i="39"/>
  <c r="AP98" i="39"/>
  <c r="AP32" i="39"/>
  <c r="AP48" i="39"/>
  <c r="AP50" i="39"/>
  <c r="AP30" i="39"/>
  <c r="AP383" i="39"/>
  <c r="AP129" i="39"/>
  <c r="AP156" i="39"/>
  <c r="AP177" i="39"/>
  <c r="AP31" i="39"/>
  <c r="AP160" i="39"/>
  <c r="AP131" i="39"/>
  <c r="AP219" i="39"/>
  <c r="AP158" i="39"/>
  <c r="AP389" i="39"/>
  <c r="AP381" i="39"/>
  <c r="AP391" i="39"/>
  <c r="AP385" i="39"/>
  <c r="AP43" i="39"/>
  <c r="AP24" i="39"/>
  <c r="AP176" i="39"/>
  <c r="AP164" i="39"/>
  <c r="AP162" i="39"/>
  <c r="BS23" i="39"/>
  <c r="CD23" i="39" s="1"/>
  <c r="BS238" i="39"/>
  <c r="CD238" i="39" s="1"/>
  <c r="BS177" i="39"/>
  <c r="CD177" i="39" s="1"/>
  <c r="BS242" i="39"/>
  <c r="CD242" i="39" s="1"/>
  <c r="BS30" i="39"/>
  <c r="CD30" i="39" s="1"/>
  <c r="BS236" i="39"/>
  <c r="CD236" i="39" s="1"/>
  <c r="BS248" i="39"/>
  <c r="CD248" i="39" s="1"/>
  <c r="BS49" i="39"/>
  <c r="CD49" i="39" s="1"/>
  <c r="CD41" i="39"/>
  <c r="CB164" i="39"/>
  <c r="CD50" i="39"/>
  <c r="CD392" i="39"/>
  <c r="CD164" i="39"/>
  <c r="CB50" i="39"/>
  <c r="CB19" i="39"/>
  <c r="BS18" i="39"/>
  <c r="CD18" i="39" s="1"/>
  <c r="CD19" i="39"/>
  <c r="BP44" i="39"/>
  <c r="BS247" i="39"/>
  <c r="CD247" i="39" s="1"/>
  <c r="BP247" i="39"/>
  <c r="BP162" i="39"/>
  <c r="BR162" i="39" s="1"/>
  <c r="BS162" i="39"/>
  <c r="CD162" i="39" s="1"/>
  <c r="BR20" i="39"/>
  <c r="CB20" i="39"/>
  <c r="BS168" i="39"/>
  <c r="CD168" i="39" s="1"/>
  <c r="BP168" i="39"/>
  <c r="BS31" i="39"/>
  <c r="CD31" i="39" s="1"/>
  <c r="BP159" i="39"/>
  <c r="BS159" i="39"/>
  <c r="CD159" i="39" s="1"/>
  <c r="BP22" i="39"/>
  <c r="BR22" i="39" s="1"/>
  <c r="BP18" i="39"/>
  <c r="BP175" i="39"/>
  <c r="BS175" i="39"/>
  <c r="CD175" i="39" s="1"/>
  <c r="BP382" i="39"/>
  <c r="BR382" i="39" s="1"/>
  <c r="BS382" i="39"/>
  <c r="CD382" i="39" s="1"/>
  <c r="BS64" i="39"/>
  <c r="CD64" i="39" s="1"/>
  <c r="BS165" i="39"/>
  <c r="CD165" i="39" s="1"/>
  <c r="BP165" i="39"/>
  <c r="BP28" i="39"/>
  <c r="BR28" i="39" s="1"/>
  <c r="BS161" i="39"/>
  <c r="CD161" i="39" s="1"/>
  <c r="BP161" i="39"/>
  <c r="BP393" i="39"/>
  <c r="BS393" i="39"/>
  <c r="CD393" i="39" s="1"/>
  <c r="BP25" i="39"/>
  <c r="BR25" i="39" s="1"/>
  <c r="BS25" i="39"/>
  <c r="CD25" i="39" s="1"/>
  <c r="BS383" i="39"/>
  <c r="CD383" i="39" s="1"/>
  <c r="BP383" i="39"/>
  <c r="CB232" i="39"/>
  <c r="BS223" i="39"/>
  <c r="CD223" i="39" s="1"/>
  <c r="BP223" i="39"/>
  <c r="BR223" i="39" s="1"/>
  <c r="BP156" i="39"/>
  <c r="BS156" i="39"/>
  <c r="CD156" i="39" s="1"/>
  <c r="CB30" i="39"/>
  <c r="BS231" i="39"/>
  <c r="CD231" i="39" s="1"/>
  <c r="BP231" i="39"/>
  <c r="BR388" i="39"/>
  <c r="CB388" i="39"/>
  <c r="BS33" i="39"/>
  <c r="CD33" i="39" s="1"/>
  <c r="BP33" i="39"/>
  <c r="BR33" i="39" s="1"/>
  <c r="BP42" i="39"/>
  <c r="BR42" i="39" s="1"/>
  <c r="BS42" i="39"/>
  <c r="CD42" i="39" s="1"/>
  <c r="CB23" i="39"/>
  <c r="BP391" i="39"/>
  <c r="BR391" i="39" s="1"/>
  <c r="BS391" i="39"/>
  <c r="CD391" i="39" s="1"/>
  <c r="CD46" i="39"/>
  <c r="CB46" i="39"/>
  <c r="BS233" i="39"/>
  <c r="CD233" i="39" s="1"/>
  <c r="BP233" i="39"/>
  <c r="BS176" i="39"/>
  <c r="CD176" i="39" s="1"/>
  <c r="BP176" i="39"/>
  <c r="BR176" i="39" s="1"/>
  <c r="BR392" i="39"/>
  <c r="CB392" i="39"/>
  <c r="CB166" i="39"/>
  <c r="CD166" i="39"/>
  <c r="BS203" i="39"/>
  <c r="CD203" i="39" s="1"/>
  <c r="BP203" i="39"/>
  <c r="BP45" i="39"/>
  <c r="BR45" i="39" s="1"/>
  <c r="BS45" i="39"/>
  <c r="CD45" i="39" s="1"/>
  <c r="CB131" i="39"/>
  <c r="CD131" i="39"/>
  <c r="CB31" i="39"/>
  <c r="BS167" i="39"/>
  <c r="CD167" i="39" s="1"/>
  <c r="BP167" i="39"/>
  <c r="BP29" i="39"/>
  <c r="BS29" i="39"/>
  <c r="CD29" i="39" s="1"/>
  <c r="CD160" i="39"/>
  <c r="CB160" i="39"/>
  <c r="BP152" i="39"/>
  <c r="BR152" i="39" s="1"/>
  <c r="BS152" i="39"/>
  <c r="CD152" i="39" s="1"/>
  <c r="BP43" i="39"/>
  <c r="BR43" i="39" s="1"/>
  <c r="BS43" i="39"/>
  <c r="CD43" i="39" s="1"/>
  <c r="BS40" i="39"/>
  <c r="CD40" i="39" s="1"/>
  <c r="BP40" i="39"/>
  <c r="BS48" i="39"/>
  <c r="CD48" i="39" s="1"/>
  <c r="BP48" i="39"/>
  <c r="BR48" i="39" s="1"/>
  <c r="CD222" i="39"/>
  <c r="CB222" i="39"/>
  <c r="BS220" i="39"/>
  <c r="CD220" i="39" s="1"/>
  <c r="BP220" i="39"/>
  <c r="BR220" i="39" s="1"/>
  <c r="BS128" i="39"/>
  <c r="CD128" i="39" s="1"/>
  <c r="BP128" i="39"/>
  <c r="BP192" i="39"/>
  <c r="BR192" i="39" s="1"/>
  <c r="BS192" i="39"/>
  <c r="CD192" i="39" s="1"/>
  <c r="BP235" i="39"/>
  <c r="BS235" i="39"/>
  <c r="CD235" i="39" s="1"/>
  <c r="CB123" i="39"/>
  <c r="CD123" i="39"/>
  <c r="BP36" i="39"/>
  <c r="BR36" i="39" s="1"/>
  <c r="BS36" i="39"/>
  <c r="CD36" i="39" s="1"/>
  <c r="CB384" i="39"/>
  <c r="BR234" i="39"/>
  <c r="CB234" i="39"/>
  <c r="CB124" i="39"/>
  <c r="BS32" i="39"/>
  <c r="CD32" i="39" s="1"/>
  <c r="BP32" i="39"/>
  <c r="BR32" i="39" s="1"/>
  <c r="BP386" i="39"/>
  <c r="BR386" i="39" s="1"/>
  <c r="BS386" i="39"/>
  <c r="CD386" i="39" s="1"/>
  <c r="CB387" i="39"/>
  <c r="CD387" i="39"/>
  <c r="BR21" i="39"/>
  <c r="CB21" i="39"/>
  <c r="CB248" i="39"/>
  <c r="CB244" i="39"/>
  <c r="CD244" i="39"/>
  <c r="BS241" i="39"/>
  <c r="CD241" i="39" s="1"/>
  <c r="BP241" i="39"/>
  <c r="BS227" i="39"/>
  <c r="CD227" i="39" s="1"/>
  <c r="BP227" i="39"/>
  <c r="CB191" i="39"/>
  <c r="CD191" i="39"/>
  <c r="CB163" i="39"/>
  <c r="CD163" i="39"/>
  <c r="BP243" i="39"/>
  <c r="BS243" i="39"/>
  <c r="CD243" i="39" s="1"/>
  <c r="BR230" i="39"/>
  <c r="CB230" i="39"/>
  <c r="BS237" i="39"/>
  <c r="CD237" i="39" s="1"/>
  <c r="BP237" i="39"/>
  <c r="BR237" i="39" s="1"/>
  <c r="BP47" i="39"/>
  <c r="BS47" i="39"/>
  <c r="CD47" i="39" s="1"/>
  <c r="BS229" i="39"/>
  <c r="CD229" i="39" s="1"/>
  <c r="BP229" i="39"/>
  <c r="BR229" i="39" s="1"/>
  <c r="BS129" i="39"/>
  <c r="CD129" i="39" s="1"/>
  <c r="BP129" i="39"/>
  <c r="BR129" i="39" s="1"/>
  <c r="BP385" i="39"/>
  <c r="BR385" i="39" s="1"/>
  <c r="BS385" i="39"/>
  <c r="CD385" i="39" s="1"/>
  <c r="CB158" i="39"/>
  <c r="CD158" i="39"/>
  <c r="CB240" i="39"/>
  <c r="BS245" i="39"/>
  <c r="CD245" i="39" s="1"/>
  <c r="BP245" i="39"/>
  <c r="BS226" i="39"/>
  <c r="CD226" i="39" s="1"/>
  <c r="BP226" i="39"/>
  <c r="BR226" i="39" s="1"/>
  <c r="BP228" i="39"/>
  <c r="BR228" i="39" s="1"/>
  <c r="BS228" i="39"/>
  <c r="CD228" i="39" s="1"/>
  <c r="BP390" i="39"/>
  <c r="BS390" i="39"/>
  <c r="CD390" i="39" s="1"/>
  <c r="BS225" i="39"/>
  <c r="CD225" i="39" s="1"/>
  <c r="BP225" i="39"/>
  <c r="CB246" i="39"/>
  <c r="BR246" i="39"/>
  <c r="CD28" i="39"/>
  <c r="BS27" i="39"/>
  <c r="CD27" i="39" s="1"/>
  <c r="BP27" i="39"/>
  <c r="BP202" i="39"/>
  <c r="BR202" i="39" s="1"/>
  <c r="BS202" i="39"/>
  <c r="CD202" i="39" s="1"/>
  <c r="BP239" i="39"/>
  <c r="BS239" i="39"/>
  <c r="CD239" i="39" s="1"/>
  <c r="CB236" i="39"/>
  <c r="BP224" i="39"/>
  <c r="BR224" i="39" s="1"/>
  <c r="BS224" i="39"/>
  <c r="CD224" i="39" s="1"/>
  <c r="BR242" i="39"/>
  <c r="CB242" i="39"/>
  <c r="CD17" i="39"/>
  <c r="CB17" i="39"/>
  <c r="AB2" i="32"/>
  <c r="J47" i="39" s="1"/>
  <c r="M81" i="36"/>
  <c r="L81" i="36"/>
  <c r="K81" i="36"/>
  <c r="I81" i="36"/>
  <c r="E81" i="36"/>
  <c r="D81" i="36"/>
  <c r="C81" i="36"/>
  <c r="B81" i="36"/>
  <c r="M80" i="36"/>
  <c r="L80" i="36"/>
  <c r="K80" i="36"/>
  <c r="I80" i="36"/>
  <c r="E80" i="36"/>
  <c r="D80" i="36"/>
  <c r="C80" i="36"/>
  <c r="B80" i="36"/>
  <c r="M79" i="36"/>
  <c r="L79" i="36"/>
  <c r="K79" i="36"/>
  <c r="I79" i="36"/>
  <c r="E79" i="36"/>
  <c r="D79" i="36"/>
  <c r="C79" i="36"/>
  <c r="B79" i="36"/>
  <c r="M78" i="36"/>
  <c r="L78" i="36"/>
  <c r="K78" i="36"/>
  <c r="I78" i="36"/>
  <c r="E78" i="36"/>
  <c r="D78" i="36"/>
  <c r="C78" i="36"/>
  <c r="B78" i="36"/>
  <c r="M77" i="36"/>
  <c r="L77" i="36"/>
  <c r="K77" i="36"/>
  <c r="I77" i="36"/>
  <c r="E77" i="36"/>
  <c r="D77" i="36"/>
  <c r="C77" i="36"/>
  <c r="B77" i="36"/>
  <c r="M76" i="36"/>
  <c r="L76" i="36"/>
  <c r="K76" i="36"/>
  <c r="I76" i="36"/>
  <c r="E76" i="36"/>
  <c r="D76" i="36"/>
  <c r="C76" i="36"/>
  <c r="B76" i="36"/>
  <c r="M75" i="36"/>
  <c r="L75" i="36"/>
  <c r="K75" i="36"/>
  <c r="I75" i="36"/>
  <c r="E75" i="36"/>
  <c r="D75" i="36"/>
  <c r="C75" i="36"/>
  <c r="B75" i="36"/>
  <c r="M74" i="36"/>
  <c r="L74" i="36"/>
  <c r="K74" i="36"/>
  <c r="I74" i="36"/>
  <c r="E74" i="36"/>
  <c r="D74" i="36"/>
  <c r="C74" i="36"/>
  <c r="B74" i="36"/>
  <c r="M73" i="36"/>
  <c r="L73" i="36"/>
  <c r="K73" i="36"/>
  <c r="I73" i="36"/>
  <c r="E73" i="36"/>
  <c r="D73" i="36"/>
  <c r="C73" i="36"/>
  <c r="B73" i="36"/>
  <c r="M72" i="36"/>
  <c r="L72" i="36"/>
  <c r="K72" i="36"/>
  <c r="I72" i="36"/>
  <c r="E72" i="36"/>
  <c r="D72" i="36"/>
  <c r="C72" i="36"/>
  <c r="B72" i="36"/>
  <c r="M71" i="36"/>
  <c r="L71" i="36"/>
  <c r="K71" i="36"/>
  <c r="I71" i="36"/>
  <c r="E71" i="36"/>
  <c r="D71" i="36"/>
  <c r="C71" i="36"/>
  <c r="B71" i="36"/>
  <c r="M70" i="36"/>
  <c r="L70" i="36"/>
  <c r="K70" i="36"/>
  <c r="I70" i="36"/>
  <c r="E70" i="36"/>
  <c r="D70" i="36"/>
  <c r="C70" i="36"/>
  <c r="B70" i="36"/>
  <c r="M69" i="36"/>
  <c r="L69" i="36"/>
  <c r="K69" i="36"/>
  <c r="I69" i="36"/>
  <c r="E69" i="36"/>
  <c r="D69" i="36"/>
  <c r="C69" i="36"/>
  <c r="B69" i="36"/>
  <c r="M68" i="36"/>
  <c r="L68" i="36"/>
  <c r="K68" i="36"/>
  <c r="I68" i="36"/>
  <c r="E68" i="36"/>
  <c r="D68" i="36"/>
  <c r="C68" i="36"/>
  <c r="B68" i="36"/>
  <c r="M67" i="36"/>
  <c r="L67" i="36"/>
  <c r="K67" i="36"/>
  <c r="I67" i="36"/>
  <c r="E67" i="36"/>
  <c r="D67" i="36"/>
  <c r="C67" i="36"/>
  <c r="B67" i="36"/>
  <c r="M66" i="36"/>
  <c r="L66" i="36"/>
  <c r="K66" i="36"/>
  <c r="I66" i="36"/>
  <c r="E66" i="36"/>
  <c r="D66" i="36"/>
  <c r="C66" i="36"/>
  <c r="B66" i="36"/>
  <c r="M65" i="36"/>
  <c r="L65" i="36"/>
  <c r="I65" i="36"/>
  <c r="E65" i="36"/>
  <c r="D65" i="36"/>
  <c r="B65" i="36"/>
  <c r="M64" i="36"/>
  <c r="I64" i="36"/>
  <c r="E64" i="36"/>
  <c r="D64" i="36"/>
  <c r="C64" i="36"/>
  <c r="B64" i="36"/>
  <c r="M63" i="36"/>
  <c r="I63" i="36"/>
  <c r="E63" i="36"/>
  <c r="D63" i="36"/>
  <c r="C63" i="36"/>
  <c r="B63" i="36"/>
  <c r="M62" i="36"/>
  <c r="I62" i="36"/>
  <c r="E62" i="36"/>
  <c r="D62" i="36"/>
  <c r="C62" i="36"/>
  <c r="B62" i="36"/>
  <c r="M61" i="36"/>
  <c r="I61" i="36"/>
  <c r="E61" i="36"/>
  <c r="D61" i="36"/>
  <c r="C61" i="36"/>
  <c r="B61" i="36"/>
  <c r="M60" i="36"/>
  <c r="I60" i="36"/>
  <c r="E60" i="36"/>
  <c r="D60" i="36"/>
  <c r="C60" i="36"/>
  <c r="B60" i="36"/>
  <c r="M59" i="36"/>
  <c r="I59" i="36"/>
  <c r="E59" i="36"/>
  <c r="D59" i="36"/>
  <c r="C59" i="36"/>
  <c r="B59" i="36"/>
  <c r="M58" i="36"/>
  <c r="I58" i="36"/>
  <c r="E58" i="36"/>
  <c r="D58" i="36"/>
  <c r="C58" i="36"/>
  <c r="B58" i="36"/>
  <c r="M57" i="36"/>
  <c r="I57" i="36"/>
  <c r="E57" i="36"/>
  <c r="D57" i="36"/>
  <c r="C57" i="36"/>
  <c r="B57" i="36"/>
  <c r="M56" i="36"/>
  <c r="I56" i="36"/>
  <c r="E56" i="36"/>
  <c r="D56" i="36"/>
  <c r="C56" i="36"/>
  <c r="B56" i="36"/>
  <c r="M55" i="36"/>
  <c r="I55" i="36"/>
  <c r="E55" i="36"/>
  <c r="D55" i="36"/>
  <c r="C55" i="36"/>
  <c r="B55" i="36"/>
  <c r="M54" i="36"/>
  <c r="I54" i="36"/>
  <c r="E54" i="36"/>
  <c r="D54" i="36"/>
  <c r="C54" i="36"/>
  <c r="B54" i="36"/>
  <c r="M53" i="36"/>
  <c r="I53" i="36"/>
  <c r="E53" i="36"/>
  <c r="D53" i="36"/>
  <c r="C53" i="36"/>
  <c r="B53" i="36"/>
  <c r="M52" i="36"/>
  <c r="I52" i="36"/>
  <c r="E52" i="36"/>
  <c r="D52" i="36"/>
  <c r="C52" i="36"/>
  <c r="B52" i="36"/>
  <c r="M51" i="36"/>
  <c r="I51" i="36"/>
  <c r="E51" i="36"/>
  <c r="D51" i="36"/>
  <c r="C51" i="36"/>
  <c r="B51" i="36"/>
  <c r="M50" i="36"/>
  <c r="I50" i="36"/>
  <c r="E50" i="36"/>
  <c r="D50" i="36"/>
  <c r="C50" i="36"/>
  <c r="B50" i="36"/>
  <c r="M49" i="36"/>
  <c r="I49" i="36"/>
  <c r="E49" i="36"/>
  <c r="D49" i="36"/>
  <c r="C49" i="36"/>
  <c r="B49" i="36"/>
  <c r="M48" i="36"/>
  <c r="I48" i="36"/>
  <c r="E48" i="36"/>
  <c r="D48" i="36"/>
  <c r="C48" i="36"/>
  <c r="B48" i="36"/>
  <c r="M47" i="36"/>
  <c r="I47" i="36"/>
  <c r="E47" i="36"/>
  <c r="D47" i="36"/>
  <c r="C47" i="36"/>
  <c r="B47" i="36"/>
  <c r="M46" i="36"/>
  <c r="I46" i="36"/>
  <c r="E46" i="36"/>
  <c r="D46" i="36"/>
  <c r="C46" i="36"/>
  <c r="B46" i="36"/>
  <c r="M45" i="36"/>
  <c r="I45" i="36"/>
  <c r="E45" i="36"/>
  <c r="D45" i="36"/>
  <c r="C45" i="36"/>
  <c r="B45" i="36"/>
  <c r="M44" i="36"/>
  <c r="I44" i="36"/>
  <c r="E44" i="36"/>
  <c r="D44" i="36"/>
  <c r="C44" i="36"/>
  <c r="B44" i="36"/>
  <c r="M43" i="36"/>
  <c r="I43" i="36"/>
  <c r="E43" i="36"/>
  <c r="D43" i="36"/>
  <c r="C43" i="36"/>
  <c r="B43" i="36"/>
  <c r="M42" i="36"/>
  <c r="I42" i="36"/>
  <c r="E42" i="36"/>
  <c r="D42" i="36"/>
  <c r="C42" i="36"/>
  <c r="B42" i="36"/>
  <c r="M41" i="36"/>
  <c r="I41" i="36"/>
  <c r="E41" i="36"/>
  <c r="D41" i="36"/>
  <c r="C41" i="36"/>
  <c r="B41" i="36"/>
  <c r="M40" i="36"/>
  <c r="I40" i="36"/>
  <c r="E40" i="36"/>
  <c r="D40" i="36"/>
  <c r="C40" i="36"/>
  <c r="B40" i="36"/>
  <c r="M39" i="36"/>
  <c r="I39" i="36"/>
  <c r="E39" i="36"/>
  <c r="D39" i="36"/>
  <c r="C39" i="36"/>
  <c r="B39" i="36"/>
  <c r="M38" i="36"/>
  <c r="I38" i="36"/>
  <c r="E38" i="36"/>
  <c r="D38" i="36"/>
  <c r="C38" i="36"/>
  <c r="B38" i="36"/>
  <c r="M37" i="36"/>
  <c r="I37" i="36"/>
  <c r="E37" i="36"/>
  <c r="D37" i="36"/>
  <c r="C37" i="36"/>
  <c r="B37" i="36"/>
  <c r="M36" i="36"/>
  <c r="I36" i="36"/>
  <c r="E36" i="36"/>
  <c r="D36" i="36"/>
  <c r="C36" i="36"/>
  <c r="B36" i="36"/>
  <c r="M35" i="36"/>
  <c r="I35" i="36"/>
  <c r="E35" i="36"/>
  <c r="D35" i="36"/>
  <c r="C35" i="36"/>
  <c r="B35" i="36"/>
  <c r="M34" i="36"/>
  <c r="I34" i="36"/>
  <c r="E34" i="36"/>
  <c r="D34" i="36"/>
  <c r="C34" i="36"/>
  <c r="B34" i="36"/>
  <c r="M33" i="36"/>
  <c r="I33" i="36"/>
  <c r="E33" i="36"/>
  <c r="D33" i="36"/>
  <c r="C33" i="36"/>
  <c r="B33" i="36"/>
  <c r="M32" i="36"/>
  <c r="I32" i="36"/>
  <c r="E32" i="36"/>
  <c r="D32" i="36"/>
  <c r="C32" i="36"/>
  <c r="B32" i="36"/>
  <c r="M31" i="36"/>
  <c r="I31" i="36"/>
  <c r="E31" i="36"/>
  <c r="D31" i="36"/>
  <c r="C31" i="36"/>
  <c r="B31" i="36"/>
  <c r="M30" i="36"/>
  <c r="I30" i="36"/>
  <c r="E30" i="36"/>
  <c r="D30" i="36"/>
  <c r="C30" i="36"/>
  <c r="B30" i="36"/>
  <c r="M29" i="36"/>
  <c r="I29" i="36"/>
  <c r="E29" i="36"/>
  <c r="D29" i="36"/>
  <c r="C29" i="36"/>
  <c r="B29" i="36"/>
  <c r="M28" i="36"/>
  <c r="I28" i="36"/>
  <c r="E28" i="36"/>
  <c r="D28" i="36"/>
  <c r="C28" i="36"/>
  <c r="B28" i="36"/>
  <c r="M27" i="36"/>
  <c r="I27" i="36"/>
  <c r="E27" i="36"/>
  <c r="D27" i="36"/>
  <c r="C27" i="36"/>
  <c r="B27" i="36"/>
  <c r="M26" i="36"/>
  <c r="I26" i="36"/>
  <c r="E26" i="36"/>
  <c r="D26" i="36"/>
  <c r="C26" i="36"/>
  <c r="B26" i="36"/>
  <c r="M25" i="36"/>
  <c r="I25" i="36"/>
  <c r="E25" i="36"/>
  <c r="D25" i="36"/>
  <c r="C25" i="36"/>
  <c r="B25" i="36"/>
  <c r="M24" i="36"/>
  <c r="I24" i="36"/>
  <c r="E24" i="36"/>
  <c r="D24" i="36"/>
  <c r="C24" i="36"/>
  <c r="B24" i="36"/>
  <c r="M23" i="36"/>
  <c r="I23" i="36"/>
  <c r="E23" i="36"/>
  <c r="D23" i="36"/>
  <c r="C23" i="36"/>
  <c r="B23" i="36"/>
  <c r="M22" i="36"/>
  <c r="I22" i="36"/>
  <c r="E22" i="36"/>
  <c r="D22" i="36"/>
  <c r="C22" i="36"/>
  <c r="B22" i="36"/>
  <c r="M21" i="36"/>
  <c r="I21" i="36"/>
  <c r="E21" i="36"/>
  <c r="D21" i="36"/>
  <c r="C21" i="36"/>
  <c r="B21" i="36"/>
  <c r="M20" i="36"/>
  <c r="I20" i="36"/>
  <c r="E20" i="36"/>
  <c r="D20" i="36"/>
  <c r="C20" i="36"/>
  <c r="B20" i="36"/>
  <c r="M19" i="36"/>
  <c r="I19" i="36"/>
  <c r="E19" i="36"/>
  <c r="D19" i="36"/>
  <c r="C19" i="36"/>
  <c r="B19" i="36"/>
  <c r="M18" i="36"/>
  <c r="I18" i="36"/>
  <c r="E18" i="36"/>
  <c r="D18" i="36"/>
  <c r="C18" i="36"/>
  <c r="B18" i="36"/>
  <c r="M17" i="36"/>
  <c r="I17" i="36"/>
  <c r="E17" i="36"/>
  <c r="D17" i="36"/>
  <c r="C17" i="36"/>
  <c r="B17" i="36"/>
  <c r="M16" i="36"/>
  <c r="I16" i="36"/>
  <c r="E16" i="36"/>
  <c r="D16" i="36"/>
  <c r="C16" i="36"/>
  <c r="B16" i="36"/>
  <c r="M15" i="36"/>
  <c r="I15" i="36"/>
  <c r="E15" i="36"/>
  <c r="D15" i="36"/>
  <c r="C15" i="36"/>
  <c r="B15" i="36"/>
  <c r="M14" i="36"/>
  <c r="I14" i="36"/>
  <c r="E14" i="36"/>
  <c r="D14" i="36"/>
  <c r="C14" i="36"/>
  <c r="B14" i="36"/>
  <c r="M13" i="36"/>
  <c r="I13" i="36"/>
  <c r="E13" i="36"/>
  <c r="D13" i="36"/>
  <c r="C13" i="36"/>
  <c r="B13" i="36"/>
  <c r="M12" i="36"/>
  <c r="I12" i="36"/>
  <c r="E12" i="36"/>
  <c r="D12" i="36"/>
  <c r="C12" i="36"/>
  <c r="B12" i="36"/>
  <c r="M11" i="36"/>
  <c r="I11" i="36"/>
  <c r="E11" i="36"/>
  <c r="D11" i="36"/>
  <c r="C11" i="36"/>
  <c r="B11" i="36"/>
  <c r="M10" i="36"/>
  <c r="I10" i="36"/>
  <c r="D10" i="36"/>
  <c r="C10" i="36"/>
  <c r="B10" i="36"/>
  <c r="M9" i="36"/>
  <c r="I9" i="36"/>
  <c r="D9" i="36"/>
  <c r="C9" i="36"/>
  <c r="B9" i="36"/>
  <c r="M8" i="36"/>
  <c r="I8" i="36"/>
  <c r="D8" i="36"/>
  <c r="B8" i="36"/>
  <c r="M7" i="36"/>
  <c r="I7" i="36"/>
  <c r="E7" i="36"/>
  <c r="D7" i="36"/>
  <c r="C7" i="36"/>
  <c r="B7" i="36"/>
  <c r="M6" i="36"/>
  <c r="I6" i="36"/>
  <c r="D6" i="36"/>
  <c r="C6" i="36"/>
  <c r="B6" i="36"/>
  <c r="M5" i="36"/>
  <c r="I5" i="36"/>
  <c r="E5" i="36"/>
  <c r="D5" i="36"/>
  <c r="C5" i="36"/>
  <c r="B5" i="36"/>
  <c r="F22" i="24" l="1"/>
  <c r="J22" i="24" s="1"/>
  <c r="F10" i="24"/>
  <c r="F15" i="24"/>
  <c r="F5" i="24"/>
  <c r="J5" i="24" s="1"/>
  <c r="F14" i="24"/>
  <c r="F13" i="24"/>
  <c r="F12" i="24"/>
  <c r="F20" i="24"/>
  <c r="J20" i="24" s="1"/>
  <c r="F18" i="24"/>
  <c r="F21" i="24"/>
  <c r="J21" i="24" s="1"/>
  <c r="F16" i="24"/>
  <c r="J16" i="24" s="1"/>
  <c r="F11" i="24"/>
  <c r="F9" i="24"/>
  <c r="F17" i="24"/>
  <c r="J17" i="24" s="1"/>
  <c r="F26" i="24"/>
  <c r="J26" i="24" s="1"/>
  <c r="F4" i="24"/>
  <c r="J4" i="24" s="1"/>
  <c r="F8" i="24"/>
  <c r="J8" i="24" s="1"/>
  <c r="F25" i="24"/>
  <c r="J25" i="24" s="1"/>
  <c r="F19" i="24"/>
  <c r="J19" i="24" s="1"/>
  <c r="F23" i="24"/>
  <c r="J23" i="24" s="1"/>
  <c r="F24" i="24"/>
  <c r="J24" i="24" s="1"/>
  <c r="F7" i="24"/>
  <c r="J7" i="24" s="1"/>
  <c r="F6" i="24"/>
  <c r="J6" i="24" s="1"/>
  <c r="J29" i="39"/>
  <c r="J165" i="39"/>
  <c r="J164" i="39"/>
  <c r="J246" i="39"/>
  <c r="CE238" i="39"/>
  <c r="CF238" i="39" s="1"/>
  <c r="CE152" i="39"/>
  <c r="CE25" i="39"/>
  <c r="CE46" i="39"/>
  <c r="CF46" i="39" s="1"/>
  <c r="CE220" i="39"/>
  <c r="CE35" i="39"/>
  <c r="CE32" i="39"/>
  <c r="CE248" i="39"/>
  <c r="CF248" i="39" s="1"/>
  <c r="CE49" i="39"/>
  <c r="CE382" i="39"/>
  <c r="CE387" i="39"/>
  <c r="CF387" i="39" s="1"/>
  <c r="CE162" i="39"/>
  <c r="CE22" i="39"/>
  <c r="CE191" i="39"/>
  <c r="CF191" i="39" s="1"/>
  <c r="CE123" i="39"/>
  <c r="CF123" i="39" s="1"/>
  <c r="CE42" i="39"/>
  <c r="CE48" i="39"/>
  <c r="CE222" i="39"/>
  <c r="CF222" i="39" s="1"/>
  <c r="CE229" i="39"/>
  <c r="CE192" i="39"/>
  <c r="CE45" i="39"/>
  <c r="CE223" i="39"/>
  <c r="CE236" i="39"/>
  <c r="CF236" i="39" s="1"/>
  <c r="CE28" i="39"/>
  <c r="CE160" i="39"/>
  <c r="CF160" i="39" s="1"/>
  <c r="CE166" i="39"/>
  <c r="CF166" i="39" s="1"/>
  <c r="CE23" i="39"/>
  <c r="CF23" i="39" s="1"/>
  <c r="CE228" i="39"/>
  <c r="CE18" i="39"/>
  <c r="CE385" i="39"/>
  <c r="CE161" i="39"/>
  <c r="CE26" i="39"/>
  <c r="CE381" i="39"/>
  <c r="CE388" i="39"/>
  <c r="CF388" i="39" s="1"/>
  <c r="CE392" i="39"/>
  <c r="CF392" i="39" s="1"/>
  <c r="CE158" i="39"/>
  <c r="CF158" i="39" s="1"/>
  <c r="CE159" i="39"/>
  <c r="CE391" i="39"/>
  <c r="CE203" i="39"/>
  <c r="CE176" i="39"/>
  <c r="CE17" i="39"/>
  <c r="CF17" i="39" s="1"/>
  <c r="CE240" i="39"/>
  <c r="CF240" i="39" s="1"/>
  <c r="CE202" i="39"/>
  <c r="CE224" i="39"/>
  <c r="CE131" i="39"/>
  <c r="CF131" i="39" s="1"/>
  <c r="CE31" i="39"/>
  <c r="CF31" i="39" s="1"/>
  <c r="CE175" i="39"/>
  <c r="CE226" i="39"/>
  <c r="CE244" i="39"/>
  <c r="CF244" i="39" s="1"/>
  <c r="CE43" i="39"/>
  <c r="CE237" i="39"/>
  <c r="CE219" i="39"/>
  <c r="CF219" i="39" s="1"/>
  <c r="CE163" i="39"/>
  <c r="CF163" i="39" s="1"/>
  <c r="CE234" i="39"/>
  <c r="CF234" i="39" s="1"/>
  <c r="BU347" i="39"/>
  <c r="BT347" i="39"/>
  <c r="BU153" i="39"/>
  <c r="BT153" i="39"/>
  <c r="CH231" i="39"/>
  <c r="CJ231" i="39" s="1"/>
  <c r="CK231" i="39" s="1"/>
  <c r="CE231" i="39"/>
  <c r="CH384" i="39"/>
  <c r="CJ384" i="39" s="1"/>
  <c r="CK384" i="39" s="1"/>
  <c r="CE384" i="39"/>
  <c r="CF384" i="39" s="1"/>
  <c r="CH29" i="39"/>
  <c r="CJ29" i="39" s="1"/>
  <c r="CK29" i="39" s="1"/>
  <c r="CE29" i="39"/>
  <c r="BU275" i="39"/>
  <c r="BT275" i="39"/>
  <c r="BU277" i="39"/>
  <c r="BT277" i="39"/>
  <c r="BU320" i="39"/>
  <c r="BT320" i="39"/>
  <c r="BU8" i="39"/>
  <c r="BT8" i="39"/>
  <c r="BU342" i="39"/>
  <c r="BT342" i="39"/>
  <c r="BU280" i="39"/>
  <c r="BT280" i="39"/>
  <c r="BU350" i="39"/>
  <c r="BT350" i="39"/>
  <c r="BU371" i="39"/>
  <c r="BT371" i="39"/>
  <c r="BU78" i="39"/>
  <c r="BT78" i="39"/>
  <c r="BU63" i="39"/>
  <c r="BT63" i="39"/>
  <c r="BT361" i="39"/>
  <c r="BU361" i="39"/>
  <c r="BU111" i="39"/>
  <c r="BT111" i="39"/>
  <c r="BT314" i="39"/>
  <c r="BU314" i="39"/>
  <c r="BU276" i="39"/>
  <c r="BT276" i="39"/>
  <c r="BU293" i="39"/>
  <c r="BT293" i="39"/>
  <c r="BU213" i="39"/>
  <c r="BT213" i="39"/>
  <c r="BU297" i="39"/>
  <c r="BT297" i="39"/>
  <c r="BU118" i="39"/>
  <c r="BT118" i="39"/>
  <c r="BU366" i="39"/>
  <c r="BT366" i="39"/>
  <c r="BT139" i="39"/>
  <c r="BU139" i="39"/>
  <c r="BT331" i="39"/>
  <c r="BU331" i="39"/>
  <c r="CH124" i="39"/>
  <c r="CJ124" i="39" s="1"/>
  <c r="CK124" i="39" s="1"/>
  <c r="CE124" i="39"/>
  <c r="CF124" i="39" s="1"/>
  <c r="CH41" i="39"/>
  <c r="CJ41" i="39" s="1"/>
  <c r="CK41" i="39" s="1"/>
  <c r="CE41" i="39"/>
  <c r="CH64" i="39"/>
  <c r="CJ64" i="39" s="1"/>
  <c r="CK64" i="39" s="1"/>
  <c r="CE64" i="39"/>
  <c r="CF64" i="39" s="1"/>
  <c r="CH390" i="39"/>
  <c r="CJ390" i="39" s="1"/>
  <c r="CK390" i="39" s="1"/>
  <c r="CE390" i="39"/>
  <c r="CH24" i="39"/>
  <c r="CJ24" i="39" s="1"/>
  <c r="CK24" i="39" s="1"/>
  <c r="CE24" i="39"/>
  <c r="CF24" i="39" s="1"/>
  <c r="CH247" i="39"/>
  <c r="CJ247" i="39" s="1"/>
  <c r="CK247" i="39" s="1"/>
  <c r="CE247" i="39"/>
  <c r="BU355" i="39"/>
  <c r="BT355" i="39"/>
  <c r="BU337" i="39"/>
  <c r="BT337" i="39"/>
  <c r="BT343" i="39"/>
  <c r="BU343" i="39"/>
  <c r="CE386" i="39"/>
  <c r="CH380" i="39"/>
  <c r="CJ380" i="39" s="1"/>
  <c r="CK380" i="39" s="1"/>
  <c r="CE380" i="39"/>
  <c r="CF380" i="39" s="1"/>
  <c r="CH245" i="39"/>
  <c r="CJ245" i="39" s="1"/>
  <c r="CK245" i="39" s="1"/>
  <c r="CE245" i="39"/>
  <c r="BT273" i="39"/>
  <c r="BU273" i="39"/>
  <c r="BU108" i="39"/>
  <c r="BT108" i="39"/>
  <c r="BT364" i="39"/>
  <c r="BU364" i="39"/>
  <c r="BU315" i="39"/>
  <c r="BT315" i="39"/>
  <c r="BU298" i="39"/>
  <c r="BT298" i="39"/>
  <c r="BU66" i="39"/>
  <c r="BT66" i="39"/>
  <c r="BU287" i="39"/>
  <c r="BT287" i="39"/>
  <c r="BU208" i="39"/>
  <c r="BT208" i="39"/>
  <c r="BU109" i="39"/>
  <c r="BT109" i="39"/>
  <c r="BT97" i="39"/>
  <c r="BU97" i="39"/>
  <c r="BU353" i="39"/>
  <c r="BT353" i="39"/>
  <c r="BU74" i="39"/>
  <c r="BT74" i="39"/>
  <c r="BT79" i="39"/>
  <c r="BU79" i="39"/>
  <c r="BU4" i="39"/>
  <c r="BT4" i="39"/>
  <c r="BU327" i="39"/>
  <c r="BT327" i="39"/>
  <c r="BU317" i="39"/>
  <c r="BT317" i="39"/>
  <c r="BU60" i="39"/>
  <c r="BT60" i="39"/>
  <c r="BT324" i="39"/>
  <c r="BU324" i="39"/>
  <c r="BU358" i="39"/>
  <c r="BT358" i="39"/>
  <c r="BT181" i="39"/>
  <c r="BU181" i="39"/>
  <c r="BU319" i="39"/>
  <c r="BT319" i="39"/>
  <c r="CH21" i="39"/>
  <c r="CJ21" i="39" s="1"/>
  <c r="CK21" i="39" s="1"/>
  <c r="CE21" i="39"/>
  <c r="CF21" i="39" s="1"/>
  <c r="CH156" i="39"/>
  <c r="CJ156" i="39" s="1"/>
  <c r="CK156" i="39" s="1"/>
  <c r="CE156" i="39"/>
  <c r="BT370" i="39"/>
  <c r="BU370" i="39"/>
  <c r="BU294" i="39"/>
  <c r="BT294" i="39"/>
  <c r="BU307" i="39"/>
  <c r="BT307" i="39"/>
  <c r="CH44" i="39"/>
  <c r="CJ44" i="39" s="1"/>
  <c r="CK44" i="39" s="1"/>
  <c r="CE44" i="39"/>
  <c r="BU172" i="39"/>
  <c r="BT172" i="39"/>
  <c r="BU216" i="39"/>
  <c r="BT216" i="39"/>
  <c r="BT356" i="39"/>
  <c r="BU356" i="39"/>
  <c r="BU278" i="39"/>
  <c r="BT278" i="39"/>
  <c r="BU304" i="39"/>
  <c r="BT304" i="39"/>
  <c r="BU207" i="39"/>
  <c r="BT207" i="39"/>
  <c r="BU300" i="39"/>
  <c r="BT300" i="39"/>
  <c r="BU209" i="39"/>
  <c r="BT209" i="39"/>
  <c r="BU289" i="39"/>
  <c r="BT289" i="39"/>
  <c r="BT154" i="39"/>
  <c r="BU154" i="39"/>
  <c r="BU376" i="39"/>
  <c r="BT376" i="39"/>
  <c r="BU122" i="39"/>
  <c r="BT122" i="39"/>
  <c r="BT291" i="39"/>
  <c r="BU291" i="39"/>
  <c r="BU308" i="39"/>
  <c r="BT308" i="39"/>
  <c r="BU13" i="39"/>
  <c r="BT13" i="39"/>
  <c r="BU367" i="39"/>
  <c r="BT367" i="39"/>
  <c r="BU339" i="39"/>
  <c r="BT339" i="39"/>
  <c r="BT332" i="39"/>
  <c r="BU332" i="39"/>
  <c r="BU55" i="39"/>
  <c r="BT55" i="39"/>
  <c r="BU301" i="39"/>
  <c r="BT301" i="39"/>
  <c r="BU292" i="39"/>
  <c r="BT292" i="39"/>
  <c r="CH225" i="39"/>
  <c r="CJ225" i="39" s="1"/>
  <c r="CK225" i="39" s="1"/>
  <c r="CE225" i="39"/>
  <c r="CH243" i="39"/>
  <c r="CJ243" i="39" s="1"/>
  <c r="CK243" i="39" s="1"/>
  <c r="CE243" i="39"/>
  <c r="CH164" i="39"/>
  <c r="CJ164" i="39" s="1"/>
  <c r="CK164" i="39" s="1"/>
  <c r="CE164" i="39"/>
  <c r="CF164" i="39" s="1"/>
  <c r="CH389" i="39"/>
  <c r="CJ389" i="39" s="1"/>
  <c r="CK389" i="39" s="1"/>
  <c r="CE389" i="39"/>
  <c r="CH233" i="39"/>
  <c r="CJ233" i="39" s="1"/>
  <c r="CK233" i="39" s="1"/>
  <c r="CE233" i="39"/>
  <c r="CH230" i="39"/>
  <c r="CJ230" i="39" s="1"/>
  <c r="CK230" i="39" s="1"/>
  <c r="CE230" i="39"/>
  <c r="CF230" i="39" s="1"/>
  <c r="BT211" i="39"/>
  <c r="BU211" i="39"/>
  <c r="BU119" i="39"/>
  <c r="BT119" i="39"/>
  <c r="BU186" i="39"/>
  <c r="BT186" i="39"/>
  <c r="CE129" i="39"/>
  <c r="CH383" i="39"/>
  <c r="CJ383" i="39" s="1"/>
  <c r="CK383" i="39" s="1"/>
  <c r="CE383" i="39"/>
  <c r="CH246" i="39"/>
  <c r="CJ246" i="39" s="1"/>
  <c r="CK246" i="39" s="1"/>
  <c r="CE246" i="39"/>
  <c r="CF246" i="39" s="1"/>
  <c r="BU65" i="39"/>
  <c r="BT65" i="39"/>
  <c r="BT325" i="39"/>
  <c r="BU325" i="39"/>
  <c r="BU281" i="39"/>
  <c r="BT281" i="39"/>
  <c r="BU130" i="39"/>
  <c r="BT130" i="39"/>
  <c r="BU348" i="39"/>
  <c r="BT348" i="39"/>
  <c r="BU73" i="39"/>
  <c r="BT73" i="39"/>
  <c r="BU326" i="39"/>
  <c r="BT326" i="39"/>
  <c r="BU362" i="39"/>
  <c r="BT362" i="39"/>
  <c r="BU138" i="39"/>
  <c r="BT138" i="39"/>
  <c r="BU250" i="39"/>
  <c r="BT250" i="39"/>
  <c r="BT329" i="39"/>
  <c r="BU329" i="39"/>
  <c r="BU286" i="39"/>
  <c r="BT286" i="39"/>
  <c r="BU282" i="39"/>
  <c r="BT282" i="39"/>
  <c r="BU110" i="39"/>
  <c r="BT110" i="39"/>
  <c r="BU305" i="39"/>
  <c r="BT305" i="39"/>
  <c r="BU359" i="39"/>
  <c r="BT359" i="39"/>
  <c r="BU338" i="39"/>
  <c r="BT338" i="39"/>
  <c r="BU3" i="39"/>
  <c r="BT3" i="39"/>
  <c r="BU113" i="39"/>
  <c r="BT113" i="39"/>
  <c r="BU75" i="39"/>
  <c r="BT75" i="39"/>
  <c r="BU206" i="39"/>
  <c r="BT206" i="39"/>
  <c r="CH20" i="39"/>
  <c r="CJ20" i="39" s="1"/>
  <c r="CK20" i="39" s="1"/>
  <c r="CE20" i="39"/>
  <c r="CF20" i="39" s="1"/>
  <c r="CH235" i="39"/>
  <c r="CJ235" i="39" s="1"/>
  <c r="CK235" i="39" s="1"/>
  <c r="CE235" i="39"/>
  <c r="CH165" i="39"/>
  <c r="CJ165" i="39" s="1"/>
  <c r="CK165" i="39" s="1"/>
  <c r="CE165" i="39"/>
  <c r="BU132" i="39"/>
  <c r="BT132" i="39"/>
  <c r="BU195" i="39"/>
  <c r="BT195" i="39"/>
  <c r="BT105" i="39"/>
  <c r="BU105" i="39"/>
  <c r="CH168" i="39"/>
  <c r="CJ168" i="39" s="1"/>
  <c r="CK168" i="39" s="1"/>
  <c r="CE168" i="39"/>
  <c r="CH393" i="39"/>
  <c r="CJ393" i="39" s="1"/>
  <c r="CK393" i="39" s="1"/>
  <c r="CE393" i="39"/>
  <c r="CH239" i="39"/>
  <c r="CJ239" i="39" s="1"/>
  <c r="CK239" i="39" s="1"/>
  <c r="CE239" i="39"/>
  <c r="BU365" i="39"/>
  <c r="BT365" i="39"/>
  <c r="BU310" i="39"/>
  <c r="BT310" i="39"/>
  <c r="BU330" i="39"/>
  <c r="BT330" i="39"/>
  <c r="BU318" i="39"/>
  <c r="BT318" i="39"/>
  <c r="BU311" i="39"/>
  <c r="BT311" i="39"/>
  <c r="BU54" i="39"/>
  <c r="BT54" i="39"/>
  <c r="BU136" i="39"/>
  <c r="BT136" i="39"/>
  <c r="BT285" i="39"/>
  <c r="BU285" i="39"/>
  <c r="BU354" i="39"/>
  <c r="BT354" i="39"/>
  <c r="BU184" i="39"/>
  <c r="BT184" i="39"/>
  <c r="BU284" i="39"/>
  <c r="BT284" i="39"/>
  <c r="BU288" i="39"/>
  <c r="BT288" i="39"/>
  <c r="BU143" i="39"/>
  <c r="BT143" i="39"/>
  <c r="BU312" i="39"/>
  <c r="BT312" i="39"/>
  <c r="BU106" i="39"/>
  <c r="BT106" i="39"/>
  <c r="BU333" i="39"/>
  <c r="BT333" i="39"/>
  <c r="BU185" i="39"/>
  <c r="BT185" i="39"/>
  <c r="BU303" i="39"/>
  <c r="BT303" i="39"/>
  <c r="BU137" i="39"/>
  <c r="BT137" i="39"/>
  <c r="BU52" i="39"/>
  <c r="BT52" i="39"/>
  <c r="BU349" i="39"/>
  <c r="BT349" i="39"/>
  <c r="BU302" i="39"/>
  <c r="BT302" i="39"/>
  <c r="CH241" i="39"/>
  <c r="CJ241" i="39" s="1"/>
  <c r="CK241" i="39" s="1"/>
  <c r="CE241" i="39"/>
  <c r="CH128" i="39"/>
  <c r="CJ128" i="39" s="1"/>
  <c r="CK128" i="39" s="1"/>
  <c r="CE128" i="39"/>
  <c r="CH98" i="39"/>
  <c r="CJ98" i="39" s="1"/>
  <c r="CK98" i="39" s="1"/>
  <c r="CE98" i="39"/>
  <c r="CH47" i="39"/>
  <c r="CJ47" i="39" s="1"/>
  <c r="CK47" i="39" s="1"/>
  <c r="CE47" i="39"/>
  <c r="CH50" i="39"/>
  <c r="CJ50" i="39" s="1"/>
  <c r="CK50" i="39" s="1"/>
  <c r="CE50" i="39"/>
  <c r="CF50" i="39" s="1"/>
  <c r="CH167" i="39"/>
  <c r="CJ167" i="39" s="1"/>
  <c r="CK167" i="39" s="1"/>
  <c r="CE167" i="39"/>
  <c r="BU290" i="39"/>
  <c r="BT290" i="39"/>
  <c r="BT171" i="39"/>
  <c r="BU171" i="39"/>
  <c r="BU313" i="39"/>
  <c r="BT313" i="39"/>
  <c r="CE33" i="39"/>
  <c r="CE204" i="39"/>
  <c r="BU357" i="39"/>
  <c r="BT357" i="39"/>
  <c r="BU335" i="39"/>
  <c r="BT335" i="39"/>
  <c r="BT67" i="39"/>
  <c r="BU67" i="39"/>
  <c r="BU351" i="39"/>
  <c r="BT351" i="39"/>
  <c r="BU14" i="39"/>
  <c r="BT14" i="39"/>
  <c r="BU104" i="39"/>
  <c r="BT104" i="39"/>
  <c r="BU53" i="39"/>
  <c r="BT53" i="39"/>
  <c r="BT189" i="39"/>
  <c r="BU189" i="39"/>
  <c r="BU214" i="39"/>
  <c r="BT214" i="39"/>
  <c r="BU107" i="39"/>
  <c r="BT107" i="39"/>
  <c r="BU170" i="39"/>
  <c r="BT170" i="39"/>
  <c r="BU341" i="39"/>
  <c r="BT341" i="39"/>
  <c r="BT51" i="39"/>
  <c r="BU51" i="39"/>
  <c r="BU360" i="39"/>
  <c r="BT360" i="39"/>
  <c r="BU194" i="39"/>
  <c r="BT194" i="39"/>
  <c r="BU77" i="39"/>
  <c r="BT77" i="39"/>
  <c r="BU2" i="39"/>
  <c r="BT2" i="39"/>
  <c r="BU215" i="39"/>
  <c r="BT215" i="39"/>
  <c r="BU345" i="39"/>
  <c r="BT345" i="39"/>
  <c r="BU274" i="39"/>
  <c r="BT274" i="39"/>
  <c r="BU299" i="39"/>
  <c r="BT299" i="39"/>
  <c r="CH177" i="39"/>
  <c r="CJ177" i="39" s="1"/>
  <c r="CK177" i="39" s="1"/>
  <c r="CE177" i="39"/>
  <c r="CF177" i="39" s="1"/>
  <c r="CH157" i="39"/>
  <c r="CJ157" i="39" s="1"/>
  <c r="CK157" i="39" s="1"/>
  <c r="CE157" i="39"/>
  <c r="CF157" i="39" s="1"/>
  <c r="CH155" i="39"/>
  <c r="CJ155" i="39" s="1"/>
  <c r="CK155" i="39" s="1"/>
  <c r="CE155" i="39"/>
  <c r="CH242" i="39"/>
  <c r="CJ242" i="39" s="1"/>
  <c r="CK242" i="39" s="1"/>
  <c r="CE242" i="39"/>
  <c r="CF242" i="39" s="1"/>
  <c r="BU309" i="39"/>
  <c r="BT309" i="39"/>
  <c r="BU323" i="39"/>
  <c r="BT323" i="39"/>
  <c r="BU336" i="39"/>
  <c r="BT336" i="39"/>
  <c r="CE36" i="39"/>
  <c r="CE232" i="39"/>
  <c r="CF232" i="39" s="1"/>
  <c r="CH40" i="39"/>
  <c r="CJ40" i="39" s="1"/>
  <c r="CK40" i="39" s="1"/>
  <c r="CE40" i="39"/>
  <c r="BU316" i="39"/>
  <c r="BT316" i="39"/>
  <c r="BU182" i="39"/>
  <c r="BT182" i="39"/>
  <c r="BT249" i="39"/>
  <c r="BU249" i="39"/>
  <c r="BU379" i="39"/>
  <c r="BT379" i="39"/>
  <c r="BU183" i="39"/>
  <c r="BT183" i="39"/>
  <c r="BU363" i="39"/>
  <c r="BT363" i="39"/>
  <c r="BU296" i="39"/>
  <c r="BT296" i="39"/>
  <c r="BT112" i="39"/>
  <c r="BU112" i="39"/>
  <c r="BU295" i="39"/>
  <c r="BT295" i="39"/>
  <c r="BU328" i="39"/>
  <c r="BT328" i="39"/>
  <c r="BU169" i="39"/>
  <c r="BT169" i="39"/>
  <c r="BU279" i="39"/>
  <c r="BT279" i="39"/>
  <c r="BU334" i="39"/>
  <c r="BT334" i="39"/>
  <c r="BU352" i="39"/>
  <c r="BT352" i="39"/>
  <c r="BU377" i="39"/>
  <c r="BT377" i="39"/>
  <c r="BU283" i="39"/>
  <c r="BT283" i="39"/>
  <c r="BU340" i="39"/>
  <c r="BT340" i="39"/>
  <c r="BU346" i="39"/>
  <c r="BT346" i="39"/>
  <c r="BU321" i="39"/>
  <c r="BT321" i="39"/>
  <c r="BU210" i="39"/>
  <c r="BT210" i="39"/>
  <c r="BT306" i="39"/>
  <c r="BU306" i="39"/>
  <c r="CH30" i="39"/>
  <c r="CJ30" i="39" s="1"/>
  <c r="CK30" i="39" s="1"/>
  <c r="CE30" i="39"/>
  <c r="CF30" i="39" s="1"/>
  <c r="CH221" i="39"/>
  <c r="CJ221" i="39" s="1"/>
  <c r="CK221" i="39" s="1"/>
  <c r="CE221" i="39"/>
  <c r="CF221" i="39" s="1"/>
  <c r="CH227" i="39"/>
  <c r="CJ227" i="39" s="1"/>
  <c r="CK227" i="39" s="1"/>
  <c r="CE227" i="39"/>
  <c r="CH19" i="39"/>
  <c r="CJ19" i="39" s="1"/>
  <c r="CK19" i="39" s="1"/>
  <c r="CE19" i="39"/>
  <c r="CF19" i="39" s="1"/>
  <c r="CH27" i="39"/>
  <c r="CJ27" i="39" s="1"/>
  <c r="CK27" i="39" s="1"/>
  <c r="CE27" i="39"/>
  <c r="CB26" i="39"/>
  <c r="CB381" i="39"/>
  <c r="BR177" i="39"/>
  <c r="CB49" i="39"/>
  <c r="CB98" i="39"/>
  <c r="BR238" i="39"/>
  <c r="CB204" i="39"/>
  <c r="CB22" i="39"/>
  <c r="CB35" i="39"/>
  <c r="BR157" i="39"/>
  <c r="CB155" i="39"/>
  <c r="CB41" i="39"/>
  <c r="BR219" i="39"/>
  <c r="CB162" i="39"/>
  <c r="BR389" i="39"/>
  <c r="CB389" i="39"/>
  <c r="CB33" i="39"/>
  <c r="CB192" i="39"/>
  <c r="CB382" i="39"/>
  <c r="CB28" i="39"/>
  <c r="CB129" i="39"/>
  <c r="CB220" i="39"/>
  <c r="CB247" i="39"/>
  <c r="BR247" i="39"/>
  <c r="BR44" i="39"/>
  <c r="CB44" i="39"/>
  <c r="CB228" i="39"/>
  <c r="CB386" i="39"/>
  <c r="BR161" i="39"/>
  <c r="CB161" i="39"/>
  <c r="CB168" i="39"/>
  <c r="BR168" i="39"/>
  <c r="CB152" i="39"/>
  <c r="BR393" i="39"/>
  <c r="CB393" i="39"/>
  <c r="CB48" i="39"/>
  <c r="BR159" i="39"/>
  <c r="CB159" i="39"/>
  <c r="BR18" i="39"/>
  <c r="CB18" i="39"/>
  <c r="BR165" i="39"/>
  <c r="CB165" i="39"/>
  <c r="BR175" i="39"/>
  <c r="CB175" i="39"/>
  <c r="CB25" i="39"/>
  <c r="BR40" i="39"/>
  <c r="CB40" i="39"/>
  <c r="CB229" i="39"/>
  <c r="CB176" i="39"/>
  <c r="BR227" i="39"/>
  <c r="CB227" i="39"/>
  <c r="BR203" i="39"/>
  <c r="CB203" i="39"/>
  <c r="CB45" i="39"/>
  <c r="BR156" i="39"/>
  <c r="CB156" i="39"/>
  <c r="CB391" i="39"/>
  <c r="BR29" i="39"/>
  <c r="CB29" i="39"/>
  <c r="BR383" i="39"/>
  <c r="CB383" i="39"/>
  <c r="BR231" i="39"/>
  <c r="CB231" i="39"/>
  <c r="BR243" i="39"/>
  <c r="CB243" i="39"/>
  <c r="BR245" i="39"/>
  <c r="CB245" i="39"/>
  <c r="BR233" i="39"/>
  <c r="CB233" i="39"/>
  <c r="BR225" i="39"/>
  <c r="CB225" i="39"/>
  <c r="BR390" i="39"/>
  <c r="CB390" i="39"/>
  <c r="BR128" i="39"/>
  <c r="CB128" i="39"/>
  <c r="BR235" i="39"/>
  <c r="CB235" i="39"/>
  <c r="CB224" i="39"/>
  <c r="CB223" i="39"/>
  <c r="BR47" i="39"/>
  <c r="CB47" i="39"/>
  <c r="CB43" i="39"/>
  <c r="CB42" i="39"/>
  <c r="BR239" i="39"/>
  <c r="CB239" i="39"/>
  <c r="CB226" i="39"/>
  <c r="CB32" i="39"/>
  <c r="BR27" i="39"/>
  <c r="CB27" i="39"/>
  <c r="CB385" i="39"/>
  <c r="CB202" i="39"/>
  <c r="CB36" i="39"/>
  <c r="BR241" i="39"/>
  <c r="CB241" i="39"/>
  <c r="BR167" i="39"/>
  <c r="CB167" i="39"/>
  <c r="CB237" i="39"/>
  <c r="BZ46" i="39" l="1"/>
  <c r="BZ123" i="39"/>
  <c r="BZ17" i="39"/>
  <c r="BZ177" i="39"/>
  <c r="BZ19" i="39"/>
  <c r="BZ380" i="39"/>
  <c r="BZ131" i="39"/>
  <c r="BZ124" i="39"/>
  <c r="BZ31" i="39"/>
  <c r="BZ163" i="39"/>
  <c r="BZ20" i="39"/>
  <c r="BZ157" i="39"/>
  <c r="BZ166" i="39"/>
  <c r="BZ219" i="39"/>
  <c r="BZ164" i="39"/>
  <c r="CF192" i="39"/>
  <c r="BZ192" i="39" s="1"/>
  <c r="CF228" i="39"/>
  <c r="CF152" i="39"/>
  <c r="BZ152" i="39" s="1"/>
  <c r="CF229" i="39"/>
  <c r="CF25" i="39"/>
  <c r="BZ25" i="39" s="1"/>
  <c r="CF220" i="39"/>
  <c r="CF35" i="39"/>
  <c r="CF29" i="39"/>
  <c r="BZ29" i="39" s="1"/>
  <c r="CF161" i="39"/>
  <c r="CF32" i="39"/>
  <c r="BZ32" i="39" s="1"/>
  <c r="CF243" i="39"/>
  <c r="CF247" i="39"/>
  <c r="CF49" i="39"/>
  <c r="BZ49" i="39" s="1"/>
  <c r="CF48" i="39"/>
  <c r="CF381" i="39"/>
  <c r="CF41" i="39"/>
  <c r="CF36" i="39"/>
  <c r="BZ36" i="39" s="1"/>
  <c r="CF383" i="39"/>
  <c r="CF382" i="39"/>
  <c r="CF223" i="39"/>
  <c r="CF22" i="39"/>
  <c r="BZ22" i="39" s="1"/>
  <c r="CF18" i="39"/>
  <c r="BZ18" i="39" s="1"/>
  <c r="CF45" i="39"/>
  <c r="BZ45" i="39" s="1"/>
  <c r="CF224" i="39"/>
  <c r="CF225" i="39"/>
  <c r="CF203" i="39"/>
  <c r="BZ203" i="39" s="1"/>
  <c r="CF235" i="39"/>
  <c r="CF386" i="39"/>
  <c r="CF28" i="39"/>
  <c r="CF162" i="39"/>
  <c r="BZ162" i="39" s="1"/>
  <c r="CF42" i="39"/>
  <c r="BZ42" i="39" s="1"/>
  <c r="CF175" i="39"/>
  <c r="BZ175" i="39" s="1"/>
  <c r="CF226" i="39"/>
  <c r="CF129" i="39"/>
  <c r="BZ129" i="39" s="1"/>
  <c r="CF385" i="39"/>
  <c r="CF128" i="39"/>
  <c r="BZ128" i="39" s="1"/>
  <c r="CF167" i="39"/>
  <c r="BZ167" i="39" s="1"/>
  <c r="CF204" i="39"/>
  <c r="BZ204" i="39" s="1"/>
  <c r="CF26" i="39"/>
  <c r="BZ26" i="39" s="1"/>
  <c r="CF239" i="39"/>
  <c r="CF176" i="39"/>
  <c r="CF27" i="39"/>
  <c r="CF33" i="39"/>
  <c r="CF98" i="39"/>
  <c r="BZ98" i="39" s="1"/>
  <c r="CF391" i="39"/>
  <c r="CF155" i="39"/>
  <c r="BZ155" i="39" s="1"/>
  <c r="CF159" i="39"/>
  <c r="BZ159" i="39" s="1"/>
  <c r="CF389" i="39"/>
  <c r="CF43" i="39"/>
  <c r="BZ43" i="39" s="1"/>
  <c r="CF156" i="39"/>
  <c r="BZ156" i="39" s="1"/>
  <c r="CF44" i="39"/>
  <c r="CF202" i="39"/>
  <c r="BZ202" i="39" s="1"/>
  <c r="CF237" i="39"/>
  <c r="CF165" i="39"/>
  <c r="BZ165" i="39" s="1"/>
  <c r="CF47" i="39"/>
  <c r="BZ47" i="39" s="1"/>
  <c r="CF390" i="39"/>
  <c r="CF168" i="39"/>
  <c r="CF245" i="39"/>
  <c r="CF40" i="39"/>
  <c r="CE306" i="39"/>
  <c r="CF306" i="39" s="1"/>
  <c r="CH306" i="39"/>
  <c r="CJ306" i="39" s="1"/>
  <c r="CK306" i="39" s="1"/>
  <c r="CH170" i="39"/>
  <c r="CE170" i="39"/>
  <c r="CF170" i="39" s="1"/>
  <c r="BZ170" i="39" s="1"/>
  <c r="AY170" i="39" s="1"/>
  <c r="CI170" i="39" s="1"/>
  <c r="CH137" i="39"/>
  <c r="CE137" i="39"/>
  <c r="CF137" i="39" s="1"/>
  <c r="BZ137" i="39" s="1"/>
  <c r="AY137" i="39" s="1"/>
  <c r="CI137" i="39" s="1"/>
  <c r="CE136" i="39"/>
  <c r="CF136" i="39" s="1"/>
  <c r="BZ136" i="39" s="1"/>
  <c r="AY136" i="39" s="1"/>
  <c r="CI136" i="39" s="1"/>
  <c r="CH136" i="39"/>
  <c r="CH206" i="39"/>
  <c r="CJ206" i="39" s="1"/>
  <c r="CK206" i="39" s="1"/>
  <c r="CE206" i="39"/>
  <c r="CF206" i="39" s="1"/>
  <c r="CH348" i="39"/>
  <c r="CJ348" i="39" s="1"/>
  <c r="CK348" i="39" s="1"/>
  <c r="CE348" i="39"/>
  <c r="CF348" i="39" s="1"/>
  <c r="CH216" i="39"/>
  <c r="CJ216" i="39" s="1"/>
  <c r="CK216" i="39" s="1"/>
  <c r="CE216" i="39"/>
  <c r="CF216" i="39" s="1"/>
  <c r="CE60" i="39"/>
  <c r="CF60" i="39" s="1"/>
  <c r="BZ60" i="39" s="1"/>
  <c r="AY60" i="39" s="1"/>
  <c r="CI60" i="39" s="1"/>
  <c r="CH60" i="39"/>
  <c r="CH276" i="39"/>
  <c r="CJ276" i="39" s="1"/>
  <c r="CK276" i="39" s="1"/>
  <c r="CE276" i="39"/>
  <c r="CF276" i="39" s="1"/>
  <c r="CH210" i="39"/>
  <c r="CJ210" i="39" s="1"/>
  <c r="CK210" i="39" s="1"/>
  <c r="CE210" i="39"/>
  <c r="CF210" i="39" s="1"/>
  <c r="CE283" i="39"/>
  <c r="CF283" i="39" s="1"/>
  <c r="CH283" i="39"/>
  <c r="CJ283" i="39" s="1"/>
  <c r="CK283" i="39" s="1"/>
  <c r="CH279" i="39"/>
  <c r="CJ279" i="39" s="1"/>
  <c r="CK279" i="39" s="1"/>
  <c r="CE279" i="39"/>
  <c r="CF279" i="39" s="1"/>
  <c r="CH379" i="39"/>
  <c r="CJ379" i="39" s="1"/>
  <c r="CK379" i="39" s="1"/>
  <c r="CE379" i="39"/>
  <c r="CF379" i="39" s="1"/>
  <c r="CE67" i="39"/>
  <c r="CF67" i="39" s="1"/>
  <c r="BZ67" i="39" s="1"/>
  <c r="AY67" i="39" s="1"/>
  <c r="CI67" i="39" s="1"/>
  <c r="CH67" i="39"/>
  <c r="CH119" i="39"/>
  <c r="CJ119" i="39" s="1"/>
  <c r="CK119" i="39" s="1"/>
  <c r="CE119" i="39"/>
  <c r="CF119" i="39" s="1"/>
  <c r="CH332" i="39"/>
  <c r="CJ332" i="39" s="1"/>
  <c r="CK332" i="39" s="1"/>
  <c r="CE332" i="39"/>
  <c r="CF332" i="39" s="1"/>
  <c r="CH154" i="39"/>
  <c r="CE154" i="39"/>
  <c r="CF154" i="39" s="1"/>
  <c r="BZ154" i="39" s="1"/>
  <c r="AY154" i="39" s="1"/>
  <c r="CI154" i="39" s="1"/>
  <c r="CH79" i="39"/>
  <c r="CJ79" i="39" s="1"/>
  <c r="CK79" i="39" s="1"/>
  <c r="CE79" i="39"/>
  <c r="CF79" i="39" s="1"/>
  <c r="CH273" i="39"/>
  <c r="CJ273" i="39" s="1"/>
  <c r="CK273" i="39" s="1"/>
  <c r="CE273" i="39"/>
  <c r="CF273" i="39" s="1"/>
  <c r="CH343" i="39"/>
  <c r="CJ343" i="39" s="1"/>
  <c r="CK343" i="39" s="1"/>
  <c r="CE343" i="39"/>
  <c r="CF343" i="39" s="1"/>
  <c r="CE323" i="39"/>
  <c r="CF323" i="39" s="1"/>
  <c r="CH323" i="39"/>
  <c r="CJ323" i="39" s="1"/>
  <c r="CK323" i="39" s="1"/>
  <c r="CE313" i="39"/>
  <c r="CF313" i="39" s="1"/>
  <c r="CH313" i="39"/>
  <c r="CJ313" i="39" s="1"/>
  <c r="CK313" i="39" s="1"/>
  <c r="CH106" i="39"/>
  <c r="CE106" i="39"/>
  <c r="CF106" i="39" s="1"/>
  <c r="BZ106" i="39" s="1"/>
  <c r="AY106" i="39" s="1"/>
  <c r="CI106" i="39" s="1"/>
  <c r="CH132" i="39"/>
  <c r="CE132" i="39"/>
  <c r="CF132" i="39" s="1"/>
  <c r="BZ132" i="39" s="1"/>
  <c r="AY132" i="39" s="1"/>
  <c r="CI132" i="39" s="1"/>
  <c r="CH338" i="39"/>
  <c r="CJ338" i="39" s="1"/>
  <c r="CK338" i="39" s="1"/>
  <c r="CE338" i="39"/>
  <c r="CF338" i="39" s="1"/>
  <c r="CH65" i="39"/>
  <c r="CE65" i="39"/>
  <c r="CF65" i="39" s="1"/>
  <c r="BZ65" i="39" s="1"/>
  <c r="AY65" i="39" s="1"/>
  <c r="CI65" i="39" s="1"/>
  <c r="CE207" i="39"/>
  <c r="CF207" i="39" s="1"/>
  <c r="BZ207" i="39" s="1"/>
  <c r="AY207" i="39" s="1"/>
  <c r="CI207" i="39" s="1"/>
  <c r="CH207" i="39"/>
  <c r="CH277" i="39"/>
  <c r="CJ277" i="39" s="1"/>
  <c r="CK277" i="39" s="1"/>
  <c r="CE277" i="39"/>
  <c r="CF277" i="39" s="1"/>
  <c r="CF233" i="39"/>
  <c r="CF231" i="39"/>
  <c r="CF393" i="39"/>
  <c r="CE112" i="39"/>
  <c r="CF112" i="39" s="1"/>
  <c r="CH112" i="39"/>
  <c r="CJ112" i="39" s="1"/>
  <c r="CK112" i="39" s="1"/>
  <c r="CH309" i="39"/>
  <c r="CJ309" i="39" s="1"/>
  <c r="CK309" i="39" s="1"/>
  <c r="CE309" i="39"/>
  <c r="CF309" i="39" s="1"/>
  <c r="CH215" i="39"/>
  <c r="CE215" i="39"/>
  <c r="CF215" i="39" s="1"/>
  <c r="BZ215" i="39" s="1"/>
  <c r="AY215" i="39" s="1"/>
  <c r="CI215" i="39" s="1"/>
  <c r="CH360" i="39"/>
  <c r="CJ360" i="39" s="1"/>
  <c r="CK360" i="39" s="1"/>
  <c r="CE360" i="39"/>
  <c r="CF360" i="39" s="1"/>
  <c r="CE107" i="39"/>
  <c r="CF107" i="39" s="1"/>
  <c r="BZ107" i="39" s="1"/>
  <c r="AY107" i="39" s="1"/>
  <c r="CI107" i="39" s="1"/>
  <c r="CH107" i="39"/>
  <c r="CH104" i="39"/>
  <c r="CE104" i="39"/>
  <c r="CF104" i="39" s="1"/>
  <c r="BZ104" i="39" s="1"/>
  <c r="AY104" i="39" s="1"/>
  <c r="CI104" i="39" s="1"/>
  <c r="CH335" i="39"/>
  <c r="CJ335" i="39" s="1"/>
  <c r="CK335" i="39" s="1"/>
  <c r="CE335" i="39"/>
  <c r="CF335" i="39" s="1"/>
  <c r="CH302" i="39"/>
  <c r="CJ302" i="39" s="1"/>
  <c r="CK302" i="39" s="1"/>
  <c r="CE302" i="39"/>
  <c r="CF302" i="39" s="1"/>
  <c r="CE303" i="39"/>
  <c r="CF303" i="39" s="1"/>
  <c r="CH303" i="39"/>
  <c r="CJ303" i="39" s="1"/>
  <c r="CK303" i="39" s="1"/>
  <c r="CE312" i="39"/>
  <c r="CF312" i="39" s="1"/>
  <c r="CH312" i="39"/>
  <c r="CJ312" i="39" s="1"/>
  <c r="CK312" i="39" s="1"/>
  <c r="CH184" i="39"/>
  <c r="CE184" i="39"/>
  <c r="CF184" i="39" s="1"/>
  <c r="BZ184" i="39" s="1"/>
  <c r="AY184" i="39" s="1"/>
  <c r="CI184" i="39" s="1"/>
  <c r="CE54" i="39"/>
  <c r="CF54" i="39" s="1"/>
  <c r="BZ54" i="39" s="1"/>
  <c r="AY54" i="39" s="1"/>
  <c r="CI54" i="39" s="1"/>
  <c r="CH54" i="39"/>
  <c r="CH310" i="39"/>
  <c r="CJ310" i="39" s="1"/>
  <c r="CK310" i="39" s="1"/>
  <c r="CE310" i="39"/>
  <c r="CF310" i="39" s="1"/>
  <c r="CH75" i="39"/>
  <c r="CJ75" i="39" s="1"/>
  <c r="CK75" i="39" s="1"/>
  <c r="CE75" i="39"/>
  <c r="CF75" i="39" s="1"/>
  <c r="CH359" i="39"/>
  <c r="CJ359" i="39" s="1"/>
  <c r="CK359" i="39" s="1"/>
  <c r="CE359" i="39"/>
  <c r="CF359" i="39" s="1"/>
  <c r="CH286" i="39"/>
  <c r="CJ286" i="39" s="1"/>
  <c r="CK286" i="39" s="1"/>
  <c r="CE286" i="39"/>
  <c r="CF286" i="39" s="1"/>
  <c r="CE362" i="39"/>
  <c r="CF362" i="39" s="1"/>
  <c r="CH362" i="39"/>
  <c r="CJ362" i="39" s="1"/>
  <c r="CK362" i="39" s="1"/>
  <c r="CH130" i="39"/>
  <c r="CJ130" i="39" s="1"/>
  <c r="CK130" i="39" s="1"/>
  <c r="CE130" i="39"/>
  <c r="CF130" i="39" s="1"/>
  <c r="CE292" i="39"/>
  <c r="CF292" i="39" s="1"/>
  <c r="CH292" i="39"/>
  <c r="CJ292" i="39" s="1"/>
  <c r="CK292" i="39" s="1"/>
  <c r="CH339" i="39"/>
  <c r="CJ339" i="39" s="1"/>
  <c r="CK339" i="39" s="1"/>
  <c r="CE339" i="39"/>
  <c r="CF339" i="39" s="1"/>
  <c r="CH289" i="39"/>
  <c r="CJ289" i="39" s="1"/>
  <c r="CK289" i="39" s="1"/>
  <c r="CE289" i="39"/>
  <c r="CF289" i="39" s="1"/>
  <c r="CH304" i="39"/>
  <c r="CJ304" i="39" s="1"/>
  <c r="CK304" i="39" s="1"/>
  <c r="CE304" i="39"/>
  <c r="CF304" i="39" s="1"/>
  <c r="CH172" i="39"/>
  <c r="CE172" i="39"/>
  <c r="CF172" i="39" s="1"/>
  <c r="BZ172" i="39" s="1"/>
  <c r="AY172" i="39" s="1"/>
  <c r="CI172" i="39" s="1"/>
  <c r="CH317" i="39"/>
  <c r="CJ317" i="39" s="1"/>
  <c r="CK317" i="39" s="1"/>
  <c r="CE317" i="39"/>
  <c r="CF317" i="39" s="1"/>
  <c r="CE74" i="39"/>
  <c r="CF74" i="39" s="1"/>
  <c r="BZ74" i="39" s="1"/>
  <c r="AY74" i="39" s="1"/>
  <c r="CI74" i="39" s="1"/>
  <c r="CH74" i="39"/>
  <c r="CE208" i="39"/>
  <c r="CF208" i="39" s="1"/>
  <c r="BZ208" i="39" s="1"/>
  <c r="AY208" i="39" s="1"/>
  <c r="CI208" i="39" s="1"/>
  <c r="CH208" i="39"/>
  <c r="CH315" i="39"/>
  <c r="CJ315" i="39" s="1"/>
  <c r="CK315" i="39" s="1"/>
  <c r="CE315" i="39"/>
  <c r="CF315" i="39" s="1"/>
  <c r="CH337" i="39"/>
  <c r="CJ337" i="39" s="1"/>
  <c r="CK337" i="39" s="1"/>
  <c r="CE337" i="39"/>
  <c r="CF337" i="39" s="1"/>
  <c r="CH297" i="39"/>
  <c r="CJ297" i="39" s="1"/>
  <c r="CK297" i="39" s="1"/>
  <c r="CE297" i="39"/>
  <c r="CF297" i="39" s="1"/>
  <c r="CH78" i="39"/>
  <c r="CJ78" i="39" s="1"/>
  <c r="CK78" i="39" s="1"/>
  <c r="CE78" i="39"/>
  <c r="CF78" i="39" s="1"/>
  <c r="CH342" i="39"/>
  <c r="CJ342" i="39" s="1"/>
  <c r="CK342" i="39" s="1"/>
  <c r="CE342" i="39"/>
  <c r="CF342" i="39" s="1"/>
  <c r="CH275" i="39"/>
  <c r="CJ275" i="39" s="1"/>
  <c r="CK275" i="39" s="1"/>
  <c r="CE275" i="39"/>
  <c r="CF275" i="39" s="1"/>
  <c r="CH330" i="39"/>
  <c r="CJ330" i="39" s="1"/>
  <c r="CK330" i="39" s="1"/>
  <c r="CE330" i="39"/>
  <c r="CF330" i="39" s="1"/>
  <c r="CH282" i="39"/>
  <c r="CJ282" i="39" s="1"/>
  <c r="CK282" i="39" s="1"/>
  <c r="CE282" i="39"/>
  <c r="CF282" i="39" s="1"/>
  <c r="CH319" i="39"/>
  <c r="CJ319" i="39" s="1"/>
  <c r="CK319" i="39" s="1"/>
  <c r="CE319" i="39"/>
  <c r="CF319" i="39" s="1"/>
  <c r="CE298" i="39"/>
  <c r="CF298" i="39" s="1"/>
  <c r="CH298" i="39"/>
  <c r="CJ298" i="39" s="1"/>
  <c r="CK298" i="39" s="1"/>
  <c r="CH63" i="39"/>
  <c r="CE63" i="39"/>
  <c r="CF63" i="39" s="1"/>
  <c r="BZ63" i="39" s="1"/>
  <c r="AY63" i="39" s="1"/>
  <c r="CI63" i="39" s="1"/>
  <c r="CH321" i="39"/>
  <c r="CJ321" i="39" s="1"/>
  <c r="CK321" i="39" s="1"/>
  <c r="CE321" i="39"/>
  <c r="CF321" i="39" s="1"/>
  <c r="CH377" i="39"/>
  <c r="CJ377" i="39" s="1"/>
  <c r="CK377" i="39" s="1"/>
  <c r="CE377" i="39"/>
  <c r="CF377" i="39" s="1"/>
  <c r="CH169" i="39"/>
  <c r="CE169" i="39"/>
  <c r="CF169" i="39" s="1"/>
  <c r="BZ169" i="39" s="1"/>
  <c r="AY169" i="39" s="1"/>
  <c r="CI169" i="39" s="1"/>
  <c r="CE296" i="39"/>
  <c r="CF296" i="39" s="1"/>
  <c r="CH296" i="39"/>
  <c r="CJ296" i="39" s="1"/>
  <c r="CK296" i="39" s="1"/>
  <c r="CH171" i="39"/>
  <c r="CE171" i="39"/>
  <c r="CF171" i="39" s="1"/>
  <c r="BZ171" i="39" s="1"/>
  <c r="AY171" i="39" s="1"/>
  <c r="CI171" i="39" s="1"/>
  <c r="CH291" i="39"/>
  <c r="CJ291" i="39" s="1"/>
  <c r="CK291" i="39" s="1"/>
  <c r="CE291" i="39"/>
  <c r="CF291" i="39" s="1"/>
  <c r="CH370" i="39"/>
  <c r="CJ370" i="39" s="1"/>
  <c r="CK370" i="39" s="1"/>
  <c r="CE370" i="39"/>
  <c r="CF370" i="39" s="1"/>
  <c r="CH181" i="39"/>
  <c r="CE181" i="39"/>
  <c r="CF181" i="39" s="1"/>
  <c r="BZ181" i="39" s="1"/>
  <c r="AY181" i="39" s="1"/>
  <c r="CI181" i="39" s="1"/>
  <c r="CE331" i="39"/>
  <c r="CF331" i="39" s="1"/>
  <c r="CH331" i="39"/>
  <c r="CJ331" i="39" s="1"/>
  <c r="CK331" i="39" s="1"/>
  <c r="CH314" i="39"/>
  <c r="CJ314" i="39" s="1"/>
  <c r="CK314" i="39" s="1"/>
  <c r="CE314" i="39"/>
  <c r="CF314" i="39" s="1"/>
  <c r="CH53" i="39"/>
  <c r="CE53" i="39"/>
  <c r="CF53" i="39" s="1"/>
  <c r="BZ53" i="39" s="1"/>
  <c r="AY53" i="39" s="1"/>
  <c r="CI53" i="39" s="1"/>
  <c r="CE284" i="39"/>
  <c r="CF284" i="39" s="1"/>
  <c r="CH284" i="39"/>
  <c r="CJ284" i="39" s="1"/>
  <c r="CK284" i="39" s="1"/>
  <c r="CE138" i="39"/>
  <c r="CF138" i="39" s="1"/>
  <c r="BZ138" i="39" s="1"/>
  <c r="AY138" i="39" s="1"/>
  <c r="CI138" i="39" s="1"/>
  <c r="CH138" i="39"/>
  <c r="CE308" i="39"/>
  <c r="CF308" i="39" s="1"/>
  <c r="CH308" i="39"/>
  <c r="CJ308" i="39" s="1"/>
  <c r="CK308" i="39" s="1"/>
  <c r="CH294" i="39"/>
  <c r="CJ294" i="39" s="1"/>
  <c r="CK294" i="39" s="1"/>
  <c r="CE294" i="39"/>
  <c r="CF294" i="39" s="1"/>
  <c r="CH109" i="39"/>
  <c r="CE109" i="39"/>
  <c r="CF109" i="39" s="1"/>
  <c r="BZ109" i="39" s="1"/>
  <c r="AY109" i="39" s="1"/>
  <c r="CI109" i="39" s="1"/>
  <c r="CH118" i="39"/>
  <c r="CE118" i="39"/>
  <c r="CF118" i="39" s="1"/>
  <c r="BZ118" i="39" s="1"/>
  <c r="AY118" i="39" s="1"/>
  <c r="CI118" i="39" s="1"/>
  <c r="CE280" i="39"/>
  <c r="CF280" i="39" s="1"/>
  <c r="CH280" i="39"/>
  <c r="CJ280" i="39" s="1"/>
  <c r="CK280" i="39" s="1"/>
  <c r="CF227" i="39"/>
  <c r="CH249" i="39"/>
  <c r="CJ249" i="39" s="1"/>
  <c r="CK249" i="39" s="1"/>
  <c r="CE249" i="39"/>
  <c r="CF249" i="39" s="1"/>
  <c r="CH299" i="39"/>
  <c r="CJ299" i="39" s="1"/>
  <c r="CK299" i="39" s="1"/>
  <c r="CE299" i="39"/>
  <c r="CF299" i="39" s="1"/>
  <c r="CE2" i="39"/>
  <c r="CF2" i="39" s="1"/>
  <c r="BZ2" i="39" s="1"/>
  <c r="AY2" i="39" s="1"/>
  <c r="CI2" i="39" s="1"/>
  <c r="CH2" i="39"/>
  <c r="CE214" i="39"/>
  <c r="CF214" i="39" s="1"/>
  <c r="BZ214" i="39" s="1"/>
  <c r="AY214" i="39" s="1"/>
  <c r="CI214" i="39" s="1"/>
  <c r="CH214" i="39"/>
  <c r="CH14" i="39"/>
  <c r="CE14" i="39"/>
  <c r="CE357" i="39"/>
  <c r="CF357" i="39" s="1"/>
  <c r="CH357" i="39"/>
  <c r="CJ357" i="39" s="1"/>
  <c r="CK357" i="39" s="1"/>
  <c r="CH290" i="39"/>
  <c r="CJ290" i="39" s="1"/>
  <c r="CK290" i="39" s="1"/>
  <c r="CE290" i="39"/>
  <c r="CF290" i="39" s="1"/>
  <c r="CE349" i="39"/>
  <c r="CF349" i="39" s="1"/>
  <c r="CH349" i="39"/>
  <c r="CJ349" i="39" s="1"/>
  <c r="CK349" i="39" s="1"/>
  <c r="CE185" i="39"/>
  <c r="CF185" i="39" s="1"/>
  <c r="BZ185" i="39" s="1"/>
  <c r="AY185" i="39" s="1"/>
  <c r="CI185" i="39" s="1"/>
  <c r="CH185" i="39"/>
  <c r="CH143" i="39"/>
  <c r="CE143" i="39"/>
  <c r="CF143" i="39" s="1"/>
  <c r="BZ143" i="39" s="1"/>
  <c r="AY143" i="39" s="1"/>
  <c r="CI143" i="39" s="1"/>
  <c r="CE354" i="39"/>
  <c r="CF354" i="39" s="1"/>
  <c r="CH354" i="39"/>
  <c r="CJ354" i="39" s="1"/>
  <c r="CK354" i="39" s="1"/>
  <c r="CE311" i="39"/>
  <c r="CF311" i="39" s="1"/>
  <c r="CH311" i="39"/>
  <c r="CJ311" i="39" s="1"/>
  <c r="CK311" i="39" s="1"/>
  <c r="CH365" i="39"/>
  <c r="CJ365" i="39" s="1"/>
  <c r="CK365" i="39" s="1"/>
  <c r="CE365" i="39"/>
  <c r="CF365" i="39" s="1"/>
  <c r="CH113" i="39"/>
  <c r="CE113" i="39"/>
  <c r="CF113" i="39" s="1"/>
  <c r="BZ113" i="39" s="1"/>
  <c r="AY113" i="39" s="1"/>
  <c r="CI113" i="39" s="1"/>
  <c r="CH305" i="39"/>
  <c r="CJ305" i="39" s="1"/>
  <c r="CK305" i="39" s="1"/>
  <c r="CE305" i="39"/>
  <c r="CF305" i="39" s="1"/>
  <c r="CH326" i="39"/>
  <c r="CJ326" i="39" s="1"/>
  <c r="CK326" i="39" s="1"/>
  <c r="CE326" i="39"/>
  <c r="CF326" i="39" s="1"/>
  <c r="CE281" i="39"/>
  <c r="CF281" i="39" s="1"/>
  <c r="CH281" i="39"/>
  <c r="CJ281" i="39" s="1"/>
  <c r="CK281" i="39" s="1"/>
  <c r="CE211" i="39"/>
  <c r="CF211" i="39" s="1"/>
  <c r="BZ211" i="39" s="1"/>
  <c r="AY211" i="39" s="1"/>
  <c r="CI211" i="39" s="1"/>
  <c r="CH211" i="39"/>
  <c r="CH301" i="39"/>
  <c r="CJ301" i="39" s="1"/>
  <c r="CK301" i="39" s="1"/>
  <c r="CE301" i="39"/>
  <c r="CF301" i="39" s="1"/>
  <c r="CH367" i="39"/>
  <c r="CJ367" i="39" s="1"/>
  <c r="CK367" i="39" s="1"/>
  <c r="CE367" i="39"/>
  <c r="CF367" i="39" s="1"/>
  <c r="CH122" i="39"/>
  <c r="CJ122" i="39" s="1"/>
  <c r="CK122" i="39" s="1"/>
  <c r="CE122" i="39"/>
  <c r="CF122" i="39" s="1"/>
  <c r="CH209" i="39"/>
  <c r="CE209" i="39"/>
  <c r="CF209" i="39" s="1"/>
  <c r="BZ209" i="39" s="1"/>
  <c r="AY209" i="39" s="1"/>
  <c r="CI209" i="39" s="1"/>
  <c r="CE278" i="39"/>
  <c r="CF278" i="39" s="1"/>
  <c r="CH278" i="39"/>
  <c r="CJ278" i="39" s="1"/>
  <c r="CK278" i="39" s="1"/>
  <c r="CH358" i="39"/>
  <c r="CJ358" i="39" s="1"/>
  <c r="CK358" i="39" s="1"/>
  <c r="CE358" i="39"/>
  <c r="CF358" i="39" s="1"/>
  <c r="CH327" i="39"/>
  <c r="CJ327" i="39" s="1"/>
  <c r="CK327" i="39" s="1"/>
  <c r="CE327" i="39"/>
  <c r="CF327" i="39" s="1"/>
  <c r="CH353" i="39"/>
  <c r="CJ353" i="39" s="1"/>
  <c r="CK353" i="39" s="1"/>
  <c r="CE353" i="39"/>
  <c r="CF353" i="39" s="1"/>
  <c r="CH287" i="39"/>
  <c r="CJ287" i="39" s="1"/>
  <c r="CK287" i="39" s="1"/>
  <c r="CE287" i="39"/>
  <c r="CF287" i="39" s="1"/>
  <c r="CE355" i="39"/>
  <c r="CF355" i="39" s="1"/>
  <c r="CH355" i="39"/>
  <c r="CJ355" i="39" s="1"/>
  <c r="CK355" i="39" s="1"/>
  <c r="CH213" i="39"/>
  <c r="CE213" i="39"/>
  <c r="CF213" i="39" s="1"/>
  <c r="BZ213" i="39" s="1"/>
  <c r="AY213" i="39" s="1"/>
  <c r="CI213" i="39" s="1"/>
  <c r="CE111" i="39"/>
  <c r="CF111" i="39" s="1"/>
  <c r="BZ111" i="39" s="1"/>
  <c r="AY111" i="39" s="1"/>
  <c r="CI111" i="39" s="1"/>
  <c r="CH111" i="39"/>
  <c r="CE371" i="39"/>
  <c r="CF371" i="39" s="1"/>
  <c r="CH371" i="39"/>
  <c r="CJ371" i="39" s="1"/>
  <c r="CK371" i="39" s="1"/>
  <c r="CH8" i="39"/>
  <c r="CE8" i="39"/>
  <c r="CF8" i="39" s="1"/>
  <c r="BZ8" i="39" s="1"/>
  <c r="AY8" i="39" s="1"/>
  <c r="CI8" i="39" s="1"/>
  <c r="CH153" i="39"/>
  <c r="CJ153" i="39" s="1"/>
  <c r="CK153" i="39" s="1"/>
  <c r="CE153" i="39"/>
  <c r="CF153" i="39" s="1"/>
  <c r="CE345" i="39"/>
  <c r="CF345" i="39" s="1"/>
  <c r="CH345" i="39"/>
  <c r="CJ345" i="39" s="1"/>
  <c r="CK345" i="39" s="1"/>
  <c r="CH346" i="39"/>
  <c r="CJ346" i="39" s="1"/>
  <c r="CK346" i="39" s="1"/>
  <c r="CE346" i="39"/>
  <c r="CF346" i="39" s="1"/>
  <c r="CH352" i="39"/>
  <c r="CJ352" i="39" s="1"/>
  <c r="CK352" i="39" s="1"/>
  <c r="CE352" i="39"/>
  <c r="CF352" i="39" s="1"/>
  <c r="CH328" i="39"/>
  <c r="CJ328" i="39" s="1"/>
  <c r="CK328" i="39" s="1"/>
  <c r="CE328" i="39"/>
  <c r="CF328" i="39" s="1"/>
  <c r="CE363" i="39"/>
  <c r="CF363" i="39" s="1"/>
  <c r="CH363" i="39"/>
  <c r="CJ363" i="39" s="1"/>
  <c r="CK363" i="39" s="1"/>
  <c r="CH182" i="39"/>
  <c r="CE182" i="39"/>
  <c r="CF182" i="39" s="1"/>
  <c r="BZ182" i="39" s="1"/>
  <c r="AY182" i="39" s="1"/>
  <c r="CI182" i="39" s="1"/>
  <c r="CH51" i="39"/>
  <c r="CJ51" i="39" s="1"/>
  <c r="CK51" i="39" s="1"/>
  <c r="CE51" i="39"/>
  <c r="CF51" i="39" s="1"/>
  <c r="CE105" i="39"/>
  <c r="CF105" i="39" s="1"/>
  <c r="BZ105" i="39" s="1"/>
  <c r="AY105" i="39" s="1"/>
  <c r="CI105" i="39" s="1"/>
  <c r="CH105" i="39"/>
  <c r="CH329" i="39"/>
  <c r="CJ329" i="39" s="1"/>
  <c r="CK329" i="39" s="1"/>
  <c r="CE329" i="39"/>
  <c r="CF329" i="39" s="1"/>
  <c r="CH364" i="39"/>
  <c r="CJ364" i="39" s="1"/>
  <c r="CK364" i="39" s="1"/>
  <c r="CE364" i="39"/>
  <c r="CF364" i="39" s="1"/>
  <c r="CE139" i="39"/>
  <c r="CF139" i="39" s="1"/>
  <c r="BZ139" i="39" s="1"/>
  <c r="AY139" i="39" s="1"/>
  <c r="CI139" i="39" s="1"/>
  <c r="CH139" i="39"/>
  <c r="CF241" i="39"/>
  <c r="CE336" i="39"/>
  <c r="CF336" i="39" s="1"/>
  <c r="CH336" i="39"/>
  <c r="CJ336" i="39" s="1"/>
  <c r="CK336" i="39" s="1"/>
  <c r="CE274" i="39"/>
  <c r="CF274" i="39" s="1"/>
  <c r="CH274" i="39"/>
  <c r="CJ274" i="39" s="1"/>
  <c r="CK274" i="39" s="1"/>
  <c r="CE77" i="39"/>
  <c r="CF77" i="39" s="1"/>
  <c r="CH77" i="39"/>
  <c r="CJ77" i="39" s="1"/>
  <c r="CK77" i="39" s="1"/>
  <c r="CH341" i="39"/>
  <c r="CJ341" i="39" s="1"/>
  <c r="CK341" i="39" s="1"/>
  <c r="CE341" i="39"/>
  <c r="CF341" i="39" s="1"/>
  <c r="CH351" i="39"/>
  <c r="CJ351" i="39" s="1"/>
  <c r="CK351" i="39" s="1"/>
  <c r="CE351" i="39"/>
  <c r="CF351" i="39" s="1"/>
  <c r="CE52" i="39"/>
  <c r="CF52" i="39" s="1"/>
  <c r="CH52" i="39"/>
  <c r="CJ52" i="39" s="1"/>
  <c r="CK52" i="39" s="1"/>
  <c r="CH333" i="39"/>
  <c r="CJ333" i="39" s="1"/>
  <c r="CK333" i="39" s="1"/>
  <c r="CE333" i="39"/>
  <c r="CF333" i="39" s="1"/>
  <c r="CH288" i="39"/>
  <c r="CJ288" i="39" s="1"/>
  <c r="CK288" i="39" s="1"/>
  <c r="CE288" i="39"/>
  <c r="CF288" i="39" s="1"/>
  <c r="CH318" i="39"/>
  <c r="CJ318" i="39" s="1"/>
  <c r="CK318" i="39" s="1"/>
  <c r="CE318" i="39"/>
  <c r="CF318" i="39" s="1"/>
  <c r="CH195" i="39"/>
  <c r="CE195" i="39"/>
  <c r="CF195" i="39" s="1"/>
  <c r="BZ195" i="39" s="1"/>
  <c r="AY195" i="39" s="1"/>
  <c r="CI195" i="39" s="1"/>
  <c r="CE3" i="39"/>
  <c r="CF3" i="39" s="1"/>
  <c r="CH3" i="39"/>
  <c r="CJ3" i="39" s="1"/>
  <c r="CK3" i="39" s="1"/>
  <c r="CE110" i="39"/>
  <c r="CF110" i="39" s="1"/>
  <c r="BZ110" i="39" s="1"/>
  <c r="AY110" i="39" s="1"/>
  <c r="CI110" i="39" s="1"/>
  <c r="CH110" i="39"/>
  <c r="CH250" i="39"/>
  <c r="CJ250" i="39" s="1"/>
  <c r="CK250" i="39" s="1"/>
  <c r="CE250" i="39"/>
  <c r="CF250" i="39" s="1"/>
  <c r="CH73" i="39"/>
  <c r="CJ73" i="39" s="1"/>
  <c r="CK73" i="39" s="1"/>
  <c r="CE73" i="39"/>
  <c r="CF73" i="39" s="1"/>
  <c r="CH55" i="39"/>
  <c r="CE55" i="39"/>
  <c r="CF55" i="39" s="1"/>
  <c r="BZ55" i="39" s="1"/>
  <c r="AY55" i="39" s="1"/>
  <c r="CI55" i="39" s="1"/>
  <c r="CH13" i="39"/>
  <c r="CJ13" i="39" s="1"/>
  <c r="CK13" i="39" s="1"/>
  <c r="CE13" i="39"/>
  <c r="CF13" i="39" s="1"/>
  <c r="CH376" i="39"/>
  <c r="CJ376" i="39" s="1"/>
  <c r="CK376" i="39" s="1"/>
  <c r="CE376" i="39"/>
  <c r="CF376" i="39" s="1"/>
  <c r="CE300" i="39"/>
  <c r="CF300" i="39" s="1"/>
  <c r="CH300" i="39"/>
  <c r="CJ300" i="39" s="1"/>
  <c r="CK300" i="39" s="1"/>
  <c r="CE307" i="39"/>
  <c r="CF307" i="39" s="1"/>
  <c r="CH307" i="39"/>
  <c r="CJ307" i="39" s="1"/>
  <c r="CK307" i="39" s="1"/>
  <c r="CE4" i="39"/>
  <c r="CF4" i="39" s="1"/>
  <c r="CH4" i="39"/>
  <c r="CJ4" i="39" s="1"/>
  <c r="CK4" i="39" s="1"/>
  <c r="CH66" i="39"/>
  <c r="CE66" i="39"/>
  <c r="CF66" i="39" s="1"/>
  <c r="BZ66" i="39" s="1"/>
  <c r="AY66" i="39" s="1"/>
  <c r="CI66" i="39" s="1"/>
  <c r="CE108" i="39"/>
  <c r="CF108" i="39" s="1"/>
  <c r="BZ108" i="39" s="1"/>
  <c r="AY108" i="39" s="1"/>
  <c r="CI108" i="39" s="1"/>
  <c r="CH108" i="39"/>
  <c r="CH366" i="39"/>
  <c r="CJ366" i="39" s="1"/>
  <c r="CK366" i="39" s="1"/>
  <c r="CE366" i="39"/>
  <c r="CF366" i="39" s="1"/>
  <c r="CH293" i="39"/>
  <c r="CJ293" i="39" s="1"/>
  <c r="CK293" i="39" s="1"/>
  <c r="CE293" i="39"/>
  <c r="CF293" i="39" s="1"/>
  <c r="CE350" i="39"/>
  <c r="CF350" i="39" s="1"/>
  <c r="CH350" i="39"/>
  <c r="CJ350" i="39" s="1"/>
  <c r="CK350" i="39" s="1"/>
  <c r="CE320" i="39"/>
  <c r="CF320" i="39" s="1"/>
  <c r="CH320" i="39"/>
  <c r="CJ320" i="39" s="1"/>
  <c r="CK320" i="39" s="1"/>
  <c r="CE347" i="39"/>
  <c r="CF347" i="39" s="1"/>
  <c r="CH347" i="39"/>
  <c r="CJ347" i="39" s="1"/>
  <c r="CK347" i="39" s="1"/>
  <c r="CE194" i="39"/>
  <c r="CF194" i="39" s="1"/>
  <c r="BZ194" i="39" s="1"/>
  <c r="AY194" i="39" s="1"/>
  <c r="CI194" i="39" s="1"/>
  <c r="CH194" i="39"/>
  <c r="CH340" i="39"/>
  <c r="CJ340" i="39" s="1"/>
  <c r="CK340" i="39" s="1"/>
  <c r="CE340" i="39"/>
  <c r="CF340" i="39" s="1"/>
  <c r="CH334" i="39"/>
  <c r="CJ334" i="39" s="1"/>
  <c r="CK334" i="39" s="1"/>
  <c r="CE334" i="39"/>
  <c r="CF334" i="39" s="1"/>
  <c r="CE295" i="39"/>
  <c r="CF295" i="39" s="1"/>
  <c r="CH295" i="39"/>
  <c r="CJ295" i="39" s="1"/>
  <c r="CK295" i="39" s="1"/>
  <c r="CH183" i="39"/>
  <c r="CE183" i="39"/>
  <c r="CF183" i="39" s="1"/>
  <c r="BZ183" i="39" s="1"/>
  <c r="AY183" i="39" s="1"/>
  <c r="CI183" i="39" s="1"/>
  <c r="CE316" i="39"/>
  <c r="CF316" i="39" s="1"/>
  <c r="CH316" i="39"/>
  <c r="CJ316" i="39" s="1"/>
  <c r="CK316" i="39" s="1"/>
  <c r="CH189" i="39"/>
  <c r="CJ189" i="39" s="1"/>
  <c r="CK189" i="39" s="1"/>
  <c r="CE189" i="39"/>
  <c r="CF189" i="39" s="1"/>
  <c r="CE285" i="39"/>
  <c r="CF285" i="39" s="1"/>
  <c r="CH285" i="39"/>
  <c r="CJ285" i="39" s="1"/>
  <c r="CK285" i="39" s="1"/>
  <c r="CE325" i="39"/>
  <c r="CF325" i="39" s="1"/>
  <c r="CH325" i="39"/>
  <c r="CJ325" i="39" s="1"/>
  <c r="CK325" i="39" s="1"/>
  <c r="CE186" i="39"/>
  <c r="CF186" i="39" s="1"/>
  <c r="CH186" i="39"/>
  <c r="CJ186" i="39" s="1"/>
  <c r="CK186" i="39" s="1"/>
  <c r="CH356" i="39"/>
  <c r="CJ356" i="39" s="1"/>
  <c r="CK356" i="39" s="1"/>
  <c r="CE356" i="39"/>
  <c r="CF356" i="39" s="1"/>
  <c r="CE324" i="39"/>
  <c r="CF324" i="39" s="1"/>
  <c r="CH324" i="39"/>
  <c r="CJ324" i="39" s="1"/>
  <c r="CK324" i="39" s="1"/>
  <c r="CE97" i="39"/>
  <c r="CF97" i="39" s="1"/>
  <c r="CH97" i="39"/>
  <c r="CJ97" i="39" s="1"/>
  <c r="CK97" i="39" s="1"/>
  <c r="CH361" i="39"/>
  <c r="CJ361" i="39" s="1"/>
  <c r="CK361" i="39" s="1"/>
  <c r="CE361" i="39"/>
  <c r="CF361" i="39" s="1"/>
  <c r="W6" i="36"/>
  <c r="W67" i="36"/>
  <c r="W51" i="36"/>
  <c r="W35" i="36"/>
  <c r="W19" i="36"/>
  <c r="W8" i="36"/>
  <c r="W66" i="36"/>
  <c r="W50" i="36"/>
  <c r="W34" i="36"/>
  <c r="W18" i="36"/>
  <c r="W81" i="36"/>
  <c r="W65" i="36"/>
  <c r="W49" i="36"/>
  <c r="W33" i="36"/>
  <c r="W17" i="36"/>
  <c r="W80" i="36"/>
  <c r="W64" i="36"/>
  <c r="W48" i="36"/>
  <c r="W32" i="36"/>
  <c r="W16" i="36"/>
  <c r="W79" i="36"/>
  <c r="W63" i="36"/>
  <c r="W47" i="36"/>
  <c r="W31" i="36"/>
  <c r="W15" i="36"/>
  <c r="W78" i="36"/>
  <c r="W62" i="36"/>
  <c r="W46" i="36"/>
  <c r="W30" i="36"/>
  <c r="W14" i="36"/>
  <c r="W77" i="36"/>
  <c r="W61" i="36"/>
  <c r="W45" i="36"/>
  <c r="W29" i="36"/>
  <c r="W13" i="36"/>
  <c r="W76" i="36"/>
  <c r="W60" i="36"/>
  <c r="W44" i="36"/>
  <c r="W28" i="36"/>
  <c r="W12" i="36"/>
  <c r="W75" i="36"/>
  <c r="W59" i="36"/>
  <c r="W43" i="36"/>
  <c r="W27" i="36"/>
  <c r="W11" i="36"/>
  <c r="W74" i="36"/>
  <c r="W58" i="36"/>
  <c r="W42" i="36"/>
  <c r="W26" i="36"/>
  <c r="W10" i="36"/>
  <c r="W73" i="36"/>
  <c r="W57" i="36"/>
  <c r="W41" i="36"/>
  <c r="W25" i="36"/>
  <c r="W9" i="36"/>
  <c r="W72" i="36"/>
  <c r="W56" i="36"/>
  <c r="W40" i="36"/>
  <c r="W24" i="36"/>
  <c r="W7" i="36"/>
  <c r="W71" i="36"/>
  <c r="W55" i="36"/>
  <c r="W39" i="36"/>
  <c r="W23" i="36"/>
  <c r="W5" i="36"/>
  <c r="W70" i="36"/>
  <c r="W54" i="36"/>
  <c r="W38" i="36"/>
  <c r="W22" i="36"/>
  <c r="W69" i="36"/>
  <c r="W53" i="36"/>
  <c r="W37" i="36"/>
  <c r="W21" i="36"/>
  <c r="W68" i="36"/>
  <c r="W52" i="36"/>
  <c r="W36" i="36"/>
  <c r="W20" i="36"/>
  <c r="V77" i="36"/>
  <c r="V80" i="36"/>
  <c r="V64" i="36"/>
  <c r="V48" i="36"/>
  <c r="V32" i="36"/>
  <c r="V16" i="36"/>
  <c r="V79" i="36"/>
  <c r="V63" i="36"/>
  <c r="V47" i="36"/>
  <c r="V31" i="36"/>
  <c r="V15" i="36"/>
  <c r="V14" i="36"/>
  <c r="V24" i="36"/>
  <c r="V76" i="36"/>
  <c r="V60" i="36"/>
  <c r="V44" i="36"/>
  <c r="V28" i="36"/>
  <c r="V12" i="36"/>
  <c r="V58" i="36"/>
  <c r="V42" i="36"/>
  <c r="V10" i="36"/>
  <c r="V41" i="36"/>
  <c r="V72" i="36"/>
  <c r="V40" i="36"/>
  <c r="V39" i="36"/>
  <c r="V75" i="36"/>
  <c r="V59" i="36"/>
  <c r="V43" i="36"/>
  <c r="V27" i="36"/>
  <c r="V11" i="36"/>
  <c r="V74" i="36"/>
  <c r="V26" i="36"/>
  <c r="V73" i="36"/>
  <c r="V57" i="36"/>
  <c r="V9" i="36"/>
  <c r="V56" i="36"/>
  <c r="V8" i="36"/>
  <c r="V25" i="36"/>
  <c r="V70" i="36"/>
  <c r="V54" i="36"/>
  <c r="V38" i="36"/>
  <c r="V22" i="36"/>
  <c r="V6" i="36"/>
  <c r="V51" i="36"/>
  <c r="V65" i="36"/>
  <c r="V62" i="36"/>
  <c r="V29" i="36"/>
  <c r="V71" i="36"/>
  <c r="V69" i="36"/>
  <c r="V53" i="36"/>
  <c r="V37" i="36"/>
  <c r="V21" i="36"/>
  <c r="V5" i="36"/>
  <c r="V35" i="36"/>
  <c r="V49" i="36"/>
  <c r="V46" i="36"/>
  <c r="V45" i="36"/>
  <c r="V23" i="36"/>
  <c r="V68" i="36"/>
  <c r="V52" i="36"/>
  <c r="V36" i="36"/>
  <c r="V20" i="36"/>
  <c r="V67" i="36"/>
  <c r="V19" i="36"/>
  <c r="V33" i="36"/>
  <c r="V78" i="36"/>
  <c r="V13" i="36"/>
  <c r="V55" i="36"/>
  <c r="V66" i="36"/>
  <c r="V50" i="36"/>
  <c r="V34" i="36"/>
  <c r="V18" i="36"/>
  <c r="V81" i="36"/>
  <c r="V17" i="36"/>
  <c r="V30" i="36"/>
  <c r="V61" i="36"/>
  <c r="V7" i="36"/>
  <c r="X74" i="36"/>
  <c r="X66" i="36"/>
  <c r="X58" i="36"/>
  <c r="X50" i="36"/>
  <c r="X42" i="36"/>
  <c r="X34" i="36"/>
  <c r="X26" i="36"/>
  <c r="X18" i="36"/>
  <c r="X10" i="36"/>
  <c r="X13" i="36"/>
  <c r="Y66" i="36"/>
  <c r="Y81" i="36"/>
  <c r="Y73" i="36"/>
  <c r="Y65" i="36"/>
  <c r="Y57" i="36"/>
  <c r="Y49" i="36"/>
  <c r="Y41" i="36"/>
  <c r="Y33" i="36"/>
  <c r="Y25" i="36"/>
  <c r="Y17" i="36"/>
  <c r="Y9" i="36"/>
  <c r="X20" i="36"/>
  <c r="Y74" i="36"/>
  <c r="X81" i="36"/>
  <c r="X73" i="36"/>
  <c r="X65" i="36"/>
  <c r="X57" i="36"/>
  <c r="X49" i="36"/>
  <c r="X41" i="36"/>
  <c r="X33" i="36"/>
  <c r="X25" i="36"/>
  <c r="X17" i="36"/>
  <c r="X9" i="36"/>
  <c r="X21" i="36"/>
  <c r="X19" i="36"/>
  <c r="Y80" i="36"/>
  <c r="Y72" i="36"/>
  <c r="Y64" i="36"/>
  <c r="Y56" i="36"/>
  <c r="Y48" i="36"/>
  <c r="Y40" i="36"/>
  <c r="Y32" i="36"/>
  <c r="Y24" i="36"/>
  <c r="Y16" i="36"/>
  <c r="Y8" i="36"/>
  <c r="X5" i="36"/>
  <c r="Y50" i="36"/>
  <c r="X80" i="36"/>
  <c r="X72" i="36"/>
  <c r="X64" i="36"/>
  <c r="X56" i="36"/>
  <c r="X48" i="36"/>
  <c r="X40" i="36"/>
  <c r="X32" i="36"/>
  <c r="X24" i="36"/>
  <c r="X16" i="36"/>
  <c r="X8" i="36"/>
  <c r="Y12" i="36"/>
  <c r="Y58" i="36"/>
  <c r="Y79" i="36"/>
  <c r="Y71" i="36"/>
  <c r="Y63" i="36"/>
  <c r="Y55" i="36"/>
  <c r="Y47" i="36"/>
  <c r="Y39" i="36"/>
  <c r="Y31" i="36"/>
  <c r="Y23" i="36"/>
  <c r="Y15" i="36"/>
  <c r="Y7" i="36"/>
  <c r="X29" i="36"/>
  <c r="X35" i="36"/>
  <c r="X79" i="36"/>
  <c r="X71" i="36"/>
  <c r="X63" i="36"/>
  <c r="X55" i="36"/>
  <c r="X47" i="36"/>
  <c r="X39" i="36"/>
  <c r="X31" i="36"/>
  <c r="X23" i="36"/>
  <c r="X15" i="36"/>
  <c r="X7" i="36"/>
  <c r="X6" i="36"/>
  <c r="Y11" i="36"/>
  <c r="Y18" i="36"/>
  <c r="Y78" i="36"/>
  <c r="Y70" i="36"/>
  <c r="Y62" i="36"/>
  <c r="Y54" i="36"/>
  <c r="Y46" i="36"/>
  <c r="Y38" i="36"/>
  <c r="Y30" i="36"/>
  <c r="Y22" i="36"/>
  <c r="Y14" i="36"/>
  <c r="Y6" i="36"/>
  <c r="X14" i="36"/>
  <c r="Y19" i="36"/>
  <c r="Y34" i="36"/>
  <c r="X78" i="36"/>
  <c r="X70" i="36"/>
  <c r="X62" i="36"/>
  <c r="X54" i="36"/>
  <c r="X46" i="36"/>
  <c r="X38" i="36"/>
  <c r="X30" i="36"/>
  <c r="X22" i="36"/>
  <c r="Y35" i="36"/>
  <c r="Y26" i="36"/>
  <c r="Y77" i="36"/>
  <c r="Y69" i="36"/>
  <c r="Y61" i="36"/>
  <c r="Y53" i="36"/>
  <c r="Y45" i="36"/>
  <c r="Y37" i="36"/>
  <c r="Y29" i="36"/>
  <c r="Y21" i="36"/>
  <c r="Y13" i="36"/>
  <c r="Y5" i="36"/>
  <c r="X12" i="36"/>
  <c r="Y42" i="36"/>
  <c r="X77" i="36"/>
  <c r="X69" i="36"/>
  <c r="X61" i="36"/>
  <c r="X53" i="36"/>
  <c r="X45" i="36"/>
  <c r="X37" i="36"/>
  <c r="X11" i="36"/>
  <c r="Y76" i="36"/>
  <c r="Y68" i="36"/>
  <c r="Y60" i="36"/>
  <c r="Y52" i="36"/>
  <c r="Y44" i="36"/>
  <c r="Y36" i="36"/>
  <c r="Y28" i="36"/>
  <c r="Y20" i="36"/>
  <c r="X43" i="36"/>
  <c r="X76" i="36"/>
  <c r="X68" i="36"/>
  <c r="X60" i="36"/>
  <c r="X52" i="36"/>
  <c r="X44" i="36"/>
  <c r="X36" i="36"/>
  <c r="X28" i="36"/>
  <c r="X27" i="36"/>
  <c r="Y75" i="36"/>
  <c r="Y67" i="36"/>
  <c r="Y59" i="36"/>
  <c r="Y51" i="36"/>
  <c r="Y43" i="36"/>
  <c r="Y27" i="36"/>
  <c r="X75" i="36"/>
  <c r="X67" i="36"/>
  <c r="X59" i="36"/>
  <c r="X51" i="36"/>
  <c r="Y10" i="36"/>
  <c r="J77" i="36"/>
  <c r="J29" i="36"/>
  <c r="J13" i="36"/>
  <c r="J76" i="36"/>
  <c r="J28" i="36"/>
  <c r="J12" i="36"/>
  <c r="J73" i="36"/>
  <c r="J72" i="36"/>
  <c r="J8" i="36"/>
  <c r="J23" i="36"/>
  <c r="J38" i="36"/>
  <c r="J6" i="36"/>
  <c r="J75" i="36"/>
  <c r="J27" i="36"/>
  <c r="J11" i="36"/>
  <c r="J74" i="36"/>
  <c r="J26" i="36"/>
  <c r="J10" i="36"/>
  <c r="J25" i="36"/>
  <c r="J9" i="36"/>
  <c r="J24" i="36"/>
  <c r="J71" i="36"/>
  <c r="J39" i="36"/>
  <c r="J7" i="36"/>
  <c r="J70" i="36"/>
  <c r="J22" i="36"/>
  <c r="J69" i="36"/>
  <c r="J37" i="36"/>
  <c r="J21" i="36"/>
  <c r="J5" i="36"/>
  <c r="J19" i="36"/>
  <c r="J17" i="36"/>
  <c r="J79" i="36"/>
  <c r="J15" i="36"/>
  <c r="J14" i="36"/>
  <c r="J68" i="36"/>
  <c r="J36" i="36"/>
  <c r="J20" i="36"/>
  <c r="J67" i="36"/>
  <c r="J35" i="36"/>
  <c r="J80" i="36"/>
  <c r="J32" i="36"/>
  <c r="J66" i="36"/>
  <c r="J34" i="36"/>
  <c r="J18" i="36"/>
  <c r="J81" i="36"/>
  <c r="J65" i="36"/>
  <c r="J33" i="36"/>
  <c r="J64" i="36"/>
  <c r="J16" i="36"/>
  <c r="J63" i="36"/>
  <c r="J31" i="36"/>
  <c r="J78" i="36"/>
  <c r="J30" i="36"/>
  <c r="Q73" i="36"/>
  <c r="Q29" i="36"/>
  <c r="R26" i="36"/>
  <c r="R18" i="36"/>
  <c r="Q18" i="36"/>
  <c r="Q5" i="36"/>
  <c r="R15" i="36"/>
  <c r="R79" i="36"/>
  <c r="Q8" i="36"/>
  <c r="Q69" i="36"/>
  <c r="R7" i="36"/>
  <c r="R55" i="36"/>
  <c r="Q67" i="36"/>
  <c r="Q7" i="36"/>
  <c r="Q65" i="36"/>
  <c r="Q55" i="36"/>
  <c r="R42" i="36"/>
  <c r="R39" i="36"/>
  <c r="R29" i="36"/>
  <c r="R51" i="36"/>
  <c r="Q42" i="36"/>
  <c r="Q22" i="36"/>
  <c r="Q63" i="36"/>
  <c r="Q64" i="36"/>
  <c r="Q11" i="36"/>
  <c r="R56" i="36"/>
  <c r="R65" i="36"/>
  <c r="Q78" i="36"/>
  <c r="H72" i="36"/>
  <c r="R34" i="36"/>
  <c r="Q12" i="36"/>
  <c r="R19" i="36"/>
  <c r="Q77" i="36"/>
  <c r="Q79" i="36"/>
  <c r="Q6" i="36"/>
  <c r="R21" i="36"/>
  <c r="R64" i="36"/>
  <c r="R73" i="36"/>
  <c r="R12" i="36"/>
  <c r="R5" i="36"/>
  <c r="H71" i="36"/>
  <c r="R59" i="36"/>
  <c r="Q35" i="36"/>
  <c r="Q57" i="36"/>
  <c r="Q17" i="36"/>
  <c r="Q34" i="36"/>
  <c r="R72" i="36"/>
  <c r="R81" i="36"/>
  <c r="R20" i="36"/>
  <c r="H70" i="36"/>
  <c r="Q74" i="36"/>
  <c r="Q48" i="36"/>
  <c r="R78" i="36"/>
  <c r="R27" i="36"/>
  <c r="R10" i="36"/>
  <c r="Q47" i="36"/>
  <c r="R80" i="36"/>
  <c r="R67" i="36"/>
  <c r="R28" i="36"/>
  <c r="H69" i="36"/>
  <c r="Q61" i="36"/>
  <c r="Q41" i="36"/>
  <c r="Q21" i="36"/>
  <c r="Q59" i="36"/>
  <c r="R75" i="36"/>
  <c r="R36" i="36"/>
  <c r="H68" i="36"/>
  <c r="Q50" i="36"/>
  <c r="Q25" i="36"/>
  <c r="R53" i="36"/>
  <c r="Q33" i="36"/>
  <c r="Q28" i="36"/>
  <c r="R44" i="36"/>
  <c r="H67" i="36"/>
  <c r="Q23" i="36"/>
  <c r="R50" i="36"/>
  <c r="R66" i="36"/>
  <c r="R45" i="36"/>
  <c r="Q36" i="36"/>
  <c r="R52" i="36"/>
  <c r="R6" i="36"/>
  <c r="H66" i="36"/>
  <c r="R74" i="36"/>
  <c r="Q14" i="36"/>
  <c r="R63" i="36"/>
  <c r="Q81" i="36"/>
  <c r="R58" i="36"/>
  <c r="Q44" i="36"/>
  <c r="R60" i="36"/>
  <c r="R14" i="36"/>
  <c r="H81" i="36"/>
  <c r="H64" i="36"/>
  <c r="R69" i="36"/>
  <c r="R37" i="36"/>
  <c r="Q16" i="36"/>
  <c r="Q72" i="36"/>
  <c r="Q52" i="36"/>
  <c r="R68" i="36"/>
  <c r="R22" i="36"/>
  <c r="H80" i="36"/>
  <c r="H63" i="36"/>
  <c r="Q31" i="36"/>
  <c r="Q13" i="36"/>
  <c r="R77" i="36"/>
  <c r="Q27" i="36"/>
  <c r="Q19" i="36"/>
  <c r="R9" i="36"/>
  <c r="Q60" i="36"/>
  <c r="R76" i="36"/>
  <c r="R30" i="36"/>
  <c r="H79" i="36"/>
  <c r="Q9" i="36"/>
  <c r="R23" i="36"/>
  <c r="Q40" i="36"/>
  <c r="R31" i="36"/>
  <c r="Q20" i="36"/>
  <c r="R8" i="36"/>
  <c r="R17" i="36"/>
  <c r="Q68" i="36"/>
  <c r="Q30" i="36"/>
  <c r="R38" i="36"/>
  <c r="H78" i="36"/>
  <c r="R43" i="36"/>
  <c r="R35" i="36"/>
  <c r="Q56" i="36"/>
  <c r="Q53" i="36"/>
  <c r="Q58" i="36"/>
  <c r="R16" i="36"/>
  <c r="R25" i="36"/>
  <c r="Q76" i="36"/>
  <c r="Q38" i="36"/>
  <c r="R46" i="36"/>
  <c r="H77" i="36"/>
  <c r="Q71" i="36"/>
  <c r="Q49" i="36"/>
  <c r="Q15" i="36"/>
  <c r="Q66" i="36"/>
  <c r="Q10" i="36"/>
  <c r="R24" i="36"/>
  <c r="R33" i="36"/>
  <c r="Q46" i="36"/>
  <c r="R54" i="36"/>
  <c r="H76" i="36"/>
  <c r="R11" i="36"/>
  <c r="R61" i="36"/>
  <c r="Q26" i="36"/>
  <c r="Q80" i="36"/>
  <c r="Q32" i="36"/>
  <c r="R32" i="36"/>
  <c r="R41" i="36"/>
  <c r="Q54" i="36"/>
  <c r="R62" i="36"/>
  <c r="H75" i="36"/>
  <c r="R47" i="36"/>
  <c r="Q75" i="36"/>
  <c r="Q24" i="36"/>
  <c r="Q39" i="36"/>
  <c r="Q45" i="36"/>
  <c r="R40" i="36"/>
  <c r="R49" i="36"/>
  <c r="Q62" i="36"/>
  <c r="R70" i="36"/>
  <c r="H74" i="36"/>
  <c r="R13" i="36"/>
  <c r="Q37" i="36"/>
  <c r="Q51" i="36"/>
  <c r="R71" i="36"/>
  <c r="R48" i="36"/>
  <c r="R57" i="36"/>
  <c r="Q70" i="36"/>
  <c r="H73" i="36"/>
  <c r="Q43" i="36"/>
  <c r="CJ55" i="39" l="1"/>
  <c r="CK55" i="39" s="1"/>
  <c r="CJ207" i="39"/>
  <c r="CK207" i="39" s="1"/>
  <c r="CJ66" i="39"/>
  <c r="CK66" i="39" s="1"/>
  <c r="CJ8" i="39"/>
  <c r="CK8" i="39" s="1"/>
  <c r="CJ132" i="39"/>
  <c r="CK132" i="39" s="1"/>
  <c r="CJ194" i="39"/>
  <c r="CK194" i="39" s="1"/>
  <c r="CJ169" i="39"/>
  <c r="CK169" i="39" s="1"/>
  <c r="CJ2" i="39"/>
  <c r="CK2" i="39" s="1"/>
  <c r="CJ118" i="39"/>
  <c r="CK118" i="39" s="1"/>
  <c r="CJ65" i="39"/>
  <c r="CK65" i="39" s="1"/>
  <c r="CJ208" i="39"/>
  <c r="CK208" i="39" s="1"/>
  <c r="CJ185" i="39"/>
  <c r="CK185" i="39" s="1"/>
  <c r="CJ54" i="39"/>
  <c r="CK54" i="39" s="1"/>
  <c r="CJ170" i="39"/>
  <c r="CK170" i="39" s="1"/>
  <c r="CJ74" i="39"/>
  <c r="CK74" i="39" s="1"/>
  <c r="CJ154" i="39"/>
  <c r="CK154" i="39" s="1"/>
  <c r="CJ113" i="39"/>
  <c r="CK113" i="39" s="1"/>
  <c r="CJ63" i="39"/>
  <c r="CK63" i="39" s="1"/>
  <c r="CJ110" i="39"/>
  <c r="CK110" i="39" s="1"/>
  <c r="CJ183" i="39"/>
  <c r="CK183" i="39" s="1"/>
  <c r="CJ211" i="39"/>
  <c r="CK211" i="39" s="1"/>
  <c r="CF14" i="39"/>
  <c r="BZ14" i="39" s="1"/>
  <c r="AY14" i="39" s="1"/>
  <c r="CI14" i="39" s="1"/>
  <c r="CJ14" i="39" s="1"/>
  <c r="CK14" i="39" s="1"/>
  <c r="CJ60" i="39"/>
  <c r="CK60" i="39" s="1"/>
  <c r="CJ172" i="39"/>
  <c r="CK172" i="39" s="1"/>
  <c r="CJ195" i="39"/>
  <c r="CK195" i="39" s="1"/>
  <c r="CJ182" i="39"/>
  <c r="CK182" i="39" s="1"/>
  <c r="CJ209" i="39"/>
  <c r="CK209" i="39" s="1"/>
  <c r="CJ53" i="39"/>
  <c r="CK53" i="39" s="1"/>
  <c r="CJ138" i="39"/>
  <c r="CK138" i="39" s="1"/>
  <c r="CJ215" i="39"/>
  <c r="CK215" i="39" s="1"/>
  <c r="CJ139" i="39"/>
  <c r="CK139" i="39" s="1"/>
  <c r="CJ181" i="39"/>
  <c r="CK181" i="39" s="1"/>
  <c r="CJ67" i="39"/>
  <c r="CK67" i="39" s="1"/>
  <c r="CJ111" i="39"/>
  <c r="CK111" i="39" s="1"/>
  <c r="CJ107" i="39"/>
  <c r="CK107" i="39" s="1"/>
  <c r="CJ213" i="39"/>
  <c r="CK213" i="39" s="1"/>
  <c r="CJ171" i="39"/>
  <c r="CK171" i="39" s="1"/>
  <c r="CJ109" i="39"/>
  <c r="CK109" i="39" s="1"/>
  <c r="CJ214" i="39"/>
  <c r="CK214" i="39" s="1"/>
  <c r="CJ136" i="39"/>
  <c r="CK136" i="39" s="1"/>
  <c r="CJ104" i="39"/>
  <c r="CK104" i="39" s="1"/>
  <c r="CJ108" i="39"/>
  <c r="CK108" i="39" s="1"/>
  <c r="CJ106" i="39"/>
  <c r="CK106" i="39" s="1"/>
  <c r="CJ143" i="39"/>
  <c r="CK143" i="39" s="1"/>
  <c r="CJ184" i="39"/>
  <c r="CK184" i="39" s="1"/>
  <c r="CJ105" i="39"/>
  <c r="CK105" i="39" s="1"/>
  <c r="CJ137" i="39"/>
  <c r="CK137" i="39" s="1"/>
  <c r="P18" i="24"/>
  <c r="R18" i="24" s="1"/>
  <c r="J18" i="24"/>
  <c r="P15" i="24"/>
  <c r="R15" i="24" s="1"/>
  <c r="J15" i="24"/>
  <c r="P14" i="24"/>
  <c r="R14" i="24" s="1"/>
  <c r="J14" i="24"/>
  <c r="P13" i="24"/>
  <c r="R13" i="24" s="1"/>
  <c r="J13" i="24"/>
  <c r="P12" i="24"/>
  <c r="R12" i="24" s="1"/>
  <c r="J12" i="24"/>
  <c r="P11" i="24"/>
  <c r="R11" i="24" s="1"/>
  <c r="J11" i="24"/>
  <c r="P10" i="24"/>
  <c r="R10" i="24" s="1"/>
  <c r="J10" i="24"/>
  <c r="P9" i="24"/>
  <c r="R9" i="24" s="1"/>
  <c r="J9" i="24"/>
  <c r="P8" i="24"/>
  <c r="R8" i="24" s="1"/>
  <c r="J40" i="36" l="1"/>
  <c r="J41" i="36"/>
  <c r="J42" i="36"/>
  <c r="J43" i="36"/>
  <c r="J44" i="36"/>
  <c r="J45" i="36"/>
  <c r="J46" i="36"/>
  <c r="J47" i="36"/>
  <c r="J48" i="36"/>
  <c r="J49" i="36"/>
  <c r="J50" i="36"/>
  <c r="J51" i="36"/>
  <c r="J52" i="36"/>
  <c r="J53" i="36"/>
  <c r="J54" i="36"/>
  <c r="J55" i="36"/>
  <c r="J56" i="36"/>
  <c r="J57" i="36"/>
  <c r="J58" i="36"/>
  <c r="J59" i="36"/>
  <c r="J60" i="36"/>
  <c r="J61" i="36"/>
  <c r="J62" i="36"/>
  <c r="AB11" i="32" l="1"/>
  <c r="AB3" i="32"/>
  <c r="J166" i="39" l="1"/>
  <c r="H166" i="39" s="1"/>
  <c r="J178" i="39"/>
  <c r="H178" i="39" s="1"/>
  <c r="I178" i="39" s="1"/>
  <c r="J34" i="39"/>
  <c r="H34" i="39" s="1"/>
  <c r="I34" i="39" s="1"/>
  <c r="J175" i="39"/>
  <c r="H175" i="39" s="1"/>
  <c r="I175" i="39" s="1"/>
  <c r="J36" i="39"/>
  <c r="H36" i="39" s="1"/>
  <c r="I36" i="39" s="1"/>
  <c r="J33" i="39"/>
  <c r="H33" i="39" s="1"/>
  <c r="I33" i="39" s="1"/>
  <c r="J157" i="39"/>
  <c r="H157" i="39" s="1"/>
  <c r="I157" i="39" s="1"/>
  <c r="J380" i="39"/>
  <c r="J163" i="39"/>
  <c r="H163" i="39" s="1"/>
  <c r="I163" i="39" s="1"/>
  <c r="J27" i="39"/>
  <c r="J124" i="39"/>
  <c r="H124" i="39" s="1"/>
  <c r="I124" i="39" s="1"/>
  <c r="J177" i="39"/>
  <c r="H177" i="39" s="1"/>
  <c r="I177" i="39" s="1"/>
  <c r="J42" i="39"/>
  <c r="H42" i="39" s="1"/>
  <c r="I42" i="39" s="1"/>
  <c r="J382" i="39"/>
  <c r="J131" i="39"/>
  <c r="H131" i="39" s="1"/>
  <c r="I131" i="39" s="1"/>
  <c r="J123" i="39"/>
  <c r="H123" i="39" s="1"/>
  <c r="I123" i="39" s="1"/>
  <c r="J32" i="39"/>
  <c r="H32" i="39" s="1"/>
  <c r="I32" i="39" s="1"/>
  <c r="J387" i="39"/>
  <c r="J18" i="39"/>
  <c r="H18" i="39" s="1"/>
  <c r="I18" i="39" s="1"/>
  <c r="J176" i="39"/>
  <c r="J191" i="39"/>
  <c r="H191" i="39" s="1"/>
  <c r="I191" i="39" s="1"/>
  <c r="J203" i="39"/>
  <c r="J219" i="39"/>
  <c r="H219" i="39" s="1"/>
  <c r="I219" i="39" s="1"/>
  <c r="J204" i="39"/>
  <c r="H204" i="39" s="1"/>
  <c r="J49" i="39"/>
  <c r="H49" i="39" s="1"/>
  <c r="I49" i="39" s="1"/>
  <c r="J128" i="39"/>
  <c r="H128" i="39" s="1"/>
  <c r="J50" i="39"/>
  <c r="H50" i="39" s="1"/>
  <c r="I50" i="39" s="1"/>
  <c r="J167" i="39"/>
  <c r="H167" i="39" s="1"/>
  <c r="I167" i="39" s="1"/>
  <c r="J392" i="39"/>
  <c r="J31" i="39"/>
  <c r="H31" i="39" s="1"/>
  <c r="I31" i="39" s="1"/>
  <c r="J43" i="39"/>
  <c r="H43" i="39" s="1"/>
  <c r="I43" i="39" s="1"/>
  <c r="J98" i="39"/>
  <c r="H98" i="39" s="1"/>
  <c r="I98" i="39" s="1"/>
  <c r="J202" i="39"/>
  <c r="H202" i="39" s="1"/>
  <c r="I202" i="39" s="1"/>
  <c r="J159" i="39"/>
  <c r="H159" i="39" s="1"/>
  <c r="I159" i="39" s="1"/>
  <c r="J24" i="39"/>
  <c r="H24" i="39" s="1"/>
  <c r="I24" i="39" s="1"/>
  <c r="J28" i="39"/>
  <c r="H28" i="39" s="1"/>
  <c r="I28" i="39" s="1"/>
  <c r="J158" i="39"/>
  <c r="H158" i="39" s="1"/>
  <c r="I158" i="39" s="1"/>
  <c r="J168" i="39"/>
  <c r="H168" i="39" s="1"/>
  <c r="I168" i="39" s="1"/>
  <c r="J21" i="39"/>
  <c r="H21" i="39" s="1"/>
  <c r="I21" i="39" s="1"/>
  <c r="J35" i="39"/>
  <c r="J385" i="39"/>
  <c r="J41" i="39"/>
  <c r="H41" i="39" s="1"/>
  <c r="I41" i="39" s="1"/>
  <c r="J192" i="39"/>
  <c r="H192" i="39" s="1"/>
  <c r="I192" i="39" s="1"/>
  <c r="J48" i="39"/>
  <c r="H48" i="39" s="1"/>
  <c r="I48" i="39" s="1"/>
  <c r="J393" i="39"/>
  <c r="J384" i="39"/>
  <c r="J45" i="39"/>
  <c r="H45" i="39" s="1"/>
  <c r="I45" i="39" s="1"/>
  <c r="J20" i="39"/>
  <c r="H20" i="39" s="1"/>
  <c r="I20" i="39" s="1"/>
  <c r="J23" i="39"/>
  <c r="H23" i="39" s="1"/>
  <c r="I23" i="39" s="1"/>
  <c r="J160" i="39"/>
  <c r="H160" i="39" s="1"/>
  <c r="I160" i="39" s="1"/>
  <c r="J391" i="39"/>
  <c r="J389" i="39"/>
  <c r="J388" i="39"/>
  <c r="J19" i="39"/>
  <c r="H19" i="39" s="1"/>
  <c r="J383" i="39"/>
  <c r="J40" i="39"/>
  <c r="H40" i="39" s="1"/>
  <c r="I40" i="39" s="1"/>
  <c r="J44" i="39"/>
  <c r="H44" i="39" s="1"/>
  <c r="I44" i="39" s="1"/>
  <c r="J22" i="39"/>
  <c r="H22" i="39" s="1"/>
  <c r="I22" i="39" s="1"/>
  <c r="J26" i="39"/>
  <c r="H26" i="39" s="1"/>
  <c r="I26" i="39" s="1"/>
  <c r="J390" i="39"/>
  <c r="J161" i="39"/>
  <c r="H161" i="39" s="1"/>
  <c r="I161" i="39" s="1"/>
  <c r="J25" i="39"/>
  <c r="H25" i="39" s="1"/>
  <c r="I25" i="39" s="1"/>
  <c r="J156" i="39"/>
  <c r="H156" i="39" s="1"/>
  <c r="I156" i="39" s="1"/>
  <c r="J386" i="39"/>
  <c r="J46" i="39"/>
  <c r="H46" i="39" s="1"/>
  <c r="I46" i="39" s="1"/>
  <c r="J30" i="39"/>
  <c r="H30" i="39" s="1"/>
  <c r="I30" i="39" s="1"/>
  <c r="J155" i="39"/>
  <c r="H155" i="39" s="1"/>
  <c r="J162" i="39"/>
  <c r="J381" i="39"/>
  <c r="H381" i="39" s="1"/>
  <c r="I381" i="39" s="1"/>
  <c r="J17" i="39"/>
  <c r="H17" i="39" s="1"/>
  <c r="J129" i="39"/>
  <c r="H129" i="39" s="1"/>
  <c r="I129" i="39" s="1"/>
  <c r="J152" i="39"/>
  <c r="H152" i="39" s="1"/>
  <c r="J102" i="39"/>
  <c r="H102" i="39" s="1"/>
  <c r="I102" i="39" s="1"/>
  <c r="J324" i="39"/>
  <c r="J325" i="39"/>
  <c r="J322" i="39"/>
  <c r="J323" i="39"/>
  <c r="J320" i="39"/>
  <c r="J321" i="39"/>
  <c r="J318" i="39"/>
  <c r="J319" i="39"/>
  <c r="J317" i="39"/>
  <c r="J316" i="39"/>
  <c r="J314" i="39"/>
  <c r="J315" i="39"/>
  <c r="J311" i="39"/>
  <c r="J313" i="39"/>
  <c r="J312" i="39"/>
  <c r="J309" i="39"/>
  <c r="J310" i="39"/>
  <c r="J307" i="39"/>
  <c r="J308" i="39"/>
  <c r="J304" i="39"/>
  <c r="J305" i="39"/>
  <c r="J306" i="39"/>
  <c r="J301" i="39"/>
  <c r="J303" i="39"/>
  <c r="J302" i="39"/>
  <c r="J300" i="39"/>
  <c r="J299" i="39"/>
  <c r="J297" i="39"/>
  <c r="J298" i="39"/>
  <c r="J295" i="39"/>
  <c r="J296" i="39"/>
  <c r="J293" i="39"/>
  <c r="J294" i="39"/>
  <c r="J291" i="39"/>
  <c r="J292" i="39"/>
  <c r="J289" i="39"/>
  <c r="J288" i="39"/>
  <c r="J290" i="39"/>
  <c r="J287" i="39"/>
  <c r="J286" i="39"/>
  <c r="J284" i="39"/>
  <c r="J285" i="39"/>
  <c r="J282" i="39"/>
  <c r="J283" i="39"/>
  <c r="J280" i="39"/>
  <c r="J281" i="39"/>
  <c r="J278" i="39"/>
  <c r="J279" i="39"/>
  <c r="J276" i="39"/>
  <c r="J277" i="39"/>
  <c r="H272" i="39"/>
  <c r="I272" i="39" s="1"/>
  <c r="J275" i="39"/>
  <c r="J274" i="39"/>
  <c r="J273" i="39"/>
  <c r="J379" i="39"/>
  <c r="J73" i="39"/>
  <c r="H73" i="39" s="1"/>
  <c r="I73" i="39" s="1"/>
  <c r="J210" i="39"/>
  <c r="H210" i="39" s="1"/>
  <c r="I210" i="39" s="1"/>
  <c r="J75" i="39"/>
  <c r="H75" i="39" s="1"/>
  <c r="I75" i="39" s="1"/>
  <c r="J211" i="39"/>
  <c r="H211" i="39" s="1"/>
  <c r="I211" i="39" s="1"/>
  <c r="J74" i="39"/>
  <c r="H74" i="39" s="1"/>
  <c r="I74" i="39" s="1"/>
  <c r="J14" i="39"/>
  <c r="H14" i="39" s="1"/>
  <c r="I14" i="39" s="1"/>
  <c r="J13" i="39"/>
  <c r="H13" i="39" s="1"/>
  <c r="I13" i="39" s="1"/>
  <c r="J371" i="39"/>
  <c r="J185" i="39"/>
  <c r="H185" i="39" s="1"/>
  <c r="I185" i="39" s="1"/>
  <c r="J186" i="39"/>
  <c r="H186" i="39" s="1"/>
  <c r="I186" i="39" s="1"/>
  <c r="J78" i="39"/>
  <c r="H78" i="39" s="1"/>
  <c r="I78" i="39" s="1"/>
  <c r="J216" i="39"/>
  <c r="H216" i="39" s="1"/>
  <c r="I216" i="39" s="1"/>
  <c r="J77" i="39"/>
  <c r="H77" i="39" s="1"/>
  <c r="I77" i="39" s="1"/>
  <c r="J53" i="39"/>
  <c r="H53" i="39" s="1"/>
  <c r="I53" i="39" s="1"/>
  <c r="J209" i="39"/>
  <c r="H209" i="39" s="1"/>
  <c r="I209" i="39" s="1"/>
  <c r="J54" i="39"/>
  <c r="H54" i="39" s="1"/>
  <c r="I54" i="39" s="1"/>
  <c r="J208" i="39"/>
  <c r="H208" i="39" s="1"/>
  <c r="I208" i="39" s="1"/>
  <c r="J52" i="39"/>
  <c r="H52" i="39" s="1"/>
  <c r="I52" i="39" s="1"/>
  <c r="J143" i="39"/>
  <c r="H143" i="39" s="1"/>
  <c r="I143" i="39" s="1"/>
  <c r="J144" i="39"/>
  <c r="H144" i="39" s="1"/>
  <c r="I144" i="39" s="1"/>
  <c r="J101" i="39"/>
  <c r="H101" i="39" s="1"/>
  <c r="I101" i="39" s="1"/>
  <c r="H264" i="39"/>
  <c r="I264" i="39" s="1"/>
  <c r="H256" i="39"/>
  <c r="I256" i="39" s="1"/>
  <c r="H248" i="39"/>
  <c r="I248" i="39" s="1"/>
  <c r="H240" i="39"/>
  <c r="I240" i="39" s="1"/>
  <c r="H232" i="39"/>
  <c r="I232" i="39" s="1"/>
  <c r="H224" i="39"/>
  <c r="I224" i="39" s="1"/>
  <c r="H165" i="39"/>
  <c r="H382" i="39"/>
  <c r="I382" i="39" s="1"/>
  <c r="H259" i="39"/>
  <c r="I259" i="39" s="1"/>
  <c r="H242" i="39"/>
  <c r="I242" i="39" s="1"/>
  <c r="H386" i="39"/>
  <c r="I386" i="39" s="1"/>
  <c r="H271" i="39"/>
  <c r="I271" i="39" s="1"/>
  <c r="H263" i="39"/>
  <c r="I263" i="39" s="1"/>
  <c r="H255" i="39"/>
  <c r="I255" i="39" s="1"/>
  <c r="H247" i="39"/>
  <c r="I247" i="39" s="1"/>
  <c r="H239" i="39"/>
  <c r="I239" i="39" s="1"/>
  <c r="H231" i="39"/>
  <c r="I231" i="39" s="1"/>
  <c r="H223" i="39"/>
  <c r="I223" i="39" s="1"/>
  <c r="H391" i="39"/>
  <c r="I391" i="39" s="1"/>
  <c r="H64" i="39"/>
  <c r="I64" i="39" s="1"/>
  <c r="H388" i="39"/>
  <c r="I388" i="39" s="1"/>
  <c r="H203" i="39"/>
  <c r="I203" i="39" s="1"/>
  <c r="H251" i="39"/>
  <c r="I251" i="39" s="1"/>
  <c r="H250" i="39"/>
  <c r="I250" i="39" s="1"/>
  <c r="H270" i="39"/>
  <c r="I270" i="39" s="1"/>
  <c r="H262" i="39"/>
  <c r="I262" i="39" s="1"/>
  <c r="H254" i="39"/>
  <c r="I254" i="39" s="1"/>
  <c r="H246" i="39"/>
  <c r="I246" i="39" s="1"/>
  <c r="H238" i="39"/>
  <c r="I238" i="39" s="1"/>
  <c r="H230" i="39"/>
  <c r="I230" i="39" s="1"/>
  <c r="H222" i="39"/>
  <c r="I222" i="39" s="1"/>
  <c r="H390" i="39"/>
  <c r="I390" i="39" s="1"/>
  <c r="H387" i="39"/>
  <c r="I387" i="39" s="1"/>
  <c r="H162" i="39"/>
  <c r="H47" i="39"/>
  <c r="I47" i="39" s="1"/>
  <c r="H226" i="39"/>
  <c r="I226" i="39" s="1"/>
  <c r="H269" i="39"/>
  <c r="I269" i="39" s="1"/>
  <c r="H261" i="39"/>
  <c r="I261" i="39" s="1"/>
  <c r="H253" i="39"/>
  <c r="I253" i="39" s="1"/>
  <c r="H245" i="39"/>
  <c r="I245" i="39" s="1"/>
  <c r="H237" i="39"/>
  <c r="I237" i="39" s="1"/>
  <c r="H229" i="39"/>
  <c r="I229" i="39" s="1"/>
  <c r="H221" i="39"/>
  <c r="I221" i="39" s="1"/>
  <c r="H176" i="39"/>
  <c r="I176" i="39" s="1"/>
  <c r="H29" i="39"/>
  <c r="I29" i="39" s="1"/>
  <c r="H27" i="39"/>
  <c r="H385" i="39"/>
  <c r="I385" i="39" s="1"/>
  <c r="H35" i="39"/>
  <c r="I35" i="39" s="1"/>
  <c r="H234" i="39"/>
  <c r="I234" i="39" s="1"/>
  <c r="H268" i="39"/>
  <c r="I268" i="39" s="1"/>
  <c r="H260" i="39"/>
  <c r="I260" i="39" s="1"/>
  <c r="H252" i="39"/>
  <c r="I252" i="39" s="1"/>
  <c r="H244" i="39"/>
  <c r="I244" i="39" s="1"/>
  <c r="H236" i="39"/>
  <c r="I236" i="39" s="1"/>
  <c r="H228" i="39"/>
  <c r="I228" i="39" s="1"/>
  <c r="H220" i="39"/>
  <c r="I220" i="39" s="1"/>
  <c r="H164" i="39"/>
  <c r="I164" i="39" s="1"/>
  <c r="H384" i="39"/>
  <c r="I384" i="39" s="1"/>
  <c r="H380" i="39"/>
  <c r="I380" i="39" s="1"/>
  <c r="H267" i="39"/>
  <c r="I267" i="39" s="1"/>
  <c r="H235" i="39"/>
  <c r="I235" i="39" s="1"/>
  <c r="H227" i="39"/>
  <c r="I227" i="39" s="1"/>
  <c r="H393" i="39"/>
  <c r="I393" i="39" s="1"/>
  <c r="H392" i="39"/>
  <c r="I392" i="39" s="1"/>
  <c r="H389" i="39"/>
  <c r="I389" i="39" s="1"/>
  <c r="H258" i="39"/>
  <c r="I258" i="39" s="1"/>
  <c r="H265" i="39"/>
  <c r="I265" i="39" s="1"/>
  <c r="H257" i="39"/>
  <c r="I257" i="39" s="1"/>
  <c r="H249" i="39"/>
  <c r="I249" i="39" s="1"/>
  <c r="H241" i="39"/>
  <c r="I241" i="39" s="1"/>
  <c r="H233" i="39"/>
  <c r="I233" i="39" s="1"/>
  <c r="H225" i="39"/>
  <c r="I225" i="39" s="1"/>
  <c r="H383" i="39"/>
  <c r="I383" i="39" s="1"/>
  <c r="H243" i="39"/>
  <c r="I243" i="39" s="1"/>
  <c r="H266" i="39"/>
  <c r="I266" i="39" s="1"/>
  <c r="J370" i="39"/>
  <c r="J195" i="39"/>
  <c r="H195" i="39" s="1"/>
  <c r="I195" i="39" s="1"/>
  <c r="J113" i="39"/>
  <c r="H113" i="39" s="1"/>
  <c r="I113" i="39" s="1"/>
  <c r="J66" i="39"/>
  <c r="H66" i="39" s="1"/>
  <c r="I66" i="39" s="1"/>
  <c r="J67" i="39"/>
  <c r="H67" i="39" s="1"/>
  <c r="I67" i="39" s="1"/>
  <c r="J194" i="39"/>
  <c r="H194" i="39" s="1"/>
  <c r="I194" i="39" s="1"/>
  <c r="J65" i="39"/>
  <c r="H65" i="39" s="1"/>
  <c r="I65" i="39" s="1"/>
  <c r="J130" i="39"/>
  <c r="H130" i="39" s="1"/>
  <c r="J377" i="39"/>
  <c r="J206" i="39"/>
  <c r="H206" i="39" s="1"/>
  <c r="I206" i="39" s="1"/>
  <c r="J118" i="39"/>
  <c r="H118" i="39" s="1"/>
  <c r="I118" i="39" s="1"/>
  <c r="J184" i="39"/>
  <c r="H184" i="39" s="1"/>
  <c r="I184" i="39" s="1"/>
  <c r="J119" i="39"/>
  <c r="H119" i="39" s="1"/>
  <c r="I119" i="39" s="1"/>
  <c r="J183" i="39"/>
  <c r="H183" i="39" s="1"/>
  <c r="J108" i="39"/>
  <c r="H108" i="39" s="1"/>
  <c r="I108" i="39" s="1"/>
  <c r="J55" i="39"/>
  <c r="H55" i="39" s="1"/>
  <c r="I55" i="39" s="1"/>
  <c r="J51" i="39"/>
  <c r="H51" i="39" s="1"/>
  <c r="J189" i="39"/>
  <c r="H189" i="39" s="1"/>
  <c r="I189" i="39" s="1"/>
  <c r="J97" i="39"/>
  <c r="H97" i="39" s="1"/>
  <c r="I97" i="39" s="1"/>
  <c r="J112" i="39"/>
  <c r="H112" i="39" s="1"/>
  <c r="J376" i="39"/>
  <c r="J207" i="39"/>
  <c r="H207" i="39" s="1"/>
  <c r="I207" i="39" s="1"/>
  <c r="J8" i="39"/>
  <c r="H8" i="39" s="1"/>
  <c r="I8" i="39" s="1"/>
  <c r="J63" i="39"/>
  <c r="H63" i="39" s="1"/>
  <c r="I63" i="39" s="1"/>
  <c r="J137" i="39"/>
  <c r="J132" i="39"/>
  <c r="H132" i="39" s="1"/>
  <c r="I132" i="39" s="1"/>
  <c r="J79" i="39"/>
  <c r="H79" i="39" s="1"/>
  <c r="I79" i="39" s="1"/>
  <c r="J136" i="39"/>
  <c r="H136" i="39" s="1"/>
  <c r="I136" i="39" s="1"/>
  <c r="J138" i="39"/>
  <c r="H138" i="39" s="1"/>
  <c r="J110" i="39"/>
  <c r="H110" i="39" s="1"/>
  <c r="I110" i="39" s="1"/>
  <c r="J139" i="39"/>
  <c r="H139" i="39" s="1"/>
  <c r="I139" i="39" s="1"/>
  <c r="J109" i="39"/>
  <c r="H109" i="39" s="1"/>
  <c r="I109" i="39" s="1"/>
  <c r="J122" i="39"/>
  <c r="H122" i="39" s="1"/>
  <c r="I122" i="39" s="1"/>
  <c r="J111" i="39"/>
  <c r="H111" i="39" s="1"/>
  <c r="I111" i="39" s="1"/>
  <c r="J3" i="39"/>
  <c r="H3" i="39" s="1"/>
  <c r="I3" i="39" s="1"/>
  <c r="J154" i="39"/>
  <c r="H154" i="39" s="1"/>
  <c r="I154" i="39" s="1"/>
  <c r="J2" i="39"/>
  <c r="H2" i="39" s="1"/>
  <c r="I2" i="39" s="1"/>
  <c r="J153" i="39"/>
  <c r="H153" i="39" s="1"/>
  <c r="I153" i="39" s="1"/>
  <c r="J107" i="39"/>
  <c r="H107" i="39" s="1"/>
  <c r="I107" i="39" s="1"/>
  <c r="J4" i="39"/>
  <c r="H4" i="39" s="1"/>
  <c r="I4" i="39" s="1"/>
  <c r="J215" i="39"/>
  <c r="H215" i="39" s="1"/>
  <c r="I215" i="39" s="1"/>
  <c r="J105" i="39"/>
  <c r="H105" i="39" s="1"/>
  <c r="I105" i="39" s="1"/>
  <c r="J214" i="39"/>
  <c r="H214" i="39" s="1"/>
  <c r="I214" i="39" s="1"/>
  <c r="J106" i="39"/>
  <c r="H106" i="39" s="1"/>
  <c r="I106" i="39" s="1"/>
  <c r="J213" i="39"/>
  <c r="H213" i="39" s="1"/>
  <c r="J104" i="39"/>
  <c r="H104" i="39" s="1"/>
  <c r="I104" i="39" s="1"/>
  <c r="J181" i="39"/>
  <c r="H181" i="39" s="1"/>
  <c r="I181" i="39" s="1"/>
  <c r="J170" i="39"/>
  <c r="H170" i="39" s="1"/>
  <c r="I170" i="39" s="1"/>
  <c r="J182" i="39"/>
  <c r="H182" i="39" s="1"/>
  <c r="J172" i="39"/>
  <c r="H172" i="39" s="1"/>
  <c r="I172" i="39" s="1"/>
  <c r="J169" i="39"/>
  <c r="H169" i="39" s="1"/>
  <c r="J171" i="39"/>
  <c r="H171" i="39" s="1"/>
  <c r="I171" i="39" s="1"/>
  <c r="J60" i="39"/>
  <c r="H60" i="39" s="1"/>
  <c r="I60" i="39" s="1"/>
  <c r="J37" i="39"/>
  <c r="H37" i="39" s="1"/>
  <c r="I37" i="39" s="1"/>
  <c r="J59" i="39"/>
  <c r="H59" i="39" s="1"/>
  <c r="I59" i="39" s="1"/>
  <c r="J38" i="39"/>
  <c r="H38" i="39" s="1"/>
  <c r="I38" i="39" s="1"/>
  <c r="J39" i="39"/>
  <c r="H39" i="39" s="1"/>
  <c r="I39" i="39" s="1"/>
  <c r="J133" i="39"/>
  <c r="H133" i="39" s="1"/>
  <c r="I133" i="39" s="1"/>
  <c r="J190" i="39"/>
  <c r="H190" i="39" s="1"/>
  <c r="I190" i="39" s="1"/>
  <c r="J10" i="39"/>
  <c r="H10" i="39" s="1"/>
  <c r="I10" i="39" s="1"/>
  <c r="J9" i="39"/>
  <c r="H9" i="39" s="1"/>
  <c r="I9" i="39" s="1"/>
  <c r="J372" i="39"/>
  <c r="J135" i="39"/>
  <c r="H135" i="39" s="1"/>
  <c r="I135" i="39" s="1"/>
  <c r="J11" i="39"/>
  <c r="H11" i="39" s="1"/>
  <c r="I11" i="39" s="1"/>
  <c r="J134" i="39"/>
  <c r="H134" i="39" s="1"/>
  <c r="I134" i="39" s="1"/>
  <c r="J369" i="39"/>
  <c r="J12" i="39"/>
  <c r="H12" i="39" s="1"/>
  <c r="I12" i="39" s="1"/>
  <c r="J149" i="39"/>
  <c r="H149" i="39" s="1"/>
  <c r="I149" i="39" s="1"/>
  <c r="J76" i="39"/>
  <c r="H76" i="39" s="1"/>
  <c r="I76" i="39" s="1"/>
  <c r="J378" i="39"/>
  <c r="J125" i="39"/>
  <c r="H125" i="39" s="1"/>
  <c r="I125" i="39" s="1"/>
  <c r="J375" i="39"/>
  <c r="J120" i="39"/>
  <c r="H120" i="39" s="1"/>
  <c r="I120" i="39" s="1"/>
  <c r="J15" i="39"/>
  <c r="H15" i="39" s="1"/>
  <c r="I15" i="39" s="1"/>
  <c r="J16" i="39"/>
  <c r="H16" i="39" s="1"/>
  <c r="J174" i="39"/>
  <c r="H174" i="39" s="1"/>
  <c r="I174" i="39" s="1"/>
  <c r="J71" i="39"/>
  <c r="H71" i="39" s="1"/>
  <c r="I71" i="39" s="1"/>
  <c r="J150" i="39"/>
  <c r="H150" i="39" s="1"/>
  <c r="I150" i="39" s="1"/>
  <c r="J173" i="39"/>
  <c r="H173" i="39" s="1"/>
  <c r="I173" i="39" s="1"/>
  <c r="J70" i="39"/>
  <c r="H70" i="39" s="1"/>
  <c r="I70" i="39" s="1"/>
  <c r="J114" i="39"/>
  <c r="H114" i="39" s="1"/>
  <c r="I114" i="39" s="1"/>
  <c r="J179" i="39"/>
  <c r="H179" i="39" s="1"/>
  <c r="I179" i="39" s="1"/>
  <c r="J68" i="39"/>
  <c r="H68" i="39" s="1"/>
  <c r="I68" i="39" s="1"/>
  <c r="J81" i="39"/>
  <c r="H81" i="39" s="1"/>
  <c r="I81" i="39" s="1"/>
  <c r="J212" i="39"/>
  <c r="H212" i="39" s="1"/>
  <c r="I212" i="39" s="1"/>
  <c r="J374" i="39"/>
  <c r="H374" i="39" s="1"/>
  <c r="I374" i="39" s="1"/>
  <c r="J117" i="39"/>
  <c r="H117" i="39" s="1"/>
  <c r="I117" i="39" s="1"/>
  <c r="J218" i="39"/>
  <c r="H218" i="39" s="1"/>
  <c r="I218" i="39" s="1"/>
  <c r="J116" i="39"/>
  <c r="H116" i="39" s="1"/>
  <c r="I116" i="39" s="1"/>
  <c r="J217" i="39"/>
  <c r="H217" i="39" s="1"/>
  <c r="I217" i="39" s="1"/>
  <c r="J62" i="39"/>
  <c r="H62" i="39" s="1"/>
  <c r="J115" i="39"/>
  <c r="H115" i="39" s="1"/>
  <c r="I115" i="39" s="1"/>
  <c r="J56" i="39"/>
  <c r="H56" i="39" s="1"/>
  <c r="I56" i="39" s="1"/>
  <c r="J188" i="39"/>
  <c r="H188" i="39" s="1"/>
  <c r="I188" i="39" s="1"/>
  <c r="J58" i="39"/>
  <c r="H58" i="39" s="1"/>
  <c r="I58" i="39" s="1"/>
  <c r="J57" i="39"/>
  <c r="H57" i="39" s="1"/>
  <c r="I57" i="39" s="1"/>
  <c r="J99" i="39"/>
  <c r="H99" i="39" s="1"/>
  <c r="I99" i="39" s="1"/>
  <c r="J187" i="39"/>
  <c r="H187" i="39" s="1"/>
  <c r="I187" i="39" s="1"/>
  <c r="J100" i="39"/>
  <c r="H100" i="39" s="1"/>
  <c r="I100" i="39" s="1"/>
  <c r="J141" i="39"/>
  <c r="H141" i="39" s="1"/>
  <c r="I141" i="39" s="1"/>
  <c r="J61" i="39"/>
  <c r="H61" i="39" s="1"/>
  <c r="I61" i="39" s="1"/>
  <c r="J142" i="39"/>
  <c r="H142" i="39" s="1"/>
  <c r="I142" i="39" s="1"/>
  <c r="J92" i="39"/>
  <c r="H92" i="39" s="1"/>
  <c r="I92" i="39" s="1"/>
  <c r="J94" i="39"/>
  <c r="H94" i="39" s="1"/>
  <c r="I94" i="39" s="1"/>
  <c r="J147" i="39"/>
  <c r="H147" i="39" s="1"/>
  <c r="I147" i="39" s="1"/>
  <c r="J145" i="39"/>
  <c r="H145" i="39" s="1"/>
  <c r="J96" i="39"/>
  <c r="H96" i="39" s="1"/>
  <c r="I96" i="39" s="1"/>
  <c r="J93" i="39"/>
  <c r="H93" i="39" s="1"/>
  <c r="I93" i="39" s="1"/>
  <c r="J95" i="39"/>
  <c r="H95" i="39" s="1"/>
  <c r="I95" i="39" s="1"/>
  <c r="J146" i="39"/>
  <c r="J148" i="39"/>
  <c r="H148" i="39" s="1"/>
  <c r="I148" i="39" s="1"/>
  <c r="J193" i="39"/>
  <c r="H193" i="39" s="1"/>
  <c r="I193" i="39" s="1"/>
  <c r="J72" i="39"/>
  <c r="H72" i="39" s="1"/>
  <c r="I72" i="39" s="1"/>
  <c r="J373" i="39"/>
  <c r="H373" i="39" s="1"/>
  <c r="I373" i="39" s="1"/>
  <c r="J127" i="39"/>
  <c r="H127" i="39" s="1"/>
  <c r="I127" i="39" s="1"/>
  <c r="J6" i="39"/>
  <c r="H6" i="39" s="1"/>
  <c r="I6" i="39" s="1"/>
  <c r="J5" i="39"/>
  <c r="H5" i="39" s="1"/>
  <c r="I5" i="39" s="1"/>
  <c r="J7" i="39"/>
  <c r="H7" i="39" s="1"/>
  <c r="I7" i="39" s="1"/>
  <c r="J126" i="39"/>
  <c r="H126" i="39" s="1"/>
  <c r="I126" i="39" s="1"/>
  <c r="J85" i="39"/>
  <c r="H85" i="39" s="1"/>
  <c r="I85" i="39" s="1"/>
  <c r="J90" i="39"/>
  <c r="H90" i="39" s="1"/>
  <c r="I90" i="39" s="1"/>
  <c r="J88" i="39"/>
  <c r="H88" i="39" s="1"/>
  <c r="I88" i="39" s="1"/>
  <c r="J89" i="39"/>
  <c r="H89" i="39" s="1"/>
  <c r="I89" i="39" s="1"/>
  <c r="J86" i="39"/>
  <c r="H86" i="39" s="1"/>
  <c r="I86" i="39" s="1"/>
  <c r="J368" i="39"/>
  <c r="J87" i="39"/>
  <c r="H87" i="39" s="1"/>
  <c r="I87" i="39" s="1"/>
  <c r="J201" i="39"/>
  <c r="H201" i="39" s="1"/>
  <c r="I201" i="39" s="1"/>
  <c r="J91" i="39"/>
  <c r="H91" i="39" s="1"/>
  <c r="I91" i="39" s="1"/>
  <c r="J200" i="39"/>
  <c r="H200" i="39" s="1"/>
  <c r="I200" i="39" s="1"/>
  <c r="J199" i="39"/>
  <c r="H199" i="39" s="1"/>
  <c r="I199" i="39" s="1"/>
  <c r="J197" i="39"/>
  <c r="H197" i="39" s="1"/>
  <c r="I197" i="39" s="1"/>
  <c r="J80" i="39"/>
  <c r="H80" i="39" s="1"/>
  <c r="I80" i="39" s="1"/>
  <c r="J82" i="39"/>
  <c r="H82" i="39" s="1"/>
  <c r="I82" i="39" s="1"/>
  <c r="J198" i="39"/>
  <c r="H198" i="39" s="1"/>
  <c r="I198" i="39" s="1"/>
  <c r="J196" i="39"/>
  <c r="H196" i="39" s="1"/>
  <c r="I196" i="39" s="1"/>
  <c r="J205" i="39"/>
  <c r="H205" i="39" s="1"/>
  <c r="I205" i="39" s="1"/>
  <c r="J69" i="39"/>
  <c r="H69" i="39" s="1"/>
  <c r="I69" i="39" s="1"/>
  <c r="J83" i="39"/>
  <c r="H83" i="39" s="1"/>
  <c r="I83" i="39" s="1"/>
  <c r="J84" i="39"/>
  <c r="H84" i="39" s="1"/>
  <c r="I84" i="39" s="1"/>
  <c r="J180" i="39"/>
  <c r="H180" i="39" s="1"/>
  <c r="I180" i="39" s="1"/>
  <c r="J103" i="39"/>
  <c r="H103" i="39" s="1"/>
  <c r="I103" i="39" s="1"/>
  <c r="J151" i="39"/>
  <c r="H151" i="39" s="1"/>
  <c r="I151" i="39" s="1"/>
  <c r="J121" i="39"/>
  <c r="H121" i="39" s="1"/>
  <c r="I121" i="39" s="1"/>
  <c r="H372" i="39"/>
  <c r="I372" i="39" s="1"/>
  <c r="H378" i="39"/>
  <c r="I378" i="39" s="1"/>
  <c r="H369" i="39"/>
  <c r="I369" i="39" s="1"/>
  <c r="H375" i="39"/>
  <c r="I375" i="39" s="1"/>
  <c r="H368" i="39"/>
  <c r="I368" i="39" s="1"/>
  <c r="H146" i="39"/>
  <c r="I146" i="39" s="1"/>
  <c r="J409" i="39"/>
  <c r="J394" i="39"/>
  <c r="J406" i="39"/>
  <c r="J140" i="39"/>
  <c r="H140" i="39" s="1"/>
  <c r="I140" i="39" s="1"/>
  <c r="J411" i="39"/>
  <c r="J408" i="39"/>
  <c r="J407" i="39"/>
  <c r="J399" i="39"/>
  <c r="J405" i="39"/>
  <c r="J398" i="39"/>
  <c r="J404" i="39"/>
  <c r="J397" i="39"/>
  <c r="J396" i="39"/>
  <c r="J403" i="39"/>
  <c r="J402" i="39"/>
  <c r="J401" i="39"/>
  <c r="J400" i="39"/>
  <c r="J410" i="39"/>
  <c r="J395" i="39"/>
  <c r="H404" i="39"/>
  <c r="I404" i="39" s="1"/>
  <c r="H396" i="39"/>
  <c r="I396" i="39" s="1"/>
  <c r="H405" i="39"/>
  <c r="I405" i="39" s="1"/>
  <c r="H362" i="39"/>
  <c r="I362" i="39" s="1"/>
  <c r="H354" i="39"/>
  <c r="I354" i="39" s="1"/>
  <c r="H346" i="39"/>
  <c r="I346" i="39" s="1"/>
  <c r="H338" i="39"/>
  <c r="I338" i="39" s="1"/>
  <c r="H330" i="39"/>
  <c r="I330" i="39" s="1"/>
  <c r="H322" i="39"/>
  <c r="I322" i="39" s="1"/>
  <c r="H314" i="39"/>
  <c r="I314" i="39" s="1"/>
  <c r="H306" i="39"/>
  <c r="I306" i="39" s="1"/>
  <c r="H298" i="39"/>
  <c r="I298" i="39" s="1"/>
  <c r="H290" i="39"/>
  <c r="I290" i="39" s="1"/>
  <c r="H282" i="39"/>
  <c r="I282" i="39" s="1"/>
  <c r="H274" i="39"/>
  <c r="I274" i="39" s="1"/>
  <c r="H366" i="39"/>
  <c r="I366" i="39" s="1"/>
  <c r="H310" i="39"/>
  <c r="I310" i="39" s="1"/>
  <c r="H357" i="39"/>
  <c r="I357" i="39" s="1"/>
  <c r="H325" i="39"/>
  <c r="I325" i="39" s="1"/>
  <c r="H293" i="39"/>
  <c r="I293" i="39" s="1"/>
  <c r="H356" i="39"/>
  <c r="I356" i="39" s="1"/>
  <c r="H324" i="39"/>
  <c r="I324" i="39" s="1"/>
  <c r="H292" i="39"/>
  <c r="I292" i="39" s="1"/>
  <c r="H363" i="39"/>
  <c r="I363" i="39" s="1"/>
  <c r="H331" i="39"/>
  <c r="I331" i="39" s="1"/>
  <c r="H307" i="39"/>
  <c r="I307" i="39" s="1"/>
  <c r="H275" i="39"/>
  <c r="I275" i="39" s="1"/>
  <c r="H137" i="39"/>
  <c r="I137" i="39" s="1"/>
  <c r="H403" i="39"/>
  <c r="I403" i="39" s="1"/>
  <c r="H395" i="39"/>
  <c r="I395" i="39" s="1"/>
  <c r="H361" i="39"/>
  <c r="I361" i="39" s="1"/>
  <c r="H353" i="39"/>
  <c r="I353" i="39" s="1"/>
  <c r="H345" i="39"/>
  <c r="I345" i="39" s="1"/>
  <c r="H337" i="39"/>
  <c r="I337" i="39" s="1"/>
  <c r="H329" i="39"/>
  <c r="I329" i="39" s="1"/>
  <c r="H321" i="39"/>
  <c r="I321" i="39" s="1"/>
  <c r="H313" i="39"/>
  <c r="I313" i="39" s="1"/>
  <c r="H305" i="39"/>
  <c r="I305" i="39" s="1"/>
  <c r="H297" i="39"/>
  <c r="I297" i="39" s="1"/>
  <c r="H289" i="39"/>
  <c r="I289" i="39" s="1"/>
  <c r="H281" i="39"/>
  <c r="I281" i="39" s="1"/>
  <c r="H273" i="39"/>
  <c r="I273" i="39" s="1"/>
  <c r="H358" i="39"/>
  <c r="I358" i="39" s="1"/>
  <c r="H342" i="39"/>
  <c r="I342" i="39" s="1"/>
  <c r="H334" i="39"/>
  <c r="I334" i="39" s="1"/>
  <c r="H302" i="39"/>
  <c r="I302" i="39" s="1"/>
  <c r="H377" i="39"/>
  <c r="I377" i="39" s="1"/>
  <c r="H399" i="39"/>
  <c r="I399" i="39" s="1"/>
  <c r="H349" i="39"/>
  <c r="I349" i="39" s="1"/>
  <c r="H317" i="39"/>
  <c r="I317" i="39" s="1"/>
  <c r="H277" i="39"/>
  <c r="I277" i="39" s="1"/>
  <c r="H364" i="39"/>
  <c r="I364" i="39" s="1"/>
  <c r="H348" i="39"/>
  <c r="I348" i="39" s="1"/>
  <c r="H308" i="39"/>
  <c r="I308" i="39" s="1"/>
  <c r="H276" i="39"/>
  <c r="I276" i="39" s="1"/>
  <c r="H355" i="39"/>
  <c r="I355" i="39" s="1"/>
  <c r="H339" i="39"/>
  <c r="I339" i="39" s="1"/>
  <c r="H315" i="39"/>
  <c r="I315" i="39" s="1"/>
  <c r="H283" i="39"/>
  <c r="I283" i="39" s="1"/>
  <c r="H402" i="39"/>
  <c r="I402" i="39" s="1"/>
  <c r="H411" i="39"/>
  <c r="I411" i="39" s="1"/>
  <c r="H360" i="39"/>
  <c r="I360" i="39" s="1"/>
  <c r="H352" i="39"/>
  <c r="I352" i="39" s="1"/>
  <c r="H344" i="39"/>
  <c r="I344" i="39" s="1"/>
  <c r="H336" i="39"/>
  <c r="I336" i="39" s="1"/>
  <c r="H328" i="39"/>
  <c r="I328" i="39" s="1"/>
  <c r="H320" i="39"/>
  <c r="I320" i="39" s="1"/>
  <c r="H312" i="39"/>
  <c r="I312" i="39" s="1"/>
  <c r="H304" i="39"/>
  <c r="I304" i="39" s="1"/>
  <c r="H296" i="39"/>
  <c r="I296" i="39" s="1"/>
  <c r="H288" i="39"/>
  <c r="I288" i="39" s="1"/>
  <c r="H280" i="39"/>
  <c r="I280" i="39" s="1"/>
  <c r="H379" i="39"/>
  <c r="I379" i="39" s="1"/>
  <c r="H371" i="39"/>
  <c r="I371" i="39" s="1"/>
  <c r="H376" i="39"/>
  <c r="I376" i="39" s="1"/>
  <c r="H409" i="39"/>
  <c r="I409" i="39" s="1"/>
  <c r="H318" i="39"/>
  <c r="I318" i="39" s="1"/>
  <c r="H278" i="39"/>
  <c r="I278" i="39" s="1"/>
  <c r="H365" i="39"/>
  <c r="I365" i="39" s="1"/>
  <c r="H333" i="39"/>
  <c r="I333" i="39" s="1"/>
  <c r="H309" i="39"/>
  <c r="I309" i="39" s="1"/>
  <c r="H285" i="39"/>
  <c r="I285" i="39" s="1"/>
  <c r="H370" i="39"/>
  <c r="I370" i="39" s="1"/>
  <c r="H407" i="39"/>
  <c r="I407" i="39" s="1"/>
  <c r="H332" i="39"/>
  <c r="I332" i="39" s="1"/>
  <c r="H300" i="39"/>
  <c r="I300" i="39" s="1"/>
  <c r="H406" i="39"/>
  <c r="I406" i="39" s="1"/>
  <c r="H299" i="39"/>
  <c r="I299" i="39" s="1"/>
  <c r="H401" i="39"/>
  <c r="I401" i="39" s="1"/>
  <c r="H410" i="39"/>
  <c r="I410" i="39" s="1"/>
  <c r="H367" i="39"/>
  <c r="I367" i="39" s="1"/>
  <c r="H359" i="39"/>
  <c r="I359" i="39" s="1"/>
  <c r="H351" i="39"/>
  <c r="I351" i="39" s="1"/>
  <c r="H343" i="39"/>
  <c r="I343" i="39" s="1"/>
  <c r="H335" i="39"/>
  <c r="I335" i="39" s="1"/>
  <c r="H327" i="39"/>
  <c r="I327" i="39" s="1"/>
  <c r="H319" i="39"/>
  <c r="I319" i="39" s="1"/>
  <c r="H311" i="39"/>
  <c r="I311" i="39" s="1"/>
  <c r="H303" i="39"/>
  <c r="I303" i="39" s="1"/>
  <c r="H295" i="39"/>
  <c r="I295" i="39" s="1"/>
  <c r="H287" i="39"/>
  <c r="I287" i="39" s="1"/>
  <c r="H279" i="39"/>
  <c r="I279" i="39" s="1"/>
  <c r="H400" i="39"/>
  <c r="I400" i="39" s="1"/>
  <c r="H350" i="39"/>
  <c r="I350" i="39" s="1"/>
  <c r="H326" i="39"/>
  <c r="I326" i="39" s="1"/>
  <c r="H294" i="39"/>
  <c r="I294" i="39" s="1"/>
  <c r="H286" i="39"/>
  <c r="I286" i="39" s="1"/>
  <c r="H408" i="39"/>
  <c r="I408" i="39" s="1"/>
  <c r="H341" i="39"/>
  <c r="I341" i="39" s="1"/>
  <c r="H301" i="39"/>
  <c r="I301" i="39" s="1"/>
  <c r="H398" i="39"/>
  <c r="I398" i="39" s="1"/>
  <c r="H340" i="39"/>
  <c r="I340" i="39" s="1"/>
  <c r="H316" i="39"/>
  <c r="I316" i="39" s="1"/>
  <c r="H284" i="39"/>
  <c r="I284" i="39" s="1"/>
  <c r="H397" i="39"/>
  <c r="I397" i="39" s="1"/>
  <c r="H347" i="39"/>
  <c r="I347" i="39" s="1"/>
  <c r="H323" i="39"/>
  <c r="I323" i="39" s="1"/>
  <c r="H291" i="39"/>
  <c r="I291" i="39" s="1"/>
  <c r="H394" i="39"/>
  <c r="I394" i="39" s="1"/>
  <c r="K8" i="41" l="1"/>
  <c r="K17" i="41"/>
  <c r="H32" i="36"/>
  <c r="H39" i="36"/>
  <c r="H27" i="36"/>
  <c r="H38" i="36"/>
  <c r="H65" i="36"/>
  <c r="H54" i="36"/>
  <c r="H51" i="36"/>
  <c r="H50" i="36"/>
  <c r="H35" i="36"/>
  <c r="H33" i="36"/>
  <c r="H61" i="36"/>
  <c r="H17" i="36"/>
  <c r="H23" i="36"/>
  <c r="H30" i="36"/>
  <c r="H7" i="36"/>
  <c r="H46" i="36"/>
  <c r="H8" i="36"/>
  <c r="H43" i="36"/>
  <c r="H41" i="36"/>
  <c r="H59" i="36"/>
  <c r="H15" i="36"/>
  <c r="H16" i="36"/>
  <c r="H62" i="36"/>
  <c r="H49" i="36"/>
  <c r="H48" i="36"/>
  <c r="H11" i="36"/>
  <c r="H44" i="36"/>
  <c r="H53" i="36"/>
  <c r="H57" i="36"/>
  <c r="H29" i="36"/>
  <c r="H55" i="36"/>
  <c r="H52" i="36"/>
  <c r="H25" i="36"/>
  <c r="H20" i="36"/>
  <c r="H36" i="36"/>
  <c r="H37" i="36"/>
  <c r="H10" i="36"/>
  <c r="H58" i="36"/>
  <c r="H31" i="36"/>
  <c r="H28" i="36"/>
  <c r="H47" i="36"/>
  <c r="H19" i="36"/>
  <c r="H13" i="36"/>
  <c r="H45" i="36"/>
  <c r="H26" i="36"/>
  <c r="H12" i="36"/>
  <c r="H34" i="36"/>
  <c r="H42" i="36"/>
  <c r="H18" i="36"/>
  <c r="H40" i="36"/>
  <c r="H22" i="36"/>
  <c r="H14" i="36"/>
  <c r="H56" i="36"/>
  <c r="H60" i="36"/>
  <c r="H6" i="36"/>
  <c r="H24" i="36"/>
  <c r="H9" i="36"/>
  <c r="H21" i="36"/>
  <c r="H5" i="36"/>
  <c r="BT344" i="39" l="1"/>
  <c r="BT398" i="39"/>
  <c r="BT322" i="39"/>
  <c r="BT409" i="39"/>
  <c r="BT402" i="39"/>
  <c r="BT406" i="39"/>
  <c r="BT405" i="39"/>
  <c r="CH405" i="39" s="1"/>
  <c r="BT140" i="39"/>
  <c r="BT397" i="39"/>
  <c r="AY404" i="39"/>
  <c r="BT396" i="39"/>
  <c r="BG405" i="39"/>
  <c r="BT403" i="39"/>
  <c r="CE403" i="39" s="1"/>
  <c r="CF403" i="39" s="1"/>
  <c r="BT404" i="39"/>
  <c r="BT401" i="39"/>
  <c r="AY399" i="39"/>
  <c r="BT395" i="39"/>
  <c r="AY406" i="39"/>
  <c r="BT408" i="39"/>
  <c r="AY396" i="39"/>
  <c r="AY403" i="39"/>
  <c r="AY398" i="39"/>
  <c r="AY409" i="39"/>
  <c r="BT411" i="39"/>
  <c r="CE411" i="39" s="1"/>
  <c r="CF411" i="39" s="1"/>
  <c r="BT394" i="39"/>
  <c r="CE394" i="39" s="1"/>
  <c r="CF394" i="39" s="1"/>
  <c r="AY408" i="39"/>
  <c r="BT410" i="39"/>
  <c r="BT399" i="39"/>
  <c r="CH399" i="39" s="1"/>
  <c r="AY407" i="39"/>
  <c r="BG395" i="39"/>
  <c r="AY411" i="39"/>
  <c r="AY400" i="39"/>
  <c r="BT400" i="39"/>
  <c r="AY397" i="39"/>
  <c r="AY344" i="39"/>
  <c r="CI344" i="39" l="1"/>
  <c r="BU322" i="39"/>
  <c r="BU140" i="39"/>
  <c r="BU402" i="39"/>
  <c r="BG407" i="39"/>
  <c r="BG408" i="39"/>
  <c r="BU397" i="39"/>
  <c r="CE399" i="39"/>
  <c r="CF399" i="39" s="1"/>
  <c r="BG406" i="39"/>
  <c r="BU406" i="39"/>
  <c r="BG322" i="39"/>
  <c r="BU401" i="39"/>
  <c r="CE404" i="39"/>
  <c r="CF404" i="39" s="1"/>
  <c r="CH404" i="39"/>
  <c r="CH140" i="39"/>
  <c r="CE140" i="39"/>
  <c r="CF140" i="39" s="1"/>
  <c r="BZ140" i="39" s="1"/>
  <c r="AY140" i="39" s="1"/>
  <c r="CH410" i="39"/>
  <c r="CE410" i="39"/>
  <c r="CF410" i="39" s="1"/>
  <c r="CI406" i="39"/>
  <c r="CH401" i="39"/>
  <c r="CE401" i="39"/>
  <c r="CF401" i="39" s="1"/>
  <c r="CH400" i="39"/>
  <c r="CE400" i="39"/>
  <c r="CF400" i="39" s="1"/>
  <c r="CH395" i="39"/>
  <c r="CE395" i="39"/>
  <c r="CF395" i="39" s="1"/>
  <c r="CH397" i="39"/>
  <c r="CE397" i="39"/>
  <c r="CF397" i="39" s="1"/>
  <c r="AY395" i="39"/>
  <c r="BG397" i="39"/>
  <c r="BG411" i="39"/>
  <c r="BU398" i="39"/>
  <c r="BG403" i="39"/>
  <c r="AY401" i="39"/>
  <c r="BG344" i="39"/>
  <c r="BG400" i="39"/>
  <c r="BG398" i="39"/>
  <c r="BU410" i="39"/>
  <c r="BU407" i="39"/>
  <c r="BG396" i="39"/>
  <c r="BG404" i="39"/>
  <c r="CH403" i="39"/>
  <c r="CI322" i="39"/>
  <c r="BU394" i="39"/>
  <c r="BG399" i="39"/>
  <c r="BG140" i="39"/>
  <c r="BU404" i="39"/>
  <c r="BG401" i="39"/>
  <c r="BG402" i="39"/>
  <c r="AY402" i="39"/>
  <c r="CI409" i="39"/>
  <c r="CE408" i="39"/>
  <c r="CF408" i="39" s="1"/>
  <c r="CH408" i="39"/>
  <c r="CI399" i="39"/>
  <c r="CJ399" i="39" s="1"/>
  <c r="CK399" i="39" s="1"/>
  <c r="CH322" i="39"/>
  <c r="CE322" i="39"/>
  <c r="CF322" i="39" s="1"/>
  <c r="CI398" i="39"/>
  <c r="CI400" i="39"/>
  <c r="CH398" i="39"/>
  <c r="CE398" i="39"/>
  <c r="CF398" i="39" s="1"/>
  <c r="CI408" i="39"/>
  <c r="CI407" i="39"/>
  <c r="CI397" i="39"/>
  <c r="CI403" i="39"/>
  <c r="CH406" i="39"/>
  <c r="CE406" i="39"/>
  <c r="CF406" i="39" s="1"/>
  <c r="CI411" i="39"/>
  <c r="CH396" i="39"/>
  <c r="CE396" i="39"/>
  <c r="CF396" i="39" s="1"/>
  <c r="CE344" i="39"/>
  <c r="CF344" i="39" s="1"/>
  <c r="CH344" i="39"/>
  <c r="CI396" i="39"/>
  <c r="CI404" i="39"/>
  <c r="CH402" i="39"/>
  <c r="CE402" i="39"/>
  <c r="CF402" i="39" s="1"/>
  <c r="CH409" i="39"/>
  <c r="CE409" i="39"/>
  <c r="CF409" i="39" s="1"/>
  <c r="BU405" i="39"/>
  <c r="BU344" i="39"/>
  <c r="BU396" i="39"/>
  <c r="AY405" i="39"/>
  <c r="CH411" i="39"/>
  <c r="AY394" i="39"/>
  <c r="BU409" i="39"/>
  <c r="BU400" i="39"/>
  <c r="BT407" i="39"/>
  <c r="BG394" i="39"/>
  <c r="BU399" i="39"/>
  <c r="CE405" i="39"/>
  <c r="CF405" i="39" s="1"/>
  <c r="BU411" i="39"/>
  <c r="AY410" i="39"/>
  <c r="CH394" i="39"/>
  <c r="BU408" i="39"/>
  <c r="BU395" i="39"/>
  <c r="BG409" i="39"/>
  <c r="BU403" i="39"/>
  <c r="BG410" i="39"/>
  <c r="CJ344" i="39" l="1"/>
  <c r="CK344" i="39" s="1"/>
  <c r="CJ404" i="39"/>
  <c r="CK404" i="39" s="1"/>
  <c r="CI401" i="39"/>
  <c r="CJ401" i="39" s="1"/>
  <c r="CK401" i="39" s="1"/>
  <c r="CI395" i="39"/>
  <c r="CJ395" i="39" s="1"/>
  <c r="CK395" i="39" s="1"/>
  <c r="CI402" i="39"/>
  <c r="CJ402" i="39" s="1"/>
  <c r="CK402" i="39" s="1"/>
  <c r="CJ403" i="39"/>
  <c r="CK403" i="39" s="1"/>
  <c r="CJ397" i="39"/>
  <c r="CK397" i="39" s="1"/>
  <c r="CJ400" i="39"/>
  <c r="CK400" i="39" s="1"/>
  <c r="CJ322" i="39"/>
  <c r="CK322" i="39" s="1"/>
  <c r="CJ409" i="39"/>
  <c r="CK409" i="39" s="1"/>
  <c r="CJ406" i="39"/>
  <c r="CK406" i="39" s="1"/>
  <c r="CJ411" i="39"/>
  <c r="CK411" i="39" s="1"/>
  <c r="CJ398" i="39"/>
  <c r="CK398" i="39" s="1"/>
  <c r="CI140" i="39"/>
  <c r="CJ140" i="39" s="1"/>
  <c r="CK140" i="39" s="1"/>
  <c r="CJ408" i="39"/>
  <c r="CK408" i="39" s="1"/>
  <c r="CI405" i="39"/>
  <c r="CJ405" i="39" s="1"/>
  <c r="CK405" i="39" s="1"/>
  <c r="CI394" i="39"/>
  <c r="CJ394" i="39" s="1"/>
  <c r="CK394" i="39" s="1"/>
  <c r="CI410" i="39"/>
  <c r="CJ410" i="39" s="1"/>
  <c r="CK410" i="39" s="1"/>
  <c r="CH407" i="39"/>
  <c r="CJ407" i="39" s="1"/>
  <c r="CK407" i="39" s="1"/>
  <c r="CE407" i="39"/>
  <c r="CF407" i="39" s="1"/>
  <c r="CJ396" i="39"/>
  <c r="CK396" i="39" s="1"/>
  <c r="C395" i="39"/>
  <c r="AB6" i="40"/>
  <c r="C47" i="39"/>
  <c r="H260" i="41"/>
  <c r="F260" i="41"/>
  <c r="C260" i="39"/>
  <c r="C320" i="39"/>
  <c r="C237" i="39"/>
  <c r="C402" i="39"/>
  <c r="C345" i="39"/>
  <c r="C404" i="39"/>
  <c r="C299" i="39"/>
  <c r="C394" i="39"/>
  <c r="C268" i="39"/>
  <c r="C233" i="39"/>
  <c r="C397" i="39"/>
  <c r="C338" i="39"/>
  <c r="C287" i="39"/>
  <c r="C264" i="39"/>
  <c r="C247" i="39"/>
  <c r="C267" i="39"/>
  <c r="C314" i="39"/>
  <c r="C251" i="39"/>
  <c r="C283" i="39"/>
  <c r="C290" i="39"/>
  <c r="C337" i="39"/>
  <c r="C305" i="39"/>
  <c r="C343" i="39"/>
  <c r="C284" i="39"/>
  <c r="I260" i="41"/>
  <c r="C358" i="39"/>
  <c r="C221" i="39"/>
  <c r="C331" i="39"/>
  <c r="C348" i="39"/>
  <c r="C241" i="39"/>
  <c r="C333" i="39"/>
  <c r="C244" i="39"/>
  <c r="C362" i="39"/>
  <c r="C308" i="39"/>
  <c r="C396" i="39"/>
  <c r="C340" i="39"/>
  <c r="C224" i="39"/>
  <c r="C322" i="39"/>
  <c r="C363" i="39"/>
  <c r="C405" i="39"/>
  <c r="C330" i="39"/>
  <c r="C242" i="39"/>
  <c r="C223" i="39"/>
  <c r="C230" i="39"/>
  <c r="C234" i="39"/>
  <c r="C325" i="39"/>
  <c r="C313" i="39"/>
  <c r="C286" i="39"/>
  <c r="C270" i="39"/>
  <c r="C401" i="39"/>
  <c r="C319" i="39"/>
  <c r="C349" i="39"/>
  <c r="C360" i="39"/>
  <c r="C275" i="39"/>
  <c r="C235" i="39"/>
  <c r="C294" i="39"/>
  <c r="C409" i="39"/>
  <c r="C365" i="39"/>
  <c r="C307" i="39"/>
  <c r="C248" i="39"/>
  <c r="C334" i="39"/>
  <c r="C254" i="39"/>
  <c r="C269" i="39"/>
  <c r="C336" i="39"/>
  <c r="C351" i="39"/>
  <c r="C315" i="39"/>
  <c r="C326" i="39"/>
  <c r="C312" i="39"/>
  <c r="C342" i="39"/>
  <c r="C253" i="39"/>
  <c r="C366" i="39"/>
  <c r="C398" i="39"/>
  <c r="C344" i="39"/>
  <c r="C261" i="39"/>
  <c r="C341" i="39"/>
  <c r="C352" i="39"/>
  <c r="C228" i="39"/>
  <c r="C367" i="39"/>
  <c r="C317" i="39"/>
  <c r="C220" i="39"/>
  <c r="C265" i="39"/>
  <c r="C263" i="39"/>
  <c r="C321" i="39"/>
  <c r="C250" i="39"/>
  <c r="C281" i="39"/>
  <c r="C357" i="39"/>
  <c r="C364" i="39"/>
  <c r="C399" i="39"/>
  <c r="C408" i="39"/>
  <c r="C350" i="39"/>
  <c r="C407" i="39"/>
  <c r="C303" i="39"/>
  <c r="C226" i="39"/>
  <c r="C403" i="39"/>
  <c r="C324" i="39"/>
  <c r="C262" i="39"/>
  <c r="C236" i="39"/>
  <c r="C292" i="39"/>
  <c r="C227" i="39"/>
  <c r="C353" i="39"/>
  <c r="C296" i="39"/>
  <c r="C298" i="39"/>
  <c r="C266" i="39"/>
  <c r="C271" i="39"/>
  <c r="C277" i="39"/>
  <c r="C359" i="39"/>
  <c r="C282" i="39"/>
  <c r="C240" i="39"/>
  <c r="C328" i="39"/>
  <c r="C245" i="39"/>
  <c r="C276" i="39"/>
  <c r="C411" i="39"/>
  <c r="C257" i="39"/>
  <c r="C410" i="39"/>
  <c r="C300" i="39"/>
  <c r="C400" i="39"/>
  <c r="E260" i="41"/>
  <c r="C278" i="39"/>
  <c r="C225" i="39"/>
  <c r="C310" i="39"/>
  <c r="C246" i="39"/>
  <c r="C335" i="39"/>
  <c r="C306" i="39"/>
  <c r="K260" i="41"/>
  <c r="C327" i="39"/>
  <c r="C297" i="39"/>
  <c r="C347" i="39"/>
  <c r="C323" i="39"/>
  <c r="C295" i="39"/>
  <c r="C318" i="39"/>
  <c r="C239" i="39"/>
  <c r="C231" i="39"/>
  <c r="C229" i="39"/>
  <c r="C339" i="39"/>
  <c r="C285" i="39"/>
  <c r="C243" i="39"/>
  <c r="C380" i="39"/>
  <c r="C329" i="39"/>
  <c r="C304" i="39"/>
  <c r="C238" i="39"/>
  <c r="C258" i="39"/>
  <c r="C256" i="39"/>
  <c r="C291" i="39"/>
  <c r="C289" i="39"/>
  <c r="C273" i="39"/>
  <c r="C274" i="39"/>
  <c r="C272" i="39"/>
  <c r="C311" i="39"/>
  <c r="C259" i="39"/>
  <c r="C354" i="39"/>
  <c r="C222" i="39"/>
  <c r="C332" i="39"/>
  <c r="C346" i="39"/>
  <c r="C249" i="39"/>
  <c r="C355" i="39"/>
  <c r="C301" i="39"/>
  <c r="C356" i="39"/>
  <c r="C232" i="39"/>
  <c r="C288" i="39"/>
  <c r="C293" i="39"/>
  <c r="C302" i="39"/>
  <c r="C309" i="39"/>
  <c r="C316" i="39"/>
  <c r="C255" i="39"/>
  <c r="C279" i="39"/>
  <c r="C252" i="39"/>
  <c r="C361" i="39"/>
  <c r="C406" i="39"/>
  <c r="B260" i="41"/>
  <c r="C280"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tc={8733C254-9375-4BBC-BEA1-F1EAFF84AE13}</author>
    <author>tc={C6C22F30-3C3E-4450-9329-DECF150C0E8A}</author>
  </authors>
  <commentList>
    <comment ref="Q106" authorId="0" shapeId="0" xr:uid="{8733C254-9375-4BBC-BEA1-F1EAFF84AE13}">
      <text>
        <t>[Threaded comment]
Your version of Excel allows you to read this threaded comment; however, any edits to it will get removed if the file is opened in a newer version of Excel. Learn more: https://go.microsoft.com/fwlink/?linkid=870924
Comment:
    RICHIESTA DAL FORNITORE</t>
      </text>
    </comment>
    <comment ref="Q215" authorId="1" shapeId="0" xr:uid="{C6C22F30-3C3E-4450-9329-DECF150C0E8A}">
      <text>
        <t>[Threaded comment]
Your version of Excel allows you to read this threaded comment; however, any edits to it will get removed if the file is opened in a newer version of Excel. Learn more: https://go.microsoft.com/fwlink/?linkid=870924
Comment:
    RICHIESTA DAL FORNITORE</t>
      </text>
    </comment>
  </commentList>
</comments>
</file>

<file path=xl/sharedStrings.xml><?xml version="1.0" encoding="utf-8"?>
<sst xmlns="http://schemas.openxmlformats.org/spreadsheetml/2006/main" count="24304" uniqueCount="7188">
  <si>
    <t>IMR</t>
  </si>
  <si>
    <t>TRACTOR</t>
  </si>
  <si>
    <t>STD</t>
  </si>
  <si>
    <t>TRANSPORTATION UNIT</t>
  </si>
  <si>
    <t>TU DEST</t>
  </si>
  <si>
    <t>LOOSE LOAD</t>
  </si>
  <si>
    <t>SEALS</t>
  </si>
  <si>
    <t>TRIP</t>
  </si>
  <si>
    <t>CHECK LIST</t>
  </si>
  <si>
    <t>Modifica linea</t>
  </si>
  <si>
    <t>Safe Parking</t>
  </si>
  <si>
    <t>Cassa variata dalla precedente</t>
  </si>
  <si>
    <t>Park /Ramp</t>
  </si>
  <si>
    <t>NOTE                         (from Control Room)</t>
  </si>
  <si>
    <t>Truck time in Yard</t>
  </si>
  <si>
    <t>\/ \/ \/ \/ \/ \/</t>
  </si>
  <si>
    <t>ERN</t>
  </si>
  <si>
    <t>SUBCO</t>
  </si>
  <si>
    <t>FEDEX</t>
  </si>
  <si>
    <t>TRAILER</t>
  </si>
  <si>
    <t>SEAL #1</t>
  </si>
  <si>
    <t>SEAL #2</t>
  </si>
  <si>
    <t>DATI</t>
  </si>
  <si>
    <t>PPWK</t>
  </si>
  <si>
    <t>CANC.</t>
  </si>
  <si>
    <t>READY</t>
  </si>
  <si>
    <t>DEPART</t>
  </si>
  <si>
    <t>Doc. Delivery</t>
  </si>
  <si>
    <t>Tour String</t>
  </si>
  <si>
    <t>Movement ID</t>
  </si>
  <si>
    <t>Origin</t>
  </si>
  <si>
    <t>Destination</t>
  </si>
  <si>
    <t>Movement status</t>
  </si>
  <si>
    <t>Scheduled departure date/time</t>
  </si>
  <si>
    <t>Actual departure date/time</t>
  </si>
  <si>
    <t>Operator name</t>
  </si>
  <si>
    <t>Driver name</t>
  </si>
  <si>
    <t>Pulling vehicle licenseplate</t>
  </si>
  <si>
    <t>Transportation unit</t>
  </si>
  <si>
    <t>TU dest.</t>
  </si>
  <si>
    <t>LL</t>
  </si>
  <si>
    <t>T</t>
  </si>
  <si>
    <t>Inc</t>
  </si>
  <si>
    <t>RHb</t>
  </si>
  <si>
    <t>AD</t>
  </si>
  <si>
    <t>AA</t>
  </si>
  <si>
    <t>Truck type</t>
  </si>
  <si>
    <t>App</t>
  </si>
  <si>
    <t>\/ \/ STANDARD PLANNING</t>
  </si>
  <si>
    <t>06A</t>
  </si>
  <si>
    <t>ERN17430</t>
  </si>
  <si>
    <t>Allocated</t>
  </si>
  <si>
    <t>Matelda Srl</t>
  </si>
  <si>
    <t>Kudinov, Volodymyr</t>
  </si>
  <si>
    <t>WR7785U</t>
  </si>
  <si>
    <t>XA294JN</t>
  </si>
  <si>
    <t>True</t>
  </si>
  <si>
    <t>O</t>
  </si>
  <si>
    <t>False</t>
  </si>
  <si>
    <t>Tractor-trailer 2/3 Axles 80m3</t>
  </si>
  <si>
    <t>DNG 1</t>
  </si>
  <si>
    <t>X</t>
  </si>
  <si>
    <t>Yes</t>
  </si>
  <si>
    <t>ATH 2</t>
  </si>
  <si>
    <t>ERN09969</t>
  </si>
  <si>
    <t>ATH</t>
  </si>
  <si>
    <t>Missing Resources</t>
  </si>
  <si>
    <t>Interferries Lines S.A.</t>
  </si>
  <si>
    <t>ENBR21218</t>
  </si>
  <si>
    <t>DNG 2</t>
  </si>
  <si>
    <t>ATH 1</t>
  </si>
  <si>
    <t>ERN01043</t>
  </si>
  <si>
    <t>ENB17212</t>
  </si>
  <si>
    <t>DNG 3</t>
  </si>
  <si>
    <t>ATH 3</t>
  </si>
  <si>
    <t>ERN02218</t>
  </si>
  <si>
    <t>S</t>
  </si>
  <si>
    <t>DNG 4</t>
  </si>
  <si>
    <t>pinco pallno</t>
  </si>
  <si>
    <t>MAD 1</t>
  </si>
  <si>
    <t>ERN12476</t>
  </si>
  <si>
    <t>BCN</t>
  </si>
  <si>
    <t>Furgo-trayler</t>
  </si>
  <si>
    <t>Belevschi, Igor</t>
  </si>
  <si>
    <t>2789MBT</t>
  </si>
  <si>
    <t>MAD</t>
  </si>
  <si>
    <t>DNG 5</t>
  </si>
  <si>
    <t>BCN 2</t>
  </si>
  <si>
    <t>ERN14392</t>
  </si>
  <si>
    <t>Logistica Grillo, S.L.</t>
  </si>
  <si>
    <t>Ngack, Leyty</t>
  </si>
  <si>
    <t>5329MDG</t>
  </si>
  <si>
    <t>R7951BCB</t>
  </si>
  <si>
    <t>DNG 6</t>
  </si>
  <si>
    <t>BCN 1</t>
  </si>
  <si>
    <t>ERN16914</t>
  </si>
  <si>
    <t>Nechiti, Gheorghe-ilie</t>
  </si>
  <si>
    <t>2960MCT</t>
  </si>
  <si>
    <t>dng 8</t>
  </si>
  <si>
    <t>BCN 3</t>
  </si>
  <si>
    <t>ERN15902</t>
  </si>
  <si>
    <t>Singh, Lakhwinder</t>
  </si>
  <si>
    <t>0714LVX</t>
  </si>
  <si>
    <t>R1938BCR</t>
  </si>
  <si>
    <t>dng 7</t>
  </si>
  <si>
    <t>No</t>
  </si>
  <si>
    <t>MAD 3</t>
  </si>
  <si>
    <t>ERN91509</t>
  </si>
  <si>
    <t>Transalex Srl</t>
  </si>
  <si>
    <t>Stan, Cosmin</t>
  </si>
  <si>
    <t>AR52DMX</t>
  </si>
  <si>
    <t>DNG 9</t>
  </si>
  <si>
    <t>BCN 4</t>
  </si>
  <si>
    <t>ERN13137</t>
  </si>
  <si>
    <t>J.V.,Sl Central De Servicios Y Seleccion</t>
  </si>
  <si>
    <t>Arvun, Marian</t>
  </si>
  <si>
    <t>1232KSW</t>
  </si>
  <si>
    <t>R9073BDF</t>
  </si>
  <si>
    <t>DNG 10</t>
  </si>
  <si>
    <t>BCN 5</t>
  </si>
  <si>
    <t>ERN13502</t>
  </si>
  <si>
    <t>Cirstoiu, Florina Crina</t>
  </si>
  <si>
    <t>5806KST</t>
  </si>
  <si>
    <t>R2407BDD</t>
  </si>
  <si>
    <t>DFT</t>
  </si>
  <si>
    <t>ERN90733</t>
  </si>
  <si>
    <t>BO2</t>
  </si>
  <si>
    <t>Departed</t>
  </si>
  <si>
    <t>Galileo Transport Srl</t>
  </si>
  <si>
    <t>Rad, Gheorghe</t>
  </si>
  <si>
    <t>TM25GTT</t>
  </si>
  <si>
    <t>ENB16247</t>
  </si>
  <si>
    <t>BZQ 1</t>
  </si>
  <si>
    <t>ERN17451</t>
  </si>
  <si>
    <t>BZQ</t>
  </si>
  <si>
    <t>Rayden N.V.</t>
  </si>
  <si>
    <t>Sava, Florin</t>
  </si>
  <si>
    <t xml:space="preserve">1XWL502 </t>
  </si>
  <si>
    <t>ENB14286</t>
  </si>
  <si>
    <t>BZQ 2</t>
  </si>
  <si>
    <t>ERN16950</t>
  </si>
  <si>
    <t>ENBD20124</t>
  </si>
  <si>
    <t>QAR 1</t>
  </si>
  <si>
    <t>ERN90127</t>
  </si>
  <si>
    <t>Lsc Sp Z O O</t>
  </si>
  <si>
    <t>Tratsiuk, Siarhei</t>
  </si>
  <si>
    <t>WS 2984E</t>
  </si>
  <si>
    <t>ENB14375</t>
  </si>
  <si>
    <t>QAR 2</t>
  </si>
  <si>
    <t>ERN07792</t>
  </si>
  <si>
    <t>DNG</t>
  </si>
  <si>
    <t>Strada Sp. Z O.O.</t>
  </si>
  <si>
    <t>Kubica, Robert</t>
  </si>
  <si>
    <t>WGM2955F</t>
  </si>
  <si>
    <t>ENB16224</t>
  </si>
  <si>
    <t>QAR 3</t>
  </si>
  <si>
    <t>ERN91510</t>
  </si>
  <si>
    <t>DZ5 1</t>
  </si>
  <si>
    <t>ERN02948</t>
  </si>
  <si>
    <t>Kretowicz, Alan</t>
  </si>
  <si>
    <t>WGM93915</t>
  </si>
  <si>
    <t>DZ5 2</t>
  </si>
  <si>
    <t>ERN10067</t>
  </si>
  <si>
    <t>Tkachenko, Oleksandr</t>
  </si>
  <si>
    <t>WGM 73716</t>
  </si>
  <si>
    <t>ENBD20332</t>
  </si>
  <si>
    <t>UDE 1</t>
  </si>
  <si>
    <t>ERN14458</t>
  </si>
  <si>
    <t>Cornali Autotrasporti Srl</t>
  </si>
  <si>
    <t>UDE 2</t>
  </si>
  <si>
    <t>ERN91503</t>
  </si>
  <si>
    <t>T Service Spa</t>
  </si>
  <si>
    <t>UDE 3</t>
  </si>
  <si>
    <t>DNG 7</t>
  </si>
  <si>
    <t>ERN16731</t>
  </si>
  <si>
    <t>MV9 1</t>
  </si>
  <si>
    <t>DNG 8</t>
  </si>
  <si>
    <t>ERN16768</t>
  </si>
  <si>
    <t>Maracana Srl</t>
  </si>
  <si>
    <t>Dumitrescu, Mihai</t>
  </si>
  <si>
    <t>B522SSE</t>
  </si>
  <si>
    <t>MV9 2</t>
  </si>
  <si>
    <t>ERN16770</t>
  </si>
  <si>
    <t>MV9 3</t>
  </si>
  <si>
    <t>ERN91505</t>
  </si>
  <si>
    <t>Etb Freight International Kft.</t>
  </si>
  <si>
    <t>MV9 4</t>
  </si>
  <si>
    <t>KR9</t>
  </si>
  <si>
    <t>ERN14393</t>
  </si>
  <si>
    <t>P42163</t>
  </si>
  <si>
    <t>MV9 5</t>
  </si>
  <si>
    <t>LUG</t>
  </si>
  <si>
    <t>ERN04125</t>
  </si>
  <si>
    <t>ENBR21111</t>
  </si>
  <si>
    <t>MV9 6</t>
  </si>
  <si>
    <t>LYS 2</t>
  </si>
  <si>
    <t>ERN15398</t>
  </si>
  <si>
    <t>LYS</t>
  </si>
  <si>
    <t>XA418SC</t>
  </si>
  <si>
    <t>MV9 7</t>
  </si>
  <si>
    <t>LYS 1</t>
  </si>
  <si>
    <t>ERN00921</t>
  </si>
  <si>
    <t>Husianytsia, Mykhailo</t>
  </si>
  <si>
    <t>B733SEV</t>
  </si>
  <si>
    <t>ENBD20267</t>
  </si>
  <si>
    <t>MV9 8</t>
  </si>
  <si>
    <t>MAD 2</t>
  </si>
  <si>
    <t>ERN90769</t>
  </si>
  <si>
    <t>Singh, Satnam</t>
  </si>
  <si>
    <t>0717LVX</t>
  </si>
  <si>
    <t>R8489BCK</t>
  </si>
  <si>
    <t>MRS</t>
  </si>
  <si>
    <t>ERN16946</t>
  </si>
  <si>
    <t>ERN01518</t>
  </si>
  <si>
    <t>MV9</t>
  </si>
  <si>
    <t>Ern Own Fr</t>
  </si>
  <si>
    <t>GK890HJ</t>
  </si>
  <si>
    <t>ERN14441</t>
  </si>
  <si>
    <t>ENB15526</t>
  </si>
  <si>
    <t>ERN10257</t>
  </si>
  <si>
    <t>Vvv Logistics Automobil Srl</t>
  </si>
  <si>
    <t>Irinel, Romanescu</t>
  </si>
  <si>
    <t>AR38VVV</t>
  </si>
  <si>
    <t>XWT 1</t>
  </si>
  <si>
    <t>ERN08176</t>
  </si>
  <si>
    <t>Dunca Expeditii S.A.</t>
  </si>
  <si>
    <t>Megan, Iancu</t>
  </si>
  <si>
    <t>B 71 DEX</t>
  </si>
  <si>
    <t>XWT 2</t>
  </si>
  <si>
    <t>ERN91506</t>
  </si>
  <si>
    <t>XWT 3</t>
  </si>
  <si>
    <t>ERN16616</t>
  </si>
  <si>
    <t>XWT 4</t>
  </si>
  <si>
    <t>ERN91507</t>
  </si>
  <si>
    <t>XWT 5</t>
  </si>
  <si>
    <t>ERN14512</t>
  </si>
  <si>
    <t>XWT 6</t>
  </si>
  <si>
    <t>ERN16681</t>
  </si>
  <si>
    <t>MXP</t>
  </si>
  <si>
    <t>XWT 7</t>
  </si>
  <si>
    <t>ERN17137</t>
  </si>
  <si>
    <t>QAR</t>
  </si>
  <si>
    <t>Ewals Cargo Care B.V.</t>
  </si>
  <si>
    <t>Chirila, Teodor</t>
  </si>
  <si>
    <t>TM99CLF</t>
  </si>
  <si>
    <t>ENB17269</t>
  </si>
  <si>
    <t>DZ5</t>
  </si>
  <si>
    <t>WA1</t>
  </si>
  <si>
    <t>ERN17079</t>
  </si>
  <si>
    <t>Fedex Express Netherlands Bv Rno Own Nl</t>
  </si>
  <si>
    <t>Giesen, Emile</t>
  </si>
  <si>
    <t>56BTN4</t>
  </si>
  <si>
    <t>ENBD20365</t>
  </si>
  <si>
    <t>ERN17213</t>
  </si>
  <si>
    <t>Stoica, Viorel</t>
  </si>
  <si>
    <t xml:space="preserve">MH90HNO </t>
  </si>
  <si>
    <t>ENB17866</t>
  </si>
  <si>
    <t>ERN17143</t>
  </si>
  <si>
    <t>Borisov, Ivan</t>
  </si>
  <si>
    <t>CB8331PT</t>
  </si>
  <si>
    <t>ENB17836</t>
  </si>
  <si>
    <t>ERN14443</t>
  </si>
  <si>
    <t>SKG 1</t>
  </si>
  <si>
    <t>ERN17420</t>
  </si>
  <si>
    <t>SKG</t>
  </si>
  <si>
    <t>P42177</t>
  </si>
  <si>
    <t>SKG 2</t>
  </si>
  <si>
    <t>ERN02712</t>
  </si>
  <si>
    <t>ERN05729</t>
  </si>
  <si>
    <t>UDE</t>
  </si>
  <si>
    <t>ERN17133</t>
  </si>
  <si>
    <t>Talianu, Cristian</t>
  </si>
  <si>
    <t>MH10HNO</t>
  </si>
  <si>
    <t>ENBD20148</t>
  </si>
  <si>
    <t>ERN17060</t>
  </si>
  <si>
    <t>Krstic, Dragan</t>
  </si>
  <si>
    <t>AEHJ-169</t>
  </si>
  <si>
    <t>ENBD20253</t>
  </si>
  <si>
    <t>ERN17075</t>
  </si>
  <si>
    <t>P.H.U Transbed Grzegorz Bednarek</t>
  </si>
  <si>
    <t>Jasinska, Angelika</t>
  </si>
  <si>
    <t>WGM3417C</t>
  </si>
  <si>
    <t>ENBC19036</t>
  </si>
  <si>
    <t>ZRH 1</t>
  </si>
  <si>
    <t>ERN11076</t>
  </si>
  <si>
    <t>XWT</t>
  </si>
  <si>
    <t>Fedex Express Romania Transportation Srl</t>
  </si>
  <si>
    <t>Pogan, Florin-daniel</t>
  </si>
  <si>
    <t>B-503-ERN</t>
  </si>
  <si>
    <t>ZRH 2</t>
  </si>
  <si>
    <t>ERN11078</t>
  </si>
  <si>
    <t>Albert, Francis</t>
  </si>
  <si>
    <t>B-602-ERN</t>
  </si>
  <si>
    <t>ERN11944</t>
  </si>
  <si>
    <t>Müller Transporte S.R.O.</t>
  </si>
  <si>
    <t>Szabo, Ludovit</t>
  </si>
  <si>
    <t>BT 701 GA</t>
  </si>
  <si>
    <t>ERN91508</t>
  </si>
  <si>
    <t>ERN06793</t>
  </si>
  <si>
    <t>Lapadat, Eugen</t>
  </si>
  <si>
    <t>B43DEX</t>
  </si>
  <si>
    <t>ERN15952</t>
  </si>
  <si>
    <t>Bertea, Nicolae</t>
  </si>
  <si>
    <t>B 44 DEX</t>
  </si>
  <si>
    <t>ERN16607</t>
  </si>
  <si>
    <t>Blidar, Florin</t>
  </si>
  <si>
    <t>B717SSE</t>
  </si>
  <si>
    <t>ERN07482</t>
  </si>
  <si>
    <t>ZRH</t>
  </si>
  <si>
    <t>Mov.Ing Srl</t>
  </si>
  <si>
    <t>Laaribi, Fethi</t>
  </si>
  <si>
    <t>GP519NZ</t>
  </si>
  <si>
    <t>ENBR21349</t>
  </si>
  <si>
    <t>ERN03542</t>
  </si>
  <si>
    <t>ENBR22013</t>
  </si>
  <si>
    <t xml:space="preserve">LYS EXTRA </t>
  </si>
  <si>
    <t>FROM THIS POINT MENTION EXTRA MOVEMENT MI6</t>
  </si>
  <si>
    <t>Indice</t>
  </si>
  <si>
    <t>Tour ITD     (From Planning) / MOV ERN</t>
  </si>
  <si>
    <t>MOV ITD   / TOUR ERN2</t>
  </si>
  <si>
    <t>Tour String           (From Planning)</t>
  </si>
  <si>
    <t>Destination             ORANGE (From Planning)</t>
  </si>
  <si>
    <t>Destination             PURPLE</t>
  </si>
  <si>
    <t>Departure
Time                 (From Planning)</t>
  </si>
  <si>
    <t>Countdown CD Alert</t>
  </si>
  <si>
    <t>TIME for PCE to FRT</t>
  </si>
  <si>
    <t>Day         (Auto Rec.)</t>
  </si>
  <si>
    <t>SP                                                                       (From Planning - solo Venerdì)</t>
  </si>
  <si>
    <t>Operator                                                                       (From Planning)</t>
  </si>
  <si>
    <t>Check Operator</t>
  </si>
  <si>
    <t>Note Particolari</t>
  </si>
  <si>
    <t>Vehicle Type                       (From Planning)</t>
  </si>
  <si>
    <t>Check Condition</t>
  </si>
  <si>
    <t>Targa    (CTRL)</t>
  </si>
  <si>
    <t>STATO       (RTH)</t>
  </si>
  <si>
    <t>New Trailer          (From Planning)</t>
  </si>
  <si>
    <t>LOADING INSTRUCTION                                                                                                                 (From Planning)</t>
  </si>
  <si>
    <t>PCE              (Auto Rec.)</t>
  </si>
  <si>
    <t>FRT             (Auto Rec.)</t>
  </si>
  <si>
    <t>Rampa    (CTRL - RTH)</t>
  </si>
  <si>
    <t>Close Doors (CTRL - RTH)</t>
  </si>
  <si>
    <t>Parking     (CTRL - RTH)</t>
  </si>
  <si>
    <t>1              Dest.</t>
  </si>
  <si>
    <t>1               Type</t>
  </si>
  <si>
    <t>1                   QTY</t>
  </si>
  <si>
    <t>2              Dest.</t>
  </si>
  <si>
    <t>2             Type</t>
  </si>
  <si>
    <t>2                   QTY</t>
  </si>
  <si>
    <t>3                Des.</t>
  </si>
  <si>
    <t>3             Type</t>
  </si>
  <si>
    <t>3                   QTY</t>
  </si>
  <si>
    <t>Sacchi</t>
  </si>
  <si>
    <t>Double Deck trailer N° bumpers</t>
  </si>
  <si>
    <t>String for ROCS departure remarks (copy/paste)</t>
  </si>
  <si>
    <t>Remarks on ROCS</t>
  </si>
  <si>
    <t>Not Derpated / Change time Departure</t>
  </si>
  <si>
    <t>CONS CHIUSA DA RTH</t>
  </si>
  <si>
    <t>CONS MULTIPLE</t>
  </si>
  <si>
    <t>Note LOC</t>
  </si>
  <si>
    <t>Sigillo 1 (RTH)</t>
  </si>
  <si>
    <t>Mail hr. (RTH)</t>
  </si>
  <si>
    <t>Dogana Answ. (RTH)</t>
  </si>
  <si>
    <t>DOC Ready hr.           (RTH)</t>
  </si>
  <si>
    <t>DOC Del. hr. (RTH)</t>
  </si>
  <si>
    <t>NOTE RTH</t>
  </si>
  <si>
    <t>NOTE CONTROL ROOM</t>
  </si>
  <si>
    <t>Lineea Cancellata</t>
  </si>
  <si>
    <t>RITARDO   (CTRL - LPC)</t>
  </si>
  <si>
    <t>Orario ingresso traction (GH)</t>
  </si>
  <si>
    <t>Ora Uscita    (GH)</t>
  </si>
  <si>
    <t>Aggiornamento STATUS</t>
  </si>
  <si>
    <t>Status da inserire</t>
  </si>
  <si>
    <t>NON TOCCARE3</t>
  </si>
  <si>
    <t>NON TOCCARE4</t>
  </si>
  <si>
    <t>Destination Cleared</t>
  </si>
  <si>
    <t>Mtr. Trailer</t>
  </si>
  <si>
    <t>qty 1</t>
  </si>
  <si>
    <t>qty 2</t>
  </si>
  <si>
    <t>qty 3</t>
  </si>
  <si>
    <t>DD</t>
  </si>
  <si>
    <t>Vuoto</t>
  </si>
  <si>
    <t>Linea</t>
  </si>
  <si>
    <t>Dest</t>
  </si>
  <si>
    <t>Close doors &lt;--&gt; STD</t>
  </si>
  <si>
    <t>%% loaded</t>
  </si>
  <si>
    <t>Close Doors OK</t>
  </si>
  <si>
    <t>DelDoc &lt;-- STD</t>
  </si>
  <si>
    <t>Time DelDoc -&gt; Gate In</t>
  </si>
  <si>
    <t>Time Gate In -&gt; Gate Out</t>
  </si>
  <si>
    <t>Check Autista     T Status</t>
  </si>
  <si>
    <t>Vuoto2</t>
  </si>
  <si>
    <t>Check t status</t>
  </si>
  <si>
    <t>Vuoto3</t>
  </si>
  <si>
    <t>Delay Code</t>
  </si>
  <si>
    <t>Doc Ready</t>
  </si>
  <si>
    <t>Close Doors</t>
  </si>
  <si>
    <t xml:space="preserve">Driver </t>
  </si>
  <si>
    <t>Del Doc w/Driver ok</t>
  </si>
  <si>
    <t>Gate in Overtime</t>
  </si>
  <si>
    <t>Gate out Overtime</t>
  </si>
  <si>
    <t>Vuoto32</t>
  </si>
  <si>
    <t>Check Orario</t>
  </si>
  <si>
    <t>Ritardo</t>
  </si>
  <si>
    <t>Estrazione</t>
  </si>
  <si>
    <t>Orario</t>
  </si>
  <si>
    <t>Vuoto4</t>
  </si>
  <si>
    <t>Monoasse</t>
  </si>
  <si>
    <t>Vuoto42</t>
  </si>
  <si>
    <t>Cassa outlist</t>
  </si>
  <si>
    <t>Documenti Consegnati</t>
  </si>
  <si>
    <t>Vuoto422</t>
  </si>
  <si>
    <t>Cassa outlist3</t>
  </si>
  <si>
    <t>Vuoto4222</t>
  </si>
  <si>
    <t>Cancellazione linea</t>
  </si>
  <si>
    <t>ITD12165</t>
  </si>
  <si>
    <t>QPA&gt;IMR&gt;OS3&lt;</t>
  </si>
  <si>
    <t>OS3</t>
  </si>
  <si>
    <t>Fenix Srl</t>
  </si>
  <si>
    <t>TT-2/3</t>
  </si>
  <si>
    <t>XA329SR</t>
  </si>
  <si>
    <t>ALLOCATA</t>
  </si>
  <si>
    <t>Y</t>
  </si>
  <si>
    <t>CARICA DOMESTICO  + INTERNAZIONALE PARCEL</t>
  </si>
  <si>
    <t>P135</t>
  </si>
  <si>
    <t>s026745177</t>
  </si>
  <si>
    <t>ITD12409</t>
  </si>
  <si>
    <t>OS3&gt;IMR&gt;OS3&lt;</t>
  </si>
  <si>
    <t>Zampieri Holding S.R.L.</t>
  </si>
  <si>
    <t>XA321YG</t>
  </si>
  <si>
    <t>ITD11811</t>
  </si>
  <si>
    <t>Trans Speedy S.R.L</t>
  </si>
  <si>
    <t>xa803ys</t>
  </si>
  <si>
    <t>CARICA DOMESTICO + INTERNAZIONALE PARCEL</t>
  </si>
  <si>
    <t>ITD12256</t>
  </si>
  <si>
    <t>MDA&gt;ZRO&gt;IMR&gt;BRG&lt;</t>
  </si>
  <si>
    <t>BRG</t>
  </si>
  <si>
    <t>CORNALI AUTOTRASPORTI SRL</t>
  </si>
  <si>
    <t>XA714JN</t>
  </si>
  <si>
    <t>ITD12254</t>
  </si>
  <si>
    <t>REM&gt;ZRO&gt;BO2&gt;IMR&gt;BRG&lt;</t>
  </si>
  <si>
    <t>AE52553</t>
  </si>
  <si>
    <t>p127</t>
  </si>
  <si>
    <t>s026742036</t>
  </si>
  <si>
    <t>STAT77</t>
  </si>
  <si>
    <t>ITD12250</t>
  </si>
  <si>
    <t>MDA&gt;BO2&gt;IMR&gt;BRG&lt;</t>
  </si>
  <si>
    <t>Transeuropa S.r.l.</t>
  </si>
  <si>
    <t>XA532LT</t>
  </si>
  <si>
    <t>ITD12243</t>
  </si>
  <si>
    <t>UA1&gt;PD2&gt;IMR&gt;QAL&lt;</t>
  </si>
  <si>
    <t>QAL</t>
  </si>
  <si>
    <t>F.M. Trasporti S.R.L.</t>
  </si>
  <si>
    <t>XB904AL</t>
  </si>
  <si>
    <t>P129</t>
  </si>
  <si>
    <t>ITD12668</t>
  </si>
  <si>
    <t>MM1&gt;IMR&gt;MM1&lt;</t>
  </si>
  <si>
    <t>MM1</t>
  </si>
  <si>
    <t>XA436TW</t>
  </si>
  <si>
    <t>ITD12746</t>
  </si>
  <si>
    <t>XA754VH</t>
  </si>
  <si>
    <t>CARICA IMPORT + DOMESTICO PARCEL</t>
  </si>
  <si>
    <t>p132</t>
  </si>
  <si>
    <t>s026745179</t>
  </si>
  <si>
    <t>ITD12358</t>
  </si>
  <si>
    <t>XA494ZR</t>
  </si>
  <si>
    <t>P138</t>
  </si>
  <si>
    <t>ITD12317</t>
  </si>
  <si>
    <t>VE1&gt;PD2&gt;IMR&gt;MM1&lt;</t>
  </si>
  <si>
    <t>XB174AG</t>
  </si>
  <si>
    <t>ITD12747</t>
  </si>
  <si>
    <t>VRN&gt;IMR&gt;VRN&lt;</t>
  </si>
  <si>
    <t>VRN</t>
  </si>
  <si>
    <t>Autotrasporti Bertoldo Srl</t>
  </si>
  <si>
    <t>XA269CR</t>
  </si>
  <si>
    <t>ITD12753</t>
  </si>
  <si>
    <t>QAL&gt;IMR&gt;VRN&lt;</t>
  </si>
  <si>
    <t>XA598ZA</t>
  </si>
  <si>
    <t>s026742033</t>
  </si>
  <si>
    <t>ITD12284</t>
  </si>
  <si>
    <t>MDA&gt;IMR&gt;MDA&lt;</t>
  </si>
  <si>
    <t>MDA</t>
  </si>
  <si>
    <t>XA415NZ</t>
  </si>
  <si>
    <t>IMPORT + DOM PARCEL</t>
  </si>
  <si>
    <t>P130</t>
  </si>
  <si>
    <t>S026742342</t>
  </si>
  <si>
    <t>ITD12285</t>
  </si>
  <si>
    <t>XA531LT</t>
  </si>
  <si>
    <t>FRT</t>
  </si>
  <si>
    <t>DG</t>
  </si>
  <si>
    <t>ENBR26445</t>
  </si>
  <si>
    <t>R704</t>
  </si>
  <si>
    <t>ENBR26514</t>
  </si>
  <si>
    <t>P601</t>
  </si>
  <si>
    <t>ENBR21025</t>
  </si>
  <si>
    <t>P603</t>
  </si>
  <si>
    <t>s077478618/12</t>
  </si>
  <si>
    <t>ENB17843</t>
  </si>
  <si>
    <t>p130</t>
  </si>
  <si>
    <t>s077478615</t>
  </si>
  <si>
    <t>ENB15436</t>
  </si>
  <si>
    <t>x</t>
  </si>
  <si>
    <t>RENT212</t>
  </si>
  <si>
    <t>p131</t>
  </si>
  <si>
    <t>S077755511 - 12</t>
  </si>
  <si>
    <t>ENB15372</t>
  </si>
  <si>
    <t>P56762</t>
  </si>
  <si>
    <t>p56755</t>
  </si>
  <si>
    <t>P128</t>
  </si>
  <si>
    <t>ENB16206</t>
  </si>
  <si>
    <t>P133</t>
  </si>
  <si>
    <t>s077748806</t>
  </si>
  <si>
    <t>QAPJ563</t>
  </si>
  <si>
    <t>RENT614</t>
  </si>
  <si>
    <t>ENB15284</t>
  </si>
  <si>
    <t>P127</t>
  </si>
  <si>
    <t>S077748815</t>
  </si>
  <si>
    <t>P56793</t>
  </si>
  <si>
    <t>ENB15376</t>
  </si>
  <si>
    <t>P140</t>
  </si>
  <si>
    <t>s077478635</t>
  </si>
  <si>
    <t>ENB16211</t>
  </si>
  <si>
    <t>P606</t>
  </si>
  <si>
    <t>s077748810</t>
  </si>
  <si>
    <t>ENB15470</t>
  </si>
  <si>
    <t>TM27MNV</t>
  </si>
  <si>
    <t>P139</t>
  </si>
  <si>
    <t>s077478613/16</t>
  </si>
  <si>
    <t>RENT395</t>
  </si>
  <si>
    <t>enbr21046</t>
  </si>
  <si>
    <t>R336</t>
  </si>
  <si>
    <t>S077751329 - 330</t>
  </si>
  <si>
    <t>ITD12655</t>
  </si>
  <si>
    <t>MXP&gt;IMR&gt;MXP&lt;</t>
  </si>
  <si>
    <t>XA835RN</t>
  </si>
  <si>
    <t>CARICA LOOSE</t>
  </si>
  <si>
    <t>ITD12362</t>
  </si>
  <si>
    <t>ZD1&gt;IMR&gt;MXP&gt;IMR&gt;ZD1&lt;</t>
  </si>
  <si>
    <t>XA635FA</t>
  </si>
  <si>
    <t>CARICO PARCEL</t>
  </si>
  <si>
    <t>P141</t>
  </si>
  <si>
    <t>S026742043</t>
  </si>
  <si>
    <t>ITD12622</t>
  </si>
  <si>
    <t>TT-2/3 Rollerbed</t>
  </si>
  <si>
    <t>XA241WH</t>
  </si>
  <si>
    <t>N</t>
  </si>
  <si>
    <t>PARCEL</t>
  </si>
  <si>
    <t>LL 14 - 2 Bag</t>
  </si>
  <si>
    <t>ENBD20304</t>
  </si>
  <si>
    <t>ENB14356</t>
  </si>
  <si>
    <t>r7097bdg</t>
  </si>
  <si>
    <t>S077478654-53</t>
  </si>
  <si>
    <t>enbd20373</t>
  </si>
  <si>
    <t>R341</t>
  </si>
  <si>
    <t>s077478617</t>
  </si>
  <si>
    <t>ENBR22040</t>
  </si>
  <si>
    <t>ENBD20172</t>
  </si>
  <si>
    <t>s077478614</t>
  </si>
  <si>
    <t>xa783ww</t>
  </si>
  <si>
    <t>ERN9XXX</t>
  </si>
  <si>
    <t>ENBR21210</t>
  </si>
  <si>
    <t>R344</t>
  </si>
  <si>
    <t>s077748813-s077748778</t>
  </si>
  <si>
    <t>AEDX252</t>
  </si>
  <si>
    <t>enbr21355</t>
  </si>
  <si>
    <t>S077755515 - 16</t>
  </si>
  <si>
    <t>P58812</t>
  </si>
  <si>
    <t>ITD12287</t>
  </si>
  <si>
    <t>REM&gt;IMR&gt;REM&lt;</t>
  </si>
  <si>
    <t>REM</t>
  </si>
  <si>
    <t>XA519LJ</t>
  </si>
  <si>
    <t>CARICA IMPORT PARCEL + FREIGHT</t>
  </si>
  <si>
    <t>ITD12263</t>
  </si>
  <si>
    <t>IMV&gt;BO2&gt;IMR&gt;VBS&lt;</t>
  </si>
  <si>
    <t>VBS</t>
  </si>
  <si>
    <t>XA159GF</t>
  </si>
  <si>
    <t>ITD12885</t>
  </si>
  <si>
    <t>MDA&gt;IMR&gt;VBS&gt;MDA</t>
  </si>
  <si>
    <t>XA286YG</t>
  </si>
  <si>
    <t>P370</t>
  </si>
  <si>
    <t>s026742035</t>
  </si>
  <si>
    <t>ITD12415</t>
  </si>
  <si>
    <t>VBS&gt;IMR&gt;VBS&lt;</t>
  </si>
  <si>
    <t>XA636FA</t>
  </si>
  <si>
    <t>p136</t>
  </si>
  <si>
    <t>ITD12337</t>
  </si>
  <si>
    <t>VRN&gt;IMR&gt;QVA&lt;</t>
  </si>
  <si>
    <t>QVA</t>
  </si>
  <si>
    <t>AE82144</t>
  </si>
  <si>
    <t>P134</t>
  </si>
  <si>
    <t>ITD12413</t>
  </si>
  <si>
    <t>GOA&gt;IMR&gt;GOA&lt;</t>
  </si>
  <si>
    <t>GOA</t>
  </si>
  <si>
    <t>S.T.I. Società Trasporti Internazionali S.r.L.</t>
  </si>
  <si>
    <t>XA617YR</t>
  </si>
  <si>
    <t>ITD12403</t>
  </si>
  <si>
    <t>XB490BJ</t>
  </si>
  <si>
    <t>P137</t>
  </si>
  <si>
    <t>ITD12402</t>
  </si>
  <si>
    <t>XA279JN</t>
  </si>
  <si>
    <t>CARICA DOMESTICO + INTERNAZIONALE FREIGHT</t>
  </si>
  <si>
    <t>ITD12098</t>
  </si>
  <si>
    <t>PE3&gt;AN6&gt;IMR&gt;MZ1&lt;</t>
  </si>
  <si>
    <t>MZ1</t>
  </si>
  <si>
    <t>XA475HW</t>
  </si>
  <si>
    <t>ITD12238</t>
  </si>
  <si>
    <t>BLX&gt;PD2&gt;IMR&gt;MZ1&lt;</t>
  </si>
  <si>
    <t>Tonia Trasporti S.r.l.</t>
  </si>
  <si>
    <t>XA717NN</t>
  </si>
  <si>
    <t>ITD12617</t>
  </si>
  <si>
    <t>IMR&gt;FCO&lt;</t>
  </si>
  <si>
    <t>FCO</t>
  </si>
  <si>
    <t>NCT srl</t>
  </si>
  <si>
    <t>XA527PG</t>
  </si>
  <si>
    <t>OUTBOUND MERCE MALTA FREIGHT + PARCEL</t>
  </si>
  <si>
    <t>ITD12162</t>
  </si>
  <si>
    <t>IBD&gt;IMR&gt;IBD&lt;</t>
  </si>
  <si>
    <t>IBD</t>
  </si>
  <si>
    <t>XA713GY</t>
  </si>
  <si>
    <t>CARICA IMPORT PARCEL + FREIGHT (NO DOMESTICO)</t>
  </si>
  <si>
    <t>ITD12299</t>
  </si>
  <si>
    <t>IBU&gt;IMR&gt;PSA&lt;</t>
  </si>
  <si>
    <t>PSA</t>
  </si>
  <si>
    <t>XA378NX</t>
  </si>
  <si>
    <t>CARICA DOMESTICO + INTERNAZIONALE PARCEL PSA</t>
  </si>
  <si>
    <t>XXX</t>
  </si>
  <si>
    <t>s026745162</t>
  </si>
  <si>
    <t>enbd20284</t>
  </si>
  <si>
    <t>ITD12367</t>
  </si>
  <si>
    <t>TO1&gt;IMR&gt;TO1&lt;</t>
  </si>
  <si>
    <t>TO1</t>
  </si>
  <si>
    <t>XA738RS</t>
  </si>
  <si>
    <t>P375</t>
  </si>
  <si>
    <t>ITD12368</t>
  </si>
  <si>
    <t>XA837RN</t>
  </si>
  <si>
    <t>ITD12369</t>
  </si>
  <si>
    <t>XA436ZJ</t>
  </si>
  <si>
    <t>P363</t>
  </si>
  <si>
    <t>ITD12411</t>
  </si>
  <si>
    <t>IOE&gt;IMR&gt;IOE&lt;</t>
  </si>
  <si>
    <t>IOE</t>
  </si>
  <si>
    <t>TT-55m³</t>
  </si>
  <si>
    <t>XA353YG</t>
  </si>
  <si>
    <t>ITD12800</t>
  </si>
  <si>
    <t>BEA&gt;IMR&gt;BEA&lt;</t>
  </si>
  <si>
    <t>BEA</t>
  </si>
  <si>
    <t>XA452ZJ</t>
  </si>
  <si>
    <t>CARICA DOMESTICO  + INTERNAZIONALE FREIGHT</t>
  </si>
  <si>
    <t>ITD12261</t>
  </si>
  <si>
    <t>RMI&gt;BO2&gt;IMR&gt;IPO&lt;</t>
  </si>
  <si>
    <t>IPO</t>
  </si>
  <si>
    <t>XA092KG</t>
  </si>
  <si>
    <t>ITD12761</t>
  </si>
  <si>
    <t>PSA&gt;FC5&gt;IMR&gt;IPO&lt;</t>
  </si>
  <si>
    <t>XB170AG</t>
  </si>
  <si>
    <t>CARICA DOMESTICO + INTERNAZIONALE  PARCEL</t>
  </si>
  <si>
    <t>ITD12385</t>
  </si>
  <si>
    <t>CUF&gt;IMR&gt;CUF&lt;</t>
  </si>
  <si>
    <t>CUF</t>
  </si>
  <si>
    <t>FORLANI TRASPORTI SRL</t>
  </si>
  <si>
    <t>XA437MR</t>
  </si>
  <si>
    <t>P364</t>
  </si>
  <si>
    <t>ITD12802</t>
  </si>
  <si>
    <t>ZD1&gt;IMR&gt;ZD1&lt;</t>
  </si>
  <si>
    <t>ZD1</t>
  </si>
  <si>
    <t>XA622YR</t>
  </si>
  <si>
    <t>XA338VN</t>
  </si>
  <si>
    <t>P366</t>
  </si>
  <si>
    <t>ITD12364</t>
  </si>
  <si>
    <t>XA748VH</t>
  </si>
  <si>
    <t>ITD12669</t>
  </si>
  <si>
    <t>MM1&gt;IMR&gt;MIL&lt;</t>
  </si>
  <si>
    <t>MIL</t>
  </si>
  <si>
    <t>XA350RX</t>
  </si>
  <si>
    <t>CARICO DOMESTICO + IMPORT PARCEL</t>
  </si>
  <si>
    <t>ITD12283</t>
  </si>
  <si>
    <t>MZ1&gt;IMR&gt;VE1&lt;</t>
  </si>
  <si>
    <t>VE1</t>
  </si>
  <si>
    <t>XA632MR</t>
  </si>
  <si>
    <t>CARICA SOLO INTERNAZIONALE PARCEL + FREIGHT</t>
  </si>
  <si>
    <t>ITD12176</t>
  </si>
  <si>
    <t>VNZ&gt;IMR&gt;VNZ&lt;</t>
  </si>
  <si>
    <t>VNZ</t>
  </si>
  <si>
    <t>XA642PM</t>
  </si>
  <si>
    <t>CARICA DOM + IMPORT PARCEL</t>
  </si>
  <si>
    <t>ITD12387</t>
  </si>
  <si>
    <t>PMF&gt;IMR&gt;PMF&lt;</t>
  </si>
  <si>
    <t>PMF</t>
  </si>
  <si>
    <t>XA557PG</t>
  </si>
  <si>
    <t>CARICA INTERNAZIONALE + DOMESTICO PARCEL</t>
  </si>
  <si>
    <t>ITD12174</t>
  </si>
  <si>
    <t>B7Q&gt;IMR&gt;BO1&lt;</t>
  </si>
  <si>
    <t>BO1</t>
  </si>
  <si>
    <t>Canguro Spa</t>
  </si>
  <si>
    <t>XA177PX</t>
  </si>
  <si>
    <t>CARICA IMPORT PARCEL</t>
  </si>
  <si>
    <t>p372</t>
  </si>
  <si>
    <t>LL 14</t>
  </si>
  <si>
    <t>s026745164</t>
  </si>
  <si>
    <t>ITD12716</t>
  </si>
  <si>
    <t>IIM&gt;IMR&gt;IIM&lt;</t>
  </si>
  <si>
    <t>IIM</t>
  </si>
  <si>
    <t>XA465LJ</t>
  </si>
  <si>
    <t>CARICA DOMESTICO + INTERNAZIONALE PARCEL + FREIGHT</t>
  </si>
  <si>
    <t>ITD12748</t>
  </si>
  <si>
    <t>BO1&gt;IMR&gt;BO1&lt;</t>
  </si>
  <si>
    <t>XA544LT</t>
  </si>
  <si>
    <t>ITD12001</t>
  </si>
  <si>
    <t>IMR&gt;BA5&lt;</t>
  </si>
  <si>
    <t>BA5</t>
  </si>
  <si>
    <t>Conserva Spa</t>
  </si>
  <si>
    <t>XA654XK</t>
  </si>
  <si>
    <t>CARICA DOM + INT BRI PARCEL</t>
  </si>
  <si>
    <t>S026742340</t>
  </si>
  <si>
    <t>ITD12005</t>
  </si>
  <si>
    <t>XB874AP</t>
  </si>
  <si>
    <t>CARICA DOM + INT BRI FREIGHT + PARCEL</t>
  </si>
  <si>
    <t>P355</t>
  </si>
  <si>
    <t>S026745149</t>
  </si>
  <si>
    <t>ITD12738</t>
  </si>
  <si>
    <t>IPO&gt;IMR&gt;BO2&gt;FOI&lt;</t>
  </si>
  <si>
    <t>Eurologistica Spa</t>
  </si>
  <si>
    <t>AE40427</t>
  </si>
  <si>
    <t>S077709655</t>
  </si>
  <si>
    <t>ITD12262</t>
  </si>
  <si>
    <t>VBS&gt;IMR&gt;BO2&gt;IMV&lt;</t>
  </si>
  <si>
    <t>XA292YG</t>
  </si>
  <si>
    <t>CARICA IMPORT + DOMESTICO FREIGHT</t>
  </si>
  <si>
    <t>S026745169</t>
  </si>
  <si>
    <t>ITD12258</t>
  </si>
  <si>
    <t>IBU&gt;IMR&gt;BO2&gt;ZIA&lt;</t>
  </si>
  <si>
    <t>XB495BJ</t>
  </si>
  <si>
    <t>s026742332</t>
  </si>
  <si>
    <t>ITD12376</t>
  </si>
  <si>
    <t>ZD1&gt;IMR&gt;BO2&gt;ZIA&lt;</t>
  </si>
  <si>
    <t>XA555PG</t>
  </si>
  <si>
    <t>S026742042</t>
  </si>
  <si>
    <t>Autista non presente</t>
  </si>
  <si>
    <t>ITD12736</t>
  </si>
  <si>
    <t>IMR&gt;BO2&gt;ZRO&gt;MDA&lt;</t>
  </si>
  <si>
    <t>XA518LJ</t>
  </si>
  <si>
    <t>S024465806</t>
  </si>
  <si>
    <t>ITD12864</t>
  </si>
  <si>
    <t>IMR&gt;BO2&gt;IMV&lt;</t>
  </si>
  <si>
    <t>xa268yg</t>
  </si>
  <si>
    <t>S026742045</t>
  </si>
  <si>
    <t>ITD12253</t>
  </si>
  <si>
    <t>BRG&gt;IMR&gt;BO2&gt;MDA&lt;</t>
  </si>
  <si>
    <t>AD69356</t>
  </si>
  <si>
    <t>S026742040</t>
  </si>
  <si>
    <t>ITD12764</t>
  </si>
  <si>
    <t>RNV&gt;IMR&gt;FC5&gt;QZO&lt;</t>
  </si>
  <si>
    <t>FC5</t>
  </si>
  <si>
    <t>T&amp;ti Cargo Line Srl</t>
  </si>
  <si>
    <t>XB025AP</t>
  </si>
  <si>
    <t>s077748829</t>
  </si>
  <si>
    <t>ITD12302</t>
  </si>
  <si>
    <t>MM1&gt;IMR&gt;FC5&lt;</t>
  </si>
  <si>
    <t>XA435MR</t>
  </si>
  <si>
    <t>S077748824</t>
  </si>
  <si>
    <t>ITD12868</t>
  </si>
  <si>
    <t>IMR&gt;FC5&lt;</t>
  </si>
  <si>
    <t>XA050TN</t>
  </si>
  <si>
    <t>S077748842</t>
  </si>
  <si>
    <t>ITD12208</t>
  </si>
  <si>
    <t>RNV&gt;IMR&gt;FC5&gt;PEG&lt;</t>
  </si>
  <si>
    <t>xa669vj</t>
  </si>
  <si>
    <t>p357</t>
  </si>
  <si>
    <t>S077478660</t>
  </si>
  <si>
    <t>ITD12220</t>
  </si>
  <si>
    <t>BEA&gt;IMR&gt;FC5&gt;QZO&lt;</t>
  </si>
  <si>
    <t>xa265yg</t>
  </si>
  <si>
    <t>S077478655</t>
  </si>
  <si>
    <t>ITD12784</t>
  </si>
  <si>
    <t>IMR&gt;QPZ&lt;</t>
  </si>
  <si>
    <t>QPZ</t>
  </si>
  <si>
    <t>XA432ZJ</t>
  </si>
  <si>
    <t>enb17832</t>
  </si>
  <si>
    <t>s077748819</t>
  </si>
  <si>
    <t>ITD12876</t>
  </si>
  <si>
    <t>IMR&gt;FIA&lt;</t>
  </si>
  <si>
    <t>FIA</t>
  </si>
  <si>
    <t>XA598PG</t>
  </si>
  <si>
    <t>p362</t>
  </si>
  <si>
    <t>S024465893</t>
  </si>
  <si>
    <t>ITD12094</t>
  </si>
  <si>
    <t>IMR&gt;FIA&gt;QFR&lt;</t>
  </si>
  <si>
    <t>XA289XH</t>
  </si>
  <si>
    <t>S026742334</t>
  </si>
  <si>
    <t>ITD12101</t>
  </si>
  <si>
    <t>IMR&gt;AN6&gt;PE3&lt;</t>
  </si>
  <si>
    <t>AN6</t>
  </si>
  <si>
    <t>Cds Trasp. E Logistica Srl</t>
  </si>
  <si>
    <t>AD22409</t>
  </si>
  <si>
    <t>S024465889</t>
  </si>
  <si>
    <t>ITD12097</t>
  </si>
  <si>
    <t>ICM&gt;IMR&gt;AN6&gt;PE3&lt;</t>
  </si>
  <si>
    <t>af70032</t>
  </si>
  <si>
    <t>S026745145</t>
  </si>
  <si>
    <t>ITD12731</t>
  </si>
  <si>
    <t>IMR&gt;AN6&gt;BA5&lt;</t>
  </si>
  <si>
    <t>Autotrasporti RDS</t>
  </si>
  <si>
    <t>xa336rw</t>
  </si>
  <si>
    <t>s026745150</t>
  </si>
  <si>
    <t>ITD12879</t>
  </si>
  <si>
    <t>IMR&gt;NC3&lt;</t>
  </si>
  <si>
    <t>NC3</t>
  </si>
  <si>
    <t>AD85886</t>
  </si>
  <si>
    <t>p361</t>
  </si>
  <si>
    <t>S026745047</t>
  </si>
  <si>
    <t>ITD12023</t>
  </si>
  <si>
    <t>IMR&gt;NT3&lt;</t>
  </si>
  <si>
    <t>NT3</t>
  </si>
  <si>
    <t>Nuova Express Line S.R.L.</t>
  </si>
  <si>
    <t>ah29123</t>
  </si>
  <si>
    <t>p356</t>
  </si>
  <si>
    <t>S024465807</t>
  </si>
  <si>
    <t>ITD12017</t>
  </si>
  <si>
    <t>XA479TA</t>
  </si>
  <si>
    <t>p363</t>
  </si>
  <si>
    <t>S024465894</t>
  </si>
  <si>
    <t>ITD12061</t>
  </si>
  <si>
    <t>ac61627</t>
  </si>
  <si>
    <t>s026742333</t>
  </si>
  <si>
    <t>ITD12073</t>
  </si>
  <si>
    <t>IBU&gt;IMR&gt;RMZ&lt;</t>
  </si>
  <si>
    <t>RMZ</t>
  </si>
  <si>
    <t>Ste.Ma Srl</t>
  </si>
  <si>
    <t>XB800BC</t>
  </si>
  <si>
    <t>S024465888</t>
  </si>
  <si>
    <t>ITD12241</t>
  </si>
  <si>
    <t>MZ1&gt;IMR&gt;PD2&gt;UA1&lt;</t>
  </si>
  <si>
    <t>PD2</t>
  </si>
  <si>
    <t>XA355VS</t>
  </si>
  <si>
    <t>P365</t>
  </si>
  <si>
    <t>S077748837</t>
  </si>
  <si>
    <t>ITD12247</t>
  </si>
  <si>
    <t>XA668VJ</t>
  </si>
  <si>
    <t>S077755597</t>
  </si>
  <si>
    <t>ITD12171</t>
  </si>
  <si>
    <t>MZ1&gt;IMR&gt;PD2&gt;TV1&lt;</t>
  </si>
  <si>
    <t>XB166AG</t>
  </si>
  <si>
    <t>P358</t>
  </si>
  <si>
    <t>S077748848</t>
  </si>
  <si>
    <t>ITD12164</t>
  </si>
  <si>
    <t>QPA&gt;IMR&gt;QPA&lt;</t>
  </si>
  <si>
    <t>QPA</t>
  </si>
  <si>
    <t>XA788XX</t>
  </si>
  <si>
    <t>CARICA IMPORT (NO DOMESTICO) PARCEL + FREIGHT</t>
  </si>
  <si>
    <t>ITD12279</t>
  </si>
  <si>
    <t>BRG&gt;IMR&gt;TV1&lt;</t>
  </si>
  <si>
    <t>TV1</t>
  </si>
  <si>
    <t>AD40118</t>
  </si>
  <si>
    <t>s026745167</t>
  </si>
  <si>
    <t>ITD12244</t>
  </si>
  <si>
    <t>UA1&gt;PD2&gt;IMR&gt;ILJ&lt;</t>
  </si>
  <si>
    <t>ILJ</t>
  </si>
  <si>
    <t>XA152NT</t>
  </si>
  <si>
    <t>ITD12259</t>
  </si>
  <si>
    <t>ZIA&gt;BO2&gt;IMR&gt;IBU&lt;</t>
  </si>
  <si>
    <t>IBU</t>
  </si>
  <si>
    <t>XA940GJ</t>
  </si>
  <si>
    <t>ITD12300</t>
  </si>
  <si>
    <t>PSA&gt;IMR&gt;IBU&lt;</t>
  </si>
  <si>
    <t>XA257YG</t>
  </si>
  <si>
    <t>P360</t>
  </si>
  <si>
    <t>ITD12393</t>
  </si>
  <si>
    <t>ICM&gt;IMR&gt;ICM&lt;</t>
  </si>
  <si>
    <t>ICM</t>
  </si>
  <si>
    <t>XA196XH</t>
  </si>
  <si>
    <t>P373</t>
  </si>
  <si>
    <t>y</t>
  </si>
  <si>
    <t>S026742343</t>
  </si>
  <si>
    <t>ITD12763</t>
  </si>
  <si>
    <t>QZO&gt;FC5&gt;IMR&gt;RNV&lt;</t>
  </si>
  <si>
    <t>RNV</t>
  </si>
  <si>
    <t>XA161NT</t>
  </si>
  <si>
    <t>P376</t>
  </si>
  <si>
    <t>ITD12207</t>
  </si>
  <si>
    <t>PEG&gt;FC5&gt;IMR&gt;RNV&lt;</t>
  </si>
  <si>
    <t>XA301RW</t>
  </si>
  <si>
    <t>ITD12388</t>
  </si>
  <si>
    <t>ISV&gt;IMR&gt;ISV&lt;</t>
  </si>
  <si>
    <t>ISV</t>
  </si>
  <si>
    <t>XA750VH</t>
  </si>
  <si>
    <t>ITD12719</t>
  </si>
  <si>
    <t>IMR&gt;AOT&lt;</t>
  </si>
  <si>
    <t>AOT</t>
  </si>
  <si>
    <t>AF09659</t>
  </si>
  <si>
    <t>ITD12389</t>
  </si>
  <si>
    <t>OSO&gt;IMR&gt;OSO&lt;</t>
  </si>
  <si>
    <t>OSO</t>
  </si>
  <si>
    <t>XA962VY</t>
  </si>
  <si>
    <t>CARICA DOMESTICO + INTERNAZIONALE PARCEL IN TESTA/FREIGHT IN CODA</t>
  </si>
  <si>
    <t>P58844</t>
  </si>
  <si>
    <t>P605</t>
  </si>
  <si>
    <t>ENBR26444</t>
  </si>
  <si>
    <t>R705</t>
  </si>
  <si>
    <t>s077478633/s077478634</t>
  </si>
  <si>
    <t>ITD12286</t>
  </si>
  <si>
    <t>XB806AP</t>
  </si>
  <si>
    <t>IMPORT + DOM FREIGHT</t>
  </si>
  <si>
    <t>P369</t>
  </si>
  <si>
    <t>ITD12252</t>
  </si>
  <si>
    <t>XA688KS</t>
  </si>
  <si>
    <t xml:space="preserve">CARICA DOMESTICO + INTERNAZIONALE FREIGHT </t>
  </si>
  <si>
    <t>P372</t>
  </si>
  <si>
    <t>ITD12803</t>
  </si>
  <si>
    <t>BRG&gt;IMR&gt;BRG&lt;</t>
  </si>
  <si>
    <t>XA687WL</t>
  </si>
  <si>
    <t>P361</t>
  </si>
  <si>
    <t>ENB17859</t>
  </si>
  <si>
    <t>R709</t>
  </si>
  <si>
    <t>s077478620/11/19/37</t>
  </si>
  <si>
    <t>ENBD20100</t>
  </si>
  <si>
    <t>S077478656</t>
  </si>
  <si>
    <t>ITD12071</t>
  </si>
  <si>
    <t>IBU&gt;IMR&gt;ROM&lt;</t>
  </si>
  <si>
    <t>ROM</t>
  </si>
  <si>
    <t>XA652VK</t>
  </si>
  <si>
    <t>CARICA ROM PARCEL + FREIGHT</t>
  </si>
  <si>
    <t>S026745168</t>
  </si>
  <si>
    <t>ENBR21056</t>
  </si>
  <si>
    <t>p608</t>
  </si>
  <si>
    <t>s077748840-s077748817</t>
  </si>
  <si>
    <t>ITD12886</t>
  </si>
  <si>
    <t>IMR&gt;PMF&lt;</t>
  </si>
  <si>
    <t>xa266yg</t>
  </si>
  <si>
    <t>CARICA INTERNAZIONALE + DOMESTICO FREIGHT</t>
  </si>
  <si>
    <t>P348</t>
  </si>
  <si>
    <t>ITD12854</t>
  </si>
  <si>
    <t>PMF&gt;BO2&gt;IMR&gt;MM1&lt;</t>
  </si>
  <si>
    <t>XA857MS</t>
  </si>
  <si>
    <t>p371</t>
  </si>
  <si>
    <t>S026745161</t>
  </si>
  <si>
    <t>ITD12359</t>
  </si>
  <si>
    <t>XA755VH</t>
  </si>
  <si>
    <t>P362</t>
  </si>
  <si>
    <t>S026745170</t>
  </si>
  <si>
    <t>ITD12361</t>
  </si>
  <si>
    <t>XA337VN</t>
  </si>
  <si>
    <t>ITD12242</t>
  </si>
  <si>
    <t>QAL&gt;IMR&gt;PD2&gt;UA1&lt;</t>
  </si>
  <si>
    <t>XA398MW</t>
  </si>
  <si>
    <t>P356</t>
  </si>
  <si>
    <t>S077748807</t>
  </si>
  <si>
    <t>ITD12310</t>
  </si>
  <si>
    <t>IMR&gt;PD2&gt;VNZ&lt;</t>
  </si>
  <si>
    <t>XA086XN</t>
  </si>
  <si>
    <t>S077709602</t>
  </si>
  <si>
    <t>ITD12245</t>
  </si>
  <si>
    <t>ILJ&gt;IMR&gt;PD2&gt;UA1&lt;</t>
  </si>
  <si>
    <t>XA194LD</t>
  </si>
  <si>
    <t>S077748847</t>
  </si>
  <si>
    <t>ITD12239</t>
  </si>
  <si>
    <t>MZ1&gt;IMR&gt;PD2&gt;BLX&lt;</t>
  </si>
  <si>
    <t>XA445MH</t>
  </si>
  <si>
    <t>P357</t>
  </si>
  <si>
    <t>S026745147</t>
  </si>
  <si>
    <t>ITD90226</t>
  </si>
  <si>
    <t>PD2 EXTRA</t>
  </si>
  <si>
    <t>XA581PT</t>
  </si>
  <si>
    <t>FRT 14</t>
  </si>
  <si>
    <t>s077748830</t>
  </si>
  <si>
    <t>ITD12743</t>
  </si>
  <si>
    <t>IMR&gt;FIA&gt;IVT&lt;</t>
  </si>
  <si>
    <t>XA374NX</t>
  </si>
  <si>
    <t>CARICA IMPORT + DOMESTICO  FREIGHT</t>
  </si>
  <si>
    <t>S026742049</t>
  </si>
  <si>
    <t>ITD12078</t>
  </si>
  <si>
    <t>AD85866</t>
  </si>
  <si>
    <t>S026742335</t>
  </si>
  <si>
    <t>ITD12089</t>
  </si>
  <si>
    <t>TO1&gt;IMR&gt;AN6&gt;ISZ&lt;</t>
  </si>
  <si>
    <t>xb854ap</t>
  </si>
  <si>
    <t>p358</t>
  </si>
  <si>
    <t>s026742048</t>
  </si>
  <si>
    <t>ITD12099</t>
  </si>
  <si>
    <t>MZ1&gt;IMR&gt;AN6&gt;PE3&lt;</t>
  </si>
  <si>
    <t>xa728kt</t>
  </si>
  <si>
    <t>S026742337</t>
  </si>
  <si>
    <t>ITD12762</t>
  </si>
  <si>
    <t>IPO&gt;IMR&gt;FC5&gt;PSA&lt;</t>
  </si>
  <si>
    <t>xa339nc</t>
  </si>
  <si>
    <t>S077748826</t>
  </si>
  <si>
    <t>ITD12210</t>
  </si>
  <si>
    <t>XA410MH</t>
  </si>
  <si>
    <t>P354</t>
  </si>
  <si>
    <t>S077709605</t>
  </si>
  <si>
    <t>ITD12304</t>
  </si>
  <si>
    <t>BEA&gt;IMR&gt;FC5&lt;</t>
  </si>
  <si>
    <t>XA086LL</t>
  </si>
  <si>
    <t>p364</t>
  </si>
  <si>
    <t>S077748850</t>
  </si>
  <si>
    <t>ITD12218</t>
  </si>
  <si>
    <t>xa231wl</t>
  </si>
  <si>
    <t>S077748845</t>
  </si>
  <si>
    <t>ITD12667</t>
  </si>
  <si>
    <t>MIL&gt;IMR&gt;MIL&lt;</t>
  </si>
  <si>
    <t>XA528HT</t>
  </si>
  <si>
    <t>CARICO DOMESTICO + IMPORT FREIGHT</t>
  </si>
  <si>
    <t>ITD12412</t>
  </si>
  <si>
    <t>XA960VY</t>
  </si>
  <si>
    <t>ITD12720</t>
  </si>
  <si>
    <t>XA533EJ</t>
  </si>
  <si>
    <t>CARICA DOMESTICO + INTERNAZIONALE FREIGHT + PARCEL</t>
  </si>
  <si>
    <t>RENT487</t>
  </si>
  <si>
    <t>R736</t>
  </si>
  <si>
    <t>S077748844-S077748841</t>
  </si>
  <si>
    <t>ITD12408</t>
  </si>
  <si>
    <t>XA026TA</t>
  </si>
  <si>
    <t>CARICA DOMESTICO + INTERNAZIONALE  FREIGHT</t>
  </si>
  <si>
    <t>ITD12410</t>
  </si>
  <si>
    <t>xa551ej</t>
  </si>
  <si>
    <t>XA318EY</t>
  </si>
  <si>
    <t>R738</t>
  </si>
  <si>
    <t>s077748820-s077748814</t>
  </si>
  <si>
    <t>enbd20115</t>
  </si>
  <si>
    <t>S077755519</t>
  </si>
  <si>
    <t>ENBR21008</t>
  </si>
  <si>
    <t>R739</t>
  </si>
  <si>
    <t>s077748818-s077748808</t>
  </si>
  <si>
    <t>3 MT APL - STAT77</t>
  </si>
  <si>
    <t>ENBR26568</t>
  </si>
  <si>
    <t>ENBR21391</t>
  </si>
  <si>
    <t>S077755514 - 17</t>
  </si>
  <si>
    <t>ENBR21394</t>
  </si>
  <si>
    <t>ENBR21329</t>
  </si>
  <si>
    <t>ENB17310</t>
  </si>
  <si>
    <t>R745</t>
  </si>
  <si>
    <t>S077755506</t>
  </si>
  <si>
    <t>ENBR22026</t>
  </si>
  <si>
    <t>p607</t>
  </si>
  <si>
    <t>S077755504 - 05</t>
  </si>
  <si>
    <t>XB662AM</t>
  </si>
  <si>
    <t>P600</t>
  </si>
  <si>
    <t>S077748846-S077748843</t>
  </si>
  <si>
    <t>enbr21209</t>
  </si>
  <si>
    <t>R746</t>
  </si>
  <si>
    <t>S077709608-09</t>
  </si>
  <si>
    <t>XA272NH</t>
  </si>
  <si>
    <t>R801</t>
  </si>
  <si>
    <t>S077748803-S077748811</t>
  </si>
  <si>
    <t>ENBD20238</t>
  </si>
  <si>
    <t>R804</t>
  </si>
  <si>
    <t>s077748812</t>
  </si>
  <si>
    <t>ENBR26535</t>
  </si>
  <si>
    <t>ITD12246</t>
  </si>
  <si>
    <t>UA1&gt;PD2&gt;IMR&gt;MZ1&lt;</t>
  </si>
  <si>
    <t>XA045WL</t>
  </si>
  <si>
    <t>P350</t>
  </si>
  <si>
    <t>ITD12282</t>
  </si>
  <si>
    <t>VE1&gt;IMR&gt;MZ1&lt;</t>
  </si>
  <si>
    <t>XB842BR</t>
  </si>
  <si>
    <t>ITD12170</t>
  </si>
  <si>
    <t>TV1&gt;PD2&gt;IMR&gt;MZ1&lt;</t>
  </si>
  <si>
    <t>XB171AG</t>
  </si>
  <si>
    <t>ITD12240</t>
  </si>
  <si>
    <t>XA082WL</t>
  </si>
  <si>
    <t>ITD12217</t>
  </si>
  <si>
    <t>XA522XS</t>
  </si>
  <si>
    <t>p365</t>
  </si>
  <si>
    <t>s026745178</t>
  </si>
  <si>
    <t>ITD12737</t>
  </si>
  <si>
    <t>LFS1&gt;BO2&gt;IMR&gt;IPO&lt;</t>
  </si>
  <si>
    <t>XA115BS</t>
  </si>
  <si>
    <t>enbr26446</t>
  </si>
  <si>
    <t>s077756270/s077478659</t>
  </si>
  <si>
    <t>P58807</t>
  </si>
  <si>
    <t>ENBR21296</t>
  </si>
  <si>
    <t>R810</t>
  </si>
  <si>
    <t>s077748849-s077748816</t>
  </si>
  <si>
    <t>ENBD20297</t>
  </si>
  <si>
    <t>s077748805</t>
  </si>
  <si>
    <t>ITD12416</t>
  </si>
  <si>
    <t>ILJ&gt;IMR&gt;ILJ&lt;</t>
  </si>
  <si>
    <t>XA200SL</t>
  </si>
  <si>
    <t>ITD12003</t>
  </si>
  <si>
    <t>af16794</t>
  </si>
  <si>
    <t>CARICA DOM + INT BRI FREIGHT</t>
  </si>
  <si>
    <t>s026745163</t>
  </si>
  <si>
    <t>ITD12024</t>
  </si>
  <si>
    <t>xb867ap</t>
  </si>
  <si>
    <t>S026742044</t>
  </si>
  <si>
    <t>CASSA MESSA AL PARCHEGGIO E NON SEGNATO A FILE. IL DRIVER RITARDA PER CERCARE CASSA</t>
  </si>
  <si>
    <t>ITD12013</t>
  </si>
  <si>
    <t>af16882</t>
  </si>
  <si>
    <t>S026742336</t>
  </si>
  <si>
    <t>ITD12072</t>
  </si>
  <si>
    <t>BRG&gt;IMR&gt;RMZ&lt;</t>
  </si>
  <si>
    <t>xa994zj</t>
  </si>
  <si>
    <t>S026742338</t>
  </si>
  <si>
    <t>ITD12074</t>
  </si>
  <si>
    <t>MZ1&gt;IMR&gt;RMZ&lt;</t>
  </si>
  <si>
    <t>XA491MG</t>
  </si>
  <si>
    <t>p359</t>
  </si>
  <si>
    <t>S026742031</t>
  </si>
  <si>
    <t>ITD12338</t>
  </si>
  <si>
    <t>QVA&gt;IMR&gt;VRN&lt;</t>
  </si>
  <si>
    <t>XA720RS</t>
  </si>
  <si>
    <t>s026745180</t>
  </si>
  <si>
    <t>ITD12336</t>
  </si>
  <si>
    <t>XA021TN</t>
  </si>
  <si>
    <t>ITD12177</t>
  </si>
  <si>
    <t>IMR&gt;GOA&lt;</t>
  </si>
  <si>
    <t>AD19661</t>
  </si>
  <si>
    <t>ITD12884</t>
  </si>
  <si>
    <t>MZ1&gt;IMR&gt;GOA&gt;MZ1&lt;</t>
  </si>
  <si>
    <t>XA725ZV</t>
  </si>
  <si>
    <t>P368</t>
  </si>
  <si>
    <t>ITD12417</t>
  </si>
  <si>
    <t>QVA&gt;IMR&gt;QVA&lt;</t>
  </si>
  <si>
    <t>XA364FP</t>
  </si>
  <si>
    <t>CARICA DOMESTICO + INTERNAZIONALE FREIGHT </t>
  </si>
  <si>
    <t>ITD12353</t>
  </si>
  <si>
    <t>PSR&gt;IMR&gt;MXP&lt;</t>
  </si>
  <si>
    <t>MSG SPA</t>
  </si>
  <si>
    <t>xa581sn</t>
  </si>
  <si>
    <t>FREIGHT</t>
  </si>
  <si>
    <t>ENBR26621</t>
  </si>
  <si>
    <t>enbd20101</t>
  </si>
  <si>
    <t>P604</t>
  </si>
  <si>
    <t>ITD12386</t>
  </si>
  <si>
    <t>XA198VR</t>
  </si>
  <si>
    <t>ITD12366</t>
  </si>
  <si>
    <t>XA979VY</t>
  </si>
  <si>
    <t>P374</t>
  </si>
  <si>
    <t>ITD12384</t>
  </si>
  <si>
    <t>TV1&gt;IMR&gt;TO1&lt;</t>
  </si>
  <si>
    <t>XA852EK</t>
  </si>
  <si>
    <t>S026742350</t>
  </si>
  <si>
    <t>ITD12172</t>
  </si>
  <si>
    <t>AD85877</t>
  </si>
  <si>
    <t>CARICA IMPORT FREIGHT</t>
  </si>
  <si>
    <t>ITD12251</t>
  </si>
  <si>
    <t>XB629AB</t>
  </si>
  <si>
    <t>S026742339</t>
  </si>
  <si>
    <t>ITD12173</t>
  </si>
  <si>
    <t>XA396ZM</t>
  </si>
  <si>
    <t>s026742032</t>
  </si>
  <si>
    <t>ITD12010</t>
  </si>
  <si>
    <t>IMR&gt;BO2&gt;BA5&lt;</t>
  </si>
  <si>
    <t>AE43435</t>
  </si>
  <si>
    <t>s026745050</t>
  </si>
  <si>
    <t>ITD12255</t>
  </si>
  <si>
    <t>BRG&gt;IMR&gt;BO2&gt;REM&lt;</t>
  </si>
  <si>
    <t>AE44416</t>
  </si>
  <si>
    <t>S026742046</t>
  </si>
  <si>
    <t>ITD12260</t>
  </si>
  <si>
    <t>IPO&gt;IMR&gt;BO2&gt;RMI&lt;</t>
  </si>
  <si>
    <t>XA097KG</t>
  </si>
  <si>
    <t>S026745148</t>
  </si>
  <si>
    <t>RENT214</t>
  </si>
  <si>
    <t>R833</t>
  </si>
  <si>
    <t>S077755507 - 08</t>
  </si>
  <si>
    <t>ENBR21185</t>
  </si>
  <si>
    <t>S077478658-57</t>
  </si>
  <si>
    <t>ENB15458</t>
  </si>
  <si>
    <t>P607</t>
  </si>
  <si>
    <t>S077748825</t>
  </si>
  <si>
    <t>ITD12219</t>
  </si>
  <si>
    <t>QZO&gt;FC5&gt;IMR&gt;BEA&lt;</t>
  </si>
  <si>
    <t>XA263YG</t>
  </si>
  <si>
    <t>ITD12209</t>
  </si>
  <si>
    <t>XA371FZ</t>
  </si>
  <si>
    <t>ITD12888</t>
  </si>
  <si>
    <t>RNV&gt;IMR&gt;QAL&gt;RNV</t>
  </si>
  <si>
    <t>xa874ys</t>
  </si>
  <si>
    <t>P349</t>
  </si>
  <si>
    <t>ITD12266</t>
  </si>
  <si>
    <t>REM&gt;IMR&gt;VBS&lt;</t>
  </si>
  <si>
    <t>XB083AD</t>
  </si>
  <si>
    <t>ITD12420</t>
  </si>
  <si>
    <t>XA442ZJ</t>
  </si>
  <si>
    <t>P367</t>
  </si>
  <si>
    <t>s026742034</t>
  </si>
  <si>
    <t>ITD12382</t>
  </si>
  <si>
    <t>XA435TW</t>
  </si>
  <si>
    <t>ITD12363</t>
  </si>
  <si>
    <t>XA434TW</t>
  </si>
  <si>
    <t>ITD12798</t>
  </si>
  <si>
    <t>XB825AP</t>
  </si>
  <si>
    <t>CARICO DOMESTICO + INTERNAZIONALE FREIGHT</t>
  </si>
  <si>
    <t>ITD12019</t>
  </si>
  <si>
    <t>xb857ap</t>
  </si>
  <si>
    <t>ITD12022</t>
  </si>
  <si>
    <t>ac80185</t>
  </si>
  <si>
    <t>S024465895</t>
  </si>
  <si>
    <t>ITD12021</t>
  </si>
  <si>
    <t>AF51015</t>
  </si>
  <si>
    <t>S026745146</t>
  </si>
  <si>
    <t>ITD12175</t>
  </si>
  <si>
    <t>XA268CR</t>
  </si>
  <si>
    <t>CARICA DOM + IMPORT FREIGHT</t>
  </si>
  <si>
    <t>ITD12749</t>
  </si>
  <si>
    <t>IBU&gt;IMR&gt;IBU&lt;</t>
  </si>
  <si>
    <t>XA723ZV</t>
  </si>
  <si>
    <t>ITD12280</t>
  </si>
  <si>
    <t>TV1&gt;IMR&gt;IBU&lt;</t>
  </si>
  <si>
    <t>XB479BJ</t>
  </si>
  <si>
    <t>ENBR21018</t>
  </si>
  <si>
    <t>P602</t>
  </si>
  <si>
    <t>ITD12267</t>
  </si>
  <si>
    <t>VBS&gt;IMR&gt;BO2&gt;REM&lt;</t>
  </si>
  <si>
    <t>XB094AD</t>
  </si>
  <si>
    <t>VUOTO</t>
  </si>
  <si>
    <t>P165</t>
  </si>
  <si>
    <t>MTY</t>
  </si>
  <si>
    <t>ITD12075</t>
  </si>
  <si>
    <t>FIA&gt;IMR&gt;MM1&lt;</t>
  </si>
  <si>
    <t>XA998AR</t>
  </si>
  <si>
    <t>POSIZIONAMENTO A VUOTO</t>
  </si>
  <si>
    <t>P244</t>
  </si>
  <si>
    <t>EMPTY</t>
  </si>
  <si>
    <t>ITD12281</t>
  </si>
  <si>
    <t>IBU&gt;IMR&gt;TV1&lt;</t>
  </si>
  <si>
    <t>XA631MR</t>
  </si>
  <si>
    <t>P458</t>
  </si>
  <si>
    <t>empty</t>
  </si>
  <si>
    <t>ITD12340</t>
  </si>
  <si>
    <t>ITD12360</t>
  </si>
  <si>
    <t>ITD12278</t>
  </si>
  <si>
    <t>TV1&gt;IMR&gt;BRG&lt;</t>
  </si>
  <si>
    <t>AE14015</t>
  </si>
  <si>
    <t xml:space="preserve">CARICA DOMESTICO + INTERNAZIONALE PARCEL </t>
  </si>
  <si>
    <t>ITD12096</t>
  </si>
  <si>
    <t>PE3&gt;AN6&gt;IMR&gt;ICM&lt;</t>
  </si>
  <si>
    <t>XB039AH</t>
  </si>
  <si>
    <t>ITD12665</t>
  </si>
  <si>
    <t>ITD12752</t>
  </si>
  <si>
    <t>VRN&gt;IMR&gt;QAL&lt;</t>
  </si>
  <si>
    <t>XA139TB</t>
  </si>
  <si>
    <t>ITD12365</t>
  </si>
  <si>
    <t>XA223MK</t>
  </si>
  <si>
    <t>ITD12006</t>
  </si>
  <si>
    <t>ILC&gt;BA5&gt;IMR&gt;MM1&lt;</t>
  </si>
  <si>
    <t>ITD12257</t>
  </si>
  <si>
    <t>BRG&gt;IMR&gt;ZRO&gt;MDA&lt;</t>
  </si>
  <si>
    <t>ZRO</t>
  </si>
  <si>
    <t>AD92470</t>
  </si>
  <si>
    <t>NO CONS</t>
  </si>
  <si>
    <t>RENT603</t>
  </si>
  <si>
    <t>P306</t>
  </si>
  <si>
    <t>ENBD20350</t>
  </si>
  <si>
    <t>1QEK098</t>
  </si>
  <si>
    <t>ENBD20193</t>
  </si>
  <si>
    <t>Mezzo a disposizione 1</t>
  </si>
  <si>
    <t>ITD90230</t>
  </si>
  <si>
    <t>MXP EXTRA</t>
  </si>
  <si>
    <t>XA578SB</t>
  </si>
  <si>
    <t>Mezzo a disposizione 11</t>
  </si>
  <si>
    <t>Mezzo a disposizione 12</t>
  </si>
  <si>
    <t>Mezzo a disposizione 13</t>
  </si>
  <si>
    <t>Mezzo a disposizione 14</t>
  </si>
  <si>
    <t>Mezzo a disposizione 15</t>
  </si>
  <si>
    <t>Mezzo a disposizione 16</t>
  </si>
  <si>
    <t>Mezzo a disposizione 17</t>
  </si>
  <si>
    <t>Mezzo a disposizione 18</t>
  </si>
  <si>
    <t>Mezzo a disposizione 19</t>
  </si>
  <si>
    <t>Mezzo a disposizione 3</t>
  </si>
  <si>
    <t>Mezzo a disposizione 4</t>
  </si>
  <si>
    <t>Mezzo a disposizione 5</t>
  </si>
  <si>
    <t>Mezzo a disposizione 6</t>
  </si>
  <si>
    <t>Mezzo a disposizione 7</t>
  </si>
  <si>
    <t>Mezzo a disposizione 8</t>
  </si>
  <si>
    <t>Mezzo a disposizione 9</t>
  </si>
  <si>
    <t>Departure
Time</t>
  </si>
  <si>
    <t>Day</t>
  </si>
  <si>
    <t>Operator</t>
  </si>
  <si>
    <t>Tractor license plate</t>
  </si>
  <si>
    <t>Unit license plate</t>
  </si>
  <si>
    <t>NOTE</t>
  </si>
  <si>
    <t>SISTANS</t>
  </si>
  <si>
    <t>KRA148PH</t>
  </si>
  <si>
    <t>GALILEO</t>
  </si>
  <si>
    <t>ENBC19155</t>
  </si>
  <si>
    <t>PREVOST</t>
  </si>
  <si>
    <t>AUAA865</t>
  </si>
  <si>
    <t>XZE626</t>
  </si>
  <si>
    <t>NCT</t>
  </si>
  <si>
    <t>GG231JW</t>
  </si>
  <si>
    <t>AE50426</t>
  </si>
  <si>
    <t>FENIX</t>
  </si>
  <si>
    <t>FC119GK</t>
  </si>
  <si>
    <t>XA958JY</t>
  </si>
  <si>
    <t>FORLANI</t>
  </si>
  <si>
    <t>GV805VC</t>
  </si>
  <si>
    <t>XA326EV</t>
  </si>
  <si>
    <t>STEMA</t>
  </si>
  <si>
    <t>GV107RH</t>
  </si>
  <si>
    <t>XA511HF</t>
  </si>
  <si>
    <t>TRANS SPEEDY</t>
  </si>
  <si>
    <t>GY327AY</t>
  </si>
  <si>
    <t>XA973WT</t>
  </si>
  <si>
    <t>FS768LG</t>
  </si>
  <si>
    <t>XA953TX</t>
  </si>
  <si>
    <t>FG947CE</t>
  </si>
  <si>
    <t>XA461MR</t>
  </si>
  <si>
    <t>FG946CE</t>
  </si>
  <si>
    <t>XA425MR</t>
  </si>
  <si>
    <t>HA452GH</t>
  </si>
  <si>
    <t>XA433ZJ</t>
  </si>
  <si>
    <t>GY329WF</t>
  </si>
  <si>
    <t>XA960WV</t>
  </si>
  <si>
    <t>GX927JF</t>
  </si>
  <si>
    <t>XA427ZJ</t>
  </si>
  <si>
    <t>ZAMPIERI</t>
  </si>
  <si>
    <t>GG225JW</t>
  </si>
  <si>
    <t>XA683YA</t>
  </si>
  <si>
    <t>DK315JP</t>
  </si>
  <si>
    <t>XA434MR</t>
  </si>
  <si>
    <t>F.M. TRASPORTI</t>
  </si>
  <si>
    <t>GD435JG</t>
  </si>
  <si>
    <t>XA742PC</t>
  </si>
  <si>
    <t>EASYEXPRESS</t>
  </si>
  <si>
    <t>GK476LF</t>
  </si>
  <si>
    <t>XA164VR</t>
  </si>
  <si>
    <t>XA838ZV</t>
  </si>
  <si>
    <t>GL780ZC</t>
  </si>
  <si>
    <t>XB441BG</t>
  </si>
  <si>
    <t>HB124KV</t>
  </si>
  <si>
    <t>XA527HT</t>
  </si>
  <si>
    <t>EL593HE</t>
  </si>
  <si>
    <t>XXA219SR</t>
  </si>
  <si>
    <t>GA220TD</t>
  </si>
  <si>
    <t>XA731KT</t>
  </si>
  <si>
    <t>CORNALI</t>
  </si>
  <si>
    <t>GZ576RT</t>
  </si>
  <si>
    <t>AD40114</t>
  </si>
  <si>
    <t>MARACANA</t>
  </si>
  <si>
    <t>TM91SSE</t>
  </si>
  <si>
    <t>TM92EES</t>
  </si>
  <si>
    <t>GR794ZR</t>
  </si>
  <si>
    <t>XA792VM</t>
  </si>
  <si>
    <t>GW373XH</t>
  </si>
  <si>
    <t>XA639ZD</t>
  </si>
  <si>
    <t>RAVITEX</t>
  </si>
  <si>
    <t>TM18RVA</t>
  </si>
  <si>
    <t>TM85SYE</t>
  </si>
  <si>
    <t>Safe Parking / Partenza Obbligatoria / Linea Cancellata</t>
  </si>
  <si>
    <t>REMARKS FOR ROCS, AND CHECK</t>
  </si>
  <si>
    <t>Truck Time Departed</t>
  </si>
  <si>
    <t>HhOCKEYFILO@88</t>
  </si>
  <si>
    <t>DOC Delivery</t>
  </si>
  <si>
    <t>Loading Summery</t>
  </si>
  <si>
    <t>Insert on Rocs</t>
  </si>
  <si>
    <t>Tour ID</t>
  </si>
  <si>
    <t>TU Dest</t>
  </si>
  <si>
    <t>ERN08865</t>
  </si>
  <si>
    <t>ATH 5</t>
  </si>
  <si>
    <t>ERN92348</t>
  </si>
  <si>
    <t>ERN91159</t>
  </si>
  <si>
    <t>Eurofast International Transports Srl</t>
  </si>
  <si>
    <t>ERN20363</t>
  </si>
  <si>
    <t>ERN10281</t>
  </si>
  <si>
    <t>ERN01087</t>
  </si>
  <si>
    <t>OBBLIGATORIO</t>
  </si>
  <si>
    <t>ERN19361</t>
  </si>
  <si>
    <t>ERN09788</t>
  </si>
  <si>
    <t>ERN92518</t>
  </si>
  <si>
    <t>Safe Parking / Partenza Obbligatoria</t>
  </si>
  <si>
    <t>SI</t>
  </si>
  <si>
    <t>ATH 4</t>
  </si>
  <si>
    <t>ERN20137</t>
  </si>
  <si>
    <t>ERN10178</t>
  </si>
  <si>
    <t>NO</t>
  </si>
  <si>
    <t>ERN92396</t>
  </si>
  <si>
    <t>ERN91189</t>
  </si>
  <si>
    <t>Partenza Obbligatoria</t>
  </si>
  <si>
    <t>MAD 5</t>
  </si>
  <si>
    <t>ERN92363</t>
  </si>
  <si>
    <t>ERN91167</t>
  </si>
  <si>
    <t>DFT 1</t>
  </si>
  <si>
    <t>ERN06270</t>
  </si>
  <si>
    <t>Moran, Alex Steven</t>
  </si>
  <si>
    <t>7011MTG</t>
  </si>
  <si>
    <t>DFT 2</t>
  </si>
  <si>
    <t>Cancellata</t>
  </si>
  <si>
    <t>ERN00369</t>
  </si>
  <si>
    <t>Parras, Ernesto</t>
  </si>
  <si>
    <t>8802MCJ</t>
  </si>
  <si>
    <t>DFT 3</t>
  </si>
  <si>
    <t>ERN06267</t>
  </si>
  <si>
    <t>El Wali, Mohammed</t>
  </si>
  <si>
    <t>6068MWH</t>
  </si>
  <si>
    <t>HNJ 1</t>
  </si>
  <si>
    <t>ERN08119</t>
  </si>
  <si>
    <t>Singh, Harpreet</t>
  </si>
  <si>
    <t>9710NSC</t>
  </si>
  <si>
    <t>HNJ 2</t>
  </si>
  <si>
    <t>BZQ 3</t>
  </si>
  <si>
    <t>ERN92357</t>
  </si>
  <si>
    <t>ERN91164</t>
  </si>
  <si>
    <t>ERN06538</t>
  </si>
  <si>
    <t>N.T.S. Bv (New Team Services Bv)</t>
  </si>
  <si>
    <t>Stoica, Gheorghe</t>
  </si>
  <si>
    <t>AR32VVV</t>
  </si>
  <si>
    <t>ERN08627</t>
  </si>
  <si>
    <t>VARIABILE</t>
  </si>
  <si>
    <t>ERN18033</t>
  </si>
  <si>
    <t>ERN04689</t>
  </si>
  <si>
    <t>Stanciu, Mihai</t>
  </si>
  <si>
    <t>IF 51 RAP</t>
  </si>
  <si>
    <t>ERN19145</t>
  </si>
  <si>
    <t>ERN09688</t>
  </si>
  <si>
    <t>ERN18370</t>
  </si>
  <si>
    <t>ERN09324</t>
  </si>
  <si>
    <t>Transimeksa Uab</t>
  </si>
  <si>
    <t>Maslo, Aliaksei</t>
  </si>
  <si>
    <t>NPI197</t>
  </si>
  <si>
    <t>ERN07152</t>
  </si>
  <si>
    <t>QAR 4</t>
  </si>
  <si>
    <t>ERN18646</t>
  </si>
  <si>
    <t>ERN09449</t>
  </si>
  <si>
    <t>QAR 5</t>
  </si>
  <si>
    <t>ERN20612</t>
  </si>
  <si>
    <t>ERN10416</t>
  </si>
  <si>
    <t>Dzehtsiarou, Dzmitry</t>
  </si>
  <si>
    <t>OAY857</t>
  </si>
  <si>
    <t>QAR 6</t>
  </si>
  <si>
    <t>ERN04843</t>
  </si>
  <si>
    <t>Degtiar, Dmytro</t>
  </si>
  <si>
    <t>WJ 2729M</t>
  </si>
  <si>
    <t>QAR 7</t>
  </si>
  <si>
    <t>ERN08528</t>
  </si>
  <si>
    <t>ERN08550</t>
  </si>
  <si>
    <t>Ravitex Srl</t>
  </si>
  <si>
    <t>Mihai-dumitru, Popescu</t>
  </si>
  <si>
    <t>TM17RVC</t>
  </si>
  <si>
    <t>Megatrailer 24 ton</t>
  </si>
  <si>
    <t>ERN18810</t>
  </si>
  <si>
    <t>ERN09521</t>
  </si>
  <si>
    <t>Suru, Constantin</t>
  </si>
  <si>
    <t>TM19ESE</t>
  </si>
  <si>
    <t>KG4 1</t>
  </si>
  <si>
    <t>ERN08549</t>
  </si>
  <si>
    <t>KG4 2</t>
  </si>
  <si>
    <t>ERN18917</t>
  </si>
  <si>
    <t>ERN09573</t>
  </si>
  <si>
    <t>HNJ</t>
  </si>
  <si>
    <t>KG4 3</t>
  </si>
  <si>
    <t>ERN18812</t>
  </si>
  <si>
    <t>ERN09522</t>
  </si>
  <si>
    <t>Ewals Cargo Care Logistics Bv</t>
  </si>
  <si>
    <t>Cojocaru, Florin</t>
  </si>
  <si>
    <t>SV26BIN</t>
  </si>
  <si>
    <t>XPI 1</t>
  </si>
  <si>
    <t>ERN07123</t>
  </si>
  <si>
    <t>XPI 2</t>
  </si>
  <si>
    <t>ERN02108</t>
  </si>
  <si>
    <t>Mlk Trans&amp;logistic Srl</t>
  </si>
  <si>
    <t>Chiocheanu, Bogdan Chiocheanu</t>
  </si>
  <si>
    <t>B367MLK</t>
  </si>
  <si>
    <t>XPI 3</t>
  </si>
  <si>
    <t>ERN00469</t>
  </si>
  <si>
    <t>Laurent Transport Et Garage</t>
  </si>
  <si>
    <t>XPI 4</t>
  </si>
  <si>
    <t>LYS X1</t>
  </si>
  <si>
    <t>ERN07755</t>
  </si>
  <si>
    <t>XPI 5</t>
  </si>
  <si>
    <t>MAD 4</t>
  </si>
  <si>
    <t>ERN92347</t>
  </si>
  <si>
    <t>ERN91158</t>
  </si>
  <si>
    <t>ERN18726</t>
  </si>
  <si>
    <t>ERN09485</t>
  </si>
  <si>
    <t>Benu, Victor</t>
  </si>
  <si>
    <t>1519NHR</t>
  </si>
  <si>
    <t>ERN15904</t>
  </si>
  <si>
    <t>ERN08121</t>
  </si>
  <si>
    <t>Kalloussi, Tarik</t>
  </si>
  <si>
    <t>3296MYH</t>
  </si>
  <si>
    <t>ERN19135</t>
  </si>
  <si>
    <t>ERN09683</t>
  </si>
  <si>
    <t>Leonard  Cristian, Popa</t>
  </si>
  <si>
    <t>TM06RVX</t>
  </si>
  <si>
    <t>MRS 1</t>
  </si>
  <si>
    <t>ERN08625</t>
  </si>
  <si>
    <t>Dulsen, Amalgedy</t>
  </si>
  <si>
    <t>HC973KJ</t>
  </si>
  <si>
    <t>MRS X1</t>
  </si>
  <si>
    <t>Akhmetov, Amangeldy</t>
  </si>
  <si>
    <t>HC884MJ</t>
  </si>
  <si>
    <t>ERN00761</t>
  </si>
  <si>
    <t>HL938ZV</t>
  </si>
  <si>
    <t>ERN08472</t>
  </si>
  <si>
    <t>Lpx Group Bv</t>
  </si>
  <si>
    <t>ERN03834</t>
  </si>
  <si>
    <t>ERN07145</t>
  </si>
  <si>
    <t>MXP 2</t>
  </si>
  <si>
    <t>ERN19820</t>
  </si>
  <si>
    <t>ERN09982</t>
  </si>
  <si>
    <t>MXP 1</t>
  </si>
  <si>
    <t>ERN19818</t>
  </si>
  <si>
    <t>ERN09981</t>
  </si>
  <si>
    <t>Ancuta, Lili-constantin</t>
  </si>
  <si>
    <t>B-527-TIP</t>
  </si>
  <si>
    <t>ERN20004</t>
  </si>
  <si>
    <t>ERN09621</t>
  </si>
  <si>
    <t>Prepelita, Victor</t>
  </si>
  <si>
    <t>TM 07 GTT</t>
  </si>
  <si>
    <t>QUALSIASI RIMORCHIO SUBCO</t>
  </si>
  <si>
    <t>ERN20490</t>
  </si>
  <si>
    <t>ERN10340</t>
  </si>
  <si>
    <t>Rimboi, Ovidiu</t>
  </si>
  <si>
    <t>TM 36 GTT</t>
  </si>
  <si>
    <t>ERN20005</t>
  </si>
  <si>
    <t>ERN10016</t>
  </si>
  <si>
    <t>Vancea, Patru</t>
  </si>
  <si>
    <t>TM39GTT</t>
  </si>
  <si>
    <t>ERN92354</t>
  </si>
  <si>
    <t>ERN91162</t>
  </si>
  <si>
    <t>Tractor unit type 1 (solo)</t>
  </si>
  <si>
    <t>ERN92353</t>
  </si>
  <si>
    <t>ERN91161</t>
  </si>
  <si>
    <t>WA1 1</t>
  </si>
  <si>
    <t>ERN92398</t>
  </si>
  <si>
    <t>ERN91190</t>
  </si>
  <si>
    <t>WA1 2</t>
  </si>
  <si>
    <t>ERN92355</t>
  </si>
  <si>
    <t>ERN91163</t>
  </si>
  <si>
    <t>ERN17082</t>
  </si>
  <si>
    <t>ERN08692</t>
  </si>
  <si>
    <t>Vos, Peter</t>
  </si>
  <si>
    <t>BD404T</t>
  </si>
  <si>
    <t>ERN17085</t>
  </si>
  <si>
    <t>ERN08693</t>
  </si>
  <si>
    <t>Walravens, Marcel</t>
  </si>
  <si>
    <t>BD407T</t>
  </si>
  <si>
    <t>ERN19354</t>
  </si>
  <si>
    <t>ERN09783</t>
  </si>
  <si>
    <t>Petru, Susca</t>
  </si>
  <si>
    <t>TM01RVX</t>
  </si>
  <si>
    <t>ERN08691</t>
  </si>
  <si>
    <t>Kok, Frank</t>
  </si>
  <si>
    <t>BD879N</t>
  </si>
  <si>
    <t>ERN16682</t>
  </si>
  <si>
    <t>ERN08505</t>
  </si>
  <si>
    <t>ERN02783</t>
  </si>
  <si>
    <t>KG4</t>
  </si>
  <si>
    <t>ERN04154</t>
  </si>
  <si>
    <t>ERN02120</t>
  </si>
  <si>
    <t>ERN07146</t>
  </si>
  <si>
    <t>Vasile, Dancu</t>
  </si>
  <si>
    <t>TM65RVB</t>
  </si>
  <si>
    <t>ERN08860</t>
  </si>
  <si>
    <t>ERN01363</t>
  </si>
  <si>
    <t>ERN18882</t>
  </si>
  <si>
    <t>ERN09557</t>
  </si>
  <si>
    <t>ERN19613</t>
  </si>
  <si>
    <t>ERN09884</t>
  </si>
  <si>
    <t>ERN92400</t>
  </si>
  <si>
    <t>XPI</t>
  </si>
  <si>
    <t>P</t>
  </si>
  <si>
    <t>ERN92358</t>
  </si>
  <si>
    <t>ERN91165</t>
  </si>
  <si>
    <t>ERN07173</t>
  </si>
  <si>
    <t>ERN19164</t>
  </si>
  <si>
    <t>ERN09699</t>
  </si>
  <si>
    <t>ERN19161</t>
  </si>
  <si>
    <t>ERN09698</t>
  </si>
  <si>
    <t>ERN92361</t>
  </si>
  <si>
    <t>ERN91166</t>
  </si>
  <si>
    <t>ERN92365</t>
  </si>
  <si>
    <t>ERN91168</t>
  </si>
  <si>
    <t>ERN92385</t>
  </si>
  <si>
    <t>ERN91179</t>
  </si>
  <si>
    <t>ERN03204</t>
  </si>
  <si>
    <t>Isac, Laurentiu</t>
  </si>
  <si>
    <t>B142DEX</t>
  </si>
  <si>
    <t>ERN05497</t>
  </si>
  <si>
    <t>ERN08143</t>
  </si>
  <si>
    <t>Braileanu, Stanica</t>
  </si>
  <si>
    <t>GV048XL</t>
  </si>
  <si>
    <t>ZNF</t>
  </si>
  <si>
    <t>ERN08469</t>
  </si>
  <si>
    <t>Z8C</t>
  </si>
  <si>
    <t>ERN18191</t>
  </si>
  <si>
    <t>ERN09228</t>
  </si>
  <si>
    <t>EXTRA QAR</t>
  </si>
  <si>
    <t>ERN90414</t>
  </si>
  <si>
    <t>ERN90252</t>
  </si>
  <si>
    <t>Kuryanau, Mikalai</t>
  </si>
  <si>
    <t>MNU486</t>
  </si>
  <si>
    <t>ERN01785</t>
  </si>
  <si>
    <t>Alin, Baloniu</t>
  </si>
  <si>
    <t>TM66RVB</t>
  </si>
  <si>
    <t>ERN03512</t>
  </si>
  <si>
    <t>Ionel, Maracine</t>
  </si>
  <si>
    <t>TM62RAV</t>
  </si>
  <si>
    <t>ERN92617</t>
  </si>
  <si>
    <t>ERN9XXXX</t>
  </si>
  <si>
    <t>Copia qui i MOV da ROCS - incolla come valori</t>
  </si>
  <si>
    <t>Copia qui i TOUR da ROCS - incolla come valori</t>
  </si>
  <si>
    <t>outbound refer</t>
  </si>
  <si>
    <t>Destination ORANGE</t>
  </si>
  <si>
    <t>Destination PURPLE</t>
  </si>
  <si>
    <t>TU GPS</t>
  </si>
  <si>
    <t>Schedulated Time</t>
  </si>
  <si>
    <t>Partenza</t>
  </si>
  <si>
    <t>CONS</t>
  </si>
  <si>
    <t>VISA ROUTE</t>
  </si>
  <si>
    <t>MOV</t>
  </si>
  <si>
    <t>Tour</t>
  </si>
  <si>
    <t>Inserisci MOV e TOUR da ROCS</t>
  </si>
  <si>
    <t>ITD</t>
  </si>
  <si>
    <t>ITD30866</t>
  </si>
  <si>
    <t>OK</t>
  </si>
  <si>
    <t>ITD32186</t>
  </si>
  <si>
    <t>ITD32091</t>
  </si>
  <si>
    <t>ITD12672</t>
  </si>
  <si>
    <t>ITD32162</t>
  </si>
  <si>
    <t>ITD12726</t>
  </si>
  <si>
    <t>ITD31356</t>
  </si>
  <si>
    <t>ITD30744</t>
  </si>
  <si>
    <t>ITD32096</t>
  </si>
  <si>
    <t>ITD12677</t>
  </si>
  <si>
    <t>ITD32192</t>
  </si>
  <si>
    <t>ITD30739</t>
  </si>
  <si>
    <t>ITD32163</t>
  </si>
  <si>
    <t>ITD12727</t>
  </si>
  <si>
    <t>ITD30730</t>
  </si>
  <si>
    <t>ITD32173</t>
  </si>
  <si>
    <t>ITD31173</t>
  </si>
  <si>
    <t>ITD32495</t>
  </si>
  <si>
    <t>ITD31088</t>
  </si>
  <si>
    <t>ITD31082</t>
  </si>
  <si>
    <t>ITD32200</t>
  </si>
  <si>
    <t>ITD30812</t>
  </si>
  <si>
    <t>ITD32645</t>
  </si>
  <si>
    <t>ITD30834</t>
  </si>
  <si>
    <t>ITD30791</t>
  </si>
  <si>
    <t>ITD32500</t>
  </si>
  <si>
    <t>ITD32250</t>
  </si>
  <si>
    <t>ITD32684</t>
  </si>
  <si>
    <t>ITD30720</t>
  </si>
  <si>
    <t>ITD31340</t>
  </si>
  <si>
    <t>ITD30821</t>
  </si>
  <si>
    <t>ITD30848</t>
  </si>
  <si>
    <t>ITD31219</t>
  </si>
  <si>
    <t>/</t>
  </si>
  <si>
    <t>ITD32473</t>
  </si>
  <si>
    <t>ITD32483</t>
  </si>
  <si>
    <t>ITD31213</t>
  </si>
  <si>
    <t>ITD30734</t>
  </si>
  <si>
    <t>ITD30746</t>
  </si>
  <si>
    <t>ITD30743</t>
  </si>
  <si>
    <t>ITD30741</t>
  </si>
  <si>
    <t>ITD30856</t>
  </si>
  <si>
    <t>ITD30862</t>
  </si>
  <si>
    <t>ITD32240</t>
  </si>
  <si>
    <t>ITD90286</t>
  </si>
  <si>
    <t>ITD90228</t>
  </si>
  <si>
    <t>ITD90284</t>
  </si>
  <si>
    <t>ITD90285</t>
  </si>
  <si>
    <t>ITD90227</t>
  </si>
  <si>
    <t>ITD31228</t>
  </si>
  <si>
    <t>ITD31110</t>
  </si>
  <si>
    <t>ITD31116</t>
  </si>
  <si>
    <t>ITD32679</t>
  </si>
  <si>
    <t>ITD31167</t>
  </si>
  <si>
    <t>ITD30808</t>
  </si>
  <si>
    <t>ITD31235</t>
  </si>
  <si>
    <t>ITD32576</t>
  </si>
  <si>
    <t>ITD31201</t>
  </si>
  <si>
    <t>ITD31249</t>
  </si>
  <si>
    <t>ITD32564</t>
  </si>
  <si>
    <t>ITD32258</t>
  </si>
  <si>
    <t>ITD30810</t>
  </si>
  <si>
    <t>ITD32264</t>
  </si>
  <si>
    <t>ITD31191</t>
  </si>
  <si>
    <t>ITD31176</t>
  </si>
  <si>
    <t>ITD30814</t>
  </si>
  <si>
    <t>ITD30716</t>
  </si>
  <si>
    <t>ITD30718</t>
  </si>
  <si>
    <t>ITD31334</t>
  </si>
  <si>
    <t>ITD31286</t>
  </si>
  <si>
    <t>ITD31282</t>
  </si>
  <si>
    <t>ITD31292</t>
  </si>
  <si>
    <t>ITD30989</t>
  </si>
  <si>
    <t>ITD30991</t>
  </si>
  <si>
    <t>ITD32510</t>
  </si>
  <si>
    <t>ITD31594</t>
  </si>
  <si>
    <t>ITD31428</t>
  </si>
  <si>
    <t>ITD32221</t>
  </si>
  <si>
    <t>ITD32205</t>
  </si>
  <si>
    <t>ITD32622</t>
  </si>
  <si>
    <t>ITD32511</t>
  </si>
  <si>
    <t>ITD31560</t>
  </si>
  <si>
    <t>ITD31584</t>
  </si>
  <si>
    <t>ITD32508</t>
  </si>
  <si>
    <t>ITD31494</t>
  </si>
  <si>
    <t>ITD31524</t>
  </si>
  <si>
    <t>ITD31482</t>
  </si>
  <si>
    <t>ITD32365</t>
  </si>
  <si>
    <t>ITD31540</t>
  </si>
  <si>
    <t>ITD31336</t>
  </si>
  <si>
    <t>ITD31472</t>
  </si>
  <si>
    <t>ITD31165</t>
  </si>
  <si>
    <t>ITD32554</t>
  </si>
  <si>
    <t>ITD31474</t>
  </si>
  <si>
    <t>ITD32662</t>
  </si>
  <si>
    <t>ITD32146</t>
  </si>
  <si>
    <t>ITD31530</t>
  </si>
  <si>
    <t>ITD31296</t>
  </si>
  <si>
    <t>ITD31298</t>
  </si>
  <si>
    <t>ITD31424</t>
  </si>
  <si>
    <t>ITD31432</t>
  </si>
  <si>
    <t>ITD30969</t>
  </si>
  <si>
    <t>ITD30993</t>
  </si>
  <si>
    <t>ITD32207</t>
  </si>
  <si>
    <t>ITD31294</t>
  </si>
  <si>
    <t>ITD30995</t>
  </si>
  <si>
    <t>ITD30987</t>
  </si>
  <si>
    <t>ITD30972</t>
  </si>
  <si>
    <t>ITD31290</t>
  </si>
  <si>
    <t>ITD32210</t>
  </si>
  <si>
    <t>ITD31490</t>
  </si>
  <si>
    <t>ITD32557</t>
  </si>
  <si>
    <t>ITD31232</t>
  </si>
  <si>
    <t>ITD30974</t>
  </si>
  <si>
    <t>ITD31574</t>
  </si>
  <si>
    <t>ITD90287</t>
  </si>
  <si>
    <t>ITD90229</t>
  </si>
  <si>
    <t>ITD90288</t>
  </si>
  <si>
    <t>ITD90290</t>
  </si>
  <si>
    <t>ITD90232</t>
  </si>
  <si>
    <t>ITD90289</t>
  </si>
  <si>
    <t>ITD90231</t>
  </si>
  <si>
    <t>ITD31526</t>
  </si>
  <si>
    <t>ITD32084</t>
  </si>
  <si>
    <t>ITD32563</t>
  </si>
  <si>
    <t>ITD31558</t>
  </si>
  <si>
    <t>ITD32640</t>
  </si>
  <si>
    <t>ITD32316</t>
  </si>
  <si>
    <t>ITD31199</t>
  </si>
  <si>
    <t>ITD31376</t>
  </si>
  <si>
    <t>ITD32362</t>
  </si>
  <si>
    <t>ITD31520</t>
  </si>
  <si>
    <t>ITD32514</t>
  </si>
  <si>
    <t>ITD32643</t>
  </si>
  <si>
    <t>ITD32212</t>
  </si>
  <si>
    <t>ITD31247</t>
  </si>
  <si>
    <t>ITD32151</t>
  </si>
  <si>
    <t>ITD31238</t>
  </si>
  <si>
    <t>ITD31492</t>
  </si>
  <si>
    <t>ITD31189</t>
  </si>
  <si>
    <t>ITD32262</t>
  </si>
  <si>
    <t>ITD32646</t>
  </si>
  <si>
    <t>ITD32566</t>
  </si>
  <si>
    <t>ITD31476</t>
  </si>
  <si>
    <t>ITD30997</t>
  </si>
  <si>
    <t>ITD32079</t>
  </si>
  <si>
    <t>ITD31534</t>
  </si>
  <si>
    <t>ITD32354</t>
  </si>
  <si>
    <t>ITD32086</t>
  </si>
  <si>
    <t>ITD31284</t>
  </si>
  <si>
    <t>ITD30236</t>
  </si>
  <si>
    <t>ITD32153</t>
  </si>
  <si>
    <t>ITD31171</t>
  </si>
  <si>
    <t>ITD30854</t>
  </si>
  <si>
    <t>ITD31528</t>
  </si>
  <si>
    <t>ITD31478</t>
  </si>
  <si>
    <t>ITD31280</t>
  </si>
  <si>
    <t>ITD31580</t>
  </si>
  <si>
    <t>ITD31180</t>
  </si>
  <si>
    <t>ITD32256</t>
  </si>
  <si>
    <t>ITD32678</t>
  </si>
  <si>
    <t>ITD32219</t>
  </si>
  <si>
    <t>ITD31586</t>
  </si>
  <si>
    <t>ITD32190</t>
  </si>
  <si>
    <t>ITD31484</t>
  </si>
  <si>
    <t>ITD31426</t>
  </si>
  <si>
    <t>ITD31588</t>
  </si>
  <si>
    <t>ITD32007</t>
  </si>
  <si>
    <t>ITD31532</t>
  </si>
  <si>
    <t>ITD31114</t>
  </si>
  <si>
    <t>ITD32358</t>
  </si>
  <si>
    <t>ITD31572</t>
  </si>
  <si>
    <t>ITD30860</t>
  </si>
  <si>
    <t>ITD31570</t>
  </si>
  <si>
    <t>ITD31288</t>
  </si>
  <si>
    <t>ITD31080</t>
  </si>
  <si>
    <t>ITD31086</t>
  </si>
  <si>
    <t>ITD31486</t>
  </si>
  <si>
    <t>ITD31488</t>
  </si>
  <si>
    <t>ITD31576</t>
  </si>
  <si>
    <t>ITD31578</t>
  </si>
  <si>
    <t>ITD32688</t>
  </si>
  <si>
    <t>ITD32065</t>
  </si>
  <si>
    <t>ITD32602</t>
  </si>
  <si>
    <t>ITD32698</t>
  </si>
  <si>
    <t>ITD31997</t>
  </si>
  <si>
    <t>SPS00177</t>
  </si>
  <si>
    <t>SPS00143</t>
  </si>
  <si>
    <t>GVA</t>
  </si>
  <si>
    <t>Nial International</t>
  </si>
  <si>
    <t>HD534JY</t>
  </si>
  <si>
    <t>SPS00178</t>
  </si>
  <si>
    <t>SPS00144</t>
  </si>
  <si>
    <t>HD533JY</t>
  </si>
  <si>
    <t>SPS90038</t>
  </si>
  <si>
    <t>SPS90034</t>
  </si>
  <si>
    <t>FT252NT</t>
  </si>
  <si>
    <t xml:space="preserve">MV9 1 </t>
  </si>
  <si>
    <t>MDE_RTE</t>
  </si>
  <si>
    <t>OSC DESTINATIONS</t>
  </si>
  <si>
    <t>VISA ROUTING PAIR</t>
  </si>
  <si>
    <t>Remarks</t>
  </si>
  <si>
    <t>From Outbound List</t>
  </si>
  <si>
    <t>IM284</t>
  </si>
  <si>
    <t>IM226</t>
  </si>
  <si>
    <t>BCNTN</t>
  </si>
  <si>
    <t>IM257</t>
  </si>
  <si>
    <t>QAQ</t>
  </si>
  <si>
    <t>QIC</t>
  </si>
  <si>
    <t>BLQ</t>
  </si>
  <si>
    <t>QEZ</t>
  </si>
  <si>
    <t>IM278</t>
  </si>
  <si>
    <t>BRUTN</t>
  </si>
  <si>
    <t>IM234</t>
  </si>
  <si>
    <t>CDG</t>
  </si>
  <si>
    <t>IM326</t>
  </si>
  <si>
    <t>IM372</t>
  </si>
  <si>
    <t>FRA</t>
  </si>
  <si>
    <t>IM443</t>
  </si>
  <si>
    <t>GHF</t>
  </si>
  <si>
    <t>IM453</t>
  </si>
  <si>
    <t>GKE</t>
  </si>
  <si>
    <t>IM484</t>
  </si>
  <si>
    <t>GTI</t>
  </si>
  <si>
    <t>IM584</t>
  </si>
  <si>
    <t>LUGTN</t>
  </si>
  <si>
    <t>IM597</t>
  </si>
  <si>
    <t>LYSTN</t>
  </si>
  <si>
    <t>IM623</t>
  </si>
  <si>
    <t>MADTN</t>
  </si>
  <si>
    <t>IM677</t>
  </si>
  <si>
    <t>MRSTN</t>
  </si>
  <si>
    <t>IM697</t>
  </si>
  <si>
    <t>AHO</t>
  </si>
  <si>
    <t>IPR</t>
  </si>
  <si>
    <t>QRT</t>
  </si>
  <si>
    <t>QEA</t>
  </si>
  <si>
    <t>QRG</t>
  </si>
  <si>
    <t>IM727</t>
  </si>
  <si>
    <t>IM754</t>
  </si>
  <si>
    <t>IM823</t>
  </si>
  <si>
    <t>(VCE)</t>
  </si>
  <si>
    <t>IM843</t>
  </si>
  <si>
    <t>VIETN</t>
  </si>
  <si>
    <t>IM873</t>
  </si>
  <si>
    <t>VRD</t>
  </si>
  <si>
    <t>IM971</t>
  </si>
  <si>
    <t>IM978</t>
  </si>
  <si>
    <t>XRT</t>
  </si>
  <si>
    <t>IM974</t>
  </si>
  <si>
    <t>ZRHTN</t>
  </si>
  <si>
    <t>93A</t>
  </si>
  <si>
    <t>STAND BY NECESSARI</t>
  </si>
  <si>
    <t>Necessità fisica</t>
  </si>
  <si>
    <t>Tables</t>
  </si>
  <si>
    <t>SITO</t>
  </si>
  <si>
    <t>Inizio Corsa</t>
  </si>
  <si>
    <t>in YARD</t>
  </si>
  <si>
    <t>Broken</t>
  </si>
  <si>
    <t>Disponibili</t>
  </si>
  <si>
    <t>Dom Fisico</t>
  </si>
  <si>
    <t>Int. Fisico</t>
  </si>
  <si>
    <t>Tot. Fisico</t>
  </si>
  <si>
    <t>Presenti</t>
  </si>
  <si>
    <t>Check</t>
  </si>
  <si>
    <t>Linee itd</t>
  </si>
  <si>
    <t>PARKING-P113</t>
  </si>
  <si>
    <t>AE10658</t>
  </si>
  <si>
    <t>CANGURO S.P.A.</t>
  </si>
  <si>
    <t xml:space="preserve">MTY - CANGURO
piede rotto net02 16.09 </t>
  </si>
  <si>
    <t>PARKING-P109</t>
  </si>
  <si>
    <t>XA114BS</t>
  </si>
  <si>
    <t>freight in testa, parcell in coda e small bags
serranda rotta net02 06/10/2026</t>
  </si>
  <si>
    <t>C.S.B. Srl Scietà Unipersonale</t>
  </si>
  <si>
    <t>PARKING-P103</t>
  </si>
  <si>
    <t>XA729XB</t>
  </si>
  <si>
    <t xml:space="preserve">perde aria net 22/09
</t>
  </si>
  <si>
    <t>PARKING-P107</t>
  </si>
  <si>
    <t>XA354VS</t>
  </si>
  <si>
    <t xml:space="preserve">LL 13
cassa non avente asse metallico di supporto con la targa
</t>
  </si>
  <si>
    <t>PARKING-P105</t>
  </si>
  <si>
    <t>XA976HF</t>
  </si>
  <si>
    <t>PERDE ARIA - NET02 06/10/2026</t>
  </si>
  <si>
    <t>PARKING-P112</t>
  </si>
  <si>
    <t>XA509HF</t>
  </si>
  <si>
    <t>Ste.Ma Trasporti S.R.L.</t>
  </si>
  <si>
    <t>SERRANDA ROTTA
net02 - 02.10.2026</t>
  </si>
  <si>
    <t>PARKING-P106</t>
  </si>
  <si>
    <t>XA776HX</t>
  </si>
  <si>
    <t>Tonia Trasporti S.R.L.</t>
  </si>
  <si>
    <t xml:space="preserve">MIX     serranda rotta    NET OK </t>
  </si>
  <si>
    <t>PARKING-P104</t>
  </si>
  <si>
    <t>XA351RX</t>
  </si>
  <si>
    <t>ATTACCO DELL'ARIA ROTTO</t>
  </si>
  <si>
    <t>PARKING-P101</t>
  </si>
  <si>
    <t>XA298VX</t>
  </si>
  <si>
    <t>Transeuropa S.R.L.</t>
  </si>
  <si>
    <t>SERRANDA ROTTA
NET02 - 02.10.2026</t>
  </si>
  <si>
    <t>PARKING-P102</t>
  </si>
  <si>
    <t>XA597YN</t>
  </si>
  <si>
    <t>problema alle luci net 02 02.10</t>
  </si>
  <si>
    <t>TService Spa</t>
  </si>
  <si>
    <t>DATABASE TRAILER</t>
  </si>
  <si>
    <t>TARGA</t>
  </si>
  <si>
    <t>FORNITORE</t>
  </si>
  <si>
    <t>Note</t>
  </si>
  <si>
    <t>Specifica</t>
  </si>
  <si>
    <t>-10418-</t>
  </si>
  <si>
    <t>Rijk B.V., J.A.M. De</t>
  </si>
  <si>
    <t>megatrailer 24 ton</t>
  </si>
  <si>
    <t>1QAE686</t>
  </si>
  <si>
    <t>Forlani Trasporti Srl</t>
  </si>
  <si>
    <t>trailer 80 m3 2/3 axes</t>
  </si>
  <si>
    <t>1QAT151</t>
  </si>
  <si>
    <t>1QBJ117</t>
  </si>
  <si>
    <t>trailer 80 m3 rollerbed</t>
  </si>
  <si>
    <t>1QBU181</t>
  </si>
  <si>
    <t>1QCZ275</t>
  </si>
  <si>
    <t>1QDS644</t>
  </si>
  <si>
    <t>1QDS665</t>
  </si>
  <si>
    <t>1QEM008</t>
  </si>
  <si>
    <t>trailer 80 m3 2/3 axles</t>
  </si>
  <si>
    <t>26WTKK</t>
  </si>
  <si>
    <t>312AGA29</t>
  </si>
  <si>
    <t>6SV0783</t>
  </si>
  <si>
    <t>Vchd Cargo A.S.</t>
  </si>
  <si>
    <t>7339LSS</t>
  </si>
  <si>
    <t>90WZFV</t>
  </si>
  <si>
    <t>91WZFV</t>
  </si>
  <si>
    <t>97BVN3</t>
  </si>
  <si>
    <t>98-BVZ8</t>
  </si>
  <si>
    <t>AA07888</t>
  </si>
  <si>
    <t>AA12345</t>
  </si>
  <si>
    <t>AA20466</t>
  </si>
  <si>
    <t>AA32041</t>
  </si>
  <si>
    <t>Ala Srl</t>
  </si>
  <si>
    <t>AA34302</t>
  </si>
  <si>
    <t>AA40131</t>
  </si>
  <si>
    <t>AA51456</t>
  </si>
  <si>
    <t>AA59558</t>
  </si>
  <si>
    <t>T&amp;ti Cargo Line S.R.L.</t>
  </si>
  <si>
    <t>AA62402</t>
  </si>
  <si>
    <t>AA64828</t>
  </si>
  <si>
    <t>AA65324</t>
  </si>
  <si>
    <t>AA65384</t>
  </si>
  <si>
    <t>AA67726</t>
  </si>
  <si>
    <t>AA69355</t>
  </si>
  <si>
    <t>AA69781</t>
  </si>
  <si>
    <t>N T V Nuova Trasporti Veloci Srl</t>
  </si>
  <si>
    <t>AA72297</t>
  </si>
  <si>
    <t>AA73293</t>
  </si>
  <si>
    <t>AA73297</t>
  </si>
  <si>
    <t>AA81727</t>
  </si>
  <si>
    <t>AA81728</t>
  </si>
  <si>
    <t>AA81878</t>
  </si>
  <si>
    <t>AA82575</t>
  </si>
  <si>
    <t>AA82974</t>
  </si>
  <si>
    <t>AA83647</t>
  </si>
  <si>
    <t>AA83648</t>
  </si>
  <si>
    <t>AA83909</t>
  </si>
  <si>
    <t>AA83965</t>
  </si>
  <si>
    <t>AA93240</t>
  </si>
  <si>
    <t>AA93984</t>
  </si>
  <si>
    <t>AAKW011</t>
  </si>
  <si>
    <t>Prevost Hungaria Kft</t>
  </si>
  <si>
    <t>AAKW012</t>
  </si>
  <si>
    <t>AAKW015</t>
  </si>
  <si>
    <t>AAKW018</t>
  </si>
  <si>
    <t>AAKW-019</t>
  </si>
  <si>
    <t>AAKW020</t>
  </si>
  <si>
    <t>AB04019</t>
  </si>
  <si>
    <t>AB12345</t>
  </si>
  <si>
    <t>AB12955</t>
  </si>
  <si>
    <t>All Trasporti S.R.L.</t>
  </si>
  <si>
    <t>AB17295</t>
  </si>
  <si>
    <t>AB21698</t>
  </si>
  <si>
    <t>AB29688</t>
  </si>
  <si>
    <t>AB31004</t>
  </si>
  <si>
    <t>Rosy Group Srl Semplificata</t>
  </si>
  <si>
    <t>AB35728</t>
  </si>
  <si>
    <t>AB39309</t>
  </si>
  <si>
    <t>AB41274</t>
  </si>
  <si>
    <t>AB41465</t>
  </si>
  <si>
    <t>AB45204</t>
  </si>
  <si>
    <t>AB45236</t>
  </si>
  <si>
    <t>AB45453</t>
  </si>
  <si>
    <t>AB45496</t>
  </si>
  <si>
    <t>AB45497</t>
  </si>
  <si>
    <t>AB47151</t>
  </si>
  <si>
    <t>AB49535</t>
  </si>
  <si>
    <t>AB50455</t>
  </si>
  <si>
    <t>AB54282</t>
  </si>
  <si>
    <t>AB55023</t>
  </si>
  <si>
    <t>AB65201</t>
  </si>
  <si>
    <t>AB65258</t>
  </si>
  <si>
    <t>AB66593</t>
  </si>
  <si>
    <t>AB77262</t>
  </si>
  <si>
    <t>AB79263</t>
  </si>
  <si>
    <t>AB79386</t>
  </si>
  <si>
    <t>AB81346</t>
  </si>
  <si>
    <t>Autotrasporti Rds Srl</t>
  </si>
  <si>
    <t>AB81347</t>
  </si>
  <si>
    <t>AB81349</t>
  </si>
  <si>
    <t>AB81410</t>
  </si>
  <si>
    <t>AB81434</t>
  </si>
  <si>
    <t>AB81462</t>
  </si>
  <si>
    <t>AB81465</t>
  </si>
  <si>
    <t>AB81647</t>
  </si>
  <si>
    <t>AB81823</t>
  </si>
  <si>
    <t>AB81824</t>
  </si>
  <si>
    <t>AB81825</t>
  </si>
  <si>
    <t>AB81841</t>
  </si>
  <si>
    <t>AB83311</t>
  </si>
  <si>
    <t>AB83334</t>
  </si>
  <si>
    <t>AB87366</t>
  </si>
  <si>
    <t>Esseci S.R.L</t>
  </si>
  <si>
    <t>AB88478</t>
  </si>
  <si>
    <t>AB89631</t>
  </si>
  <si>
    <t>AB91167</t>
  </si>
  <si>
    <t>AB97868</t>
  </si>
  <si>
    <t>AB98631</t>
  </si>
  <si>
    <t>AB98634</t>
  </si>
  <si>
    <t>AB98635</t>
  </si>
  <si>
    <t>AC00551</t>
  </si>
  <si>
    <t>AC02494</t>
  </si>
  <si>
    <t>AC03873</t>
  </si>
  <si>
    <t>AC05296</t>
  </si>
  <si>
    <t>AC12723</t>
  </si>
  <si>
    <t>AC14560</t>
  </si>
  <si>
    <t>AC23653</t>
  </si>
  <si>
    <t>AC23985</t>
  </si>
  <si>
    <t>AC24542</t>
  </si>
  <si>
    <t>AC28015</t>
  </si>
  <si>
    <t>AC28139</t>
  </si>
  <si>
    <t>AC28192</t>
  </si>
  <si>
    <t>AC29404</t>
  </si>
  <si>
    <t>AC30189</t>
  </si>
  <si>
    <t>AC36773</t>
  </si>
  <si>
    <t>AC40342</t>
  </si>
  <si>
    <t>AC40512</t>
  </si>
  <si>
    <t>AC40864</t>
  </si>
  <si>
    <t>AC40985</t>
  </si>
  <si>
    <t>AC41698</t>
  </si>
  <si>
    <t>AC41968</t>
  </si>
  <si>
    <t>AC43514</t>
  </si>
  <si>
    <t>AC51088</t>
  </si>
  <si>
    <t>AC53382</t>
  </si>
  <si>
    <t>AC53385</t>
  </si>
  <si>
    <t>AC53564</t>
  </si>
  <si>
    <t>AC53588</t>
  </si>
  <si>
    <t>AC58507</t>
  </si>
  <si>
    <t>Canguro S.P.A.</t>
  </si>
  <si>
    <t>AC60593</t>
  </si>
  <si>
    <t>AC60737</t>
  </si>
  <si>
    <t>AC60754</t>
  </si>
  <si>
    <t>AC60756</t>
  </si>
  <si>
    <t>AC60757</t>
  </si>
  <si>
    <t>AC60759</t>
  </si>
  <si>
    <t>AC61067</t>
  </si>
  <si>
    <t>AC61627</t>
  </si>
  <si>
    <t>AC61741</t>
  </si>
  <si>
    <t>AC61765</t>
  </si>
  <si>
    <t>AC67967</t>
  </si>
  <si>
    <t>AC73237</t>
  </si>
  <si>
    <t>AC75022</t>
  </si>
  <si>
    <t>Gomme Trasporti Logistica S.R.L.</t>
  </si>
  <si>
    <t>AC76793</t>
  </si>
  <si>
    <t>AC80157</t>
  </si>
  <si>
    <t>AC80164</t>
  </si>
  <si>
    <t>AC80173</t>
  </si>
  <si>
    <t>AC80174</t>
  </si>
  <si>
    <t>AC80185</t>
  </si>
  <si>
    <t>AC80186</t>
  </si>
  <si>
    <t>AC80220</t>
  </si>
  <si>
    <t>AC80221</t>
  </si>
  <si>
    <t>AC80223</t>
  </si>
  <si>
    <t>AC81381</t>
  </si>
  <si>
    <t>AC82012</t>
  </si>
  <si>
    <t>AC84090</t>
  </si>
  <si>
    <t>AC84162</t>
  </si>
  <si>
    <t>AC84583</t>
  </si>
  <si>
    <t>AC84589</t>
  </si>
  <si>
    <t>AC84590</t>
  </si>
  <si>
    <t>AC85592</t>
  </si>
  <si>
    <t>AC86820</t>
  </si>
  <si>
    <t>AC93644</t>
  </si>
  <si>
    <t>Tservice S.P.A.</t>
  </si>
  <si>
    <t>AC98734</t>
  </si>
  <si>
    <t>AC99173</t>
  </si>
  <si>
    <t>AD02890</t>
  </si>
  <si>
    <t>AD03420</t>
  </si>
  <si>
    <t>AD03422</t>
  </si>
  <si>
    <t>AD03423</t>
  </si>
  <si>
    <t>AD03483</t>
  </si>
  <si>
    <t>AD03484</t>
  </si>
  <si>
    <t>AD03528</t>
  </si>
  <si>
    <t>AD03531</t>
  </si>
  <si>
    <t>AD03532</t>
  </si>
  <si>
    <t>AD03536</t>
  </si>
  <si>
    <t>AD03612</t>
  </si>
  <si>
    <t>XA052WB</t>
  </si>
  <si>
    <t>CANGURO SPA</t>
  </si>
  <si>
    <t>AD03637</t>
  </si>
  <si>
    <t>NO FREIGHT ASSOLUTAMENTE</t>
  </si>
  <si>
    <t>AD03639</t>
  </si>
  <si>
    <t>AD03641</t>
  </si>
  <si>
    <t>AD03810</t>
  </si>
  <si>
    <t>AD03813</t>
  </si>
  <si>
    <t>AD03814</t>
  </si>
  <si>
    <t>AD03815</t>
  </si>
  <si>
    <t>AD03820</t>
  </si>
  <si>
    <t>AD03821</t>
  </si>
  <si>
    <t>XA065WB</t>
  </si>
  <si>
    <t>AD03823</t>
  </si>
  <si>
    <t>AD03824</t>
  </si>
  <si>
    <t>AD03825</t>
  </si>
  <si>
    <t>AD03826</t>
  </si>
  <si>
    <t>AD06103</t>
  </si>
  <si>
    <t>AD12797</t>
  </si>
  <si>
    <t>AD14754</t>
  </si>
  <si>
    <t>AD14826</t>
  </si>
  <si>
    <t>AD16186</t>
  </si>
  <si>
    <t>AD18188</t>
  </si>
  <si>
    <t>AD18713</t>
  </si>
  <si>
    <t>AD19207</t>
  </si>
  <si>
    <t>AD19703</t>
  </si>
  <si>
    <t>AD20579</t>
  </si>
  <si>
    <t>AD20584</t>
  </si>
  <si>
    <t>AD22400</t>
  </si>
  <si>
    <t>AD22402</t>
  </si>
  <si>
    <t>AD22407</t>
  </si>
  <si>
    <t>AD22736</t>
  </si>
  <si>
    <t>AD22737</t>
  </si>
  <si>
    <t>AD23332</t>
  </si>
  <si>
    <t>AD23648</t>
  </si>
  <si>
    <t>AD23651</t>
  </si>
  <si>
    <t>AD23685</t>
  </si>
  <si>
    <t>AD23865</t>
  </si>
  <si>
    <t>AD23866</t>
  </si>
  <si>
    <t>AD23867</t>
  </si>
  <si>
    <t>AD23868</t>
  </si>
  <si>
    <t>AD23869</t>
  </si>
  <si>
    <t>AD23870</t>
  </si>
  <si>
    <t>AD24381</t>
  </si>
  <si>
    <t>XA100XJ</t>
  </si>
  <si>
    <t>NUOVA EXPRESS LINE</t>
  </si>
  <si>
    <t>AD27671</t>
  </si>
  <si>
    <t>AD30638</t>
  </si>
  <si>
    <t>AD30900</t>
  </si>
  <si>
    <t>AD31874</t>
  </si>
  <si>
    <t>AD36557</t>
  </si>
  <si>
    <t>AD39316</t>
  </si>
  <si>
    <t>AD39318</t>
  </si>
  <si>
    <t>AD39631</t>
  </si>
  <si>
    <t>AD39634</t>
  </si>
  <si>
    <t>AD39637</t>
  </si>
  <si>
    <t>AD39641</t>
  </si>
  <si>
    <t>AD39642</t>
  </si>
  <si>
    <t>AD39644</t>
  </si>
  <si>
    <t>AD39647</t>
  </si>
  <si>
    <t>AD39650</t>
  </si>
  <si>
    <t>AD39958</t>
  </si>
  <si>
    <t>AD40023</t>
  </si>
  <si>
    <t>AD40024</t>
  </si>
  <si>
    <t>XA106XJ</t>
  </si>
  <si>
    <t>AD40026</t>
  </si>
  <si>
    <t>AD40031</t>
  </si>
  <si>
    <t>XA107XJ</t>
  </si>
  <si>
    <t>AD40111</t>
  </si>
  <si>
    <t>AD40112</t>
  </si>
  <si>
    <t>Esseci</t>
  </si>
  <si>
    <t>AD40116</t>
  </si>
  <si>
    <t>AD40117</t>
  </si>
  <si>
    <t>AD40120</t>
  </si>
  <si>
    <t>AD40981</t>
  </si>
  <si>
    <t>AD40985</t>
  </si>
  <si>
    <t>AD42379</t>
  </si>
  <si>
    <t>AD45233</t>
  </si>
  <si>
    <t>AD46295</t>
  </si>
  <si>
    <t>AD46296</t>
  </si>
  <si>
    <t>AD46297</t>
  </si>
  <si>
    <t>AD46298</t>
  </si>
  <si>
    <t>AD46319</t>
  </si>
  <si>
    <t>AD46321</t>
  </si>
  <si>
    <t>AD47012</t>
  </si>
  <si>
    <t>AD53125</t>
  </si>
  <si>
    <t>AD62098</t>
  </si>
  <si>
    <t>AD62099</t>
  </si>
  <si>
    <t>AD62571</t>
  </si>
  <si>
    <t>AD63727</t>
  </si>
  <si>
    <t>AD63828</t>
  </si>
  <si>
    <t>AD63829</t>
  </si>
  <si>
    <t>AD64008</t>
  </si>
  <si>
    <t>AD64009</t>
  </si>
  <si>
    <t>AD64998</t>
  </si>
  <si>
    <t>AD65476</t>
  </si>
  <si>
    <t>AD65489</t>
  </si>
  <si>
    <t>AD65490</t>
  </si>
  <si>
    <t>AD65492</t>
  </si>
  <si>
    <t>AD65644</t>
  </si>
  <si>
    <t>AD66558</t>
  </si>
  <si>
    <t>AD66714</t>
  </si>
  <si>
    <t>AD66715</t>
  </si>
  <si>
    <t>AD66716</t>
  </si>
  <si>
    <t>AD66717</t>
  </si>
  <si>
    <t>AD68030</t>
  </si>
  <si>
    <t>AD68031</t>
  </si>
  <si>
    <t>AD68032</t>
  </si>
  <si>
    <t>AD68037</t>
  </si>
  <si>
    <t>AD68044</t>
  </si>
  <si>
    <t>AD68641</t>
  </si>
  <si>
    <t>AD69317</t>
  </si>
  <si>
    <t>AD69329</t>
  </si>
  <si>
    <t>AD69330</t>
  </si>
  <si>
    <t>AD69332</t>
  </si>
  <si>
    <t>trailer 88 m3 2/3 axes</t>
  </si>
  <si>
    <t>AD69333</t>
  </si>
  <si>
    <t>AD69334</t>
  </si>
  <si>
    <t>AD69336</t>
  </si>
  <si>
    <t>XA108XJ</t>
  </si>
  <si>
    <t>XA122XJ</t>
  </si>
  <si>
    <t>AD69355</t>
  </si>
  <si>
    <t>XA123XJ</t>
  </si>
  <si>
    <t>AD69359</t>
  </si>
  <si>
    <t>AD69360</t>
  </si>
  <si>
    <t>AD69361</t>
  </si>
  <si>
    <t>AD69364</t>
  </si>
  <si>
    <t>AD71132</t>
  </si>
  <si>
    <t>AD71133</t>
  </si>
  <si>
    <t>AD71135</t>
  </si>
  <si>
    <t>AD71137</t>
  </si>
  <si>
    <t>AD71139</t>
  </si>
  <si>
    <t>AD71140</t>
  </si>
  <si>
    <t>AD71141</t>
  </si>
  <si>
    <t>AD71142</t>
  </si>
  <si>
    <t>AD71144</t>
  </si>
  <si>
    <t>AD71145</t>
  </si>
  <si>
    <t>AD71146</t>
  </si>
  <si>
    <t>AD71147</t>
  </si>
  <si>
    <t>AD71148</t>
  </si>
  <si>
    <t>AD71149</t>
  </si>
  <si>
    <t>AD71150</t>
  </si>
  <si>
    <t>AD71250</t>
  </si>
  <si>
    <t>AD71261</t>
  </si>
  <si>
    <t>AD71263</t>
  </si>
  <si>
    <t>AD71264</t>
  </si>
  <si>
    <t>AD71265</t>
  </si>
  <si>
    <t>AD71267</t>
  </si>
  <si>
    <t>AD71269</t>
  </si>
  <si>
    <t>Tagliaferro Raffaele Srl</t>
  </si>
  <si>
    <t>AD71271</t>
  </si>
  <si>
    <t>AD71272</t>
  </si>
  <si>
    <t>AD72671</t>
  </si>
  <si>
    <t>AD73480</t>
  </si>
  <si>
    <t>AD73481</t>
  </si>
  <si>
    <t>AD73482</t>
  </si>
  <si>
    <t>AD73842</t>
  </si>
  <si>
    <t>AD76547</t>
  </si>
  <si>
    <t>AD77235</t>
  </si>
  <si>
    <t>AD77237</t>
  </si>
  <si>
    <t>AD77327</t>
  </si>
  <si>
    <t>AD77822</t>
  </si>
  <si>
    <t>AD77823</t>
  </si>
  <si>
    <t>AD81775</t>
  </si>
  <si>
    <t>AD81776</t>
  </si>
  <si>
    <t>AD81778</t>
  </si>
  <si>
    <t>AD81779</t>
  </si>
  <si>
    <t>AD83515</t>
  </si>
  <si>
    <t>AD83522</t>
  </si>
  <si>
    <t>AD83523</t>
  </si>
  <si>
    <t>AD83525</t>
  </si>
  <si>
    <t>AD83527</t>
  </si>
  <si>
    <t>AD83531</t>
  </si>
  <si>
    <t>AD83532</t>
  </si>
  <si>
    <t>AD83533</t>
  </si>
  <si>
    <t>AD85861</t>
  </si>
  <si>
    <t>AD85865</t>
  </si>
  <si>
    <t>AD85879</t>
  </si>
  <si>
    <t>AD85880</t>
  </si>
  <si>
    <t>AD85881</t>
  </si>
  <si>
    <t>AD85888</t>
  </si>
  <si>
    <t>AD86812</t>
  </si>
  <si>
    <t>AD86868</t>
  </si>
  <si>
    <t>AD86870</t>
  </si>
  <si>
    <t>AD86875</t>
  </si>
  <si>
    <t>AD86876</t>
  </si>
  <si>
    <t>AD87011</t>
  </si>
  <si>
    <t>AD87012</t>
  </si>
  <si>
    <t>AD87013</t>
  </si>
  <si>
    <t>AD87014</t>
  </si>
  <si>
    <t>AD87015</t>
  </si>
  <si>
    <t>AD87017</t>
  </si>
  <si>
    <t>AD87020</t>
  </si>
  <si>
    <t>AD87876</t>
  </si>
  <si>
    <t>AD88342</t>
  </si>
  <si>
    <t>AD88406</t>
  </si>
  <si>
    <t>AD88410</t>
  </si>
  <si>
    <t>AD88412</t>
  </si>
  <si>
    <t>AD88414</t>
  </si>
  <si>
    <t>AD88482</t>
  </si>
  <si>
    <t>AD88483</t>
  </si>
  <si>
    <t>AD88744</t>
  </si>
  <si>
    <t>AD88745</t>
  </si>
  <si>
    <t>AD88774</t>
  </si>
  <si>
    <t>AD88790</t>
  </si>
  <si>
    <t>AD89101</t>
  </si>
  <si>
    <t>AD89103</t>
  </si>
  <si>
    <t>AD89128</t>
  </si>
  <si>
    <t>AD89130</t>
  </si>
  <si>
    <t>AD89136</t>
  </si>
  <si>
    <t>AD89138</t>
  </si>
  <si>
    <t>AD89140</t>
  </si>
  <si>
    <t>AD89141</t>
  </si>
  <si>
    <t>AD89142</t>
  </si>
  <si>
    <t>AD89144</t>
  </si>
  <si>
    <t>AD89145</t>
  </si>
  <si>
    <t>OK INTERNAZIONALE</t>
  </si>
  <si>
    <t>AD92471</t>
  </si>
  <si>
    <t>AD92472</t>
  </si>
  <si>
    <t>AD92474</t>
  </si>
  <si>
    <t>AD93602</t>
  </si>
  <si>
    <t>AD93603</t>
  </si>
  <si>
    <t>AD93630</t>
  </si>
  <si>
    <t>AD93631</t>
  </si>
  <si>
    <t>AD93632</t>
  </si>
  <si>
    <t>AD93634</t>
  </si>
  <si>
    <t>AD93702</t>
  </si>
  <si>
    <t>AD93784</t>
  </si>
  <si>
    <t>AD94906</t>
  </si>
  <si>
    <t>AD95044</t>
  </si>
  <si>
    <t>XA124XJ</t>
  </si>
  <si>
    <t>AD95082</t>
  </si>
  <si>
    <t>AD95084</t>
  </si>
  <si>
    <t>AD95265</t>
  </si>
  <si>
    <t>AD96068</t>
  </si>
  <si>
    <t>AD96656</t>
  </si>
  <si>
    <t>AD96685</t>
  </si>
  <si>
    <t>AD96792</t>
  </si>
  <si>
    <t>AD99171</t>
  </si>
  <si>
    <t>ADEX123</t>
  </si>
  <si>
    <t>AE00252</t>
  </si>
  <si>
    <t>AE00446</t>
  </si>
  <si>
    <t>AE02251</t>
  </si>
  <si>
    <t>Easy Express</t>
  </si>
  <si>
    <t>AE02252</t>
  </si>
  <si>
    <t>AE04184</t>
  </si>
  <si>
    <t>XA125XJ</t>
  </si>
  <si>
    <t>AE06827</t>
  </si>
  <si>
    <t>AE06828</t>
  </si>
  <si>
    <t>AE06829</t>
  </si>
  <si>
    <t>AE06830</t>
  </si>
  <si>
    <t>AE06832</t>
  </si>
  <si>
    <t>AE06915</t>
  </si>
  <si>
    <t>AE06916</t>
  </si>
  <si>
    <t>AE06917</t>
  </si>
  <si>
    <t>AE06918</t>
  </si>
  <si>
    <t>AE06946</t>
  </si>
  <si>
    <t>AE09163</t>
  </si>
  <si>
    <t>F &amp; F Group</t>
  </si>
  <si>
    <t>trailer 55 m3 2/3 axles</t>
  </si>
  <si>
    <t>AE10265</t>
  </si>
  <si>
    <t>AE10266</t>
  </si>
  <si>
    <t>AE10267</t>
  </si>
  <si>
    <t>AE10269</t>
  </si>
  <si>
    <t>AE10277</t>
  </si>
  <si>
    <t>AE10296</t>
  </si>
  <si>
    <t>AE10423</t>
  </si>
  <si>
    <t>AE10504</t>
  </si>
  <si>
    <t>AE10667</t>
  </si>
  <si>
    <t>AE11260</t>
  </si>
  <si>
    <t>AE11261</t>
  </si>
  <si>
    <t>AE11262</t>
  </si>
  <si>
    <t>AE11476</t>
  </si>
  <si>
    <t>AE11500</t>
  </si>
  <si>
    <t>AE11543</t>
  </si>
  <si>
    <t>AE11544</t>
  </si>
  <si>
    <t>AE11546</t>
  </si>
  <si>
    <t>AE11547</t>
  </si>
  <si>
    <t>AE11565</t>
  </si>
  <si>
    <t>XA126XJ</t>
  </si>
  <si>
    <t>AE11576</t>
  </si>
  <si>
    <t>AE11585</t>
  </si>
  <si>
    <t>AE11586</t>
  </si>
  <si>
    <t>AE11594</t>
  </si>
  <si>
    <t>AE11750</t>
  </si>
  <si>
    <t>AE14007</t>
  </si>
  <si>
    <t>AE14408</t>
  </si>
  <si>
    <t>AE15694</t>
  </si>
  <si>
    <t>AE15859</t>
  </si>
  <si>
    <t>AE15862</t>
  </si>
  <si>
    <t>AE15954</t>
  </si>
  <si>
    <t>AE15966</t>
  </si>
  <si>
    <t>AE15967</t>
  </si>
  <si>
    <t>AE16704</t>
  </si>
  <si>
    <t>AE17414</t>
  </si>
  <si>
    <t>AE17476</t>
  </si>
  <si>
    <t>AE17477</t>
  </si>
  <si>
    <t>AE19229</t>
  </si>
  <si>
    <t>AE20287</t>
  </si>
  <si>
    <t>AE22546</t>
  </si>
  <si>
    <t>AE22601</t>
  </si>
  <si>
    <t>AE22913</t>
  </si>
  <si>
    <t>AE22914</t>
  </si>
  <si>
    <t>AE22925</t>
  </si>
  <si>
    <t>AE22932</t>
  </si>
  <si>
    <t>AE22933</t>
  </si>
  <si>
    <t>AE22935</t>
  </si>
  <si>
    <t>AE22936</t>
  </si>
  <si>
    <t>AE23332</t>
  </si>
  <si>
    <t>AE23732</t>
  </si>
  <si>
    <t>AE23736</t>
  </si>
  <si>
    <t>AE23738</t>
  </si>
  <si>
    <t>AE23955</t>
  </si>
  <si>
    <t>AE24630</t>
  </si>
  <si>
    <t>AE25103</t>
  </si>
  <si>
    <t>AE25688</t>
  </si>
  <si>
    <t>XA151PY</t>
  </si>
  <si>
    <t>N T V Nuova transporti veloci</t>
  </si>
  <si>
    <t>AE28074</t>
  </si>
  <si>
    <t>AE28075</t>
  </si>
  <si>
    <t>AE28076</t>
  </si>
  <si>
    <t>AE28077</t>
  </si>
  <si>
    <t>AE28699</t>
  </si>
  <si>
    <t>AE28926</t>
  </si>
  <si>
    <t>AE28928</t>
  </si>
  <si>
    <t>AE28974</t>
  </si>
  <si>
    <t>AE28975</t>
  </si>
  <si>
    <t>AE28978</t>
  </si>
  <si>
    <t>AE28980</t>
  </si>
  <si>
    <t>AE29304</t>
  </si>
  <si>
    <t>AE33803</t>
  </si>
  <si>
    <t>AE34814</t>
  </si>
  <si>
    <t>AE36180</t>
  </si>
  <si>
    <t>AE39519</t>
  </si>
  <si>
    <t>AE40426</t>
  </si>
  <si>
    <t>AE40428</t>
  </si>
  <si>
    <t>AE40429</t>
  </si>
  <si>
    <t>AE40430</t>
  </si>
  <si>
    <t>AE40431</t>
  </si>
  <si>
    <t>AE40432</t>
  </si>
  <si>
    <t>AE40433</t>
  </si>
  <si>
    <t>AE40434</t>
  </si>
  <si>
    <t>AE40435</t>
  </si>
  <si>
    <t>AE40454</t>
  </si>
  <si>
    <t>AE40458</t>
  </si>
  <si>
    <t>AE40534</t>
  </si>
  <si>
    <t>AE40537</t>
  </si>
  <si>
    <t>AE40538</t>
  </si>
  <si>
    <t>AE40539</t>
  </si>
  <si>
    <t>AE40544</t>
  </si>
  <si>
    <t>AE40545</t>
  </si>
  <si>
    <t>AE40546</t>
  </si>
  <si>
    <t>AE40547</t>
  </si>
  <si>
    <t>AE40548</t>
  </si>
  <si>
    <t>AE40549</t>
  </si>
  <si>
    <t>AE40551</t>
  </si>
  <si>
    <t>AE40552</t>
  </si>
  <si>
    <t>AE40553</t>
  </si>
  <si>
    <t>AE40554</t>
  </si>
  <si>
    <t>AE40555</t>
  </si>
  <si>
    <t>AE40900</t>
  </si>
  <si>
    <t>AE40901</t>
  </si>
  <si>
    <t>AE41192</t>
  </si>
  <si>
    <t xml:space="preserve">TRANS SPEEDY </t>
  </si>
  <si>
    <t>AE43427</t>
  </si>
  <si>
    <t>AE43429</t>
  </si>
  <si>
    <t>AE43430</t>
  </si>
  <si>
    <t>AE43432</t>
  </si>
  <si>
    <t>AE43740</t>
  </si>
  <si>
    <t>AE44096</t>
  </si>
  <si>
    <t>AE44417</t>
  </si>
  <si>
    <t>AE44418</t>
  </si>
  <si>
    <t>AE44419</t>
  </si>
  <si>
    <t>AE44420</t>
  </si>
  <si>
    <t>AE44421</t>
  </si>
  <si>
    <t>AE44491</t>
  </si>
  <si>
    <t>XA153PY</t>
  </si>
  <si>
    <t>XA160XJ</t>
  </si>
  <si>
    <t>AE44515</t>
  </si>
  <si>
    <t>AE44516</t>
  </si>
  <si>
    <t>AE44559</t>
  </si>
  <si>
    <t>AE47242</t>
  </si>
  <si>
    <t>AE47243</t>
  </si>
  <si>
    <t>AE47244</t>
  </si>
  <si>
    <t>AE48639</t>
  </si>
  <si>
    <t>AE48640</t>
  </si>
  <si>
    <t>AE49840</t>
  </si>
  <si>
    <t>AE50366</t>
  </si>
  <si>
    <t>Zampieri</t>
  </si>
  <si>
    <t xml:space="preserve"> attenzione ogni tanto lo danno in uso a nct ma è zampieri</t>
  </si>
  <si>
    <t>AE50427</t>
  </si>
  <si>
    <t>AE50436</t>
  </si>
  <si>
    <t>AE50437</t>
  </si>
  <si>
    <t>AE50438</t>
  </si>
  <si>
    <t>AE50442</t>
  </si>
  <si>
    <t>AE50443</t>
  </si>
  <si>
    <t>AE50444</t>
  </si>
  <si>
    <t>AE50686</t>
  </si>
  <si>
    <t>AE50717</t>
  </si>
  <si>
    <t>AE51162</t>
  </si>
  <si>
    <t>AE51716</t>
  </si>
  <si>
    <t>AE51742</t>
  </si>
  <si>
    <t>AE51783</t>
  </si>
  <si>
    <t>AE52524</t>
  </si>
  <si>
    <t>AE52527</t>
  </si>
  <si>
    <t>AE52546</t>
  </si>
  <si>
    <t>AE52549</t>
  </si>
  <si>
    <t>AE52550</t>
  </si>
  <si>
    <t>AE52551</t>
  </si>
  <si>
    <t>AE52554</t>
  </si>
  <si>
    <t>AE52555</t>
  </si>
  <si>
    <t>AE52928</t>
  </si>
  <si>
    <t>AE58900</t>
  </si>
  <si>
    <t>AE58901</t>
  </si>
  <si>
    <t>AE58902</t>
  </si>
  <si>
    <t>AE58903</t>
  </si>
  <si>
    <t>AE60238</t>
  </si>
  <si>
    <t>AE60278</t>
  </si>
  <si>
    <t>AE61528</t>
  </si>
  <si>
    <t>AE62134</t>
  </si>
  <si>
    <t>AE62140</t>
  </si>
  <si>
    <t>AE62142</t>
  </si>
  <si>
    <t>AE62311</t>
  </si>
  <si>
    <t>AE62528</t>
  </si>
  <si>
    <t>AE62529</t>
  </si>
  <si>
    <t>AE62533</t>
  </si>
  <si>
    <t>AE62538</t>
  </si>
  <si>
    <t>AE62544</t>
  </si>
  <si>
    <t>AE62545</t>
  </si>
  <si>
    <t>AE62547</t>
  </si>
  <si>
    <t>AE63801</t>
  </si>
  <si>
    <t>ALL TRASPORTI</t>
  </si>
  <si>
    <t>AE63829</t>
  </si>
  <si>
    <t>AE63834</t>
  </si>
  <si>
    <t>AE63835</t>
  </si>
  <si>
    <t>AE63836</t>
  </si>
  <si>
    <t>AE63839</t>
  </si>
  <si>
    <t>AE63860</t>
  </si>
  <si>
    <t>AE63876</t>
  </si>
  <si>
    <t>AE63877</t>
  </si>
  <si>
    <t>AE63883</t>
  </si>
  <si>
    <t>AE63884</t>
  </si>
  <si>
    <t>AE63885</t>
  </si>
  <si>
    <t>AE63886</t>
  </si>
  <si>
    <t>AE63887</t>
  </si>
  <si>
    <t>AE63888</t>
  </si>
  <si>
    <t>AE64023</t>
  </si>
  <si>
    <t>AE64057</t>
  </si>
  <si>
    <t>AE64393</t>
  </si>
  <si>
    <t>AE64394</t>
  </si>
  <si>
    <t>AE65203</t>
  </si>
  <si>
    <t>AE65244</t>
  </si>
  <si>
    <t>AE68615</t>
  </si>
  <si>
    <t>AE71584</t>
  </si>
  <si>
    <t>AE72512</t>
  </si>
  <si>
    <t>AE72513</t>
  </si>
  <si>
    <t>AE72861</t>
  </si>
  <si>
    <t>AE75312</t>
  </si>
  <si>
    <t>AE75313</t>
  </si>
  <si>
    <t>AE76008</t>
  </si>
  <si>
    <t>XA161XJ</t>
  </si>
  <si>
    <t>AE76027</t>
  </si>
  <si>
    <t>AE76028</t>
  </si>
  <si>
    <t>AE76031</t>
  </si>
  <si>
    <t>AE76032</t>
  </si>
  <si>
    <t>AE76034</t>
  </si>
  <si>
    <t>AE76041</t>
  </si>
  <si>
    <t>AE76213</t>
  </si>
  <si>
    <t>AE76214</t>
  </si>
  <si>
    <t>AE76216</t>
  </si>
  <si>
    <t>AE76217</t>
  </si>
  <si>
    <t>AE76219</t>
  </si>
  <si>
    <t>AE76220</t>
  </si>
  <si>
    <t>AE76221</t>
  </si>
  <si>
    <t>AE76222</t>
  </si>
  <si>
    <t>AE76223</t>
  </si>
  <si>
    <t>AE76224</t>
  </si>
  <si>
    <t>AE76226</t>
  </si>
  <si>
    <t>AE76227</t>
  </si>
  <si>
    <t>AE76228</t>
  </si>
  <si>
    <t>AE76229</t>
  </si>
  <si>
    <t>AE76230</t>
  </si>
  <si>
    <t>AE76231</t>
  </si>
  <si>
    <t>AE76232</t>
  </si>
  <si>
    <t>AE76233</t>
  </si>
  <si>
    <t>AE76235</t>
  </si>
  <si>
    <t>AE76255</t>
  </si>
  <si>
    <t>AE76256</t>
  </si>
  <si>
    <t>AE76257</t>
  </si>
  <si>
    <t>AE76259</t>
  </si>
  <si>
    <t>AE76260</t>
  </si>
  <si>
    <t>AE76262</t>
  </si>
  <si>
    <t>AE76265</t>
  </si>
  <si>
    <t>AE76266</t>
  </si>
  <si>
    <t>AE76281</t>
  </si>
  <si>
    <t>AE81220</t>
  </si>
  <si>
    <t>AE81828</t>
  </si>
  <si>
    <t>AE81829</t>
  </si>
  <si>
    <t>AE81869</t>
  </si>
  <si>
    <t>AE82142</t>
  </si>
  <si>
    <t>AE82145</t>
  </si>
  <si>
    <t>AE82146</t>
  </si>
  <si>
    <t>AE82147</t>
  </si>
  <si>
    <t>AE82148</t>
  </si>
  <si>
    <t>AE82149</t>
  </si>
  <si>
    <t>AE82150</t>
  </si>
  <si>
    <t>AE83113</t>
  </si>
  <si>
    <t>AE83689</t>
  </si>
  <si>
    <t>AE84098</t>
  </si>
  <si>
    <t>Matelda</t>
  </si>
  <si>
    <t>AE84099</t>
  </si>
  <si>
    <t>AE84111</t>
  </si>
  <si>
    <t>AE84112</t>
  </si>
  <si>
    <t>AE84115</t>
  </si>
  <si>
    <t>AE84127</t>
  </si>
  <si>
    <t>AE84273</t>
  </si>
  <si>
    <t>AE84274</t>
  </si>
  <si>
    <t>AE84275</t>
  </si>
  <si>
    <t>AE84276</t>
  </si>
  <si>
    <t>AE84277</t>
  </si>
  <si>
    <t>AE84954</t>
  </si>
  <si>
    <t>AE84955</t>
  </si>
  <si>
    <t>AE84958</t>
  </si>
  <si>
    <t>AE87246</t>
  </si>
  <si>
    <t>AE88423</t>
  </si>
  <si>
    <t>AE88922</t>
  </si>
  <si>
    <t>AE88990</t>
  </si>
  <si>
    <t>AE88992</t>
  </si>
  <si>
    <t>XA162XJ</t>
  </si>
  <si>
    <t>XA166TS</t>
  </si>
  <si>
    <t>Eurologistica</t>
  </si>
  <si>
    <t>AE93008</t>
  </si>
  <si>
    <t>AE93040</t>
  </si>
  <si>
    <t>AE93041</t>
  </si>
  <si>
    <t>AE93180</t>
  </si>
  <si>
    <t>AE93634</t>
  </si>
  <si>
    <t>AE96632</t>
  </si>
  <si>
    <t>AE97497</t>
  </si>
  <si>
    <t>AE98104</t>
  </si>
  <si>
    <t>AE98106</t>
  </si>
  <si>
    <t>AE99460</t>
  </si>
  <si>
    <t>AE99496</t>
  </si>
  <si>
    <t>AE99499</t>
  </si>
  <si>
    <t>AE99965</t>
  </si>
  <si>
    <t>AE99966</t>
  </si>
  <si>
    <t>AEAU054</t>
  </si>
  <si>
    <t>AEAU055</t>
  </si>
  <si>
    <t>AEAU058</t>
  </si>
  <si>
    <t>AEAU-058</t>
  </si>
  <si>
    <t>AEAU059</t>
  </si>
  <si>
    <t>AEAU060</t>
  </si>
  <si>
    <t>AEAU061</t>
  </si>
  <si>
    <t>AEDV607</t>
  </si>
  <si>
    <t>AEDV610</t>
  </si>
  <si>
    <t>AEDX121</t>
  </si>
  <si>
    <t>AEDX122</t>
  </si>
  <si>
    <t>AEDX123</t>
  </si>
  <si>
    <t>AEDX-123</t>
  </si>
  <si>
    <t>AEDX125</t>
  </si>
  <si>
    <t>AEDX126</t>
  </si>
  <si>
    <t>AEDX128</t>
  </si>
  <si>
    <t>AE-DX-251</t>
  </si>
  <si>
    <t>AEDX-252</t>
  </si>
  <si>
    <t>AEDX253</t>
  </si>
  <si>
    <t>AEDX254</t>
  </si>
  <si>
    <t>AEDX-255</t>
  </si>
  <si>
    <t>AEDX257</t>
  </si>
  <si>
    <t>AEDX258</t>
  </si>
  <si>
    <t>AEHQ686</t>
  </si>
  <si>
    <t>AF02653</t>
  </si>
  <si>
    <t>AF02689</t>
  </si>
  <si>
    <t>AF03606</t>
  </si>
  <si>
    <t>AF03812</t>
  </si>
  <si>
    <t>AF03813</t>
  </si>
  <si>
    <t>AF08199</t>
  </si>
  <si>
    <t>AF10605</t>
  </si>
  <si>
    <t>AF11463</t>
  </si>
  <si>
    <t>AF11533</t>
  </si>
  <si>
    <t>AF11550</t>
  </si>
  <si>
    <t>AF11555</t>
  </si>
  <si>
    <t>AF11557</t>
  </si>
  <si>
    <t>AF11558</t>
  </si>
  <si>
    <t>AF11562</t>
  </si>
  <si>
    <t>AF11570</t>
  </si>
  <si>
    <t>AF11575</t>
  </si>
  <si>
    <t>AF11577</t>
  </si>
  <si>
    <t>AF11578</t>
  </si>
  <si>
    <t>AF11580</t>
  </si>
  <si>
    <t>AF12367</t>
  </si>
  <si>
    <t>AF16703</t>
  </si>
  <si>
    <t>AF16704</t>
  </si>
  <si>
    <t>AF16705</t>
  </si>
  <si>
    <t>AF16706</t>
  </si>
  <si>
    <t>AF16735</t>
  </si>
  <si>
    <t>AF16736</t>
  </si>
  <si>
    <t>AF16778</t>
  </si>
  <si>
    <t>AF16779</t>
  </si>
  <si>
    <t>AF16793</t>
  </si>
  <si>
    <t>AF16794</t>
  </si>
  <si>
    <t>Nuova Express line</t>
  </si>
  <si>
    <t>AF16795</t>
  </si>
  <si>
    <t>AF16796</t>
  </si>
  <si>
    <t>AF16797</t>
  </si>
  <si>
    <t>AF16882</t>
  </si>
  <si>
    <t>AF19328</t>
  </si>
  <si>
    <t>AF25156</t>
  </si>
  <si>
    <t>AF32531</t>
  </si>
  <si>
    <t>AF33028</t>
  </si>
  <si>
    <t>AF33029</t>
  </si>
  <si>
    <t>AF43477</t>
  </si>
  <si>
    <t>AF43478</t>
  </si>
  <si>
    <t>AF43479</t>
  </si>
  <si>
    <t>AF43480</t>
  </si>
  <si>
    <t>AF43481</t>
  </si>
  <si>
    <t>AF48638</t>
  </si>
  <si>
    <t>AF48639</t>
  </si>
  <si>
    <t>AF48929</t>
  </si>
  <si>
    <t>AF48931</t>
  </si>
  <si>
    <t>AF48932</t>
  </si>
  <si>
    <t xml:space="preserve">XA166TS </t>
  </si>
  <si>
    <t>AF49481</t>
  </si>
  <si>
    <t>AF49616</t>
  </si>
  <si>
    <t>AF49689</t>
  </si>
  <si>
    <t>AF49695</t>
  </si>
  <si>
    <t>XA166XJ</t>
  </si>
  <si>
    <t>XA167XJ</t>
  </si>
  <si>
    <t>AF49767</t>
  </si>
  <si>
    <t>AF49798</t>
  </si>
  <si>
    <t>AF49799</t>
  </si>
  <si>
    <t>AF49839</t>
  </si>
  <si>
    <t>AF49840</t>
  </si>
  <si>
    <t>AF49841</t>
  </si>
  <si>
    <t>AF49891</t>
  </si>
  <si>
    <t>AF51008</t>
  </si>
  <si>
    <t>AF51009</t>
  </si>
  <si>
    <t>AF51010</t>
  </si>
  <si>
    <t>AF51011</t>
  </si>
  <si>
    <t>AF51012</t>
  </si>
  <si>
    <t>AF51013</t>
  </si>
  <si>
    <t>AF51108</t>
  </si>
  <si>
    <t>MATELDA SRL</t>
  </si>
  <si>
    <t>AF51109</t>
  </si>
  <si>
    <t>AF51110</t>
  </si>
  <si>
    <t>AF51151</t>
  </si>
  <si>
    <t>AF51152</t>
  </si>
  <si>
    <t>AF51153</t>
  </si>
  <si>
    <t>AF51154</t>
  </si>
  <si>
    <t>AF51155</t>
  </si>
  <si>
    <t>AF51156</t>
  </si>
  <si>
    <t>AF51157</t>
  </si>
  <si>
    <t>AF51158</t>
  </si>
  <si>
    <t>AF51160</t>
  </si>
  <si>
    <t>AF51162</t>
  </si>
  <si>
    <t>AF51163</t>
  </si>
  <si>
    <t>AF51164</t>
  </si>
  <si>
    <t>AF51189</t>
  </si>
  <si>
    <t>AF51225</t>
  </si>
  <si>
    <t>AF51250</t>
  </si>
  <si>
    <t>AF51251</t>
  </si>
  <si>
    <t>Tonia trasporti</t>
  </si>
  <si>
    <t>AF51253</t>
  </si>
  <si>
    <t>AF51254</t>
  </si>
  <si>
    <t>AF51255</t>
  </si>
  <si>
    <t>AF51256</t>
  </si>
  <si>
    <t>AF51260</t>
  </si>
  <si>
    <t>AF56874</t>
  </si>
  <si>
    <t>AF56876</t>
  </si>
  <si>
    <t>AF56877</t>
  </si>
  <si>
    <t>AF56878</t>
  </si>
  <si>
    <t>AF56879</t>
  </si>
  <si>
    <t>AF56880</t>
  </si>
  <si>
    <t>AF56881</t>
  </si>
  <si>
    <t>AF56887</t>
  </si>
  <si>
    <t>AF57142</t>
  </si>
  <si>
    <t>AF57143</t>
  </si>
  <si>
    <t>AF60669</t>
  </si>
  <si>
    <t>AF64362</t>
  </si>
  <si>
    <t>AF64393</t>
  </si>
  <si>
    <t>AF64394</t>
  </si>
  <si>
    <t>AF64395</t>
  </si>
  <si>
    <t>AF64396</t>
  </si>
  <si>
    <t>AF64398</t>
  </si>
  <si>
    <t>AF68503</t>
  </si>
  <si>
    <t>AF70032</t>
  </si>
  <si>
    <t>AF70791</t>
  </si>
  <si>
    <t>AF70793</t>
  </si>
  <si>
    <t>AF70794</t>
  </si>
  <si>
    <t>Fenix Trasporti S.R.L.</t>
  </si>
  <si>
    <t>AF70796</t>
  </si>
  <si>
    <t>AF70799</t>
  </si>
  <si>
    <t>AF71140</t>
  </si>
  <si>
    <t>AF72524</t>
  </si>
  <si>
    <t>AF72525</t>
  </si>
  <si>
    <t>AF72526</t>
  </si>
  <si>
    <t>AF72527</t>
  </si>
  <si>
    <t>AF72528</t>
  </si>
  <si>
    <t>AF72529</t>
  </si>
  <si>
    <t>AF72680</t>
  </si>
  <si>
    <t>AF72681</t>
  </si>
  <si>
    <t>AF72682</t>
  </si>
  <si>
    <t>AF72683</t>
  </si>
  <si>
    <t>AF73246</t>
  </si>
  <si>
    <t>AF74407</t>
  </si>
  <si>
    <t>AF78421</t>
  </si>
  <si>
    <t>AF78496</t>
  </si>
  <si>
    <t>AF78856</t>
  </si>
  <si>
    <t>AF78892</t>
  </si>
  <si>
    <t>AF80428</t>
  </si>
  <si>
    <t>AF80466</t>
  </si>
  <si>
    <t>AF80467</t>
  </si>
  <si>
    <t>AF80616</t>
  </si>
  <si>
    <t>AF80617</t>
  </si>
  <si>
    <t>AF80618</t>
  </si>
  <si>
    <t>AF81003</t>
  </si>
  <si>
    <t>Bracchi Srl</t>
  </si>
  <si>
    <t>AF87484</t>
  </si>
  <si>
    <t>XA181XJ</t>
  </si>
  <si>
    <t>AF87885</t>
  </si>
  <si>
    <t>AF89546</t>
  </si>
  <si>
    <t>Mov.ing Srl</t>
  </si>
  <si>
    <t>AF92527</t>
  </si>
  <si>
    <t>AF94514</t>
  </si>
  <si>
    <t>AF94608</t>
  </si>
  <si>
    <t>AF94609</t>
  </si>
  <si>
    <t>AF94614</t>
  </si>
  <si>
    <t>AF94911</t>
  </si>
  <si>
    <t>AF95258</t>
  </si>
  <si>
    <t>XA182XJ</t>
  </si>
  <si>
    <t>AG00509</t>
  </si>
  <si>
    <t>AG00547</t>
  </si>
  <si>
    <t>AG04007</t>
  </si>
  <si>
    <t>AG04008</t>
  </si>
  <si>
    <t>AG04163</t>
  </si>
  <si>
    <t>AG04429</t>
  </si>
  <si>
    <t>AG23BTX</t>
  </si>
  <si>
    <t>Sennder Deutschland Gmbh</t>
  </si>
  <si>
    <t>AH00046</t>
  </si>
  <si>
    <t>AH00062</t>
  </si>
  <si>
    <t>AH09812</t>
  </si>
  <si>
    <t>AH09937</t>
  </si>
  <si>
    <t>AH16248</t>
  </si>
  <si>
    <t>AH16589</t>
  </si>
  <si>
    <t>AH16776</t>
  </si>
  <si>
    <t>AH17322</t>
  </si>
  <si>
    <t>AH17326</t>
  </si>
  <si>
    <t>AH22016</t>
  </si>
  <si>
    <t>AH22018</t>
  </si>
  <si>
    <t>AH22020</t>
  </si>
  <si>
    <t>AH22022</t>
  </si>
  <si>
    <t>AH22023</t>
  </si>
  <si>
    <t>AH22057</t>
  </si>
  <si>
    <t>AH22078</t>
  </si>
  <si>
    <t>AH22079</t>
  </si>
  <si>
    <t>AH22096</t>
  </si>
  <si>
    <t>AH24598</t>
  </si>
  <si>
    <t>AH29043</t>
  </si>
  <si>
    <t>AH29114</t>
  </si>
  <si>
    <t>AH29115</t>
  </si>
  <si>
    <t>AH29116</t>
  </si>
  <si>
    <t>AH29119</t>
  </si>
  <si>
    <t>AH29122</t>
  </si>
  <si>
    <t>AH29123</t>
  </si>
  <si>
    <t>AH29124</t>
  </si>
  <si>
    <t>AH29125</t>
  </si>
  <si>
    <t>AH29250</t>
  </si>
  <si>
    <t>XA183XJ</t>
  </si>
  <si>
    <t>AL176ET</t>
  </si>
  <si>
    <t>Team Express Srl</t>
  </si>
  <si>
    <t>AL264LM</t>
  </si>
  <si>
    <t>AL345LM</t>
  </si>
  <si>
    <t>AL514LM</t>
  </si>
  <si>
    <t>ALLOCATION 2</t>
  </si>
  <si>
    <t>ALLOCATION B</t>
  </si>
  <si>
    <t>ALLOCATION BY TN</t>
  </si>
  <si>
    <t xml:space="preserve">XA184TS </t>
  </si>
  <si>
    <t>XA184XJ</t>
  </si>
  <si>
    <t>AN40550</t>
  </si>
  <si>
    <t>XA185TS</t>
  </si>
  <si>
    <t>XA185XJ</t>
  </si>
  <si>
    <t>XA186TS</t>
  </si>
  <si>
    <t>AR58DMX</t>
  </si>
  <si>
    <t>AR61DMX</t>
  </si>
  <si>
    <t>XA188TS</t>
  </si>
  <si>
    <t>XA246MH</t>
  </si>
  <si>
    <t>ATIFI</t>
  </si>
  <si>
    <t>AV038YN</t>
  </si>
  <si>
    <t xml:space="preserve">XA246MH </t>
  </si>
  <si>
    <t>AX005LE</t>
  </si>
  <si>
    <t>AX461GH</t>
  </si>
  <si>
    <t>AX712AL</t>
  </si>
  <si>
    <t>AX802AH</t>
  </si>
  <si>
    <t>AX993EM</t>
  </si>
  <si>
    <t>XA250MH</t>
  </si>
  <si>
    <t>XA308MC</t>
  </si>
  <si>
    <t>T SERVICE SPA</t>
  </si>
  <si>
    <t>XA311MC</t>
  </si>
  <si>
    <t xml:space="preserve">XA312MC </t>
  </si>
  <si>
    <t>XA314MC</t>
  </si>
  <si>
    <t>B113AYI</t>
  </si>
  <si>
    <t>XA323MC</t>
  </si>
  <si>
    <t>B121YNG</t>
  </si>
  <si>
    <t>B129YNG</t>
  </si>
  <si>
    <t>B68DTK</t>
  </si>
  <si>
    <t>B68DTY</t>
  </si>
  <si>
    <t>B68DWG</t>
  </si>
  <si>
    <t>B68DXP</t>
  </si>
  <si>
    <t>B737SEV</t>
  </si>
  <si>
    <t>XA324MC</t>
  </si>
  <si>
    <t>XA325MC</t>
  </si>
  <si>
    <t>XA326MC</t>
  </si>
  <si>
    <t>XA351RL</t>
  </si>
  <si>
    <t>XA358RL</t>
  </si>
  <si>
    <t>XA359RL</t>
  </si>
  <si>
    <t>XA360VR</t>
  </si>
  <si>
    <t>XA361VR</t>
  </si>
  <si>
    <t>XA362VR</t>
  </si>
  <si>
    <t>XA363VR</t>
  </si>
  <si>
    <t>XA376VR</t>
  </si>
  <si>
    <t>XA388VR</t>
  </si>
  <si>
    <t>XA389VR</t>
  </si>
  <si>
    <t>XA390VR</t>
  </si>
  <si>
    <t>XA391VR</t>
  </si>
  <si>
    <t xml:space="preserve">XA391VR </t>
  </si>
  <si>
    <t>BR906WL</t>
  </si>
  <si>
    <t>XA392VR</t>
  </si>
  <si>
    <t xml:space="preserve">XA392VR </t>
  </si>
  <si>
    <t>XA408TP</t>
  </si>
  <si>
    <t>XA413SR</t>
  </si>
  <si>
    <t>XA417TP</t>
  </si>
  <si>
    <t>STE.MA</t>
  </si>
  <si>
    <t>XA419YY</t>
  </si>
  <si>
    <t xml:space="preserve">XA419YY </t>
  </si>
  <si>
    <t>BY346MC</t>
  </si>
  <si>
    <t>XA420YY</t>
  </si>
  <si>
    <t>C254305</t>
  </si>
  <si>
    <t>C334457</t>
  </si>
  <si>
    <t xml:space="preserve">XA420YY </t>
  </si>
  <si>
    <t>XA421YY</t>
  </si>
  <si>
    <t>XA422YY</t>
  </si>
  <si>
    <t>XA423YY</t>
  </si>
  <si>
    <t>XA463TW</t>
  </si>
  <si>
    <t>XA464TW</t>
  </si>
  <si>
    <t>xa465tw</t>
  </si>
  <si>
    <t>CE08891</t>
  </si>
  <si>
    <t>CSE23710</t>
  </si>
  <si>
    <t>FD249HM</t>
  </si>
  <si>
    <t>FK935CF</t>
  </si>
  <si>
    <t>FT708CV</t>
  </si>
  <si>
    <t>FY806LR</t>
  </si>
  <si>
    <t>FY816JY</t>
  </si>
  <si>
    <t>HHPN6407</t>
  </si>
  <si>
    <t>HHPN6510</t>
  </si>
  <si>
    <t>HLHK3709</t>
  </si>
  <si>
    <t>HLHK3716</t>
  </si>
  <si>
    <t>HLHK3725</t>
  </si>
  <si>
    <t>HLHK3978</t>
  </si>
  <si>
    <t>HLHK3980</t>
  </si>
  <si>
    <t>Crossborder Logistics B.V.</t>
  </si>
  <si>
    <t>HLHK3981</t>
  </si>
  <si>
    <t>HLHK3983</t>
  </si>
  <si>
    <t>HLHK3993</t>
  </si>
  <si>
    <t>HLHK3996</t>
  </si>
  <si>
    <t>XA466TW</t>
  </si>
  <si>
    <t>IAZ5466</t>
  </si>
  <si>
    <t>IF 61 RAP</t>
  </si>
  <si>
    <t>JL226</t>
  </si>
  <si>
    <t>Int. Transportbedrijf Jan De Lely B.V.</t>
  </si>
  <si>
    <t>JL234</t>
  </si>
  <si>
    <t>XA467TW</t>
  </si>
  <si>
    <t>MATELDA</t>
  </si>
  <si>
    <t>NU03282</t>
  </si>
  <si>
    <t>OL87ZS</t>
  </si>
  <si>
    <t>OR54NZ</t>
  </si>
  <si>
    <t>Van Duuren B.V.</t>
  </si>
  <si>
    <t>OT31JB</t>
  </si>
  <si>
    <t>P42164</t>
  </si>
  <si>
    <t>P42165</t>
  </si>
  <si>
    <t>P42166</t>
  </si>
  <si>
    <t>P42167</t>
  </si>
  <si>
    <t>P42168</t>
  </si>
  <si>
    <t>P42170</t>
  </si>
  <si>
    <t>P42171</t>
  </si>
  <si>
    <t>P42172</t>
  </si>
  <si>
    <t>P42173</t>
  </si>
  <si>
    <t>P42175</t>
  </si>
  <si>
    <t>P42176</t>
  </si>
  <si>
    <t>P42178</t>
  </si>
  <si>
    <t>P42195</t>
  </si>
  <si>
    <t>P42196</t>
  </si>
  <si>
    <t>P42197</t>
  </si>
  <si>
    <t>P42199</t>
  </si>
  <si>
    <t>P42200</t>
  </si>
  <si>
    <t>P55663</t>
  </si>
  <si>
    <t>P55664</t>
  </si>
  <si>
    <t>P55672</t>
  </si>
  <si>
    <t>P55809</t>
  </si>
  <si>
    <t>P56308</t>
  </si>
  <si>
    <t>P56312</t>
  </si>
  <si>
    <t>P56314</t>
  </si>
  <si>
    <t>P56731</t>
  </si>
  <si>
    <t>EUROFAST INTERNATIONAL TRANSPORTS SRL</t>
  </si>
  <si>
    <t>P56732</t>
  </si>
  <si>
    <t>P56733</t>
  </si>
  <si>
    <t>P56737</t>
  </si>
  <si>
    <t>P56738</t>
  </si>
  <si>
    <t>P56739</t>
  </si>
  <si>
    <t>P56741</t>
  </si>
  <si>
    <t>P56742</t>
  </si>
  <si>
    <t>P56743</t>
  </si>
  <si>
    <t>P56744</t>
  </si>
  <si>
    <t>P56745</t>
  </si>
  <si>
    <t>P56746</t>
  </si>
  <si>
    <t>P56747</t>
  </si>
  <si>
    <t>P56748</t>
  </si>
  <si>
    <t>P56750</t>
  </si>
  <si>
    <t>P56751</t>
  </si>
  <si>
    <t>P56752</t>
  </si>
  <si>
    <t>P56753</t>
  </si>
  <si>
    <t>P56754</t>
  </si>
  <si>
    <t>P56755</t>
  </si>
  <si>
    <t>P56756</t>
  </si>
  <si>
    <t>P56757</t>
  </si>
  <si>
    <t>P56761</t>
  </si>
  <si>
    <t>P56763</t>
  </si>
  <si>
    <t>P56764</t>
  </si>
  <si>
    <t>P56766</t>
  </si>
  <si>
    <t>P56768</t>
  </si>
  <si>
    <t>P56769</t>
  </si>
  <si>
    <t>P56770</t>
  </si>
  <si>
    <t>P56772</t>
  </si>
  <si>
    <t>P56773</t>
  </si>
  <si>
    <t>P56774</t>
  </si>
  <si>
    <t>P56775</t>
  </si>
  <si>
    <t>P56780</t>
  </si>
  <si>
    <t>P56781</t>
  </si>
  <si>
    <t>P56784</t>
  </si>
  <si>
    <t>P56806</t>
  </si>
  <si>
    <t>P56807</t>
  </si>
  <si>
    <t>P56814</t>
  </si>
  <si>
    <t>P56815</t>
  </si>
  <si>
    <t>P56816</t>
  </si>
  <si>
    <t>P56822</t>
  </si>
  <si>
    <t>P56871</t>
  </si>
  <si>
    <t>P58809</t>
  </si>
  <si>
    <t>P58826</t>
  </si>
  <si>
    <t>P58827</t>
  </si>
  <si>
    <t>P58842</t>
  </si>
  <si>
    <t>P58845</t>
  </si>
  <si>
    <t>P59739</t>
  </si>
  <si>
    <t>P60703</t>
  </si>
  <si>
    <t>P60715</t>
  </si>
  <si>
    <t>P60716</t>
  </si>
  <si>
    <t>P60718</t>
  </si>
  <si>
    <t>P60719</t>
  </si>
  <si>
    <t>P60720</t>
  </si>
  <si>
    <t>P60721</t>
  </si>
  <si>
    <t>P60744</t>
  </si>
  <si>
    <t>P60745</t>
  </si>
  <si>
    <t>P60752</t>
  </si>
  <si>
    <t>P60754</t>
  </si>
  <si>
    <t>P60755</t>
  </si>
  <si>
    <t>P60756</t>
  </si>
  <si>
    <t>P60757</t>
  </si>
  <si>
    <t>P60758</t>
  </si>
  <si>
    <t>P60759</t>
  </si>
  <si>
    <t>P60761</t>
  </si>
  <si>
    <t>P60765</t>
  </si>
  <si>
    <t>P60777</t>
  </si>
  <si>
    <t>P60780</t>
  </si>
  <si>
    <t>P607807</t>
  </si>
  <si>
    <t>P60786</t>
  </si>
  <si>
    <t>P60787</t>
  </si>
  <si>
    <t>P60788</t>
  </si>
  <si>
    <t>P60789</t>
  </si>
  <si>
    <t>P60790</t>
  </si>
  <si>
    <t>P60791</t>
  </si>
  <si>
    <t>P60826</t>
  </si>
  <si>
    <t>P65304</t>
  </si>
  <si>
    <t>P65305</t>
  </si>
  <si>
    <t>P65306</t>
  </si>
  <si>
    <t>P65308</t>
  </si>
  <si>
    <t>P65309</t>
  </si>
  <si>
    <t>P65310</t>
  </si>
  <si>
    <t>P65311</t>
  </si>
  <si>
    <t>P65312</t>
  </si>
  <si>
    <t>P65314</t>
  </si>
  <si>
    <t>P65315</t>
  </si>
  <si>
    <t>P65316</t>
  </si>
  <si>
    <t>P65746</t>
  </si>
  <si>
    <t>P65747</t>
  </si>
  <si>
    <t>P65764</t>
  </si>
  <si>
    <t>P65805</t>
  </si>
  <si>
    <t>P65810</t>
  </si>
  <si>
    <t>P67094</t>
  </si>
  <si>
    <t>P67141</t>
  </si>
  <si>
    <t>P67148</t>
  </si>
  <si>
    <t>P67191</t>
  </si>
  <si>
    <t>P67742</t>
  </si>
  <si>
    <t xml:space="preserve">XA467TW </t>
  </si>
  <si>
    <t>PG19768</t>
  </si>
  <si>
    <t>PP58809</t>
  </si>
  <si>
    <t>QACF144</t>
  </si>
  <si>
    <t>QACF145</t>
  </si>
  <si>
    <t>QACF147</t>
  </si>
  <si>
    <t>QACF149</t>
  </si>
  <si>
    <t>QACF150</t>
  </si>
  <si>
    <t>QAEJ015</t>
  </si>
  <si>
    <t>QAEJ016</t>
  </si>
  <si>
    <t>QAEJ196</t>
  </si>
  <si>
    <t>QAEJ199</t>
  </si>
  <si>
    <t>QAEJ203</t>
  </si>
  <si>
    <t>QAEJ207</t>
  </si>
  <si>
    <t>QAEJ208</t>
  </si>
  <si>
    <t>QAEJ210</t>
  </si>
  <si>
    <t>QAEJ212</t>
  </si>
  <si>
    <t>QAFT112</t>
  </si>
  <si>
    <t>QAFT113</t>
  </si>
  <si>
    <t>QAGC138</t>
  </si>
  <si>
    <t>QAGC139</t>
  </si>
  <si>
    <t>QAGC141</t>
  </si>
  <si>
    <t>QAGC142</t>
  </si>
  <si>
    <t>QAGC425</t>
  </si>
  <si>
    <t>QAGC506</t>
  </si>
  <si>
    <t>QAGC609</t>
  </si>
  <si>
    <t>QAGC691</t>
  </si>
  <si>
    <t>QAGC878</t>
  </si>
  <si>
    <t>QAGD069</t>
  </si>
  <si>
    <t>QAHF967</t>
  </si>
  <si>
    <t>QAHG052</t>
  </si>
  <si>
    <t>QAHG978</t>
  </si>
  <si>
    <t>QAHG982</t>
  </si>
  <si>
    <t>QAHH672</t>
  </si>
  <si>
    <t>QAHH673</t>
  </si>
  <si>
    <t>QAHH692</t>
  </si>
  <si>
    <t>QAHH962</t>
  </si>
  <si>
    <t>QAHK051</t>
  </si>
  <si>
    <t>QAHK426</t>
  </si>
  <si>
    <t>QAHK676</t>
  </si>
  <si>
    <t>QAHL308</t>
  </si>
  <si>
    <t>QAHL309</t>
  </si>
  <si>
    <t>QAHL426</t>
  </si>
  <si>
    <t>QAHL427</t>
  </si>
  <si>
    <t>QAHL532</t>
  </si>
  <si>
    <t>QAHL534</t>
  </si>
  <si>
    <t>QAJR225</t>
  </si>
  <si>
    <t>QAJT856</t>
  </si>
  <si>
    <t>QAJT963</t>
  </si>
  <si>
    <t>QAJU790</t>
  </si>
  <si>
    <t>QAJX261</t>
  </si>
  <si>
    <t>QAJX263</t>
  </si>
  <si>
    <t>QAKI151</t>
  </si>
  <si>
    <t>QAKJ008</t>
  </si>
  <si>
    <t>QAKJ011</t>
  </si>
  <si>
    <t>QAKJ766</t>
  </si>
  <si>
    <t>QAKR961</t>
  </si>
  <si>
    <t>QAKR965</t>
  </si>
  <si>
    <t>QAKR968</t>
  </si>
  <si>
    <t>QALB581</t>
  </si>
  <si>
    <t>QALB583</t>
  </si>
  <si>
    <t>QALP153</t>
  </si>
  <si>
    <t>QALP552</t>
  </si>
  <si>
    <t>QALQ196</t>
  </si>
  <si>
    <t>QALV427</t>
  </si>
  <si>
    <t>QALV475</t>
  </si>
  <si>
    <t>QALV476</t>
  </si>
  <si>
    <t>QALX290</t>
  </si>
  <si>
    <t>QAMB225</t>
  </si>
  <si>
    <t>QAMB226</t>
  </si>
  <si>
    <t>QAMB229</t>
  </si>
  <si>
    <t>QAMB407</t>
  </si>
  <si>
    <t>QAMB409</t>
  </si>
  <si>
    <t>QAMB410</t>
  </si>
  <si>
    <t>QAMB489</t>
  </si>
  <si>
    <t>QAMB860</t>
  </si>
  <si>
    <t>QAMB861</t>
  </si>
  <si>
    <t>QAMB951</t>
  </si>
  <si>
    <t>QAMC557</t>
  </si>
  <si>
    <t>QAML775</t>
  </si>
  <si>
    <t>QAML776</t>
  </si>
  <si>
    <t>QAML777</t>
  </si>
  <si>
    <t>QAML780</t>
  </si>
  <si>
    <t>QAML781</t>
  </si>
  <si>
    <t>QAMS796</t>
  </si>
  <si>
    <t>QAPH672</t>
  </si>
  <si>
    <t>QAPJ545</t>
  </si>
  <si>
    <t>QAPR213</t>
  </si>
  <si>
    <t>QAPR755</t>
  </si>
  <si>
    <t>QAQF007</t>
  </si>
  <si>
    <t>QAQF008</t>
  </si>
  <si>
    <t>QAQF009</t>
  </si>
  <si>
    <t>QAQF746</t>
  </si>
  <si>
    <t>QAQF747</t>
  </si>
  <si>
    <t>QAQF750</t>
  </si>
  <si>
    <t>QAQF907</t>
  </si>
  <si>
    <t>QAQF913</t>
  </si>
  <si>
    <t>QAQR149</t>
  </si>
  <si>
    <t>Q-AQT 241</t>
  </si>
  <si>
    <t>QAQX714</t>
  </si>
  <si>
    <t>QARU082</t>
  </si>
  <si>
    <t>QARU342</t>
  </si>
  <si>
    <t>QARV995</t>
  </si>
  <si>
    <t>QATZ887</t>
  </si>
  <si>
    <t>QAVH218</t>
  </si>
  <si>
    <t>R0000</t>
  </si>
  <si>
    <t>R0125BDH</t>
  </si>
  <si>
    <t>R0126BDH</t>
  </si>
  <si>
    <t>R0127BDH</t>
  </si>
  <si>
    <t>R0128BDH</t>
  </si>
  <si>
    <t>R0355BDS</t>
  </si>
  <si>
    <t>R0356BDH</t>
  </si>
  <si>
    <t>R0356BDS</t>
  </si>
  <si>
    <t>R0357BDS</t>
  </si>
  <si>
    <t>R0386BCP</t>
  </si>
  <si>
    <t>R0392BCP</t>
  </si>
  <si>
    <t>R0413BDH</t>
  </si>
  <si>
    <t>R0414BDH</t>
  </si>
  <si>
    <t>R0457BCP</t>
  </si>
  <si>
    <t>R-0457-BCP</t>
  </si>
  <si>
    <t>R0463BCP</t>
  </si>
  <si>
    <t>R0479BCP</t>
  </si>
  <si>
    <t>R0599BCP</t>
  </si>
  <si>
    <t>R0602BCP</t>
  </si>
  <si>
    <t>R0724BCR</t>
  </si>
  <si>
    <t>R0726BCR</t>
  </si>
  <si>
    <t>R0733BBP</t>
  </si>
  <si>
    <t>R0734BBP</t>
  </si>
  <si>
    <t>R0770BCR</t>
  </si>
  <si>
    <t>R0796BCR</t>
  </si>
  <si>
    <t>R0817BCR</t>
  </si>
  <si>
    <t>R0911BCR</t>
  </si>
  <si>
    <t>R0915BCR</t>
  </si>
  <si>
    <t>R1000BCR</t>
  </si>
  <si>
    <t>R1041BCR</t>
  </si>
  <si>
    <t>R1048BCR</t>
  </si>
  <si>
    <t>R1063BCR</t>
  </si>
  <si>
    <t>R1072BCR</t>
  </si>
  <si>
    <t>R1090BCR</t>
  </si>
  <si>
    <t>R1098BCR</t>
  </si>
  <si>
    <t>R1102BCR</t>
  </si>
  <si>
    <t>R1122BCR</t>
  </si>
  <si>
    <t>R1123BCR</t>
  </si>
  <si>
    <t>R1127BCR</t>
  </si>
  <si>
    <t>R1128BCR</t>
  </si>
  <si>
    <t>R1129BCR</t>
  </si>
  <si>
    <t>R1132BCR</t>
  </si>
  <si>
    <t>R1134BCR</t>
  </si>
  <si>
    <t>R1412BBW</t>
  </si>
  <si>
    <t>R1522BCR</t>
  </si>
  <si>
    <t>R1639BBZ</t>
  </si>
  <si>
    <t>R1647BCR</t>
  </si>
  <si>
    <t>R1650BCR</t>
  </si>
  <si>
    <t>R1700BBZ</t>
  </si>
  <si>
    <t>R1703BCN</t>
  </si>
  <si>
    <t>R1704BBZ</t>
  </si>
  <si>
    <t>R1706BBZ</t>
  </si>
  <si>
    <t>R1707BBZ</t>
  </si>
  <si>
    <t>R1708BBZ</t>
  </si>
  <si>
    <t>R1708BCP</t>
  </si>
  <si>
    <t>R1714BDD</t>
  </si>
  <si>
    <t>R1722BCL</t>
  </si>
  <si>
    <t>R1723BCL</t>
  </si>
  <si>
    <t>R1743BCW</t>
  </si>
  <si>
    <t>R1811BDB</t>
  </si>
  <si>
    <t>R1828BCM</t>
  </si>
  <si>
    <t>R1881BCT</t>
  </si>
  <si>
    <t>R1883BCT</t>
  </si>
  <si>
    <t>R1886BCT</t>
  </si>
  <si>
    <t>R1887BCM</t>
  </si>
  <si>
    <t>R1899BCT</t>
  </si>
  <si>
    <t>R1903BCT</t>
  </si>
  <si>
    <t>R1905BCT</t>
  </si>
  <si>
    <t>R1908BCR</t>
  </si>
  <si>
    <t>R1919BCT</t>
  </si>
  <si>
    <t>R1921BCT</t>
  </si>
  <si>
    <t>R1923BCT</t>
  </si>
  <si>
    <t>R1924BCT</t>
  </si>
  <si>
    <t>R1930BCR</t>
  </si>
  <si>
    <t>R1930BCT</t>
  </si>
  <si>
    <t>R1937BCT</t>
  </si>
  <si>
    <t>R1939BCT</t>
  </si>
  <si>
    <t>R1940BCT</t>
  </si>
  <si>
    <t>R1941BCP</t>
  </si>
  <si>
    <t>R1941BCT</t>
  </si>
  <si>
    <t>R1943BCT</t>
  </si>
  <si>
    <t>R1947BCT</t>
  </si>
  <si>
    <t>R1949BCT</t>
  </si>
  <si>
    <t>R1951BCR</t>
  </si>
  <si>
    <t>R1956BCT</t>
  </si>
  <si>
    <t>R2019BCT</t>
  </si>
  <si>
    <t>LOGISTICA GRILLO, S.L.</t>
  </si>
  <si>
    <t>R2035BCT</t>
  </si>
  <si>
    <t>R2036BCT</t>
  </si>
  <si>
    <t>R2220BCY</t>
  </si>
  <si>
    <t>R2354BCM</t>
  </si>
  <si>
    <t>R2408BDD</t>
  </si>
  <si>
    <t>R2410BDD</t>
  </si>
  <si>
    <t>R2411BDD</t>
  </si>
  <si>
    <t>R2414BDD</t>
  </si>
  <si>
    <t>R2417BDD</t>
  </si>
  <si>
    <t>R2435BDH</t>
  </si>
  <si>
    <t>R2442BDH</t>
  </si>
  <si>
    <t>R2539BCR</t>
  </si>
  <si>
    <t>R2541BCR</t>
  </si>
  <si>
    <t>R2546BCR</t>
  </si>
  <si>
    <t>R2578BCR</t>
  </si>
  <si>
    <t>R2582BCR</t>
  </si>
  <si>
    <t>R2589BCY</t>
  </si>
  <si>
    <t>R2693BCR</t>
  </si>
  <si>
    <t>R2702BCL</t>
  </si>
  <si>
    <t>R2767BCR</t>
  </si>
  <si>
    <t>R2774BCR</t>
  </si>
  <si>
    <t>R2775BCR</t>
  </si>
  <si>
    <t>R2778BCR</t>
  </si>
  <si>
    <t>R2779BCR</t>
  </si>
  <si>
    <t>R2782BCR</t>
  </si>
  <si>
    <t>R2784BCR</t>
  </si>
  <si>
    <t>R2799BCR</t>
  </si>
  <si>
    <t>R2811BCR</t>
  </si>
  <si>
    <t>R2812BCR</t>
  </si>
  <si>
    <t>R2827BCR</t>
  </si>
  <si>
    <t>R2834BCR</t>
  </si>
  <si>
    <t>R2848BCR</t>
  </si>
  <si>
    <t>R2852BCR</t>
  </si>
  <si>
    <t>R2920BCM</t>
  </si>
  <si>
    <t>R2945BCB</t>
  </si>
  <si>
    <t>R2977BCW</t>
  </si>
  <si>
    <t>R3190BDS</t>
  </si>
  <si>
    <t>R3395BBR</t>
  </si>
  <si>
    <t>R3476BDS</t>
  </si>
  <si>
    <t>R3479BDS</t>
  </si>
  <si>
    <t>R3480BDS</t>
  </si>
  <si>
    <t>R3530BCK</t>
  </si>
  <si>
    <t>R3539BCK</t>
  </si>
  <si>
    <t>R3720BCR</t>
  </si>
  <si>
    <t>R3826BDN</t>
  </si>
  <si>
    <t>R3827BDN</t>
  </si>
  <si>
    <t>R3828BDN</t>
  </si>
  <si>
    <t>R3846BCW</t>
  </si>
  <si>
    <t>R3893BCW</t>
  </si>
  <si>
    <t>R4275BCL</t>
  </si>
  <si>
    <t>R4275BCN</t>
  </si>
  <si>
    <t>R4425BDJ</t>
  </si>
  <si>
    <t>R4466BCY</t>
  </si>
  <si>
    <t>R4467BCY</t>
  </si>
  <si>
    <t>R4826BCD</t>
  </si>
  <si>
    <t>R4947BCS</t>
  </si>
  <si>
    <t>R5008BCS</t>
  </si>
  <si>
    <t>R5204BCN</t>
  </si>
  <si>
    <t>R5385BCN</t>
  </si>
  <si>
    <t>R5458BCR</t>
  </si>
  <si>
    <t>R5459BCR</t>
  </si>
  <si>
    <t>R5511BDR</t>
  </si>
  <si>
    <t>R5513BDR</t>
  </si>
  <si>
    <t>R5913BDR</t>
  </si>
  <si>
    <t>R5928BCL</t>
  </si>
  <si>
    <t>R5938BCL</t>
  </si>
  <si>
    <t>R5944BCL</t>
  </si>
  <si>
    <t>R5962BCL</t>
  </si>
  <si>
    <t>R5965BCL</t>
  </si>
  <si>
    <t>R5979BCL</t>
  </si>
  <si>
    <t>R5993BCL</t>
  </si>
  <si>
    <t>R5994BCL</t>
  </si>
  <si>
    <t>R6073BBZ</t>
  </si>
  <si>
    <t>R6136BCG</t>
  </si>
  <si>
    <t>R6136BDG</t>
  </si>
  <si>
    <t>R6139BCG</t>
  </si>
  <si>
    <t>R6139BDG </t>
  </si>
  <si>
    <t>R6140BCG</t>
  </si>
  <si>
    <t>R6240BCG</t>
  </si>
  <si>
    <t>R6487BDG</t>
  </si>
  <si>
    <t>R6534BDN</t>
  </si>
  <si>
    <t>R6535BDN</t>
  </si>
  <si>
    <t>R6913BCF</t>
  </si>
  <si>
    <t>R6928BCK</t>
  </si>
  <si>
    <t>R7077BCN</t>
  </si>
  <si>
    <t>R7086BCN</t>
  </si>
  <si>
    <t>R7160BCL</t>
  </si>
  <si>
    <t>R7182BCL</t>
  </si>
  <si>
    <t>R7188BCL</t>
  </si>
  <si>
    <t>R7190BCL</t>
  </si>
  <si>
    <t>R7191BCL</t>
  </si>
  <si>
    <t>R7199BCL</t>
  </si>
  <si>
    <t>R7203BCL</t>
  </si>
  <si>
    <t>R-7203-BCL</t>
  </si>
  <si>
    <t>R7207BCL</t>
  </si>
  <si>
    <t>R7209BCL</t>
  </si>
  <si>
    <t>R7211BCK</t>
  </si>
  <si>
    <t>R7222BCK</t>
  </si>
  <si>
    <t>R7224BCN</t>
  </si>
  <si>
    <t>R7375BDA</t>
  </si>
  <si>
    <t>R7375BDH</t>
  </si>
  <si>
    <t>R7484BDR</t>
  </si>
  <si>
    <t>R7485BDR</t>
  </si>
  <si>
    <t>R7486BDR</t>
  </si>
  <si>
    <t>R7488BDR</t>
  </si>
  <si>
    <t>R7489BDR</t>
  </si>
  <si>
    <t>R7490BDR</t>
  </si>
  <si>
    <t>R7491BDR</t>
  </si>
  <si>
    <t>R7614BDC</t>
  </si>
  <si>
    <t>R7958BDF</t>
  </si>
  <si>
    <t>R8050BDP</t>
  </si>
  <si>
    <t>R8058BDP</t>
  </si>
  <si>
    <t>R8060BDP</t>
  </si>
  <si>
    <t>R8079BCM</t>
  </si>
  <si>
    <t>R8177BDG</t>
  </si>
  <si>
    <t>R8192BCR</t>
  </si>
  <si>
    <t>R81BDN</t>
  </si>
  <si>
    <t>R8202BCG</t>
  </si>
  <si>
    <t>R8203BCM</t>
  </si>
  <si>
    <t>R8207BCM</t>
  </si>
  <si>
    <t>R8247BCL</t>
  </si>
  <si>
    <t>R8250BCL</t>
  </si>
  <si>
    <t>R8258BCL</t>
  </si>
  <si>
    <t>R8260BCL</t>
  </si>
  <si>
    <t>R8267BCL</t>
  </si>
  <si>
    <t>R8278BCL</t>
  </si>
  <si>
    <t>R8281BCK</t>
  </si>
  <si>
    <t>R8281BCR</t>
  </si>
  <si>
    <t>R8284BCL</t>
  </si>
  <si>
    <t>R8285BCK</t>
  </si>
  <si>
    <t>R8286BCL</t>
  </si>
  <si>
    <t>R8295BCK</t>
  </si>
  <si>
    <t>R8309BDL</t>
  </si>
  <si>
    <t>R8322BCN</t>
  </si>
  <si>
    <t>R8360BCN</t>
  </si>
  <si>
    <t>R8396BCN</t>
  </si>
  <si>
    <t>R8408BDF</t>
  </si>
  <si>
    <t>R8409BDF</t>
  </si>
  <si>
    <t>R8422BCM</t>
  </si>
  <si>
    <t>R8422BCN</t>
  </si>
  <si>
    <t>R8427BCN</t>
  </si>
  <si>
    <t>R8430BCN</t>
  </si>
  <si>
    <t>R8449BCN</t>
  </si>
  <si>
    <t>R8474BCN</t>
  </si>
  <si>
    <t>R8484BCK</t>
  </si>
  <si>
    <t>R8532BCN</t>
  </si>
  <si>
    <t>R8537BCM</t>
  </si>
  <si>
    <t>R-8537-BCM</t>
  </si>
  <si>
    <t>R8543BCN</t>
  </si>
  <si>
    <t>R8554BCN</t>
  </si>
  <si>
    <t>R8560BCN</t>
  </si>
  <si>
    <t>R8698BCR</t>
  </si>
  <si>
    <t>R8967BDF</t>
  </si>
  <si>
    <t>R9072BDF</t>
  </si>
  <si>
    <t>R9074BDF</t>
  </si>
  <si>
    <t>R9075BDF</t>
  </si>
  <si>
    <t>R9180BDN</t>
  </si>
  <si>
    <t>R-9180-BDN</t>
  </si>
  <si>
    <t>R9181BDH</t>
  </si>
  <si>
    <t>R9181BDN</t>
  </si>
  <si>
    <t>R9328BCK</t>
  </si>
  <si>
    <t>R9329BCK</t>
  </si>
  <si>
    <t>R9365BCV</t>
  </si>
  <si>
    <t>R9368BCV</t>
  </si>
  <si>
    <t>R9370BCV</t>
  </si>
  <si>
    <t>R9371BCV</t>
  </si>
  <si>
    <t>R9372BCV</t>
  </si>
  <si>
    <t>R9374BCR</t>
  </si>
  <si>
    <t>R9445BCC</t>
  </si>
  <si>
    <t>R9529BCL</t>
  </si>
  <si>
    <t>R9620BDF</t>
  </si>
  <si>
    <t>R9804BCN</t>
  </si>
  <si>
    <t>R9806BCM</t>
  </si>
  <si>
    <t>R9808BCM</t>
  </si>
  <si>
    <t>R9809BCM</t>
  </si>
  <si>
    <t>R9812BCM</t>
  </si>
  <si>
    <t>R9813BCM</t>
  </si>
  <si>
    <t>R9840BCC</t>
  </si>
  <si>
    <t>R9987BCC</t>
  </si>
  <si>
    <t>RENT140</t>
  </si>
  <si>
    <t>RENT150</t>
  </si>
  <si>
    <t>RENT158</t>
  </si>
  <si>
    <t>RENT210</t>
  </si>
  <si>
    <t>RENT216</t>
  </si>
  <si>
    <t>RENT235</t>
  </si>
  <si>
    <t>RENT255</t>
  </si>
  <si>
    <t>RENT310</t>
  </si>
  <si>
    <t>RENT336</t>
  </si>
  <si>
    <t>RENT341</t>
  </si>
  <si>
    <t>RENT384</t>
  </si>
  <si>
    <t>RENT387</t>
  </si>
  <si>
    <t>RENT390</t>
  </si>
  <si>
    <t>RENT391</t>
  </si>
  <si>
    <t>RENT393</t>
  </si>
  <si>
    <t>RENT400</t>
  </si>
  <si>
    <t>RENT407</t>
  </si>
  <si>
    <t>RENT413</t>
  </si>
  <si>
    <t>RENT415</t>
  </si>
  <si>
    <t>RENT416</t>
  </si>
  <si>
    <t>Sastrans Nova Sp. Z O.O. Sp.K.</t>
  </si>
  <si>
    <t>RENT419</t>
  </si>
  <si>
    <t>RENT444</t>
  </si>
  <si>
    <t>RENT475</t>
  </si>
  <si>
    <t>RENT491</t>
  </si>
  <si>
    <t>RENT493</t>
  </si>
  <si>
    <t>RENT500</t>
  </si>
  <si>
    <t>RENT511</t>
  </si>
  <si>
    <t>RENT520</t>
  </si>
  <si>
    <t>RENT524</t>
  </si>
  <si>
    <t>RENT530</t>
  </si>
  <si>
    <t>RENT533</t>
  </si>
  <si>
    <t>RENT542</t>
  </si>
  <si>
    <t>Certus Express Gmbh</t>
  </si>
  <si>
    <t>RENT543</t>
  </si>
  <si>
    <t>RENT558</t>
  </si>
  <si>
    <t>RENT595</t>
  </si>
  <si>
    <t>RENT596</t>
  </si>
  <si>
    <t>RENT606</t>
  </si>
  <si>
    <t>RIJK10340</t>
  </si>
  <si>
    <t>RIJK B.V., J.A.M. DE</t>
  </si>
  <si>
    <t>SB7817P</t>
  </si>
  <si>
    <t>SK36866</t>
  </si>
  <si>
    <t>SKL54252</t>
  </si>
  <si>
    <t>XA489TK</t>
  </si>
  <si>
    <t>XA507TK</t>
  </si>
  <si>
    <t>XA516XS</t>
  </si>
  <si>
    <t>TM10RVU</t>
  </si>
  <si>
    <t>TM25GAP</t>
  </si>
  <si>
    <t>TM27MNS</t>
  </si>
  <si>
    <t>TM32JFG</t>
  </si>
  <si>
    <t>TM32RVX</t>
  </si>
  <si>
    <t>TM35EJG</t>
  </si>
  <si>
    <t>TM35NLR</t>
  </si>
  <si>
    <t>TM36GTT</t>
  </si>
  <si>
    <t>TM45PRN</t>
  </si>
  <si>
    <t>TM48KYL</t>
  </si>
  <si>
    <t>TM51BTD</t>
  </si>
  <si>
    <t>TM52VHR</t>
  </si>
  <si>
    <t>TM53GAP</t>
  </si>
  <si>
    <t>TM57VHJ</t>
  </si>
  <si>
    <t>TM57VHY</t>
  </si>
  <si>
    <t>TM58PPU</t>
  </si>
  <si>
    <t>TM59DWF</t>
  </si>
  <si>
    <t>TM63DPN</t>
  </si>
  <si>
    <t>TM63SJX</t>
  </si>
  <si>
    <t>TM65RVT</t>
  </si>
  <si>
    <t>TM65RVX</t>
  </si>
  <si>
    <t>TM68DSX</t>
  </si>
  <si>
    <t>TM68DWJ</t>
  </si>
  <si>
    <t>TM69KYL</t>
  </si>
  <si>
    <t>TM73BVF</t>
  </si>
  <si>
    <t>TM73SEE</t>
  </si>
  <si>
    <t>TM77ESS</t>
  </si>
  <si>
    <t>TM85SXC</t>
  </si>
  <si>
    <t>TM87KJX</t>
  </si>
  <si>
    <t>TM87WBF</t>
  </si>
  <si>
    <t>TM90EES</t>
  </si>
  <si>
    <t>TM91EES</t>
  </si>
  <si>
    <t>TM92VUZ</t>
  </si>
  <si>
    <t>TM93EES</t>
  </si>
  <si>
    <t>TM93ESS</t>
  </si>
  <si>
    <t>TM94EES</t>
  </si>
  <si>
    <t>TNT</t>
  </si>
  <si>
    <t>TRAILER FEDEX</t>
  </si>
  <si>
    <t>UNKOWN</t>
  </si>
  <si>
    <t>XA517XS</t>
  </si>
  <si>
    <t>XA518XS</t>
  </si>
  <si>
    <t>XA519XS</t>
  </si>
  <si>
    <t>WAB145</t>
  </si>
  <si>
    <t>WAB147</t>
  </si>
  <si>
    <t>WAD209</t>
  </si>
  <si>
    <t>WAG604</t>
  </si>
  <si>
    <t>WAN792</t>
  </si>
  <si>
    <t>WAT099</t>
  </si>
  <si>
    <t>WAT100</t>
  </si>
  <si>
    <t>WAY557</t>
  </si>
  <si>
    <t>WAZ216</t>
  </si>
  <si>
    <t>WAZ279</t>
  </si>
  <si>
    <t>WBB-212</t>
  </si>
  <si>
    <t>WBD-846</t>
  </si>
  <si>
    <t>WBU 330</t>
  </si>
  <si>
    <t>Tt Sped Kft</t>
  </si>
  <si>
    <t>WBW290</t>
  </si>
  <si>
    <t>WBW291</t>
  </si>
  <si>
    <t>WBW292</t>
  </si>
  <si>
    <t>WBW294</t>
  </si>
  <si>
    <t>WBW295</t>
  </si>
  <si>
    <t>WCA260</t>
  </si>
  <si>
    <t>WCA261</t>
  </si>
  <si>
    <t>WCA262</t>
  </si>
  <si>
    <t>WCA263</t>
  </si>
  <si>
    <t>WCA264</t>
  </si>
  <si>
    <t>WCA265</t>
  </si>
  <si>
    <t>WCA267</t>
  </si>
  <si>
    <t>WCA268</t>
  </si>
  <si>
    <t>WCA269</t>
  </si>
  <si>
    <t>WCA270</t>
  </si>
  <si>
    <t>WCA271</t>
  </si>
  <si>
    <t>WCA272</t>
  </si>
  <si>
    <t>WCA274</t>
  </si>
  <si>
    <t>WDC029</t>
  </si>
  <si>
    <t>WDV472</t>
  </si>
  <si>
    <t>WDV473</t>
  </si>
  <si>
    <t>WED737</t>
  </si>
  <si>
    <t>WEU001</t>
  </si>
  <si>
    <t>WEU002</t>
  </si>
  <si>
    <t>WEU003</t>
  </si>
  <si>
    <t>WEU005</t>
  </si>
  <si>
    <t>WEU006</t>
  </si>
  <si>
    <t>WEU008</t>
  </si>
  <si>
    <t>WEW389</t>
  </si>
  <si>
    <t>WFF169</t>
  </si>
  <si>
    <t>WFF170</t>
  </si>
  <si>
    <t>WFF171</t>
  </si>
  <si>
    <t>WFF173</t>
  </si>
  <si>
    <t>WFF182</t>
  </si>
  <si>
    <t>WFK174</t>
  </si>
  <si>
    <t>WFL973</t>
  </si>
  <si>
    <t>WFT927</t>
  </si>
  <si>
    <t>WFT928</t>
  </si>
  <si>
    <t>WFT930</t>
  </si>
  <si>
    <t>WFT936</t>
  </si>
  <si>
    <t>WFT938</t>
  </si>
  <si>
    <t>WFT-938</t>
  </si>
  <si>
    <t>WGG022</t>
  </si>
  <si>
    <t>WGG024</t>
  </si>
  <si>
    <t>WGG026</t>
  </si>
  <si>
    <t>WGG027</t>
  </si>
  <si>
    <t>WGM0668R</t>
  </si>
  <si>
    <t>WGM8087P</t>
  </si>
  <si>
    <t>WGM8089P</t>
  </si>
  <si>
    <t>WLTB1239</t>
  </si>
  <si>
    <t>WLTB1257</t>
  </si>
  <si>
    <t>WLTB1265</t>
  </si>
  <si>
    <t>WLTB1281</t>
  </si>
  <si>
    <t>WLTB1283</t>
  </si>
  <si>
    <t>WLTB1284</t>
  </si>
  <si>
    <t>WLTB1300</t>
  </si>
  <si>
    <t>WLTB1301</t>
  </si>
  <si>
    <t>WLTB1309</t>
  </si>
  <si>
    <t>WLTB1315</t>
  </si>
  <si>
    <t>WLTB1316</t>
  </si>
  <si>
    <t>WLTB1319</t>
  </si>
  <si>
    <t>WLTB1329</t>
  </si>
  <si>
    <t>WLTB1336</t>
  </si>
  <si>
    <t>WLTB1339</t>
  </si>
  <si>
    <t>WLTB1355</t>
  </si>
  <si>
    <t>WLTB1363</t>
  </si>
  <si>
    <t>WLTM1011</t>
  </si>
  <si>
    <t>WPR3736U</t>
  </si>
  <si>
    <t>WRPUP</t>
  </si>
  <si>
    <t>XA 067 RP</t>
  </si>
  <si>
    <t>XA 624 GS</t>
  </si>
  <si>
    <t>XA 742 JH</t>
  </si>
  <si>
    <t>XA000EN</t>
  </si>
  <si>
    <t>XA000NT</t>
  </si>
  <si>
    <t>XA000TC</t>
  </si>
  <si>
    <t>XA000WL</t>
  </si>
  <si>
    <t>XA001EN</t>
  </si>
  <si>
    <t>XA001TA</t>
  </si>
  <si>
    <t>XA001TE</t>
  </si>
  <si>
    <t>Fed Logistica Srl</t>
  </si>
  <si>
    <t>XA001TT</t>
  </si>
  <si>
    <t>XA001WL</t>
  </si>
  <si>
    <t>XA002CH</t>
  </si>
  <si>
    <t>XA002TA</t>
  </si>
  <si>
    <t>New Company Transport S.R.L.</t>
  </si>
  <si>
    <t>XA002WL</t>
  </si>
  <si>
    <t>XA003NA</t>
  </si>
  <si>
    <t>XA003WL</t>
  </si>
  <si>
    <t>XA004KG</t>
  </si>
  <si>
    <t>XA005WL</t>
  </si>
  <si>
    <t>XA006BA</t>
  </si>
  <si>
    <t>XA006WL</t>
  </si>
  <si>
    <t>XA007BA</t>
  </si>
  <si>
    <t>XA007SN</t>
  </si>
  <si>
    <t>XA007TE</t>
  </si>
  <si>
    <t>XA007WL</t>
  </si>
  <si>
    <t>XA009JP</t>
  </si>
  <si>
    <t>XA009SN</t>
  </si>
  <si>
    <t>XA009TA</t>
  </si>
  <si>
    <t>XA009TE</t>
  </si>
  <si>
    <t>XA009WL</t>
  </si>
  <si>
    <t>XA010JP</t>
  </si>
  <si>
    <t>XA010SN</t>
  </si>
  <si>
    <t>XA010TA</t>
  </si>
  <si>
    <t>XA010TE</t>
  </si>
  <si>
    <t>XA011SN</t>
  </si>
  <si>
    <t>XA011TE</t>
  </si>
  <si>
    <t>XA011TP</t>
  </si>
  <si>
    <t>XA012DC</t>
  </si>
  <si>
    <t>XA012ED</t>
  </si>
  <si>
    <t>XA012JP</t>
  </si>
  <si>
    <t>XA012TB</t>
  </si>
  <si>
    <t>XA012TP</t>
  </si>
  <si>
    <t>XA013FN</t>
  </si>
  <si>
    <t>XA013SN</t>
  </si>
  <si>
    <t>XA013TP</t>
  </si>
  <si>
    <t xml:space="preserve">XA710MC </t>
  </si>
  <si>
    <t>XA014FN</t>
  </si>
  <si>
    <t>XA014JP</t>
  </si>
  <si>
    <t>XA014NM</t>
  </si>
  <si>
    <t>XA014PJ</t>
  </si>
  <si>
    <t>XA015NM</t>
  </si>
  <si>
    <t>XA016WL</t>
  </si>
  <si>
    <t>XA017FN</t>
  </si>
  <si>
    <t>XA017KG</t>
  </si>
  <si>
    <t>XA017NM</t>
  </si>
  <si>
    <t>XA018SN</t>
  </si>
  <si>
    <t>XA018WL</t>
  </si>
  <si>
    <t>ZAMPIERI HOLDING S.R.L.</t>
  </si>
  <si>
    <t>XA019JY</t>
  </si>
  <si>
    <t>XA020WV</t>
  </si>
  <si>
    <t>XA022HW</t>
  </si>
  <si>
    <t>XA022WL</t>
  </si>
  <si>
    <t>XA023HW</t>
  </si>
  <si>
    <t>XA023WL</t>
  </si>
  <si>
    <t>XA024KG</t>
  </si>
  <si>
    <t>XA024NA</t>
  </si>
  <si>
    <t>XA024WL</t>
  </si>
  <si>
    <t>XA025BC</t>
  </si>
  <si>
    <t>XA025DC</t>
  </si>
  <si>
    <t>XA025ED</t>
  </si>
  <si>
    <t>XA025WL</t>
  </si>
  <si>
    <t>XA026KG</t>
  </si>
  <si>
    <t>XA761MC</t>
  </si>
  <si>
    <t>XA026WL</t>
  </si>
  <si>
    <t>XA027JP</t>
  </si>
  <si>
    <t>XA027WL</t>
  </si>
  <si>
    <t>XA028JP</t>
  </si>
  <si>
    <t>XA028SN</t>
  </si>
  <si>
    <t>XA029SN</t>
  </si>
  <si>
    <t>XA029WL</t>
  </si>
  <si>
    <t>XA030JP</t>
  </si>
  <si>
    <t>XA030SN</t>
  </si>
  <si>
    <t xml:space="preserve">XA786NN </t>
  </si>
  <si>
    <t>XA030WV</t>
  </si>
  <si>
    <t>XA031AP</t>
  </si>
  <si>
    <t>XA031JP</t>
  </si>
  <si>
    <t>XA799WW</t>
  </si>
  <si>
    <t>XA032WL</t>
  </si>
  <si>
    <t>XA034GS</t>
  </si>
  <si>
    <t>XA034HE</t>
  </si>
  <si>
    <t>XA035DC</t>
  </si>
  <si>
    <t>XA035HE</t>
  </si>
  <si>
    <t>XA035TB</t>
  </si>
  <si>
    <t>XA036DC</t>
  </si>
  <si>
    <t>XA036HE</t>
  </si>
  <si>
    <t>XA036TB</t>
  </si>
  <si>
    <t>XA037TB</t>
  </si>
  <si>
    <t>XA038BL</t>
  </si>
  <si>
    <t>XA038DW</t>
  </si>
  <si>
    <t>XA038TB</t>
  </si>
  <si>
    <t>XA038YA</t>
  </si>
  <si>
    <t>XA038YD</t>
  </si>
  <si>
    <t>XA038YT</t>
  </si>
  <si>
    <t>XA039BL</t>
  </si>
  <si>
    <t>XA039KG</t>
  </si>
  <si>
    <t>XA039SN</t>
  </si>
  <si>
    <t>XA039TA</t>
  </si>
  <si>
    <t>XA039TB</t>
  </si>
  <si>
    <t>XA040CH</t>
  </si>
  <si>
    <t>XA040TA</t>
  </si>
  <si>
    <t>XA040WB</t>
  </si>
  <si>
    <t>XA040WL</t>
  </si>
  <si>
    <t>XA041CR</t>
  </si>
  <si>
    <t>XA041DC</t>
  </si>
  <si>
    <t>XA041FY</t>
  </si>
  <si>
    <t>XA041RH</t>
  </si>
  <si>
    <t>XA041TA</t>
  </si>
  <si>
    <t>XA041WB</t>
  </si>
  <si>
    <t>XA803NN</t>
  </si>
  <si>
    <t>XA042RH</t>
  </si>
  <si>
    <t>XA043RH</t>
  </si>
  <si>
    <t>XA044TA</t>
  </si>
  <si>
    <t>XA814NN</t>
  </si>
  <si>
    <t>XA045MK</t>
  </si>
  <si>
    <t>XA045TA</t>
  </si>
  <si>
    <t xml:space="preserve">XA814NN </t>
  </si>
  <si>
    <t>XA046TA</t>
  </si>
  <si>
    <t>XA046WL</t>
  </si>
  <si>
    <t>XA047FY</t>
  </si>
  <si>
    <t>XA047JP</t>
  </si>
  <si>
    <t>XA959WV</t>
  </si>
  <si>
    <t>XA047WL</t>
  </si>
  <si>
    <t>XA048TA</t>
  </si>
  <si>
    <t>XA048WB</t>
  </si>
  <si>
    <t>XA048WL</t>
  </si>
  <si>
    <t>XA049JP</t>
  </si>
  <si>
    <t>XA049TN</t>
  </si>
  <si>
    <t>S.T.I. S.R.L.</t>
  </si>
  <si>
    <t>XA049VL</t>
  </si>
  <si>
    <t>XA049WB</t>
  </si>
  <si>
    <t>XA049WL</t>
  </si>
  <si>
    <t>XA050WB</t>
  </si>
  <si>
    <t>XA051JP</t>
  </si>
  <si>
    <t>XA051WB</t>
  </si>
  <si>
    <t>XA052TA</t>
  </si>
  <si>
    <t>XA052TN</t>
  </si>
  <si>
    <t xml:space="preserve">XA959WV </t>
  </si>
  <si>
    <t>XA053TN</t>
  </si>
  <si>
    <t>XA053VT</t>
  </si>
  <si>
    <t>XA053WB</t>
  </si>
  <si>
    <t>XA054KG</t>
  </si>
  <si>
    <t>XA054YT</t>
  </si>
  <si>
    <t>XA055KG</t>
  </si>
  <si>
    <t>XA055WB</t>
  </si>
  <si>
    <t>XA056WB</t>
  </si>
  <si>
    <t>XA057HW</t>
  </si>
  <si>
    <t>XA058NX</t>
  </si>
  <si>
    <t>XA059HW</t>
  </si>
  <si>
    <t>XA059JW</t>
  </si>
  <si>
    <t>DOUBLE DECK</t>
  </si>
  <si>
    <t>XA059TR</t>
  </si>
  <si>
    <t>XA060XL</t>
  </si>
  <si>
    <t>XA061KG</t>
  </si>
  <si>
    <t>XA061SL</t>
  </si>
  <si>
    <t>XA996LR</t>
  </si>
  <si>
    <t>XA062VT</t>
  </si>
  <si>
    <t>XA062WB</t>
  </si>
  <si>
    <t>XA063CH</t>
  </si>
  <si>
    <t>XA063VT</t>
  </si>
  <si>
    <t>XA064BA</t>
  </si>
  <si>
    <t>XA064RA</t>
  </si>
  <si>
    <t>XA064WB</t>
  </si>
  <si>
    <t>XA065JZ</t>
  </si>
  <si>
    <t>XA532EJ</t>
  </si>
  <si>
    <t>trailer 55 m3 2/3 axes</t>
  </si>
  <si>
    <t>XA066JZ</t>
  </si>
  <si>
    <t>XA066WB</t>
  </si>
  <si>
    <t>AD03635</t>
  </si>
  <si>
    <t>XA067RP</t>
  </si>
  <si>
    <t>XA067WB</t>
  </si>
  <si>
    <t>XA068BH</t>
  </si>
  <si>
    <t>XA068JZ</t>
  </si>
  <si>
    <t>XA068RP</t>
  </si>
  <si>
    <t>AD03822</t>
  </si>
  <si>
    <t>XA069RP</t>
  </si>
  <si>
    <t>XA069RZ</t>
  </si>
  <si>
    <t>XA069SS</t>
  </si>
  <si>
    <t>XA070WB</t>
  </si>
  <si>
    <t>XA071TJ</t>
  </si>
  <si>
    <t>XA071TK</t>
  </si>
  <si>
    <t>Msg S.P.A.</t>
  </si>
  <si>
    <t>XA071WB</t>
  </si>
  <si>
    <t>XA072WB</t>
  </si>
  <si>
    <t>XA074WB</t>
  </si>
  <si>
    <t>XA075WB</t>
  </si>
  <si>
    <t>XA076ED</t>
  </si>
  <si>
    <t>XA077BA</t>
  </si>
  <si>
    <t>XA077TK</t>
  </si>
  <si>
    <t>XA080TA</t>
  </si>
  <si>
    <t>XA081TA</t>
  </si>
  <si>
    <t>XA081WL</t>
  </si>
  <si>
    <t>XA082CH</t>
  </si>
  <si>
    <t>XA082GW</t>
  </si>
  <si>
    <t>XA082TA</t>
  </si>
  <si>
    <t>XA083GW</t>
  </si>
  <si>
    <t>XA083SJ</t>
  </si>
  <si>
    <t>Sennder Gmbh</t>
  </si>
  <si>
    <t>XA083TA</t>
  </si>
  <si>
    <t>XA083WL</t>
  </si>
  <si>
    <t>XA083WS</t>
  </si>
  <si>
    <t>XA083XN</t>
  </si>
  <si>
    <t>XA084GW</t>
  </si>
  <si>
    <t>XA084MP</t>
  </si>
  <si>
    <t>XA084TA</t>
  </si>
  <si>
    <t>XA084WL</t>
  </si>
  <si>
    <t>XA084WN</t>
  </si>
  <si>
    <t>XA084XN</t>
  </si>
  <si>
    <t>XA085KG</t>
  </si>
  <si>
    <t>XA085MP</t>
  </si>
  <si>
    <t>XA085TA</t>
  </si>
  <si>
    <t>XA085WL</t>
  </si>
  <si>
    <t>XA085XN</t>
  </si>
  <si>
    <t>XA086KG</t>
  </si>
  <si>
    <t>XA086TA</t>
  </si>
  <si>
    <t>XA087CH</t>
  </si>
  <si>
    <t>XA087CR</t>
  </si>
  <si>
    <t>XA087XN</t>
  </si>
  <si>
    <t>XA088MP</t>
  </si>
  <si>
    <t>XA088XZ</t>
  </si>
  <si>
    <t>XA089CH</t>
  </si>
  <si>
    <t>XA089MP</t>
  </si>
  <si>
    <t>XA089XZ</t>
  </si>
  <si>
    <t>XA090CH</t>
  </si>
  <si>
    <t>XA090MP</t>
  </si>
  <si>
    <t>XA091KG</t>
  </si>
  <si>
    <t>XA092TA</t>
  </si>
  <si>
    <t>XA093KG</t>
  </si>
  <si>
    <t>XA094KG</t>
  </si>
  <si>
    <t>XA095FH</t>
  </si>
  <si>
    <t>XA095KG</t>
  </si>
  <si>
    <t>XA096FH</t>
  </si>
  <si>
    <t>XA096KG</t>
  </si>
  <si>
    <t>XA096KT</t>
  </si>
  <si>
    <t>XA097MP</t>
  </si>
  <si>
    <t>XA098FH</t>
  </si>
  <si>
    <t>XA098MP</t>
  </si>
  <si>
    <t>XA098WL</t>
  </si>
  <si>
    <t>XA099FH</t>
  </si>
  <si>
    <t>XA099JV</t>
  </si>
  <si>
    <t>XA099KJ</t>
  </si>
  <si>
    <t>XA099RX</t>
  </si>
  <si>
    <t>XA099TA</t>
  </si>
  <si>
    <t>XA099WL</t>
  </si>
  <si>
    <t>XA100BL</t>
  </si>
  <si>
    <t>XA100JV</t>
  </si>
  <si>
    <t>XA100PF</t>
  </si>
  <si>
    <t>AD25960</t>
  </si>
  <si>
    <t>XA101BL</t>
  </si>
  <si>
    <t>XA101CJ</t>
  </si>
  <si>
    <t>XA102RZ</t>
  </si>
  <si>
    <t>XA103GF</t>
  </si>
  <si>
    <t>XA103LD</t>
  </si>
  <si>
    <t>t&amp;t</t>
  </si>
  <si>
    <t>attenzione t&amp;t non zampieriii</t>
  </si>
  <si>
    <t>XA103RZ</t>
  </si>
  <si>
    <t>XA104LL</t>
  </si>
  <si>
    <t>XA105BF</t>
  </si>
  <si>
    <t>XA105BS</t>
  </si>
  <si>
    <t>XA105FZ</t>
  </si>
  <si>
    <t>XA105LL</t>
  </si>
  <si>
    <t>XA105LL BS</t>
  </si>
  <si>
    <t>XA106HX</t>
  </si>
  <si>
    <t>AD40025</t>
  </si>
  <si>
    <t>AD40032</t>
  </si>
  <si>
    <t>AD69337</t>
  </si>
  <si>
    <t>XA109BS</t>
  </si>
  <si>
    <t>XA109LL</t>
  </si>
  <si>
    <t>XA110BS</t>
  </si>
  <si>
    <t>XA110DS</t>
  </si>
  <si>
    <t>XA110LL</t>
  </si>
  <si>
    <t>XA111BS</t>
  </si>
  <si>
    <t>XA111GX</t>
  </si>
  <si>
    <t>XA111HE</t>
  </si>
  <si>
    <t>XA111LL</t>
  </si>
  <si>
    <t>XA112BS</t>
  </si>
  <si>
    <t>XA112GT</t>
  </si>
  <si>
    <t>XA112LL</t>
  </si>
  <si>
    <t>XA112ZA</t>
  </si>
  <si>
    <t>XA113BS</t>
  </si>
  <si>
    <t>XA113GT</t>
  </si>
  <si>
    <t>XA113LL</t>
  </si>
  <si>
    <t>XA-113-LL</t>
  </si>
  <si>
    <t>XA113RP</t>
  </si>
  <si>
    <t>XA113SV</t>
  </si>
  <si>
    <t>XA114RZ</t>
  </si>
  <si>
    <t>XA116BS</t>
  </si>
  <si>
    <t>XA117GF</t>
  </si>
  <si>
    <t>XA117NM</t>
  </si>
  <si>
    <t>XA118BS</t>
  </si>
  <si>
    <t>XA118DS</t>
  </si>
  <si>
    <t>XA118TP</t>
  </si>
  <si>
    <t>XA119BS</t>
  </si>
  <si>
    <t>XA120RZ</t>
  </si>
  <si>
    <t>XA121WH</t>
  </si>
  <si>
    <t>AD69354</t>
  </si>
  <si>
    <t>XA123FN</t>
  </si>
  <si>
    <t>XA123HD</t>
  </si>
  <si>
    <t>XA123LD</t>
  </si>
  <si>
    <t>XA123TB</t>
  </si>
  <si>
    <t>AD69358</t>
  </si>
  <si>
    <t>XA124RA</t>
  </si>
  <si>
    <t>XA124TB</t>
  </si>
  <si>
    <t>AD95045</t>
  </si>
  <si>
    <t>XA125TB</t>
  </si>
  <si>
    <t>AE06103</t>
  </si>
  <si>
    <t>XA126TB</t>
  </si>
  <si>
    <t>AE11571</t>
  </si>
  <si>
    <t>XA127BT</t>
  </si>
  <si>
    <t>XA127LD</t>
  </si>
  <si>
    <t>XA128RP</t>
  </si>
  <si>
    <t>XA129BT</t>
  </si>
  <si>
    <t>XA129LD</t>
  </si>
  <si>
    <t>XA129PV</t>
  </si>
  <si>
    <t>XA129SN</t>
  </si>
  <si>
    <t>XA130GF</t>
  </si>
  <si>
    <t>XA134LN</t>
  </si>
  <si>
    <t>XA136JL</t>
  </si>
  <si>
    <t>XA137JL</t>
  </si>
  <si>
    <t>XA137RL</t>
  </si>
  <si>
    <t>XA137TP</t>
  </si>
  <si>
    <t>XA140PX</t>
  </si>
  <si>
    <t>Road Cargo Service Srl</t>
  </si>
  <si>
    <t>XA141BR</t>
  </si>
  <si>
    <t>XA142PV</t>
  </si>
  <si>
    <t>XA143PV</t>
  </si>
  <si>
    <t>XA143VT</t>
  </si>
  <si>
    <t>XA144BR</t>
  </si>
  <si>
    <t>XA145LW</t>
  </si>
  <si>
    <t>XA147LN</t>
  </si>
  <si>
    <t>XA147LW</t>
  </si>
  <si>
    <t>XA148GF</t>
  </si>
  <si>
    <t>XA148LN</t>
  </si>
  <si>
    <t>AE26824</t>
  </si>
  <si>
    <t>AE44492</t>
  </si>
  <si>
    <t>XA152BR</t>
  </si>
  <si>
    <t>AE44493</t>
  </si>
  <si>
    <t>XA153ZF</t>
  </si>
  <si>
    <t xml:space="preserve">Tonia Trasporti </t>
  </si>
  <si>
    <t>XA154BR</t>
  </si>
  <si>
    <t>XA154HD</t>
  </si>
  <si>
    <t>XA154PY</t>
  </si>
  <si>
    <t>XA155GF</t>
  </si>
  <si>
    <t>XA155PY</t>
  </si>
  <si>
    <t>XA155WV</t>
  </si>
  <si>
    <t>XA158GF</t>
  </si>
  <si>
    <t>XA160GF</t>
  </si>
  <si>
    <t>AE76024</t>
  </si>
  <si>
    <t>AE89033</t>
  </si>
  <si>
    <t>XA162GF</t>
  </si>
  <si>
    <t>XA162NT</t>
  </si>
  <si>
    <t>AF49209</t>
  </si>
  <si>
    <t>XA163KD</t>
  </si>
  <si>
    <t>XA164GF</t>
  </si>
  <si>
    <t>XA164TS</t>
  </si>
  <si>
    <t>XA165GF</t>
  </si>
  <si>
    <t>XA165TS</t>
  </si>
  <si>
    <t>AF49737</t>
  </si>
  <si>
    <t>AF49738</t>
  </si>
  <si>
    <t>XA166WV</t>
  </si>
  <si>
    <t>AF87487</t>
  </si>
  <si>
    <t>XA167TS</t>
  </si>
  <si>
    <t>XA167WV</t>
  </si>
  <si>
    <t>AF96191</t>
  </si>
  <si>
    <t>XA168TS</t>
  </si>
  <si>
    <t>XA169GF</t>
  </si>
  <si>
    <t>XA169TS</t>
  </si>
  <si>
    <t>XA170RL</t>
  </si>
  <si>
    <t>XA170TS</t>
  </si>
  <si>
    <t>XA171GF</t>
  </si>
  <si>
    <t>XA171RL</t>
  </si>
  <si>
    <t>XA171TS</t>
  </si>
  <si>
    <t>XA172BL</t>
  </si>
  <si>
    <t>XA172RL</t>
  </si>
  <si>
    <t>XA172TS</t>
  </si>
  <si>
    <t>XA173BL</t>
  </si>
  <si>
    <t>XA173RL</t>
  </si>
  <si>
    <t>XA173TS</t>
  </si>
  <si>
    <t>XA174AG</t>
  </si>
  <si>
    <t>F.M.</t>
  </si>
  <si>
    <t xml:space="preserve">SOLO PER PADOVA </t>
  </si>
  <si>
    <t>XA174BL</t>
  </si>
  <si>
    <t>XA174RL</t>
  </si>
  <si>
    <t>XA175BL</t>
  </si>
  <si>
    <t>XA175PV</t>
  </si>
  <si>
    <t>XA175RX</t>
  </si>
  <si>
    <t>XA176BL</t>
  </si>
  <si>
    <t>XA176PV</t>
  </si>
  <si>
    <t>XA177DC</t>
  </si>
  <si>
    <t>XA177NT</t>
  </si>
  <si>
    <t>XA180PV</t>
  </si>
  <si>
    <t>XA181TB</t>
  </si>
  <si>
    <t>VI26717</t>
  </si>
  <si>
    <t>XA182PV</t>
  </si>
  <si>
    <t>XA182PX</t>
  </si>
  <si>
    <t>XA182TB</t>
  </si>
  <si>
    <t>XA013WL</t>
  </si>
  <si>
    <t>XA183TB</t>
  </si>
  <si>
    <t>XA183TS</t>
  </si>
  <si>
    <t>XA184MR</t>
  </si>
  <si>
    <t>XA184PV</t>
  </si>
  <si>
    <t>XA184TB</t>
  </si>
  <si>
    <t>XA030VT</t>
  </si>
  <si>
    <t>XA031WL</t>
  </si>
  <si>
    <t>XA185TB</t>
  </si>
  <si>
    <t>XA042FY</t>
  </si>
  <si>
    <t>XA185XG</t>
  </si>
  <si>
    <t>XA044WL</t>
  </si>
  <si>
    <t>XA186TB</t>
  </si>
  <si>
    <t>XA186XG</t>
  </si>
  <si>
    <t>XA187PV</t>
  </si>
  <si>
    <t>XA187-PX</t>
  </si>
  <si>
    <t>XA187TB</t>
  </si>
  <si>
    <t>XA187TS</t>
  </si>
  <si>
    <t>XA187XG</t>
  </si>
  <si>
    <t>XA188PV</t>
  </si>
  <si>
    <t>XA047VT</t>
  </si>
  <si>
    <t>XA189PV</t>
  </si>
  <si>
    <t>XA192PV</t>
  </si>
  <si>
    <t>XA193PV</t>
  </si>
  <si>
    <t>XA194DC</t>
  </si>
  <si>
    <t>XA196JL</t>
  </si>
  <si>
    <t>XA198RX</t>
  </si>
  <si>
    <t>XA199FP</t>
  </si>
  <si>
    <t>XA199RX</t>
  </si>
  <si>
    <t>XA199SC</t>
  </si>
  <si>
    <t>XA199SL</t>
  </si>
  <si>
    <t>XA199XH</t>
  </si>
  <si>
    <t>XA200RW</t>
  </si>
  <si>
    <t>XA200YH</t>
  </si>
  <si>
    <t>XA201LL</t>
  </si>
  <si>
    <t>XA201RW</t>
  </si>
  <si>
    <t>XA201SL</t>
  </si>
  <si>
    <t>XA201XG</t>
  </si>
  <si>
    <t>XA201YH</t>
  </si>
  <si>
    <t>XA202RT</t>
  </si>
  <si>
    <t>XA202RW</t>
  </si>
  <si>
    <t>XA202SL</t>
  </si>
  <si>
    <t>XA203LL</t>
  </si>
  <si>
    <t>XA203LL BS</t>
  </si>
  <si>
    <t>XA203RT</t>
  </si>
  <si>
    <t>XA203RW</t>
  </si>
  <si>
    <t>XA203SL</t>
  </si>
  <si>
    <t>XA204LL</t>
  </si>
  <si>
    <t>XA204RT</t>
  </si>
  <si>
    <t>XA204RW</t>
  </si>
  <si>
    <t>XA204XH</t>
  </si>
  <si>
    <t>XA205LL</t>
  </si>
  <si>
    <t>XA206LL</t>
  </si>
  <si>
    <t>XA207BA</t>
  </si>
  <si>
    <t>XA207LL</t>
  </si>
  <si>
    <t>XA208AN</t>
  </si>
  <si>
    <t>XA208LL</t>
  </si>
  <si>
    <t>XA209AN</t>
  </si>
  <si>
    <t>XA209LL</t>
  </si>
  <si>
    <t>XA210LL</t>
  </si>
  <si>
    <t>XA211LL</t>
  </si>
  <si>
    <t>XA212LL</t>
  </si>
  <si>
    <t>XA212XG</t>
  </si>
  <si>
    <t>XA213GY</t>
  </si>
  <si>
    <t>XA215AN</t>
  </si>
  <si>
    <t>XA216LN</t>
  </si>
  <si>
    <t>XA217RS</t>
  </si>
  <si>
    <t>XA217SR</t>
  </si>
  <si>
    <t>XA218LN</t>
  </si>
  <si>
    <t>XA219GE</t>
  </si>
  <si>
    <t>XA219LN</t>
  </si>
  <si>
    <t>XA219RS</t>
  </si>
  <si>
    <t>XA219SR</t>
  </si>
  <si>
    <t>XA220GE</t>
  </si>
  <si>
    <t>XA221GE</t>
  </si>
  <si>
    <t>XA222GE</t>
  </si>
  <si>
    <t>XA222HH</t>
  </si>
  <si>
    <t>XA222MK</t>
  </si>
  <si>
    <t>XA223FZ</t>
  </si>
  <si>
    <t>XA223GB</t>
  </si>
  <si>
    <t>XA223LF</t>
  </si>
  <si>
    <t>XA223RW</t>
  </si>
  <si>
    <t>XA224EL</t>
  </si>
  <si>
    <t>XA224FY</t>
  </si>
  <si>
    <t>XA224FZ</t>
  </si>
  <si>
    <t>XA224GB</t>
  </si>
  <si>
    <t>XA224SL</t>
  </si>
  <si>
    <t>XA225GB</t>
  </si>
  <si>
    <t>XA225SL</t>
  </si>
  <si>
    <t>XA226BF</t>
  </si>
  <si>
    <t>XA226GB</t>
  </si>
  <si>
    <t>XA226LD</t>
  </si>
  <si>
    <t>XA226RW</t>
  </si>
  <si>
    <t>XA226YG</t>
  </si>
  <si>
    <t>XA227JN</t>
  </si>
  <si>
    <t>XA227RW</t>
  </si>
  <si>
    <t>XA227SL</t>
  </si>
  <si>
    <t>XA227YG</t>
  </si>
  <si>
    <t>XA228GB</t>
  </si>
  <si>
    <t>XA228RW</t>
  </si>
  <si>
    <t>XA228SL</t>
  </si>
  <si>
    <t>XA228ZR</t>
  </si>
  <si>
    <t>XA229GB</t>
  </si>
  <si>
    <t>XA229RW</t>
  </si>
  <si>
    <t>XA229TP</t>
  </si>
  <si>
    <t>XA229XY</t>
  </si>
  <si>
    <t>XA230AN</t>
  </si>
  <si>
    <t>XA230GB</t>
  </si>
  <si>
    <t>XA230RW</t>
  </si>
  <si>
    <t>XA231AN</t>
  </si>
  <si>
    <t>XA231GB</t>
  </si>
  <si>
    <t>XA231GY</t>
  </si>
  <si>
    <t>XA231JN</t>
  </si>
  <si>
    <t>XA231RW</t>
  </si>
  <si>
    <t>XA231WL</t>
  </si>
  <si>
    <t>XA232CH</t>
  </si>
  <si>
    <t>XA232GB</t>
  </si>
  <si>
    <t>XA232JN</t>
  </si>
  <si>
    <t>XA232RW</t>
  </si>
  <si>
    <t>XA234JN</t>
  </si>
  <si>
    <t>XA061VT</t>
  </si>
  <si>
    <t>XA234RW</t>
  </si>
  <si>
    <t>XA235JN</t>
  </si>
  <si>
    <t>XA235RW</t>
  </si>
  <si>
    <t>XA236JN</t>
  </si>
  <si>
    <t>XA236RW</t>
  </si>
  <si>
    <t>XA236TM</t>
  </si>
  <si>
    <t>XA237RW</t>
  </si>
  <si>
    <t>XA238RH</t>
  </si>
  <si>
    <t>XA238RW</t>
  </si>
  <si>
    <t>XA239JN</t>
  </si>
  <si>
    <t>XA239RW</t>
  </si>
  <si>
    <t>XA240AN</t>
  </si>
  <si>
    <t>XA240GS</t>
  </si>
  <si>
    <t>TSERVICE S.P.A.</t>
  </si>
  <si>
    <t>XA240JN</t>
  </si>
  <si>
    <t>XA240RW</t>
  </si>
  <si>
    <t>XA067JZ</t>
  </si>
  <si>
    <t>XA241JN</t>
  </si>
  <si>
    <t>XA241RW</t>
  </si>
  <si>
    <t>XA069JZ</t>
  </si>
  <si>
    <t>XA242RW</t>
  </si>
  <si>
    <t>XA242WH</t>
  </si>
  <si>
    <t>XA243BA</t>
  </si>
  <si>
    <t>XA243JN</t>
  </si>
  <si>
    <t>XA243RT</t>
  </si>
  <si>
    <t>XA243RW</t>
  </si>
  <si>
    <t>XA244BF</t>
  </si>
  <si>
    <t>XA244JN</t>
  </si>
  <si>
    <t>XA244RT</t>
  </si>
  <si>
    <t>XA244RW</t>
  </si>
  <si>
    <t>XA244TP</t>
  </si>
  <si>
    <t>XA245GE</t>
  </si>
  <si>
    <t>XA-245GE</t>
  </si>
  <si>
    <t>XA245JN</t>
  </si>
  <si>
    <t>XA245RT</t>
  </si>
  <si>
    <t>XA245RW</t>
  </si>
  <si>
    <t>XA246BF</t>
  </si>
  <si>
    <t>XA-246GE</t>
  </si>
  <si>
    <t>XA246JN</t>
  </si>
  <si>
    <t>XA150BR</t>
  </si>
  <si>
    <t>XA234MH</t>
  </si>
  <si>
    <t>XA246RT</t>
  </si>
  <si>
    <t>XA246RW</t>
  </si>
  <si>
    <t>XA-247GE</t>
  </si>
  <si>
    <t>XA247JN</t>
  </si>
  <si>
    <t>XA247RT</t>
  </si>
  <si>
    <t>XA247RW</t>
  </si>
  <si>
    <t>XA248MH</t>
  </si>
  <si>
    <t>XA248RT</t>
  </si>
  <si>
    <t>XA248RW</t>
  </si>
  <si>
    <t>XA249DX</t>
  </si>
  <si>
    <t>XA249JN</t>
  </si>
  <si>
    <t>XA249JT</t>
  </si>
  <si>
    <t>XA249RT</t>
  </si>
  <si>
    <t>XA249RW</t>
  </si>
  <si>
    <t>XA250JB</t>
  </si>
  <si>
    <t>XA250JN</t>
  </si>
  <si>
    <t>XA240WH</t>
  </si>
  <si>
    <t>XA251LD</t>
  </si>
  <si>
    <t>XA251RW</t>
  </si>
  <si>
    <t>XA252LF</t>
  </si>
  <si>
    <t>XA252NH</t>
  </si>
  <si>
    <t>XA252RW</t>
  </si>
  <si>
    <t>XA251LF</t>
  </si>
  <si>
    <t>XA253NH</t>
  </si>
  <si>
    <t>XA253RW</t>
  </si>
  <si>
    <t>XA254NH</t>
  </si>
  <si>
    <t>XA254RW</t>
  </si>
  <si>
    <t>XA254YG</t>
  </si>
  <si>
    <t>XA255BT</t>
  </si>
  <si>
    <t>XA255GB</t>
  </si>
  <si>
    <t>XA255NH</t>
  </si>
  <si>
    <t>XA255RW</t>
  </si>
  <si>
    <t>XA255WL</t>
  </si>
  <si>
    <t>XA255YG</t>
  </si>
  <si>
    <t>XA256FY</t>
  </si>
  <si>
    <t>XA256NH</t>
  </si>
  <si>
    <t>XA256RW</t>
  </si>
  <si>
    <t>XA256YG</t>
  </si>
  <si>
    <t>XA257BF</t>
  </si>
  <si>
    <t>XA257NH</t>
  </si>
  <si>
    <t>XA258NH</t>
  </si>
  <si>
    <t>XA259NH</t>
  </si>
  <si>
    <t>XA260FM</t>
  </si>
  <si>
    <t>XA260JT</t>
  </si>
  <si>
    <t>XA260NH</t>
  </si>
  <si>
    <t>XA260TA</t>
  </si>
  <si>
    <t>XA261FM</t>
  </si>
  <si>
    <t>XA261HP</t>
  </si>
  <si>
    <t>XA261NH</t>
  </si>
  <si>
    <t>XA262NH</t>
  </si>
  <si>
    <t>XA263FM</t>
  </si>
  <si>
    <t>XA263LF</t>
  </si>
  <si>
    <t>XA263NH</t>
  </si>
  <si>
    <t>XA264NH</t>
  </si>
  <si>
    <t>XA264YG</t>
  </si>
  <si>
    <t>XA265NH</t>
  </si>
  <si>
    <t>XA266LF</t>
  </si>
  <si>
    <t>XA267NH</t>
  </si>
  <si>
    <t>XA252TA</t>
  </si>
  <si>
    <t>XA268NH</t>
  </si>
  <si>
    <t>XA269NH</t>
  </si>
  <si>
    <t>XA270HH</t>
  </si>
  <si>
    <t>XA270NH</t>
  </si>
  <si>
    <t>XA270YG</t>
  </si>
  <si>
    <t>XA271HH</t>
  </si>
  <si>
    <t>XA271NH</t>
  </si>
  <si>
    <t>XA271YG</t>
  </si>
  <si>
    <t>XA272HH</t>
  </si>
  <si>
    <t>XA272JN</t>
  </si>
  <si>
    <t>XA272XH</t>
  </si>
  <si>
    <t>XA272YG</t>
  </si>
  <si>
    <t>XA273HH</t>
  </si>
  <si>
    <t>XA273JD</t>
  </si>
  <si>
    <t>XA273JN</t>
  </si>
  <si>
    <t>XA273YG</t>
  </si>
  <si>
    <t>XA274HH</t>
  </si>
  <si>
    <t>XA274JN</t>
  </si>
  <si>
    <t>XA274LW</t>
  </si>
  <si>
    <t>XA274NH</t>
  </si>
  <si>
    <t>XA274NX</t>
  </si>
  <si>
    <t>XA275GE</t>
  </si>
  <si>
    <t>XA275HH</t>
  </si>
  <si>
    <t>XA275JN</t>
  </si>
  <si>
    <t>XA275LF</t>
  </si>
  <si>
    <t>XA275NH</t>
  </si>
  <si>
    <t>XA275VS</t>
  </si>
  <si>
    <t>XA275YG</t>
  </si>
  <si>
    <t>XA276HH</t>
  </si>
  <si>
    <t>XA276YG</t>
  </si>
  <si>
    <t>XA277AB</t>
  </si>
  <si>
    <t>XA277HH</t>
  </si>
  <si>
    <t>XA277JH</t>
  </si>
  <si>
    <t>XA277JN</t>
  </si>
  <si>
    <t>XA277LF</t>
  </si>
  <si>
    <t>XA278AB</t>
  </si>
  <si>
    <t>XA278HH</t>
  </si>
  <si>
    <t>XA278JN</t>
  </si>
  <si>
    <t>XA278LF</t>
  </si>
  <si>
    <t>XA278YG</t>
  </si>
  <si>
    <t>XA279GE</t>
  </si>
  <si>
    <t>XA279HH</t>
  </si>
  <si>
    <t>XA279YG</t>
  </si>
  <si>
    <t>XA280HH</t>
  </si>
  <si>
    <t>XA280JN</t>
  </si>
  <si>
    <t>XA280RW</t>
  </si>
  <si>
    <t>XA280SL</t>
  </si>
  <si>
    <t>XA281GE</t>
  </si>
  <si>
    <t>XA281HH</t>
  </si>
  <si>
    <t>XA281JN</t>
  </si>
  <si>
    <t>XA281RW</t>
  </si>
  <si>
    <t>XA281SL</t>
  </si>
  <si>
    <t>XA282HH</t>
  </si>
  <si>
    <t>XA282JN</t>
  </si>
  <si>
    <t>XA282RW</t>
  </si>
  <si>
    <t>XA282SL</t>
  </si>
  <si>
    <t>XA283HH</t>
  </si>
  <si>
    <t>XA283JN</t>
  </si>
  <si>
    <t>XA283MC</t>
  </si>
  <si>
    <t>XA283RW</t>
  </si>
  <si>
    <t>XA284GE</t>
  </si>
  <si>
    <t>XA284HH</t>
  </si>
  <si>
    <t>XA284JN</t>
  </si>
  <si>
    <t>XA284MC</t>
  </si>
  <si>
    <t>XA285JN</t>
  </si>
  <si>
    <t>XA286DN</t>
  </si>
  <si>
    <t>XA286GE</t>
  </si>
  <si>
    <t>XA286JN</t>
  </si>
  <si>
    <t>XA287GE</t>
  </si>
  <si>
    <t>XA287JN</t>
  </si>
  <si>
    <t>XA287XH</t>
  </si>
  <si>
    <t>XA288ER</t>
  </si>
  <si>
    <t>XA288JN</t>
  </si>
  <si>
    <t>XA288JW</t>
  </si>
  <si>
    <t>XA289JN</t>
  </si>
  <si>
    <t>XA289NH</t>
  </si>
  <si>
    <t>XA290GE</t>
  </si>
  <si>
    <t>XA290HH</t>
  </si>
  <si>
    <t>XA290JN</t>
  </si>
  <si>
    <t>XA290SS</t>
  </si>
  <si>
    <t>XA291JN</t>
  </si>
  <si>
    <t>XA291YG</t>
  </si>
  <si>
    <t>XA292JN</t>
  </si>
  <si>
    <t>XA293JN</t>
  </si>
  <si>
    <t>XA294RW</t>
  </si>
  <si>
    <t>XA295GB</t>
  </si>
  <si>
    <t>XA295GE</t>
  </si>
  <si>
    <t>XA295JN</t>
  </si>
  <si>
    <t>XA295RN</t>
  </si>
  <si>
    <t>XA296GB</t>
  </si>
  <si>
    <t>XA296JN</t>
  </si>
  <si>
    <t>XA297JN</t>
  </si>
  <si>
    <t>XA298ZR</t>
  </si>
  <si>
    <t>XA299GB</t>
  </si>
  <si>
    <t>XA299GE</t>
  </si>
  <si>
    <t>XA299MC</t>
  </si>
  <si>
    <t>XA300MC</t>
  </si>
  <si>
    <t>XA301MC</t>
  </si>
  <si>
    <t>XA302EF</t>
  </si>
  <si>
    <t>XA302LL</t>
  </si>
  <si>
    <t>XA302MC</t>
  </si>
  <si>
    <t>XA302RW</t>
  </si>
  <si>
    <t>XA303EF</t>
  </si>
  <si>
    <t>XA303HX</t>
  </si>
  <si>
    <t>XA303RW</t>
  </si>
  <si>
    <t>XA303ZX</t>
  </si>
  <si>
    <t>XA304LL</t>
  </si>
  <si>
    <t>XA304MC</t>
  </si>
  <si>
    <t>XA305EY</t>
  </si>
  <si>
    <t>XA306EY</t>
  </si>
  <si>
    <t xml:space="preserve">Attenzioneee!!!Matelda no zampieri </t>
  </si>
  <si>
    <t>XA306ZP</t>
  </si>
  <si>
    <t>XA307NC</t>
  </si>
  <si>
    <t>XA307RW</t>
  </si>
  <si>
    <t>XA307ZX</t>
  </si>
  <si>
    <t>XA308EK</t>
  </si>
  <si>
    <t>XA308EY</t>
  </si>
  <si>
    <t>XA267YG</t>
  </si>
  <si>
    <t>XA308RW</t>
  </si>
  <si>
    <t>XA308ZX</t>
  </si>
  <si>
    <t>XA309EK</t>
  </si>
  <si>
    <t>XA309EY</t>
  </si>
  <si>
    <t>XA309MC</t>
  </si>
  <si>
    <t>XA309RW</t>
  </si>
  <si>
    <t>XA310BF</t>
  </si>
  <si>
    <t>XA310EK</t>
  </si>
  <si>
    <t>XA310EY</t>
  </si>
  <si>
    <t>XA310MC</t>
  </si>
  <si>
    <t>XA310RL</t>
  </si>
  <si>
    <t>XA310RW</t>
  </si>
  <si>
    <t>XA311EK</t>
  </si>
  <si>
    <t>XA311EY</t>
  </si>
  <si>
    <t>XA335YG</t>
  </si>
  <si>
    <t>XA311RL</t>
  </si>
  <si>
    <t>XA312EK</t>
  </si>
  <si>
    <t>XA312MC</t>
  </si>
  <si>
    <t>XA351JC</t>
  </si>
  <si>
    <t>XA312NX</t>
  </si>
  <si>
    <t>XA312RL</t>
  </si>
  <si>
    <t>XA313EY</t>
  </si>
  <si>
    <t>XA313GS</t>
  </si>
  <si>
    <t>XA313NX</t>
  </si>
  <si>
    <t>XA313RC</t>
  </si>
  <si>
    <t>XA313RL</t>
  </si>
  <si>
    <t>XA313RX</t>
  </si>
  <si>
    <t>XA313YG</t>
  </si>
  <si>
    <t>XA314EY</t>
  </si>
  <si>
    <t>XA352RL</t>
  </si>
  <si>
    <t>XA314RL</t>
  </si>
  <si>
    <t>XA314YG</t>
  </si>
  <si>
    <t>XA315EF</t>
  </si>
  <si>
    <t>XA315EY</t>
  </si>
  <si>
    <t>XA315MC</t>
  </si>
  <si>
    <t>XA315RL</t>
  </si>
  <si>
    <t>XA315YG</t>
  </si>
  <si>
    <t>XA316EF</t>
  </si>
  <si>
    <t>XA316EY</t>
  </si>
  <si>
    <t>XA316MC</t>
  </si>
  <si>
    <t>XA317EY</t>
  </si>
  <si>
    <t>XA317HP</t>
  </si>
  <si>
    <t>XA317VZ</t>
  </si>
  <si>
    <t>XA317YG</t>
  </si>
  <si>
    <t>XA317ZX</t>
  </si>
  <si>
    <t>XA318FZ</t>
  </si>
  <si>
    <t>XA318YG</t>
  </si>
  <si>
    <t>XA319EY</t>
  </si>
  <si>
    <t>XA319FE</t>
  </si>
  <si>
    <t>XA319MC</t>
  </si>
  <si>
    <t>XA320EY</t>
  </si>
  <si>
    <t>XA320FE</t>
  </si>
  <si>
    <t>XA320MC</t>
  </si>
  <si>
    <t>XA321EY</t>
  </si>
  <si>
    <t>XA321MC</t>
  </si>
  <si>
    <t>XA322EY</t>
  </si>
  <si>
    <t>XA322HX</t>
  </si>
  <si>
    <t>XA322ZX</t>
  </si>
  <si>
    <t>XA323EY</t>
  </si>
  <si>
    <t>XA354NX</t>
  </si>
  <si>
    <t>XA323YG</t>
  </si>
  <si>
    <t>XA324EV</t>
  </si>
  <si>
    <t>XA324EY</t>
  </si>
  <si>
    <t>XA431PA</t>
  </si>
  <si>
    <t>XA324XS</t>
  </si>
  <si>
    <t>CONFERMATO BY NOC</t>
  </si>
  <si>
    <t>XA325EV</t>
  </si>
  <si>
    <t>XA325EY</t>
  </si>
  <si>
    <t>XA432TP</t>
  </si>
  <si>
    <t>XA325SR</t>
  </si>
  <si>
    <t>XA325YG</t>
  </si>
  <si>
    <t>XA325ZC</t>
  </si>
  <si>
    <t>XA326EF</t>
  </si>
  <si>
    <t>XA326EY</t>
  </si>
  <si>
    <t>XA447MA</t>
  </si>
  <si>
    <t>XA326ZC</t>
  </si>
  <si>
    <t>XA327EY</t>
  </si>
  <si>
    <t>XA327SR</t>
  </si>
  <si>
    <t>XA327XS</t>
  </si>
  <si>
    <t>XA327ZC</t>
  </si>
  <si>
    <t>XA328EY</t>
  </si>
  <si>
    <t>XA328MC</t>
  </si>
  <si>
    <t>XA328RW</t>
  </si>
  <si>
    <t>XA328XS</t>
  </si>
  <si>
    <t>XA329EY</t>
  </si>
  <si>
    <t>XA329FV</t>
  </si>
  <si>
    <t>XA329TA</t>
  </si>
  <si>
    <t>XA329XS</t>
  </si>
  <si>
    <t>XA329ZX</t>
  </si>
  <si>
    <t>XA330HX</t>
  </si>
  <si>
    <t>XA330LH</t>
  </si>
  <si>
    <t>XA330VN</t>
  </si>
  <si>
    <t>XA330XS</t>
  </si>
  <si>
    <t>XA331EF</t>
  </si>
  <si>
    <t>XA331HP</t>
  </si>
  <si>
    <t>XA331RL</t>
  </si>
  <si>
    <t>XA331SE</t>
  </si>
  <si>
    <t>XA331TA</t>
  </si>
  <si>
    <t>XA331VL</t>
  </si>
  <si>
    <t>XA332JC</t>
  </si>
  <si>
    <t>XA332PH</t>
  </si>
  <si>
    <t>XA-332PH</t>
  </si>
  <si>
    <t>XA332RL</t>
  </si>
  <si>
    <t>XA332TA</t>
  </si>
  <si>
    <t>XA332ZC</t>
  </si>
  <si>
    <t>XA333HP</t>
  </si>
  <si>
    <t>XA333RW</t>
  </si>
  <si>
    <t>XA333VS</t>
  </si>
  <si>
    <t>XA333YG</t>
  </si>
  <si>
    <t>XA333ZX</t>
  </si>
  <si>
    <t>XA334EF</t>
  </si>
  <si>
    <t>XA334HP</t>
  </si>
  <si>
    <t>XA334TA</t>
  </si>
  <si>
    <t>XA334YG</t>
  </si>
  <si>
    <t>XA335EF</t>
  </si>
  <si>
    <t>XA335JE</t>
  </si>
  <si>
    <t>XA335RW</t>
  </si>
  <si>
    <t>XA335VS</t>
  </si>
  <si>
    <t>XA452MA</t>
  </si>
  <si>
    <t>XA336EF</t>
  </si>
  <si>
    <t>XA336RW</t>
  </si>
  <si>
    <t>XA336VK</t>
  </si>
  <si>
    <t>XA337NX</t>
  </si>
  <si>
    <t>XA337RW</t>
  </si>
  <si>
    <t>XA337RX</t>
  </si>
  <si>
    <t>XA338NX</t>
  </si>
  <si>
    <t>XA338TW</t>
  </si>
  <si>
    <t>XA338VS</t>
  </si>
  <si>
    <t>XA338VY</t>
  </si>
  <si>
    <t>XA339NC</t>
  </si>
  <si>
    <t>XA339NX</t>
  </si>
  <si>
    <t>XA339TW</t>
  </si>
  <si>
    <t>XA339VN</t>
  </si>
  <si>
    <t>XA340NC</t>
  </si>
  <si>
    <t>XA340RL</t>
  </si>
  <si>
    <t>XA340SZ</t>
  </si>
  <si>
    <t>XA340TW</t>
  </si>
  <si>
    <t>XA340VS</t>
  </si>
  <si>
    <t>XA340ZC</t>
  </si>
  <si>
    <t>XA341RW</t>
  </si>
  <si>
    <t>XA341YG</t>
  </si>
  <si>
    <t>XA342CD</t>
  </si>
  <si>
    <t>XA342CV</t>
  </si>
  <si>
    <t>XA342HP</t>
  </si>
  <si>
    <t>XA342LD</t>
  </si>
  <si>
    <t>XA344HP</t>
  </si>
  <si>
    <t>XA344NX</t>
  </si>
  <si>
    <t>XA344VS</t>
  </si>
  <si>
    <t>XA344ZC</t>
  </si>
  <si>
    <t>XA345FG</t>
  </si>
  <si>
    <t>XA345HE</t>
  </si>
  <si>
    <t>XA345HP</t>
  </si>
  <si>
    <t>XA346HE</t>
  </si>
  <si>
    <t>XA346YG</t>
  </si>
  <si>
    <t>XA533MP</t>
  </si>
  <si>
    <t>XA347VS</t>
  </si>
  <si>
    <t>XA347YG</t>
  </si>
  <si>
    <t>XA348HP</t>
  </si>
  <si>
    <t>XA348HX</t>
  </si>
  <si>
    <t>XA348NX</t>
  </si>
  <si>
    <t>XA348SR</t>
  </si>
  <si>
    <t>XA348VS</t>
  </si>
  <si>
    <t>XA348YG</t>
  </si>
  <si>
    <t>XA349VS</t>
  </si>
  <si>
    <t>XA349ZN</t>
  </si>
  <si>
    <t>XA350HP</t>
  </si>
  <si>
    <t>XA350VS</t>
  </si>
  <si>
    <t>XA350YG</t>
  </si>
  <si>
    <t>XA350ZN</t>
  </si>
  <si>
    <t>XA351CD</t>
  </si>
  <si>
    <t>XA351HP</t>
  </si>
  <si>
    <t>XA569SC</t>
  </si>
  <si>
    <t>XA644GA</t>
  </si>
  <si>
    <t>XA351RW</t>
  </si>
  <si>
    <t>XA351VS</t>
  </si>
  <si>
    <t>XA352CD</t>
  </si>
  <si>
    <t>XA352JC</t>
  </si>
  <si>
    <t>XA653VK</t>
  </si>
  <si>
    <t>XA352VS</t>
  </si>
  <si>
    <t>XA352YG</t>
  </si>
  <si>
    <t>XA352ZJ</t>
  </si>
  <si>
    <t>XA353CD</t>
  </si>
  <si>
    <t>XA353NX</t>
  </si>
  <si>
    <t>XA353RH</t>
  </si>
  <si>
    <t>XA353RL</t>
  </si>
  <si>
    <t>XA353RX</t>
  </si>
  <si>
    <t>XA354LT</t>
  </si>
  <si>
    <t>XA734JE</t>
  </si>
  <si>
    <t>XA354RL</t>
  </si>
  <si>
    <t>XA354RX</t>
  </si>
  <si>
    <t>XA35517</t>
  </si>
  <si>
    <t>XA355NX</t>
  </si>
  <si>
    <t>XA356RL</t>
  </si>
  <si>
    <t>XA356VS</t>
  </si>
  <si>
    <t>XA357FE</t>
  </si>
  <si>
    <t>XA357NX</t>
  </si>
  <si>
    <t>XA357RL</t>
  </si>
  <si>
    <t>XA357RW</t>
  </si>
  <si>
    <t>XA357RX</t>
  </si>
  <si>
    <t>XA357VS</t>
  </si>
  <si>
    <t>XA358GS</t>
  </si>
  <si>
    <t>XA358NX</t>
  </si>
  <si>
    <t>XA794JE</t>
  </si>
  <si>
    <t>XA796JE</t>
  </si>
  <si>
    <t>XA827TK</t>
  </si>
  <si>
    <t>XA361RW</t>
  </si>
  <si>
    <t>XA830EK</t>
  </si>
  <si>
    <t>XA361XS</t>
  </si>
  <si>
    <t>XA362FZ</t>
  </si>
  <si>
    <t>XA362HM</t>
  </si>
  <si>
    <t>XA362PT</t>
  </si>
  <si>
    <t>XA841KS</t>
  </si>
  <si>
    <t>XA362XS</t>
  </si>
  <si>
    <t>XA363PT</t>
  </si>
  <si>
    <t>XA363VJ</t>
  </si>
  <si>
    <t>XA954TX</t>
  </si>
  <si>
    <t>XA363XS</t>
  </si>
  <si>
    <t>XA364HE</t>
  </si>
  <si>
    <t>XA364PT</t>
  </si>
  <si>
    <t>XA364VS</t>
  </si>
  <si>
    <t>XA364XS</t>
  </si>
  <si>
    <t>XA365HE</t>
  </si>
  <si>
    <t>XA365HX</t>
  </si>
  <si>
    <t>XA365MK</t>
  </si>
  <si>
    <t>XA365PT</t>
  </si>
  <si>
    <t>XA365XS</t>
  </si>
  <si>
    <t>XA366PT</t>
  </si>
  <si>
    <t>XA366VK</t>
  </si>
  <si>
    <t>XA366VS</t>
  </si>
  <si>
    <t>XA366XS</t>
  </si>
  <si>
    <t>XA367GF</t>
  </si>
  <si>
    <t>XA367HE</t>
  </si>
  <si>
    <t>XA367PT</t>
  </si>
  <si>
    <t>XA367RA</t>
  </si>
  <si>
    <t>XA367RW</t>
  </si>
  <si>
    <t>XA367XS</t>
  </si>
  <si>
    <t>XA368HE</t>
  </si>
  <si>
    <t>XA368PT</t>
  </si>
  <si>
    <t>XA368RW</t>
  </si>
  <si>
    <t>XA368VS</t>
  </si>
  <si>
    <t>XA368XS</t>
  </si>
  <si>
    <t>XA369PT</t>
  </si>
  <si>
    <t>XA369RW</t>
  </si>
  <si>
    <t>XA369XS</t>
  </si>
  <si>
    <t>XA370FL</t>
  </si>
  <si>
    <t>XA370NX</t>
  </si>
  <si>
    <t>XA370PT</t>
  </si>
  <si>
    <t>XA370RW</t>
  </si>
  <si>
    <t>XA370XS</t>
  </si>
  <si>
    <t>XA371HT</t>
  </si>
  <si>
    <t>XA371PT</t>
  </si>
  <si>
    <t>XA371RW</t>
  </si>
  <si>
    <t>XA372PT</t>
  </si>
  <si>
    <t>XA372RW</t>
  </si>
  <si>
    <t>XA372VS</t>
  </si>
  <si>
    <t>XA373FZ</t>
  </si>
  <si>
    <t>XA373HS</t>
  </si>
  <si>
    <t>XA373PT</t>
  </si>
  <si>
    <t>XA374FZ</t>
  </si>
  <si>
    <t>XA374GF</t>
  </si>
  <si>
    <t>XA374HP</t>
  </si>
  <si>
    <t>XA374PT</t>
  </si>
  <si>
    <t>XA375EF</t>
  </si>
  <si>
    <t>XA375HP</t>
  </si>
  <si>
    <t>XA375PT</t>
  </si>
  <si>
    <t>XA375VY</t>
  </si>
  <si>
    <t>XA376PT</t>
  </si>
  <si>
    <t>XA376RX</t>
  </si>
  <si>
    <t>XA970WK</t>
  </si>
  <si>
    <t>XA376VS</t>
  </si>
  <si>
    <t>XA377HP</t>
  </si>
  <si>
    <t>XA377PT</t>
  </si>
  <si>
    <t>XA377RX</t>
  </si>
  <si>
    <t>XA378CD</t>
  </si>
  <si>
    <t>XA378RX</t>
  </si>
  <si>
    <t>XA378YG</t>
  </si>
  <si>
    <t>XA379CD</t>
  </si>
  <si>
    <t>XA379HP</t>
  </si>
  <si>
    <t>XA379HS</t>
  </si>
  <si>
    <t>XA379KM</t>
  </si>
  <si>
    <t>XA379RX</t>
  </si>
  <si>
    <t>XA379YG</t>
  </si>
  <si>
    <t>XA380CD</t>
  </si>
  <si>
    <t>XA380HS</t>
  </si>
  <si>
    <t>XA380YG</t>
  </si>
  <si>
    <t>XA381CD</t>
  </si>
  <si>
    <t>XA381GF</t>
  </si>
  <si>
    <t>XA382CD</t>
  </si>
  <si>
    <t>XA382GF</t>
  </si>
  <si>
    <t>XA382KF</t>
  </si>
  <si>
    <t>XA383GF</t>
  </si>
  <si>
    <t>XA383LF</t>
  </si>
  <si>
    <t>XA384GZ</t>
  </si>
  <si>
    <t>XA384SR</t>
  </si>
  <si>
    <t>XA385RW</t>
  </si>
  <si>
    <t>XA385SR</t>
  </si>
  <si>
    <t>XA385VS</t>
  </si>
  <si>
    <t>XA386GF</t>
  </si>
  <si>
    <t>XA386NX</t>
  </si>
  <si>
    <t>XA386VS</t>
  </si>
  <si>
    <t>XA386XV</t>
  </si>
  <si>
    <t>XA387GF</t>
  </si>
  <si>
    <t>XA387VG</t>
  </si>
  <si>
    <t>XA387XV</t>
  </si>
  <si>
    <t>XA388GF</t>
  </si>
  <si>
    <t>XA388NX</t>
  </si>
  <si>
    <t>XA973WK</t>
  </si>
  <si>
    <t>XA389DW</t>
  </si>
  <si>
    <t>XA389GF</t>
  </si>
  <si>
    <t>XA389GZ</t>
  </si>
  <si>
    <t>XA389NX</t>
  </si>
  <si>
    <t>XA974WK</t>
  </si>
  <si>
    <t>XA390GF</t>
  </si>
  <si>
    <t>XA390GN</t>
  </si>
  <si>
    <t>XA390MY</t>
  </si>
  <si>
    <t>XA390NX</t>
  </si>
  <si>
    <t>XA993EM</t>
  </si>
  <si>
    <t>XA390YG</t>
  </si>
  <si>
    <t>XA391GF</t>
  </si>
  <si>
    <t>XA391NX</t>
  </si>
  <si>
    <t>AJ915JJ</t>
  </si>
  <si>
    <t>truck 10 ton</t>
  </si>
  <si>
    <t>AM127MV</t>
  </si>
  <si>
    <t>XA392GF</t>
  </si>
  <si>
    <t>AN127MV</t>
  </si>
  <si>
    <t>AT126MH</t>
  </si>
  <si>
    <t>XA392VS</t>
  </si>
  <si>
    <t>XA393GF</t>
  </si>
  <si>
    <t>XA394GF</t>
  </si>
  <si>
    <t>XA394RW</t>
  </si>
  <si>
    <t>XA395GF</t>
  </si>
  <si>
    <t>XA395MW</t>
  </si>
  <si>
    <t>XA395PT</t>
  </si>
  <si>
    <t>XA396GF</t>
  </si>
  <si>
    <t>XA396MV</t>
  </si>
  <si>
    <t>XA396MW</t>
  </si>
  <si>
    <t>XA397GF</t>
  </si>
  <si>
    <t>XA397MW</t>
  </si>
  <si>
    <t>XA397MY</t>
  </si>
  <si>
    <t>XA-397MY</t>
  </si>
  <si>
    <t>XA397PT</t>
  </si>
  <si>
    <t>XA397YG</t>
  </si>
  <si>
    <t>XA398PT</t>
  </si>
  <si>
    <t>XA398TD</t>
  </si>
  <si>
    <t>XA399GF</t>
  </si>
  <si>
    <t>XA399VS</t>
  </si>
  <si>
    <t>XA400LS</t>
  </si>
  <si>
    <t>XA401JE</t>
  </si>
  <si>
    <t>XA401LS</t>
  </si>
  <si>
    <t>XA401TP</t>
  </si>
  <si>
    <t>XA401WR</t>
  </si>
  <si>
    <t>XA402JE</t>
  </si>
  <si>
    <t>XA402ND</t>
  </si>
  <si>
    <t>XA402XA</t>
  </si>
  <si>
    <t>XA403CV</t>
  </si>
  <si>
    <t>XA403HP</t>
  </si>
  <si>
    <t>XA403MG</t>
  </si>
  <si>
    <t>XA403ND</t>
  </si>
  <si>
    <t>XA404CH</t>
  </si>
  <si>
    <t>XA404HP</t>
  </si>
  <si>
    <t>XA405HP</t>
  </si>
  <si>
    <t>XA405MG</t>
  </si>
  <si>
    <t>XA406HP</t>
  </si>
  <si>
    <t>XA406ND</t>
  </si>
  <si>
    <t>XA407HP</t>
  </si>
  <si>
    <t>XA407SR</t>
  </si>
  <si>
    <t>XA408HP</t>
  </si>
  <si>
    <t>XA408NZ</t>
  </si>
  <si>
    <t>XA408SR</t>
  </si>
  <si>
    <t>AT702NH</t>
  </si>
  <si>
    <t>XA409FY</t>
  </si>
  <si>
    <t>XA409MH</t>
  </si>
  <si>
    <t>XA409SR</t>
  </si>
  <si>
    <t>XA410FY</t>
  </si>
  <si>
    <t>XA410HV</t>
  </si>
  <si>
    <t>XA410SR</t>
  </si>
  <si>
    <t>XA411SR</t>
  </si>
  <si>
    <t>XA411TP</t>
  </si>
  <si>
    <t>XA412SR</t>
  </si>
  <si>
    <t>XA412TP</t>
  </si>
  <si>
    <t>XA413KA</t>
  </si>
  <si>
    <t>XA413MG</t>
  </si>
  <si>
    <t>AV128GH</t>
  </si>
  <si>
    <t>XA413TP</t>
  </si>
  <si>
    <t>XA414MG</t>
  </si>
  <si>
    <t>XA414NN</t>
  </si>
  <si>
    <t>XA414NZ</t>
  </si>
  <si>
    <t>XA414SR</t>
  </si>
  <si>
    <t>XA414TP</t>
  </si>
  <si>
    <t>XA414YY</t>
  </si>
  <si>
    <t>XA415SR</t>
  </si>
  <si>
    <t>XA415TP</t>
  </si>
  <si>
    <t>XA415YY</t>
  </si>
  <si>
    <t>XA416AB</t>
  </si>
  <si>
    <t>XA416FJ</t>
  </si>
  <si>
    <t>XA416TP</t>
  </si>
  <si>
    <t>XA416YY</t>
  </si>
  <si>
    <t>XA417LN</t>
  </si>
  <si>
    <t>BB073WM</t>
  </si>
  <si>
    <t>XA417XA</t>
  </si>
  <si>
    <t>XA417YY</t>
  </si>
  <si>
    <t>XA418KX</t>
  </si>
  <si>
    <t>XA418TP</t>
  </si>
  <si>
    <t>XA418WR</t>
  </si>
  <si>
    <t>XA418XX</t>
  </si>
  <si>
    <t>XA418YY</t>
  </si>
  <si>
    <t>XA419HP</t>
  </si>
  <si>
    <t>XA419TP</t>
  </si>
  <si>
    <t>XA419WJ</t>
  </si>
  <si>
    <t>XA419XA</t>
  </si>
  <si>
    <t>BB073WW</t>
  </si>
  <si>
    <t>BB247PG</t>
  </si>
  <si>
    <t>XA420CH</t>
  </si>
  <si>
    <t>XA420TP</t>
  </si>
  <si>
    <t>BC570YG</t>
  </si>
  <si>
    <t>BG303BD</t>
  </si>
  <si>
    <t>XA421CH</t>
  </si>
  <si>
    <t>XA421TP</t>
  </si>
  <si>
    <t>BG851YZ</t>
  </si>
  <si>
    <t>XA422LS</t>
  </si>
  <si>
    <t>XA422MR</t>
  </si>
  <si>
    <t>XA422NF</t>
  </si>
  <si>
    <t>XA422XA</t>
  </si>
  <si>
    <t>BH935RZ</t>
  </si>
  <si>
    <t>XA423GH</t>
  </si>
  <si>
    <t>XA423ME</t>
  </si>
  <si>
    <t>XA423MF</t>
  </si>
  <si>
    <t>XA423MR</t>
  </si>
  <si>
    <t>XA423NF</t>
  </si>
  <si>
    <t>XA423TA</t>
  </si>
  <si>
    <t>BJ556NR</t>
  </si>
  <si>
    <t>XA424ME</t>
  </si>
  <si>
    <t>XA424MR</t>
  </si>
  <si>
    <t>XA424TA</t>
  </si>
  <si>
    <t>XA425DD</t>
  </si>
  <si>
    <t>XA425GR</t>
  </si>
  <si>
    <t>XA425HP</t>
  </si>
  <si>
    <t>XA425ME</t>
  </si>
  <si>
    <t>XA425SC</t>
  </si>
  <si>
    <t>XA425TA</t>
  </si>
  <si>
    <t>XA425XA</t>
  </si>
  <si>
    <t>XA426MH</t>
  </si>
  <si>
    <t>XA426MR</t>
  </si>
  <si>
    <t>XA426SC</t>
  </si>
  <si>
    <t>XA426ZC</t>
  </si>
  <si>
    <t>XA427GR</t>
  </si>
  <si>
    <t>XA427HW</t>
  </si>
  <si>
    <t>XA427SC</t>
  </si>
  <si>
    <t>XA428GR</t>
  </si>
  <si>
    <t>XA428HP</t>
  </si>
  <si>
    <t>XA428TF</t>
  </si>
  <si>
    <t>XA428TP</t>
  </si>
  <si>
    <t>XA428XA</t>
  </si>
  <si>
    <t>XA429DH</t>
  </si>
  <si>
    <t>XA429TA</t>
  </si>
  <si>
    <t>XA429TP</t>
  </si>
  <si>
    <t>XA429XA</t>
  </si>
  <si>
    <t>XA430HP</t>
  </si>
  <si>
    <t>XA430PA</t>
  </si>
  <si>
    <t>XA430SC</t>
  </si>
  <si>
    <t>XA430TP</t>
  </si>
  <si>
    <t>XA430XA</t>
  </si>
  <si>
    <t>XA430ZJ</t>
  </si>
  <si>
    <t>BN101AT</t>
  </si>
  <si>
    <t>Key Logistics Srl</t>
  </si>
  <si>
    <t>XA431TP</t>
  </si>
  <si>
    <t>XA431XA</t>
  </si>
  <si>
    <t>XA431ZJ</t>
  </si>
  <si>
    <t>XA432TA</t>
  </si>
  <si>
    <t>BT438TB</t>
  </si>
  <si>
    <t>XA433PA</t>
  </si>
  <si>
    <t>XA433RC</t>
  </si>
  <si>
    <t>XA434HP</t>
  </si>
  <si>
    <t>XA434RC</t>
  </si>
  <si>
    <t>XA434TP</t>
  </si>
  <si>
    <t>XA434ZJ</t>
  </si>
  <si>
    <t>XA434ZR</t>
  </si>
  <si>
    <t>XA435BF</t>
  </si>
  <si>
    <t>XA435GH</t>
  </si>
  <si>
    <t>XA435HW</t>
  </si>
  <si>
    <t>XA435RW</t>
  </si>
  <si>
    <t>XA435TP</t>
  </si>
  <si>
    <t>XA435ZJ</t>
  </si>
  <si>
    <t>XA436MR</t>
  </si>
  <si>
    <t>XA436RC</t>
  </si>
  <si>
    <t>XA436VJ</t>
  </si>
  <si>
    <t>XA437ND</t>
  </si>
  <si>
    <t>XA437TW</t>
  </si>
  <si>
    <t>XA437ZJ</t>
  </si>
  <si>
    <t>XA437ZN</t>
  </si>
  <si>
    <t>XA438JZ</t>
  </si>
  <si>
    <t>XA438MR</t>
  </si>
  <si>
    <t>XA438TW</t>
  </si>
  <si>
    <t>XA438XA</t>
  </si>
  <si>
    <t>XA438ZJ</t>
  </si>
  <si>
    <t>XA438ZN</t>
  </si>
  <si>
    <t>XA439GH</t>
  </si>
  <si>
    <t>XA439HP</t>
  </si>
  <si>
    <t>XA439LT</t>
  </si>
  <si>
    <t>XA439NZ</t>
  </si>
  <si>
    <t>XA440CX</t>
  </si>
  <si>
    <t>XA440GH</t>
  </si>
  <si>
    <t>XA440NZ</t>
  </si>
  <si>
    <t>XA441GH</t>
  </si>
  <si>
    <t>XA441HP</t>
  </si>
  <si>
    <t>XA441TP</t>
  </si>
  <si>
    <t>XA441YY</t>
  </si>
  <si>
    <t>XA441ZJ</t>
  </si>
  <si>
    <t>XA442HP</t>
  </si>
  <si>
    <t>XA442HW</t>
  </si>
  <si>
    <t>XA443HK</t>
  </si>
  <si>
    <t>XA443HP</t>
  </si>
  <si>
    <t>XA443HW</t>
  </si>
  <si>
    <t>XA443ZJ</t>
  </si>
  <si>
    <t>XA444HW</t>
  </si>
  <si>
    <t>XA444MG</t>
  </si>
  <si>
    <t>XA445GH</t>
  </si>
  <si>
    <t>XA445GZ</t>
  </si>
  <si>
    <t>XA445HW</t>
  </si>
  <si>
    <t>XA445ND</t>
  </si>
  <si>
    <t>XA445TA</t>
  </si>
  <si>
    <t>XA446FJ</t>
  </si>
  <si>
    <t>XA446GH</t>
  </si>
  <si>
    <t>XA446MA</t>
  </si>
  <si>
    <t>XA446MW</t>
  </si>
  <si>
    <t>XA446TA</t>
  </si>
  <si>
    <t>XA447FJ</t>
  </si>
  <si>
    <t>BY444YV</t>
  </si>
  <si>
    <t>XA448GH</t>
  </si>
  <si>
    <t>XA448TA</t>
  </si>
  <si>
    <t>XA449HV</t>
  </si>
  <si>
    <t>XA449TK</t>
  </si>
  <si>
    <t>XA449WL</t>
  </si>
  <si>
    <t>XA449ZC</t>
  </si>
  <si>
    <t>XA450FS</t>
  </si>
  <si>
    <t>XA450GH</t>
  </si>
  <si>
    <t>XA450MA</t>
  </si>
  <si>
    <t>XA450TA</t>
  </si>
  <si>
    <t>XA450TK</t>
  </si>
  <si>
    <t>XA451LS</t>
  </si>
  <si>
    <t>XA451MA</t>
  </si>
  <si>
    <t>XA451VT</t>
  </si>
  <si>
    <t>XA452GH</t>
  </si>
  <si>
    <t>XA452LS</t>
  </si>
  <si>
    <t>CB082SS</t>
  </si>
  <si>
    <t>XA452TA</t>
  </si>
  <si>
    <t>XA453LS</t>
  </si>
  <si>
    <t>XA453TA</t>
  </si>
  <si>
    <t>XA453TF</t>
  </si>
  <si>
    <t>XA454FY</t>
  </si>
  <si>
    <t>XA454GH</t>
  </si>
  <si>
    <t>XA454LS</t>
  </si>
  <si>
    <t>XA454TA</t>
  </si>
  <si>
    <t>XA455GH</t>
  </si>
  <si>
    <t>XA455JH</t>
  </si>
  <si>
    <t>XA455MG</t>
  </si>
  <si>
    <t>XA455TA</t>
  </si>
  <si>
    <t>XA456GC</t>
  </si>
  <si>
    <t>XA456MG</t>
  </si>
  <si>
    <t>XA457MG</t>
  </si>
  <si>
    <t>XA458MG</t>
  </si>
  <si>
    <t>XA458MR</t>
  </si>
  <si>
    <t>XA459CH</t>
  </si>
  <si>
    <t>XA459GH</t>
  </si>
  <si>
    <t>XA459MG</t>
  </si>
  <si>
    <t>XA459MR</t>
  </si>
  <si>
    <t>XA460CH</t>
  </si>
  <si>
    <t>XA460GH</t>
  </si>
  <si>
    <t>XA460MC</t>
  </si>
  <si>
    <t>XA460MG</t>
  </si>
  <si>
    <t>XA460MR</t>
  </si>
  <si>
    <t>XA460RH</t>
  </si>
  <si>
    <t>XA461GH</t>
  </si>
  <si>
    <t>XA461KX</t>
  </si>
  <si>
    <t>XA461MG</t>
  </si>
  <si>
    <t>XA461RH</t>
  </si>
  <si>
    <t>XA462GH</t>
  </si>
  <si>
    <t>XA462KX</t>
  </si>
  <si>
    <t>XA462MC</t>
  </si>
  <si>
    <t>XA462MG</t>
  </si>
  <si>
    <t>XA462MR</t>
  </si>
  <si>
    <t>XA463GH</t>
  </si>
  <si>
    <t>XA463KX</t>
  </si>
  <si>
    <t>XA463MG</t>
  </si>
  <si>
    <t>CB375FK</t>
  </si>
  <si>
    <t>Vorraro S.R.L.</t>
  </si>
  <si>
    <t>XA463VD</t>
  </si>
  <si>
    <t>XA464GC</t>
  </si>
  <si>
    <t>XA464GH</t>
  </si>
  <si>
    <t>XA464MG</t>
  </si>
  <si>
    <t>XA464TP</t>
  </si>
  <si>
    <t xml:space="preserve"> - fornitore Zampieri dal 01/06/2026 -</t>
  </si>
  <si>
    <t>XA464TV</t>
  </si>
  <si>
    <t>CC076XJ</t>
  </si>
  <si>
    <t>XA464VD</t>
  </si>
  <si>
    <t>XA465GB</t>
  </si>
  <si>
    <t>XA465GC</t>
  </si>
  <si>
    <t>XA465MG</t>
  </si>
  <si>
    <t>XA465MW</t>
  </si>
  <si>
    <t>XA465TP</t>
  </si>
  <si>
    <t>CD413TB</t>
  </si>
  <si>
    <t>Gst S.R.L. Semplificata</t>
  </si>
  <si>
    <t>XA465VD</t>
  </si>
  <si>
    <t>XA466MG</t>
  </si>
  <si>
    <t>XA466MW</t>
  </si>
  <si>
    <t>XA466ND</t>
  </si>
  <si>
    <t>XA466TP</t>
  </si>
  <si>
    <t>XA347GF</t>
  </si>
  <si>
    <t>ZA057YN</t>
  </si>
  <si>
    <t>Trasporti Arduino</t>
  </si>
  <si>
    <t>ZA079XC</t>
  </si>
  <si>
    <t>XA468MG</t>
  </si>
  <si>
    <t>XA468XA</t>
  </si>
  <si>
    <t>XA469MG</t>
  </si>
  <si>
    <t>XA469RC</t>
  </si>
  <si>
    <t>XA470HG</t>
  </si>
  <si>
    <t>XA471HG</t>
  </si>
  <si>
    <t>XA471NJ</t>
  </si>
  <si>
    <t>XA472HW</t>
  </si>
  <si>
    <t>XA473HP</t>
  </si>
  <si>
    <t>XA474HW</t>
  </si>
  <si>
    <t>XA474NJ</t>
  </si>
  <si>
    <t>XA475CY</t>
  </si>
  <si>
    <t>XA475HP</t>
  </si>
  <si>
    <t>XA475LS</t>
  </si>
  <si>
    <t>XA476HP</t>
  </si>
  <si>
    <t>XA477LS</t>
  </si>
  <si>
    <t>XA477TB</t>
  </si>
  <si>
    <t>XA478LS</t>
  </si>
  <si>
    <t>XA483LS</t>
  </si>
  <si>
    <t>XA484DH</t>
  </si>
  <si>
    <t>XA484LS</t>
  </si>
  <si>
    <t>XA485CH</t>
  </si>
  <si>
    <t>XA486CH</t>
  </si>
  <si>
    <t>XA486LS</t>
  </si>
  <si>
    <t>XA487EY</t>
  </si>
  <si>
    <t>XA487TF</t>
  </si>
  <si>
    <t>M.D.S. Spa</t>
  </si>
  <si>
    <t>XA488LS</t>
  </si>
  <si>
    <t>XA488NJ</t>
  </si>
  <si>
    <t>XA489CX</t>
  </si>
  <si>
    <t>XA489EY</t>
  </si>
  <si>
    <t>XA489FS</t>
  </si>
  <si>
    <t>XA489HP</t>
  </si>
  <si>
    <t>XA489MG</t>
  </si>
  <si>
    <t>ZA848MT</t>
  </si>
  <si>
    <t>Logicoop Srl</t>
  </si>
  <si>
    <t>XA490CH</t>
  </si>
  <si>
    <t>XA490CX</t>
  </si>
  <si>
    <t>XA490FS</t>
  </si>
  <si>
    <t>XA490LS</t>
  </si>
  <si>
    <t>XA490MG</t>
  </si>
  <si>
    <t>XA491PC</t>
  </si>
  <si>
    <t>XA491TK</t>
  </si>
  <si>
    <t>XA492FJ</t>
  </si>
  <si>
    <t>XA492LS</t>
  </si>
  <si>
    <t>XA492TA</t>
  </si>
  <si>
    <t>XA492ZR</t>
  </si>
  <si>
    <t>XA493FJ</t>
  </si>
  <si>
    <t>XA493HW</t>
  </si>
  <si>
    <t>XA493LT</t>
  </si>
  <si>
    <t>XA493ZR</t>
  </si>
  <si>
    <t>XA494FJ</t>
  </si>
  <si>
    <t>XA494KC</t>
  </si>
  <si>
    <t>XA494TA</t>
  </si>
  <si>
    <t>XA495FJ</t>
  </si>
  <si>
    <t>XA495HJ</t>
  </si>
  <si>
    <t>XA495TA</t>
  </si>
  <si>
    <t>XA495TP</t>
  </si>
  <si>
    <t>XA495ZC</t>
  </si>
  <si>
    <t>XA495ZR</t>
  </si>
  <si>
    <t>XA496FJ</t>
  </si>
  <si>
    <t>XA496TA</t>
  </si>
  <si>
    <t>XA497EY</t>
  </si>
  <si>
    <t>XA497FJ</t>
  </si>
  <si>
    <t>XA497TA</t>
  </si>
  <si>
    <t>XA498TL</t>
  </si>
  <si>
    <t>XA498XA</t>
  </si>
  <si>
    <t>XA499FJ</t>
  </si>
  <si>
    <t>XA499MC</t>
  </si>
  <si>
    <t>XA499NJ</t>
  </si>
  <si>
    <t>XA499TA</t>
  </si>
  <si>
    <t>XA499ZC</t>
  </si>
  <si>
    <t>XA500TA</t>
  </si>
  <si>
    <t>XA501DR</t>
  </si>
  <si>
    <t>XA501VJ</t>
  </si>
  <si>
    <t>XA501XE</t>
  </si>
  <si>
    <t>XA502DR</t>
  </si>
  <si>
    <t>XA502GH</t>
  </si>
  <si>
    <t>XA502RV</t>
  </si>
  <si>
    <t>CONSERVA SPA</t>
  </si>
  <si>
    <t>XA502VJ</t>
  </si>
  <si>
    <t>XA502VR</t>
  </si>
  <si>
    <t>XA503DR</t>
  </si>
  <si>
    <t>XA503GH</t>
  </si>
  <si>
    <t>XA503NV</t>
  </si>
  <si>
    <t>XA503RV</t>
  </si>
  <si>
    <t>XA503VJ</t>
  </si>
  <si>
    <t>XA503XE</t>
  </si>
  <si>
    <t>XA504GH</t>
  </si>
  <si>
    <t>XA504VJ</t>
  </si>
  <si>
    <t>XA504XE</t>
  </si>
  <si>
    <t>XA505GH</t>
  </si>
  <si>
    <t>XA505HF</t>
  </si>
  <si>
    <t>XA505LJ</t>
  </si>
  <si>
    <t>XA505VJ</t>
  </si>
  <si>
    <t>XA505XE</t>
  </si>
  <si>
    <t>XA506DR</t>
  </si>
  <si>
    <t>XA506GH</t>
  </si>
  <si>
    <t>XA506HF</t>
  </si>
  <si>
    <t>XA506JHF</t>
  </si>
  <si>
    <t>XA506VJ</t>
  </si>
  <si>
    <t>XA506XE</t>
  </si>
  <si>
    <t>XA507GH</t>
  </si>
  <si>
    <t>XA507HF</t>
  </si>
  <si>
    <t>ZA849MT</t>
  </si>
  <si>
    <t>XA507VJ</t>
  </si>
  <si>
    <t>XA508DR</t>
  </si>
  <si>
    <t>XA508GH</t>
  </si>
  <si>
    <t>XA508VJ</t>
  </si>
  <si>
    <t>XA509DR</t>
  </si>
  <si>
    <t>XA509EB</t>
  </si>
  <si>
    <t>XA509VJ</t>
  </si>
  <si>
    <t>XA510GH</t>
  </si>
  <si>
    <t>XA510VJ</t>
  </si>
  <si>
    <t>XA511DR</t>
  </si>
  <si>
    <t>XA511GH</t>
  </si>
  <si>
    <t>XA511JV</t>
  </si>
  <si>
    <t>XA511SC</t>
  </si>
  <si>
    <t>XA511VJ</t>
  </si>
  <si>
    <t>XA512DR</t>
  </si>
  <si>
    <t>XA512GH</t>
  </si>
  <si>
    <t>XA512HF</t>
  </si>
  <si>
    <t>XA512JV</t>
  </si>
  <si>
    <t>XA512SC</t>
  </si>
  <si>
    <t>XA512VJ</t>
  </si>
  <si>
    <t>XA513VJ</t>
  </si>
  <si>
    <t>XA514DR</t>
  </si>
  <si>
    <t>XA514HF</t>
  </si>
  <si>
    <t>XA514VJ</t>
  </si>
  <si>
    <t>XA515DR</t>
  </si>
  <si>
    <t>XA515HF</t>
  </si>
  <si>
    <t>XA515VJ</t>
  </si>
  <si>
    <t>XA515XK</t>
  </si>
  <si>
    <t>XA516VJ</t>
  </si>
  <si>
    <t>XA516XK</t>
  </si>
  <si>
    <t>ZB094BE</t>
  </si>
  <si>
    <t>XA517DR</t>
  </si>
  <si>
    <t>XA517JV</t>
  </si>
  <si>
    <t>XA517PL</t>
  </si>
  <si>
    <t>XA517RW</t>
  </si>
  <si>
    <t>XA517XK</t>
  </si>
  <si>
    <t>ZB356AP</t>
  </si>
  <si>
    <t>XA518DR</t>
  </si>
  <si>
    <t>XA518XE</t>
  </si>
  <si>
    <t>XA518XK</t>
  </si>
  <si>
    <t>ZB465AN</t>
  </si>
  <si>
    <t>XA519DR</t>
  </si>
  <si>
    <t>XA519XK</t>
  </si>
  <si>
    <t>ZB505BD</t>
  </si>
  <si>
    <t>XA520XK</t>
  </si>
  <si>
    <t>XA520YN</t>
  </si>
  <si>
    <t>XA520ZC</t>
  </si>
  <si>
    <t>XA521HF</t>
  </si>
  <si>
    <t>XA521TA</t>
  </si>
  <si>
    <t>XA521XE</t>
  </si>
  <si>
    <t>XA521XK</t>
  </si>
  <si>
    <t>XA522TA</t>
  </si>
  <si>
    <t>XA522VJ</t>
  </si>
  <si>
    <t>XA522XK</t>
  </si>
  <si>
    <t>XA523LT</t>
  </si>
  <si>
    <t>XA523WL</t>
  </si>
  <si>
    <t>XA523XK</t>
  </si>
  <si>
    <t>XA523XS</t>
  </si>
  <si>
    <t>XA524JV</t>
  </si>
  <si>
    <t>XA524TA</t>
  </si>
  <si>
    <t>XA524VC</t>
  </si>
  <si>
    <t>XA525JV</t>
  </si>
  <si>
    <t>XA525XK</t>
  </si>
  <si>
    <t>XA526HF</t>
  </si>
  <si>
    <t>XA526JV</t>
  </si>
  <si>
    <t>XA527BN</t>
  </si>
  <si>
    <t>XA527GH</t>
  </si>
  <si>
    <t>XA527HF</t>
  </si>
  <si>
    <t>XA527LT</t>
  </si>
  <si>
    <t>XA527TA</t>
  </si>
  <si>
    <t>XA528EJ</t>
  </si>
  <si>
    <t>XA528HF</t>
  </si>
  <si>
    <t>XA528JV</t>
  </si>
  <si>
    <t>XA528LT</t>
  </si>
  <si>
    <t>XA528TA</t>
  </si>
  <si>
    <t>XA529HF</t>
  </si>
  <si>
    <t>XA529LJ</t>
  </si>
  <si>
    <t>XA529TA</t>
  </si>
  <si>
    <t>XA530EF</t>
  </si>
  <si>
    <t>XA530HF</t>
  </si>
  <si>
    <t>XA530KM</t>
  </si>
  <si>
    <t>XA530MP</t>
  </si>
  <si>
    <t>XA530PA</t>
  </si>
  <si>
    <t>XA530PG</t>
  </si>
  <si>
    <t>XA530TA</t>
  </si>
  <si>
    <t>TRANSEUROPA S.R.L.</t>
  </si>
  <si>
    <t>XA531MP</t>
  </si>
  <si>
    <t>XA531SB</t>
  </si>
  <si>
    <t>XA531TA</t>
  </si>
  <si>
    <t>XA531WL</t>
  </si>
  <si>
    <t>XA532EI</t>
  </si>
  <si>
    <t>ZB599AV</t>
  </si>
  <si>
    <t>XA532MP</t>
  </si>
  <si>
    <t>XA532VG</t>
  </si>
  <si>
    <t>XA533GX</t>
  </si>
  <si>
    <t>XA533JG</t>
  </si>
  <si>
    <t>ZB961BA</t>
  </si>
  <si>
    <t>XA533PG</t>
  </si>
  <si>
    <t>XA533VG</t>
  </si>
  <si>
    <t>XA534GX</t>
  </si>
  <si>
    <t>XA534JG</t>
  </si>
  <si>
    <t>XA534LT</t>
  </si>
  <si>
    <t>XA534MP</t>
  </si>
  <si>
    <t>XA534NV</t>
  </si>
  <si>
    <t>XA534PG</t>
  </si>
  <si>
    <t>XA534VG</t>
  </si>
  <si>
    <t>XA535EJ</t>
  </si>
  <si>
    <t>XA535GX</t>
  </si>
  <si>
    <t>XA535MC</t>
  </si>
  <si>
    <t>XA535NV</t>
  </si>
  <si>
    <t>XA535VG</t>
  </si>
  <si>
    <t>XA536LT</t>
  </si>
  <si>
    <t>XA536MC</t>
  </si>
  <si>
    <t>XA536NJ</t>
  </si>
  <si>
    <t>XA536SB</t>
  </si>
  <si>
    <t>XA536SB-</t>
  </si>
  <si>
    <t>XA536VG</t>
  </si>
  <si>
    <t>XA537JV</t>
  </si>
  <si>
    <t>XA537KM</t>
  </si>
  <si>
    <t>XA537LK</t>
  </si>
  <si>
    <t>XA537MC</t>
  </si>
  <si>
    <t>XA537NV</t>
  </si>
  <si>
    <t>XA537RX</t>
  </si>
  <si>
    <t>XA537VT</t>
  </si>
  <si>
    <t>XA538MC</t>
  </si>
  <si>
    <t>XA539CP</t>
  </si>
  <si>
    <t>XA539VT</t>
  </si>
  <si>
    <t>XA540FR</t>
  </si>
  <si>
    <t>XA540VT</t>
  </si>
  <si>
    <t>XA541FR</t>
  </si>
  <si>
    <t>XA541HV</t>
  </si>
  <si>
    <t>XA541JX</t>
  </si>
  <si>
    <t>XA541VT</t>
  </si>
  <si>
    <t>XA542HF</t>
  </si>
  <si>
    <t>XA542HV</t>
  </si>
  <si>
    <t>XA542TA</t>
  </si>
  <si>
    <t>XA542VC</t>
  </si>
  <si>
    <t>XA542VT</t>
  </si>
  <si>
    <t>XA543FS</t>
  </si>
  <si>
    <t>XA543LK</t>
  </si>
  <si>
    <t>XA543VJ</t>
  </si>
  <si>
    <t>XA544LK</t>
  </si>
  <si>
    <t>XA545LK</t>
  </si>
  <si>
    <t>XA545LT</t>
  </si>
  <si>
    <t>XA545RG</t>
  </si>
  <si>
    <t>XA546PL</t>
  </si>
  <si>
    <t>XA546RF</t>
  </si>
  <si>
    <t>XA-546RF</t>
  </si>
  <si>
    <t>XA547GH</t>
  </si>
  <si>
    <t>XA547GM</t>
  </si>
  <si>
    <t>XA547LT</t>
  </si>
  <si>
    <t>XA547RG</t>
  </si>
  <si>
    <t>XA548GX</t>
  </si>
  <si>
    <t>XA548RG</t>
  </si>
  <si>
    <t>XA548YG</t>
  </si>
  <si>
    <t>XA549RG</t>
  </si>
  <si>
    <t>XA550EJ</t>
  </si>
  <si>
    <t>XA550GH</t>
  </si>
  <si>
    <t>XA551GH</t>
  </si>
  <si>
    <t>XA552GH</t>
  </si>
  <si>
    <t>XA552XE</t>
  </si>
  <si>
    <t>XA553KD</t>
  </si>
  <si>
    <t>XA554EJ</t>
  </si>
  <si>
    <t>XA554LK</t>
  </si>
  <si>
    <t>XA555BK</t>
  </si>
  <si>
    <t>XA556PG</t>
  </si>
  <si>
    <t>XA558GA</t>
  </si>
  <si>
    <t>XA558RG</t>
  </si>
  <si>
    <t>XA559GA</t>
  </si>
  <si>
    <t>XA559PG</t>
  </si>
  <si>
    <t>XA560JV</t>
  </si>
  <si>
    <t>XA560RG</t>
  </si>
  <si>
    <t>XA561GH</t>
  </si>
  <si>
    <t>XA561PM</t>
  </si>
  <si>
    <t>XA561RG</t>
  </si>
  <si>
    <t>XA562RB</t>
  </si>
  <si>
    <t>XA562RG</t>
  </si>
  <si>
    <t>XA562SH</t>
  </si>
  <si>
    <t>XA563CD</t>
  </si>
  <si>
    <t>XA563NJ</t>
  </si>
  <si>
    <t>XA563RG</t>
  </si>
  <si>
    <t>XA564CD</t>
  </si>
  <si>
    <t>XA564HE</t>
  </si>
  <si>
    <t>XA566GH</t>
  </si>
  <si>
    <t>XA566HK</t>
  </si>
  <si>
    <t>XA567AJ</t>
  </si>
  <si>
    <t>T&amp;Ti</t>
  </si>
  <si>
    <t>XA567VK</t>
  </si>
  <si>
    <t>XA568MP</t>
  </si>
  <si>
    <t>XA568NY</t>
  </si>
  <si>
    <t>XA568SK</t>
  </si>
  <si>
    <t>XA568YN</t>
  </si>
  <si>
    <t>XA569JW</t>
  </si>
  <si>
    <t>XA569MP</t>
  </si>
  <si>
    <t>ZB530AV</t>
  </si>
  <si>
    <t>truck 7.5 ton</t>
  </si>
  <si>
    <t>XA569SK</t>
  </si>
  <si>
    <t>XA570EF</t>
  </si>
  <si>
    <t>XA570MP</t>
  </si>
  <si>
    <t>XA570SC</t>
  </si>
  <si>
    <t>XA570SK</t>
  </si>
  <si>
    <t>XA571MP</t>
  </si>
  <si>
    <t>XA571SC</t>
  </si>
  <si>
    <t>XA571SK</t>
  </si>
  <si>
    <t>XA572JM</t>
  </si>
  <si>
    <t>XA572PG</t>
  </si>
  <si>
    <t>XA572SB</t>
  </si>
  <si>
    <t>XA574GN</t>
  </si>
  <si>
    <t>XA574JV</t>
  </si>
  <si>
    <t>XA574SV</t>
  </si>
  <si>
    <t>XA574VH</t>
  </si>
  <si>
    <t>XA576YN</t>
  </si>
  <si>
    <t>XA577SB</t>
  </si>
  <si>
    <t>XA579EF</t>
  </si>
  <si>
    <t>XA580HF</t>
  </si>
  <si>
    <t>XA580PX</t>
  </si>
  <si>
    <t>XA580SC</t>
  </si>
  <si>
    <t>XA580TS</t>
  </si>
  <si>
    <t>XA581HF</t>
  </si>
  <si>
    <t>XA583MR</t>
  </si>
  <si>
    <t>XA583SN</t>
  </si>
  <si>
    <t>XA584MR</t>
  </si>
  <si>
    <t>XA585GA</t>
  </si>
  <si>
    <t>XA585MR</t>
  </si>
  <si>
    <t>XA585NV</t>
  </si>
  <si>
    <t>XA585PT</t>
  </si>
  <si>
    <t>XA586GE</t>
  </si>
  <si>
    <t>XA586GH</t>
  </si>
  <si>
    <t>XA586MR</t>
  </si>
  <si>
    <t>XA586NV</t>
  </si>
  <si>
    <t>XA586PT</t>
  </si>
  <si>
    <t>XA587DR</t>
  </si>
  <si>
    <t>XA587MR</t>
  </si>
  <si>
    <t>XA587NV</t>
  </si>
  <si>
    <t>XA587PT</t>
  </si>
  <si>
    <t>XA588HF</t>
  </si>
  <si>
    <t>XA588HP</t>
  </si>
  <si>
    <t>XA588MR</t>
  </si>
  <si>
    <t>XA588NV</t>
  </si>
  <si>
    <t>XA588PG</t>
  </si>
  <si>
    <t>XA588PN</t>
  </si>
  <si>
    <t>XA588PT</t>
  </si>
  <si>
    <t>XA588TT</t>
  </si>
  <si>
    <t>XA589HF</t>
  </si>
  <si>
    <t>XA589NV</t>
  </si>
  <si>
    <t>XA589RR</t>
  </si>
  <si>
    <t>XA590GA</t>
  </si>
  <si>
    <t>XA590ML</t>
  </si>
  <si>
    <t>XA591FD</t>
  </si>
  <si>
    <t>XA591FP</t>
  </si>
  <si>
    <t>XA591GA</t>
  </si>
  <si>
    <t>XA591HF</t>
  </si>
  <si>
    <t>XA591ML</t>
  </si>
  <si>
    <t>XA591PG</t>
  </si>
  <si>
    <t>XA592FP</t>
  </si>
  <si>
    <t>XA592HF</t>
  </si>
  <si>
    <t>XA592HK</t>
  </si>
  <si>
    <t>XA592PG</t>
  </si>
  <si>
    <t>XA593FD</t>
  </si>
  <si>
    <t>XA-593FD</t>
  </si>
  <si>
    <t>XA593RF</t>
  </si>
  <si>
    <t>XA593SH</t>
  </si>
  <si>
    <t>XA593XE</t>
  </si>
  <si>
    <t>XA594FD</t>
  </si>
  <si>
    <t>XA-594FD</t>
  </si>
  <si>
    <t>XA594MR</t>
  </si>
  <si>
    <t>XA594XE</t>
  </si>
  <si>
    <t>XA-595FD</t>
  </si>
  <si>
    <t>XA595PG</t>
  </si>
  <si>
    <t>XA595XE</t>
  </si>
  <si>
    <t>XA596FD</t>
  </si>
  <si>
    <t>XA596HF</t>
  </si>
  <si>
    <t>XA596ML</t>
  </si>
  <si>
    <t>XA596XE</t>
  </si>
  <si>
    <t>XA597HF</t>
  </si>
  <si>
    <t>XA597HK</t>
  </si>
  <si>
    <t>XA597XE</t>
  </si>
  <si>
    <t>XA598DK</t>
  </si>
  <si>
    <t>XA599GX</t>
  </si>
  <si>
    <t>XA599LT</t>
  </si>
  <si>
    <t>XA599PG</t>
  </si>
  <si>
    <t>XA600GX</t>
  </si>
  <si>
    <t>XA600PM</t>
  </si>
  <si>
    <t>XA601GX</t>
  </si>
  <si>
    <t>XA601PM</t>
  </si>
  <si>
    <t>XA601PW</t>
  </si>
  <si>
    <t>XA602GX</t>
  </si>
  <si>
    <t>XA602MC</t>
  </si>
  <si>
    <t>XA603MC</t>
  </si>
  <si>
    <t>XA603YA</t>
  </si>
  <si>
    <t>XA604EA</t>
  </si>
  <si>
    <t>XA-604EA</t>
  </si>
  <si>
    <t>XA604MC</t>
  </si>
  <si>
    <t>XA605EA</t>
  </si>
  <si>
    <t>XA-605EA</t>
  </si>
  <si>
    <t>XA-605-EA</t>
  </si>
  <si>
    <t>XA605LX</t>
  </si>
  <si>
    <t>XA606LX</t>
  </si>
  <si>
    <t>XA607LX</t>
  </si>
  <si>
    <t>XA608EF</t>
  </si>
  <si>
    <t>XA608WL</t>
  </si>
  <si>
    <t>XA609BT</t>
  </si>
  <si>
    <t>XA609WL</t>
  </si>
  <si>
    <t>XA610BT</t>
  </si>
  <si>
    <t>XA610VK</t>
  </si>
  <si>
    <t>XA611BT</t>
  </si>
  <si>
    <t>XA611NJ</t>
  </si>
  <si>
    <t>XA611PX</t>
  </si>
  <si>
    <t>XA611VK</t>
  </si>
  <si>
    <t>XA612BT</t>
  </si>
  <si>
    <t>XA612NJ</t>
  </si>
  <si>
    <t>XA613BT</t>
  </si>
  <si>
    <t>XA613EF</t>
  </si>
  <si>
    <t>XA613NJ</t>
  </si>
  <si>
    <t>XA614BT</t>
  </si>
  <si>
    <t>XA614JE</t>
  </si>
  <si>
    <t>XA615BT</t>
  </si>
  <si>
    <t>XA615MB</t>
  </si>
  <si>
    <t>XA615YR</t>
  </si>
  <si>
    <t>XA616BT</t>
  </si>
  <si>
    <t>XA617BT</t>
  </si>
  <si>
    <t>XA618BT</t>
  </si>
  <si>
    <t>XA618MR</t>
  </si>
  <si>
    <t>XA618YG</t>
  </si>
  <si>
    <t>XA618YR</t>
  </si>
  <si>
    <t>XA619MR</t>
  </si>
  <si>
    <t>XA619XA</t>
  </si>
  <si>
    <t>XA619YR</t>
  </si>
  <si>
    <t>XA620MR</t>
  </si>
  <si>
    <t>XA620VK</t>
  </si>
  <si>
    <t>XA620XA</t>
  </si>
  <si>
    <t>XA620YA</t>
  </si>
  <si>
    <t>XA621MR</t>
  </si>
  <si>
    <t>XA621PM</t>
  </si>
  <si>
    <t>XA621RR</t>
  </si>
  <si>
    <t>XA621SL</t>
  </si>
  <si>
    <t>XA621VK</t>
  </si>
  <si>
    <t>XA621WL</t>
  </si>
  <si>
    <t>XA621YA</t>
  </si>
  <si>
    <t>XA621YR</t>
  </si>
  <si>
    <t>XA622MR</t>
  </si>
  <si>
    <t>XA622PM</t>
  </si>
  <si>
    <t>XA622VK</t>
  </si>
  <si>
    <t>XA622WL</t>
  </si>
  <si>
    <t>XA622YA</t>
  </si>
  <si>
    <t>XA623GV</t>
  </si>
  <si>
    <t>XA623KL</t>
  </si>
  <si>
    <t>XA623MR</t>
  </si>
  <si>
    <t>XA623TA</t>
  </si>
  <si>
    <t>XA623XA</t>
  </si>
  <si>
    <t>XA623YA</t>
  </si>
  <si>
    <t>XA623YR</t>
  </si>
  <si>
    <t>ATTENZIONE!!!! S.T.I NO ZAMPIERIII</t>
  </si>
  <si>
    <t>XA624FJ</t>
  </si>
  <si>
    <t>XA624GF</t>
  </si>
  <si>
    <t>XA624MR</t>
  </si>
  <si>
    <t>XA624TA</t>
  </si>
  <si>
    <t>XA624YA</t>
  </si>
  <si>
    <t>XA624YR</t>
  </si>
  <si>
    <t>XA625AB</t>
  </si>
  <si>
    <t>XA625MR</t>
  </si>
  <si>
    <t>XA625TA</t>
  </si>
  <si>
    <t>XA625VK</t>
  </si>
  <si>
    <t>XA625XA</t>
  </si>
  <si>
    <t>XA626GA</t>
  </si>
  <si>
    <t>XA626MR</t>
  </si>
  <si>
    <t>XA626VJ</t>
  </si>
  <si>
    <t>XA627AB</t>
  </si>
  <si>
    <t>XA627VJ</t>
  </si>
  <si>
    <t>XA627XA</t>
  </si>
  <si>
    <t>XA628MR</t>
  </si>
  <si>
    <t>XA628VJ</t>
  </si>
  <si>
    <t>XA628XA</t>
  </si>
  <si>
    <t>XA629EF</t>
  </si>
  <si>
    <t>XA629RR</t>
  </si>
  <si>
    <t>XA629TA</t>
  </si>
  <si>
    <t>XA629VJ</t>
  </si>
  <si>
    <t>XA630MR</t>
  </si>
  <si>
    <t>XA630RE</t>
  </si>
  <si>
    <t>XA630VJ</t>
  </si>
  <si>
    <t>XA630XA</t>
  </si>
  <si>
    <t>XA631VJ</t>
  </si>
  <si>
    <t>XA632EF</t>
  </si>
  <si>
    <t>XA632MH</t>
  </si>
  <si>
    <t>XA633EF</t>
  </si>
  <si>
    <t>XA633MR</t>
  </si>
  <si>
    <t>XA633VT</t>
  </si>
  <si>
    <t>XA634FA</t>
  </si>
  <si>
    <t>XA634MR</t>
  </si>
  <si>
    <t>XA634RE</t>
  </si>
  <si>
    <t>XA634SH</t>
  </si>
  <si>
    <t>XA635EF</t>
  </si>
  <si>
    <t>XA635MR</t>
  </si>
  <si>
    <t>XA635TD</t>
  </si>
  <si>
    <t>XA635VJ</t>
  </si>
  <si>
    <t>XA6367RA</t>
  </si>
  <si>
    <t>XA636AB</t>
  </si>
  <si>
    <t>XA636FJ</t>
  </si>
  <si>
    <t>XA636MR</t>
  </si>
  <si>
    <t>XA636VJ</t>
  </si>
  <si>
    <t>XA637MR</t>
  </si>
  <si>
    <t>XA637VJ</t>
  </si>
  <si>
    <t>XA638EP</t>
  </si>
  <si>
    <t>XA638HE</t>
  </si>
  <si>
    <t>XA638VJ</t>
  </si>
  <si>
    <t>XA639SK</t>
  </si>
  <si>
    <t>XA640HK</t>
  </si>
  <si>
    <t>XA640RE</t>
  </si>
  <si>
    <t>XA641FV</t>
  </si>
  <si>
    <t>XA641GA</t>
  </si>
  <si>
    <t>XA641GH</t>
  </si>
  <si>
    <t>XA642GA</t>
  </si>
  <si>
    <t>XA642GH</t>
  </si>
  <si>
    <t>XA642RE</t>
  </si>
  <si>
    <t>XA642SH</t>
  </si>
  <si>
    <t>XA642SK</t>
  </si>
  <si>
    <t>XA643GA</t>
  </si>
  <si>
    <t>XA643RE</t>
  </si>
  <si>
    <t>XA643ZD</t>
  </si>
  <si>
    <t>XA644EP</t>
  </si>
  <si>
    <t>AE899LE</t>
  </si>
  <si>
    <t>C.S.B. Srl Società Unipersonale</t>
  </si>
  <si>
    <t>van (large)</t>
  </si>
  <si>
    <t>XA644RE</t>
  </si>
  <si>
    <t>XA644SK</t>
  </si>
  <si>
    <t>XA644ZD</t>
  </si>
  <si>
    <t>XA645RE</t>
  </si>
  <si>
    <t>XA645VK</t>
  </si>
  <si>
    <t>XA646GC</t>
  </si>
  <si>
    <t>XA646GH</t>
  </si>
  <si>
    <t>XA646PG</t>
  </si>
  <si>
    <t>XA646VD</t>
  </si>
  <si>
    <t>XA646VK</t>
  </si>
  <si>
    <t>XA647TA</t>
  </si>
  <si>
    <t>XA647VK</t>
  </si>
  <si>
    <t>XA648DH</t>
  </si>
  <si>
    <t>XA648EX</t>
  </si>
  <si>
    <t>XA648RE</t>
  </si>
  <si>
    <t>XA649DH</t>
  </si>
  <si>
    <t>XA649HE</t>
  </si>
  <si>
    <t>XA649RE</t>
  </si>
  <si>
    <t>XA650PM</t>
  </si>
  <si>
    <t>XA651PG</t>
  </si>
  <si>
    <t>XA651PM</t>
  </si>
  <si>
    <t>XA651VK</t>
  </si>
  <si>
    <t>XA651XA</t>
  </si>
  <si>
    <t>XA652EF</t>
  </si>
  <si>
    <t>XA652PM</t>
  </si>
  <si>
    <t>XA653GA</t>
  </si>
  <si>
    <t>XA653PM</t>
  </si>
  <si>
    <t>AP217KD</t>
  </si>
  <si>
    <t>XA654GA</t>
  </si>
  <si>
    <t>XA654PM</t>
  </si>
  <si>
    <t>XA655GA</t>
  </si>
  <si>
    <t>XA655PM</t>
  </si>
  <si>
    <t>XA655VK</t>
  </si>
  <si>
    <t>XA656GA</t>
  </si>
  <si>
    <t>XA656PM</t>
  </si>
  <si>
    <t>XA656VJ</t>
  </si>
  <si>
    <t>XA656VK</t>
  </si>
  <si>
    <t>XA657BX</t>
  </si>
  <si>
    <t>XA657JF</t>
  </si>
  <si>
    <t>XA657PM</t>
  </si>
  <si>
    <t>XA657VK</t>
  </si>
  <si>
    <t>XA657YF</t>
  </si>
  <si>
    <t>XA658PM</t>
  </si>
  <si>
    <t>XA659PM</t>
  </si>
  <si>
    <t>XA659SH</t>
  </si>
  <si>
    <t>XA659VJ</t>
  </si>
  <si>
    <t>XA659VK</t>
  </si>
  <si>
    <t>XA660FV</t>
  </si>
  <si>
    <t>XA660XA</t>
  </si>
  <si>
    <t>XA661FJ</t>
  </si>
  <si>
    <t>XA661VJ</t>
  </si>
  <si>
    <t>XA662ES</t>
  </si>
  <si>
    <t>XA662VJ</t>
  </si>
  <si>
    <t>XA663VJ</t>
  </si>
  <si>
    <t>XA663VK</t>
  </si>
  <si>
    <t>XA664SK</t>
  </si>
  <si>
    <t>XA664VJ</t>
  </si>
  <si>
    <t>XA665EF</t>
  </si>
  <si>
    <t>XA665MP</t>
  </si>
  <si>
    <t>XA665SH</t>
  </si>
  <si>
    <t>XA665VJ</t>
  </si>
  <si>
    <t>XA665VK</t>
  </si>
  <si>
    <t>XA666VJ</t>
  </si>
  <si>
    <t>XA667EF</t>
  </si>
  <si>
    <t>XA667VJ</t>
  </si>
  <si>
    <t>XA667VK</t>
  </si>
  <si>
    <t>XA668VK</t>
  </si>
  <si>
    <t>XA669PG</t>
  </si>
  <si>
    <t>XA669VJ</t>
  </si>
  <si>
    <t>XA670EF</t>
  </si>
  <si>
    <t>XA670PJ</t>
  </si>
  <si>
    <t>XA670VJ</t>
  </si>
  <si>
    <t>XA670VR</t>
  </si>
  <si>
    <t>XA671DF</t>
  </si>
  <si>
    <t>XA671PJ</t>
  </si>
  <si>
    <t>XA675WL</t>
  </si>
  <si>
    <t>XA677FD</t>
  </si>
  <si>
    <t>XA677XA</t>
  </si>
  <si>
    <t>XA678HS</t>
  </si>
  <si>
    <t>XA679BX</t>
  </si>
  <si>
    <t>XA679PM</t>
  </si>
  <si>
    <t>XA679VK</t>
  </si>
  <si>
    <t>XA680FB</t>
  </si>
  <si>
    <t>XA680VK</t>
  </si>
  <si>
    <t>XA681VK</t>
  </si>
  <si>
    <t>XA682PG</t>
  </si>
  <si>
    <t>XA684HE</t>
  </si>
  <si>
    <t>XA684YA</t>
  </si>
  <si>
    <t>XA685YC</t>
  </si>
  <si>
    <t>XA686SY</t>
  </si>
  <si>
    <t>XA686WL</t>
  </si>
  <si>
    <t>XA687MB</t>
  </si>
  <si>
    <t>XA687YA</t>
  </si>
  <si>
    <t>XA688DL</t>
  </si>
  <si>
    <t>XA688FP</t>
  </si>
  <si>
    <t>XA688MB</t>
  </si>
  <si>
    <t>XA688VK</t>
  </si>
  <si>
    <t>XA688XA</t>
  </si>
  <si>
    <t>XA689DL</t>
  </si>
  <si>
    <t>XA689EP</t>
  </si>
  <si>
    <t>XA689FP</t>
  </si>
  <si>
    <t>XA689XA</t>
  </si>
  <si>
    <t>XA690DL</t>
  </si>
  <si>
    <t>XA690MZ</t>
  </si>
  <si>
    <t>XA690SY</t>
  </si>
  <si>
    <t>XA690XA</t>
  </si>
  <si>
    <t>XA691DL</t>
  </si>
  <si>
    <t>XA691MC</t>
  </si>
  <si>
    <t>XA691WL</t>
  </si>
  <si>
    <t>XA692DL</t>
  </si>
  <si>
    <t>XA692EF</t>
  </si>
  <si>
    <t>XA692JD</t>
  </si>
  <si>
    <t>XA692MC</t>
  </si>
  <si>
    <t>XA693DL</t>
  </si>
  <si>
    <t>XA693GV</t>
  </si>
  <si>
    <t>XA693HB</t>
  </si>
  <si>
    <t>XA693JD</t>
  </si>
  <si>
    <t>XA693MC</t>
  </si>
  <si>
    <t>XA693SY</t>
  </si>
  <si>
    <t>XA693XA</t>
  </si>
  <si>
    <t>XA694DE</t>
  </si>
  <si>
    <t>XA694DL</t>
  </si>
  <si>
    <t>XA694MB</t>
  </si>
  <si>
    <t>XA694MC</t>
  </si>
  <si>
    <t>XA694SY</t>
  </si>
  <si>
    <t>XA695HB</t>
  </si>
  <si>
    <t>XA695JD</t>
  </si>
  <si>
    <t>XA695MB</t>
  </si>
  <si>
    <t>XA696HB</t>
  </si>
  <si>
    <t>XA696HD</t>
  </si>
  <si>
    <t>XA696MB</t>
  </si>
  <si>
    <t>XA696SY</t>
  </si>
  <si>
    <t>XA697CJ</t>
  </si>
  <si>
    <t>XA697FV</t>
  </si>
  <si>
    <t>XA697HB</t>
  </si>
  <si>
    <t>XA697MB</t>
  </si>
  <si>
    <t>XA697PG</t>
  </si>
  <si>
    <t>XA697SX</t>
  </si>
  <si>
    <t>XA697SY</t>
  </si>
  <si>
    <t>XA698CJ</t>
  </si>
  <si>
    <t>XA698FV</t>
  </si>
  <si>
    <t>Cornali</t>
  </si>
  <si>
    <t>XA698MB</t>
  </si>
  <si>
    <t>XA698MT</t>
  </si>
  <si>
    <t>XA698SY</t>
  </si>
  <si>
    <t>XA699BS</t>
  </si>
  <si>
    <t>XA699CJ</t>
  </si>
  <si>
    <t>XA699HB</t>
  </si>
  <si>
    <t>XA699RN</t>
  </si>
  <si>
    <t>XA699SY</t>
  </si>
  <si>
    <t>XA700KT</t>
  </si>
  <si>
    <t>XA700LC</t>
  </si>
  <si>
    <t>XA700SY</t>
  </si>
  <si>
    <t>XA700TR</t>
  </si>
  <si>
    <t>XA701LC</t>
  </si>
  <si>
    <t>XA701NN</t>
  </si>
  <si>
    <t>XA701SY</t>
  </si>
  <si>
    <t>XA701TK</t>
  </si>
  <si>
    <t>XA701WK</t>
  </si>
  <si>
    <t>XA702FW</t>
  </si>
  <si>
    <t>XA702KT</t>
  </si>
  <si>
    <t>XA702NN</t>
  </si>
  <si>
    <t>XA702SY</t>
  </si>
  <si>
    <t>XA703KT</t>
  </si>
  <si>
    <t>XA703NN</t>
  </si>
  <si>
    <t>XA703SY</t>
  </si>
  <si>
    <t>XA704GP</t>
  </si>
  <si>
    <t>XA704NN</t>
  </si>
  <si>
    <t>XA704SY</t>
  </si>
  <si>
    <t>XA705GP</t>
  </si>
  <si>
    <t>XA705NN</t>
  </si>
  <si>
    <t>XA705SY</t>
  </si>
  <si>
    <t>XA706GL</t>
  </si>
  <si>
    <t>XA706NN</t>
  </si>
  <si>
    <t>XA707NN</t>
  </si>
  <si>
    <t>XA708FJ</t>
  </si>
  <si>
    <t>XA708MC</t>
  </si>
  <si>
    <t>XA708NN</t>
  </si>
  <si>
    <t>XA709MC</t>
  </si>
  <si>
    <t>XA709NN</t>
  </si>
  <si>
    <t>XA710AJ</t>
  </si>
  <si>
    <t>XA710GL</t>
  </si>
  <si>
    <t>XA710MC</t>
  </si>
  <si>
    <t>AP886BR</t>
  </si>
  <si>
    <t>XA710NN</t>
  </si>
  <si>
    <t>XA711AL</t>
  </si>
  <si>
    <t>XA711CV</t>
  </si>
  <si>
    <t>XA711DW</t>
  </si>
  <si>
    <t>XA711LX</t>
  </si>
  <si>
    <t>XA711MC</t>
  </si>
  <si>
    <t>XA711NN</t>
  </si>
  <si>
    <t>XA712AL</t>
  </si>
  <si>
    <t>XA712CV</t>
  </si>
  <si>
    <t>XA712GL</t>
  </si>
  <si>
    <t>XA712MC</t>
  </si>
  <si>
    <t>XA712NN</t>
  </si>
  <si>
    <t>XA713GL</t>
  </si>
  <si>
    <t>XA713NN</t>
  </si>
  <si>
    <t>XA714MC</t>
  </si>
  <si>
    <t>XA714NN</t>
  </si>
  <si>
    <t>XA715KT</t>
  </si>
  <si>
    <t>XA715NN</t>
  </si>
  <si>
    <t>XA715RS</t>
  </si>
  <si>
    <t>XA-715RS</t>
  </si>
  <si>
    <t>XA716BR</t>
  </si>
  <si>
    <t>XA716GL</t>
  </si>
  <si>
    <t>XA716KT</t>
  </si>
  <si>
    <t>XA716MC</t>
  </si>
  <si>
    <t>XA717AJ</t>
  </si>
  <si>
    <t>XA717BA</t>
  </si>
  <si>
    <t>XA717GL</t>
  </si>
  <si>
    <t>XA717KT</t>
  </si>
  <si>
    <t>XA717XA</t>
  </si>
  <si>
    <t>XA718KT</t>
  </si>
  <si>
    <t>XA718MC</t>
  </si>
  <si>
    <t>XA718PC</t>
  </si>
  <si>
    <t>XA719FW</t>
  </si>
  <si>
    <t>XA719GL</t>
  </si>
  <si>
    <t>XA719KT</t>
  </si>
  <si>
    <t>XA719PC</t>
  </si>
  <si>
    <t>XA719RS</t>
  </si>
  <si>
    <t>XA720AJ</t>
  </si>
  <si>
    <t>XA720GL</t>
  </si>
  <si>
    <t>XA720JD</t>
  </si>
  <si>
    <t>XA720KT</t>
  </si>
  <si>
    <t>XA720MC</t>
  </si>
  <si>
    <t>XA720PC</t>
  </si>
  <si>
    <t>XA720SL</t>
  </si>
  <si>
    <t>XA720VH</t>
  </si>
  <si>
    <t>XA721AJ</t>
  </si>
  <si>
    <t>XA721EK</t>
  </si>
  <si>
    <t>XA721JD</t>
  </si>
  <si>
    <t>XA721MC</t>
  </si>
  <si>
    <t>XA721PC</t>
  </si>
  <si>
    <t>XA721SY</t>
  </si>
  <si>
    <t>XA722AJ</t>
  </si>
  <si>
    <t>XA722JD</t>
  </si>
  <si>
    <t>XA722MC</t>
  </si>
  <si>
    <t>XA723GL</t>
  </si>
  <si>
    <t>XA723JD</t>
  </si>
  <si>
    <t>XA723MC</t>
  </si>
  <si>
    <t>XA723SB</t>
  </si>
  <si>
    <t>XA724CV</t>
  </si>
  <si>
    <t>XA724MC</t>
  </si>
  <si>
    <t>XA724ZV</t>
  </si>
  <si>
    <t>XA725AR</t>
  </si>
  <si>
    <t>XA725GL</t>
  </si>
  <si>
    <t>XA725MC</t>
  </si>
  <si>
    <t>XA726AJ</t>
  </si>
  <si>
    <t>XA726AR</t>
  </si>
  <si>
    <t>XA726GL</t>
  </si>
  <si>
    <t>XA726MC</t>
  </si>
  <si>
    <t>XA726MP</t>
  </si>
  <si>
    <t>XA727AR</t>
  </si>
  <si>
    <t>XA727HH</t>
  </si>
  <si>
    <t>XA727KX</t>
  </si>
  <si>
    <t>XA728AJ</t>
  </si>
  <si>
    <t>XA728FD</t>
  </si>
  <si>
    <t>XA730GL</t>
  </si>
  <si>
    <t>XA730JE</t>
  </si>
  <si>
    <t>XA731GL</t>
  </si>
  <si>
    <t>XA731WW</t>
  </si>
  <si>
    <t>XA732AA</t>
  </si>
  <si>
    <t>XA732JE</t>
  </si>
  <si>
    <t>XA732KT</t>
  </si>
  <si>
    <t>XA732MP</t>
  </si>
  <si>
    <t>XA732VG</t>
  </si>
  <si>
    <t>XA733VG</t>
  </si>
  <si>
    <t>AR114PG</t>
  </si>
  <si>
    <t>XA734VG</t>
  </si>
  <si>
    <t>XA735GL</t>
  </si>
  <si>
    <t>XA735JE</t>
  </si>
  <si>
    <t>XA735VG</t>
  </si>
  <si>
    <t>XA736AJ</t>
  </si>
  <si>
    <t>XA736GL</t>
  </si>
  <si>
    <t>XA736HB</t>
  </si>
  <si>
    <t>XA736JE</t>
  </si>
  <si>
    <t>XA736VG</t>
  </si>
  <si>
    <t>XA737HB</t>
  </si>
  <si>
    <t>XA737JE</t>
  </si>
  <si>
    <t>XA737KT</t>
  </si>
  <si>
    <t>XA737VG</t>
  </si>
  <si>
    <t>XA738GL</t>
  </si>
  <si>
    <t>XA738VG</t>
  </si>
  <si>
    <t>XA739JE</t>
  </si>
  <si>
    <t>XA739VG</t>
  </si>
  <si>
    <t>XA740JE</t>
  </si>
  <si>
    <t>XA741GX</t>
  </si>
  <si>
    <t>XA741JE</t>
  </si>
  <si>
    <t>XA741JJ</t>
  </si>
  <si>
    <t>XA741PC</t>
  </si>
  <si>
    <t>XA742GX</t>
  </si>
  <si>
    <t>XA742JE</t>
  </si>
  <si>
    <t>XA743EK</t>
  </si>
  <si>
    <t>XA743GX</t>
  </si>
  <si>
    <t>XA743JE</t>
  </si>
  <si>
    <t>XA743MW</t>
  </si>
  <si>
    <t>XA744JE</t>
  </si>
  <si>
    <t>XA744KR</t>
  </si>
  <si>
    <t>XA744NS</t>
  </si>
  <si>
    <t>XA744WW</t>
  </si>
  <si>
    <t>XA745GX</t>
  </si>
  <si>
    <t>XA745HW</t>
  </si>
  <si>
    <t>XA745JE</t>
  </si>
  <si>
    <t>XA745JJ</t>
  </si>
  <si>
    <t>XA745KR</t>
  </si>
  <si>
    <t>XA745NS</t>
  </si>
  <si>
    <t>XA745VH</t>
  </si>
  <si>
    <t>XA745VM</t>
  </si>
  <si>
    <t>XA746DV</t>
  </si>
  <si>
    <t>XA746KR</t>
  </si>
  <si>
    <t>XA746VM</t>
  </si>
  <si>
    <t>XA747EK</t>
  </si>
  <si>
    <t>XA747JE</t>
  </si>
  <si>
    <t>XA747KR</t>
  </si>
  <si>
    <t>XA747KT</t>
  </si>
  <si>
    <t>XA747VM</t>
  </si>
  <si>
    <t>XA748VM</t>
  </si>
  <si>
    <t>XA749FJ</t>
  </si>
  <si>
    <t>XA749VH</t>
  </si>
  <si>
    <t>XA749XB</t>
  </si>
  <si>
    <t>XA750CV</t>
  </si>
  <si>
    <t>XA750DV</t>
  </si>
  <si>
    <t>XA750FJ</t>
  </si>
  <si>
    <t>XA750PP</t>
  </si>
  <si>
    <t>XA750RH</t>
  </si>
  <si>
    <t>XA751AT</t>
  </si>
  <si>
    <t>XA751FJ</t>
  </si>
  <si>
    <t>XA751VH</t>
  </si>
  <si>
    <t>XA751XB</t>
  </si>
  <si>
    <t>XA752CV</t>
  </si>
  <si>
    <t>XA752DV</t>
  </si>
  <si>
    <t>XA752VH</t>
  </si>
  <si>
    <t>XA752ZV</t>
  </si>
  <si>
    <t>XA753VH</t>
  </si>
  <si>
    <t>XA754XX</t>
  </si>
  <si>
    <t>XA755JE</t>
  </si>
  <si>
    <t>XA755XX</t>
  </si>
  <si>
    <t>XA755YM</t>
  </si>
  <si>
    <t>XA756DV</t>
  </si>
  <si>
    <t>XA758CV</t>
  </si>
  <si>
    <t>XA759CV</t>
  </si>
  <si>
    <t>XA759VH</t>
  </si>
  <si>
    <t>XA760HE</t>
  </si>
  <si>
    <t>XA760MC</t>
  </si>
  <si>
    <t>AY541CY</t>
  </si>
  <si>
    <t>XA762CV</t>
  </si>
  <si>
    <t>XA762MC</t>
  </si>
  <si>
    <t>XA762SL</t>
  </si>
  <si>
    <t>XA763MC</t>
  </si>
  <si>
    <t>XA764MC</t>
  </si>
  <si>
    <t>XA765MC</t>
  </si>
  <si>
    <t>XA766KR</t>
  </si>
  <si>
    <t>XA766MC</t>
  </si>
  <si>
    <t>XA767CV</t>
  </si>
  <si>
    <t>XA767EK</t>
  </si>
  <si>
    <t>XA767GL</t>
  </si>
  <si>
    <t>XA767MC</t>
  </si>
  <si>
    <t>XA767NK</t>
  </si>
  <si>
    <t>XA767PV</t>
  </si>
  <si>
    <t>XA768PV</t>
  </si>
  <si>
    <t>XA769EK</t>
  </si>
  <si>
    <t>XA769ML</t>
  </si>
  <si>
    <t>XA770DW</t>
  </si>
  <si>
    <t>XA770FN</t>
  </si>
  <si>
    <t>XA770ML</t>
  </si>
  <si>
    <t>XA771DW</t>
  </si>
  <si>
    <t>XA771GL</t>
  </si>
  <si>
    <t>XA771MC</t>
  </si>
  <si>
    <t>XA772CT</t>
  </si>
  <si>
    <t>XA772DW</t>
  </si>
  <si>
    <t>XA772WW</t>
  </si>
  <si>
    <t>XA773WW</t>
  </si>
  <si>
    <t>XA773ZA</t>
  </si>
  <si>
    <t>XA774JE</t>
  </si>
  <si>
    <t>XA774WW</t>
  </si>
  <si>
    <t>XA774ZA</t>
  </si>
  <si>
    <t>XA775WW</t>
  </si>
  <si>
    <t>XA775ZA</t>
  </si>
  <si>
    <t>XA776WV</t>
  </si>
  <si>
    <t>XA776WW</t>
  </si>
  <si>
    <t>XA777WW</t>
  </si>
  <si>
    <t>XA778GL</t>
  </si>
  <si>
    <t>XA778NK</t>
  </si>
  <si>
    <t>XA778WW</t>
  </si>
  <si>
    <t>XA779NK</t>
  </si>
  <si>
    <t>XA780DE</t>
  </si>
  <si>
    <t>XA780GL</t>
  </si>
  <si>
    <t>XA780KL</t>
  </si>
  <si>
    <t>XA782CY</t>
  </si>
  <si>
    <t>XA782NN</t>
  </si>
  <si>
    <t>XA783MC</t>
  </si>
  <si>
    <t>XA783NN</t>
  </si>
  <si>
    <t>XA783PC</t>
  </si>
  <si>
    <t>XA783WW</t>
  </si>
  <si>
    <t>XA783ZN</t>
  </si>
  <si>
    <t>XA784NN</t>
  </si>
  <si>
    <t>XA784PC</t>
  </si>
  <si>
    <t>XA784WW</t>
  </si>
  <si>
    <t>XA785PC</t>
  </si>
  <si>
    <t>XA785WW</t>
  </si>
  <si>
    <t>XA785XX</t>
  </si>
  <si>
    <t>XA786CV</t>
  </si>
  <si>
    <t>XA786NN</t>
  </si>
  <si>
    <t>B07WZY</t>
  </si>
  <si>
    <t>XA786PC</t>
  </si>
  <si>
    <t>XA787NN</t>
  </si>
  <si>
    <t>XA788CY</t>
  </si>
  <si>
    <t>XA788NN</t>
  </si>
  <si>
    <t>XA788ZV</t>
  </si>
  <si>
    <t>XA789CV</t>
  </si>
  <si>
    <t>XA789EX</t>
  </si>
  <si>
    <t>XA789XX</t>
  </si>
  <si>
    <t>XA789ZV</t>
  </si>
  <si>
    <t>XA790CV</t>
  </si>
  <si>
    <t>XA790NN</t>
  </si>
  <si>
    <t>XA790XX</t>
  </si>
  <si>
    <t>XA791CV</t>
  </si>
  <si>
    <t>XA791NN</t>
  </si>
  <si>
    <t>XA791ZV</t>
  </si>
  <si>
    <t>XA792NN</t>
  </si>
  <si>
    <t>XA793JE</t>
  </si>
  <si>
    <t>XA793NN</t>
  </si>
  <si>
    <t>XA793XX</t>
  </si>
  <si>
    <t>XA794DE</t>
  </si>
  <si>
    <t>B103MLC</t>
  </si>
  <si>
    <t>XA794JY</t>
  </si>
  <si>
    <t>XA794NN</t>
  </si>
  <si>
    <t>XA794PG</t>
  </si>
  <si>
    <t>XA794XX</t>
  </si>
  <si>
    <t>XA795DE</t>
  </si>
  <si>
    <t>XA795JE</t>
  </si>
  <si>
    <t>XA795JY</t>
  </si>
  <si>
    <t>XA795NN</t>
  </si>
  <si>
    <t>BL285HL</t>
  </si>
  <si>
    <t>XA796NN</t>
  </si>
  <si>
    <t>XA797EK</t>
  </si>
  <si>
    <t>XA798EK</t>
  </si>
  <si>
    <t>XA799CV</t>
  </si>
  <si>
    <t>XA799MC</t>
  </si>
  <si>
    <t>XA799NN</t>
  </si>
  <si>
    <t>BL633KD</t>
  </si>
  <si>
    <t>XA800NN</t>
  </si>
  <si>
    <t>XA800RS</t>
  </si>
  <si>
    <t>T&amp;TI CARGO LINE S.R.L.</t>
  </si>
  <si>
    <t>XA801JJ</t>
  </si>
  <si>
    <t>XA801MB</t>
  </si>
  <si>
    <t>XA801NN</t>
  </si>
  <si>
    <t>XA802AH</t>
  </si>
  <si>
    <t>XA802JJ</t>
  </si>
  <si>
    <t>XA802MB</t>
  </si>
  <si>
    <t>NUOVA EXPRESS LINE S.R.L.</t>
  </si>
  <si>
    <t>XA802NN</t>
  </si>
  <si>
    <t>XA802YS</t>
  </si>
  <si>
    <t>XA803MB</t>
  </si>
  <si>
    <t>BN510KB</t>
  </si>
  <si>
    <t>XA803SY</t>
  </si>
  <si>
    <t>XA803YS</t>
  </si>
  <si>
    <t>XA804MB</t>
  </si>
  <si>
    <t>XA804NN</t>
  </si>
  <si>
    <t>XA805EK</t>
  </si>
  <si>
    <t>XA805LK</t>
  </si>
  <si>
    <t>XA805MB</t>
  </si>
  <si>
    <t>XA805NN</t>
  </si>
  <si>
    <t>XA806MB</t>
  </si>
  <si>
    <t>XA806NN</t>
  </si>
  <si>
    <t>XA807MB</t>
  </si>
  <si>
    <t>XA807NN</t>
  </si>
  <si>
    <t>XA807VL</t>
  </si>
  <si>
    <t>XA808AP</t>
  </si>
  <si>
    <t>XA808CT</t>
  </si>
  <si>
    <t>XA808KF</t>
  </si>
  <si>
    <t>XA808MB</t>
  </si>
  <si>
    <t>XA808NN</t>
  </si>
  <si>
    <t>XA809JW</t>
  </si>
  <si>
    <t>XA809MB</t>
  </si>
  <si>
    <t>XA809NN</t>
  </si>
  <si>
    <t>XA810EK</t>
  </si>
  <si>
    <t>XA810JJ</t>
  </si>
  <si>
    <t>XA810MB</t>
  </si>
  <si>
    <t>XA810NN</t>
  </si>
  <si>
    <t>XA811EK</t>
  </si>
  <si>
    <t>XA811HF</t>
  </si>
  <si>
    <t>XA811NN</t>
  </si>
  <si>
    <t>XA812EK</t>
  </si>
  <si>
    <t>XA812NN</t>
  </si>
  <si>
    <t>XA813EK</t>
  </si>
  <si>
    <t>XA813FK</t>
  </si>
  <si>
    <t>XA813KF</t>
  </si>
  <si>
    <t>XA813NN</t>
  </si>
  <si>
    <t>XA814KF</t>
  </si>
  <si>
    <t>BR233RC</t>
  </si>
  <si>
    <t>BR994HX</t>
  </si>
  <si>
    <t>XA815CB</t>
  </si>
  <si>
    <t>XA815KF</t>
  </si>
  <si>
    <t>XA815NN</t>
  </si>
  <si>
    <t>XA816HF</t>
  </si>
  <si>
    <t>XA816KF</t>
  </si>
  <si>
    <t>XA817JJ</t>
  </si>
  <si>
    <t>XA817KF</t>
  </si>
  <si>
    <t>XA817NN</t>
  </si>
  <si>
    <t>XA817NR</t>
  </si>
  <si>
    <t>XA818JJ</t>
  </si>
  <si>
    <t>XA818KF</t>
  </si>
  <si>
    <t>XA819JJ</t>
  </si>
  <si>
    <t>XA819KF</t>
  </si>
  <si>
    <t>XA820JJ</t>
  </si>
  <si>
    <t>XA820KF</t>
  </si>
  <si>
    <t>XA821JJ</t>
  </si>
  <si>
    <t>XA821KF</t>
  </si>
  <si>
    <t>XA821SY</t>
  </si>
  <si>
    <t>XA822KL</t>
  </si>
  <si>
    <t>XA822KV</t>
  </si>
  <si>
    <t>XA822SY</t>
  </si>
  <si>
    <t>XA823DH</t>
  </si>
  <si>
    <t>XA823SY</t>
  </si>
  <si>
    <t>XA823XK</t>
  </si>
  <si>
    <t>XA824BS</t>
  </si>
  <si>
    <t>XA824SY</t>
  </si>
  <si>
    <t>XA825FA</t>
  </si>
  <si>
    <t>XA825SY</t>
  </si>
  <si>
    <t>XA826SY</t>
  </si>
  <si>
    <t>XA826TK</t>
  </si>
  <si>
    <t>XA827AL</t>
  </si>
  <si>
    <t>XA827KS</t>
  </si>
  <si>
    <t>XA827SY</t>
  </si>
  <si>
    <t>BS012SB</t>
  </si>
  <si>
    <t>XA828SE</t>
  </si>
  <si>
    <t>XA829SY</t>
  </si>
  <si>
    <t>XA829YS</t>
  </si>
  <si>
    <t>BS208LE</t>
  </si>
  <si>
    <t>XA830SY</t>
  </si>
  <si>
    <t>XA831EK</t>
  </si>
  <si>
    <t>XA831KF</t>
  </si>
  <si>
    <t>XA831SY</t>
  </si>
  <si>
    <t>XA832KF</t>
  </si>
  <si>
    <t>XA832KT</t>
  </si>
  <si>
    <t>XA832SY</t>
  </si>
  <si>
    <t>XA832TL</t>
  </si>
  <si>
    <t>XA832TR</t>
  </si>
  <si>
    <t>XA833KF</t>
  </si>
  <si>
    <t>XA833SY</t>
  </si>
  <si>
    <t>XA834SY</t>
  </si>
  <si>
    <t>XA835KF</t>
  </si>
  <si>
    <t>XA835SY</t>
  </si>
  <si>
    <t>XA836RN</t>
  </si>
  <si>
    <t>XA836SY</t>
  </si>
  <si>
    <t>XA837KS</t>
  </si>
  <si>
    <t>XA837SB</t>
  </si>
  <si>
    <t>XA837SY</t>
  </si>
  <si>
    <t>XA837ZV</t>
  </si>
  <si>
    <t>XA838DW</t>
  </si>
  <si>
    <t>XA838EY</t>
  </si>
  <si>
    <t>XA838SY</t>
  </si>
  <si>
    <t>XA839DW</t>
  </si>
  <si>
    <t>XA839MS</t>
  </si>
  <si>
    <t>XA839SY</t>
  </si>
  <si>
    <t>XA840KS</t>
  </si>
  <si>
    <t>XA840MS</t>
  </si>
  <si>
    <t>XA840SY</t>
  </si>
  <si>
    <t>XA841DW</t>
  </si>
  <si>
    <t>BV922HK</t>
  </si>
  <si>
    <t>XA841SY</t>
  </si>
  <si>
    <t>XA842DW</t>
  </si>
  <si>
    <t>XA842KS</t>
  </si>
  <si>
    <t>XA842SY</t>
  </si>
  <si>
    <t>XA842TK</t>
  </si>
  <si>
    <t>XA842VH</t>
  </si>
  <si>
    <t>XA843KS</t>
  </si>
  <si>
    <t>XA843VH</t>
  </si>
  <si>
    <t>XA844DW</t>
  </si>
  <si>
    <t>XA844EK</t>
  </si>
  <si>
    <t>XA844TK</t>
  </si>
  <si>
    <t>XA844XW</t>
  </si>
  <si>
    <t>XA845EK</t>
  </si>
  <si>
    <t>XA845KS</t>
  </si>
  <si>
    <t>XA846EK</t>
  </si>
  <si>
    <t>XA846KF</t>
  </si>
  <si>
    <t>XA846MT</t>
  </si>
  <si>
    <t>XA846TK</t>
  </si>
  <si>
    <t>XA847CT</t>
  </si>
  <si>
    <t>XA847EK</t>
  </si>
  <si>
    <t>XA847KF</t>
  </si>
  <si>
    <t>XA847TK</t>
  </si>
  <si>
    <t>XA848KF</t>
  </si>
  <si>
    <t>XA849TK</t>
  </si>
  <si>
    <t>XA850EK</t>
  </si>
  <si>
    <t>XA850JW</t>
  </si>
  <si>
    <t>XA850TK</t>
  </si>
  <si>
    <t>XA851CR</t>
  </si>
  <si>
    <t>XA851JW</t>
  </si>
  <si>
    <t>XA851TK</t>
  </si>
  <si>
    <t>XA853TK</t>
  </si>
  <si>
    <t>XA854TK</t>
  </si>
  <si>
    <t>XA855AL</t>
  </si>
  <si>
    <t>XA855AP</t>
  </si>
  <si>
    <t>XA855PK</t>
  </si>
  <si>
    <t>XA856AL</t>
  </si>
  <si>
    <t>XA856AP</t>
  </si>
  <si>
    <t>XA856MS</t>
  </si>
  <si>
    <t>XA-856RN</t>
  </si>
  <si>
    <t>XA856WJ</t>
  </si>
  <si>
    <t>XA856-WJ</t>
  </si>
  <si>
    <t>XA857-WJ</t>
  </si>
  <si>
    <t>XA-857WJ</t>
  </si>
  <si>
    <t>XA858AL</t>
  </si>
  <si>
    <t>XA858PG</t>
  </si>
  <si>
    <t>XA858RA</t>
  </si>
  <si>
    <t>XA858WJ</t>
  </si>
  <si>
    <t>XA859AL</t>
  </si>
  <si>
    <t>XA859EK</t>
  </si>
  <si>
    <t>XA859RA</t>
  </si>
  <si>
    <t>XA860EY</t>
  </si>
  <si>
    <t>XA860WH</t>
  </si>
  <si>
    <t>XA861HP</t>
  </si>
  <si>
    <t>XA861TK</t>
  </si>
  <si>
    <t>XA862TK</t>
  </si>
  <si>
    <t>XA863TK</t>
  </si>
  <si>
    <t>XA864EK</t>
  </si>
  <si>
    <t>XA864KF</t>
  </si>
  <si>
    <t>XA866TK</t>
  </si>
  <si>
    <t>XA867LP</t>
  </si>
  <si>
    <t>XA867MB</t>
  </si>
  <si>
    <t>XA867TK</t>
  </si>
  <si>
    <t>XA867YS</t>
  </si>
  <si>
    <t>XA868DL</t>
  </si>
  <si>
    <t>XA868TK</t>
  </si>
  <si>
    <t>XA868WD</t>
  </si>
  <si>
    <t>XA869TK</t>
  </si>
  <si>
    <t>XA870TK</t>
  </si>
  <si>
    <t>XA872BA</t>
  </si>
  <si>
    <t>XA874LZ</t>
  </si>
  <si>
    <t>XA874YS</t>
  </si>
  <si>
    <t>XA875LZ</t>
  </si>
  <si>
    <t>XA875YS</t>
  </si>
  <si>
    <t>XA876LZ</t>
  </si>
  <si>
    <t>XA876MX</t>
  </si>
  <si>
    <t>XA876YS</t>
  </si>
  <si>
    <t>XA877MS</t>
  </si>
  <si>
    <t>XA878AP</t>
  </si>
  <si>
    <t>XA878NN</t>
  </si>
  <si>
    <t>XA878WH</t>
  </si>
  <si>
    <t>XA879AP</t>
  </si>
  <si>
    <t>XA879NN</t>
  </si>
  <si>
    <t>XA880HA</t>
  </si>
  <si>
    <t>XA880NN</t>
  </si>
  <si>
    <t>XA881NN</t>
  </si>
  <si>
    <t>XA881RA</t>
  </si>
  <si>
    <t>XA882KV</t>
  </si>
  <si>
    <t>XA882KW</t>
  </si>
  <si>
    <t>XA882SB</t>
  </si>
  <si>
    <t>XA883KV</t>
  </si>
  <si>
    <t>XA883SB</t>
  </si>
  <si>
    <t>XA884EK</t>
  </si>
  <si>
    <t>XA886AR</t>
  </si>
  <si>
    <t>XA887AP</t>
  </si>
  <si>
    <t>XA887SL</t>
  </si>
  <si>
    <t>XA888AP</t>
  </si>
  <si>
    <t>XA889AP</t>
  </si>
  <si>
    <t>XA889JW</t>
  </si>
  <si>
    <t>XA890AP</t>
  </si>
  <si>
    <t>XA890JW</t>
  </si>
  <si>
    <t>XA890SL</t>
  </si>
  <si>
    <t>XA890WD</t>
  </si>
  <si>
    <t>XA893DW</t>
  </si>
  <si>
    <t>XA894TK</t>
  </si>
  <si>
    <t>XA895LR</t>
  </si>
  <si>
    <t>XA895TK</t>
  </si>
  <si>
    <t>XA896LR</t>
  </si>
  <si>
    <t>XA896TK</t>
  </si>
  <si>
    <t>XA897LR</t>
  </si>
  <si>
    <t>XA898JD</t>
  </si>
  <si>
    <t>XA898LR</t>
  </si>
  <si>
    <t>XA899JD</t>
  </si>
  <si>
    <t>XA899LR</t>
  </si>
  <si>
    <t>XA900KH</t>
  </si>
  <si>
    <t>XA900WH</t>
  </si>
  <si>
    <t>XA901RX</t>
  </si>
  <si>
    <t>XA901SB</t>
  </si>
  <si>
    <t>XA901XD</t>
  </si>
  <si>
    <t>XA-901XD</t>
  </si>
  <si>
    <t>XA902SB</t>
  </si>
  <si>
    <t>XA902XD</t>
  </si>
  <si>
    <t>XA902XD-</t>
  </si>
  <si>
    <t>XA903JY</t>
  </si>
  <si>
    <t>XA903PW</t>
  </si>
  <si>
    <t>XA903PX</t>
  </si>
  <si>
    <t>XA-904XD</t>
  </si>
  <si>
    <t>XA904ZJ</t>
  </si>
  <si>
    <t>XA905JX</t>
  </si>
  <si>
    <t>XA905PW</t>
  </si>
  <si>
    <t>XA905XD</t>
  </si>
  <si>
    <t>XA905ZJ</t>
  </si>
  <si>
    <t>XA906HB</t>
  </si>
  <si>
    <t>XA906MB</t>
  </si>
  <si>
    <t>XA906PW</t>
  </si>
  <si>
    <t>XA906ZJ</t>
  </si>
  <si>
    <t>XA907HB</t>
  </si>
  <si>
    <t>XA907PW</t>
  </si>
  <si>
    <t>XA907ZJ</t>
  </si>
  <si>
    <t>XA908PW</t>
  </si>
  <si>
    <t>XA908SB</t>
  </si>
  <si>
    <t>XA908ZJ</t>
  </si>
  <si>
    <t>XA909NM</t>
  </si>
  <si>
    <t>XA909PH</t>
  </si>
  <si>
    <t>XA-909PH</t>
  </si>
  <si>
    <t>XA909SB</t>
  </si>
  <si>
    <t>XA909ZJ</t>
  </si>
  <si>
    <t>XA910GJ</t>
  </si>
  <si>
    <t>XA910NM</t>
  </si>
  <si>
    <t>XA911GJ</t>
  </si>
  <si>
    <t>XA911NM</t>
  </si>
  <si>
    <t>XA912GJ</t>
  </si>
  <si>
    <t>XA913GJ</t>
  </si>
  <si>
    <t>XA913HB</t>
  </si>
  <si>
    <t>XA914FM</t>
  </si>
  <si>
    <t>XA914GJ</t>
  </si>
  <si>
    <t>XA917KP</t>
  </si>
  <si>
    <t>XA919MK</t>
  </si>
  <si>
    <t>XA919PW</t>
  </si>
  <si>
    <t>XA920PW</t>
  </si>
  <si>
    <t>XA920WL</t>
  </si>
  <si>
    <t>XA920WM</t>
  </si>
  <si>
    <t>XA921VY</t>
  </si>
  <si>
    <t>XA923HZ</t>
  </si>
  <si>
    <t>XA925NM</t>
  </si>
  <si>
    <t>XA927TK</t>
  </si>
  <si>
    <t>XA928EJ</t>
  </si>
  <si>
    <t>XA-928EJ</t>
  </si>
  <si>
    <t>XA928JX</t>
  </si>
  <si>
    <t>XA928RM</t>
  </si>
  <si>
    <t>XA928TK</t>
  </si>
  <si>
    <t>XA928VY</t>
  </si>
  <si>
    <t>XA929TK</t>
  </si>
  <si>
    <t>XA930JX</t>
  </si>
  <si>
    <t>XA930JY</t>
  </si>
  <si>
    <t>XA930TK</t>
  </si>
  <si>
    <t>XA931JY</t>
  </si>
  <si>
    <t>XA931TK</t>
  </si>
  <si>
    <t>XA932JX</t>
  </si>
  <si>
    <t>XA932MB</t>
  </si>
  <si>
    <t>XA932TK</t>
  </si>
  <si>
    <t>XA933JX</t>
  </si>
  <si>
    <t>XA933KP</t>
  </si>
  <si>
    <t>XA933MB</t>
  </si>
  <si>
    <t>XA933TK</t>
  </si>
  <si>
    <t>XA934MB</t>
  </si>
  <si>
    <t>XA934NM</t>
  </si>
  <si>
    <t>XA934TK</t>
  </si>
  <si>
    <t>XA935MB</t>
  </si>
  <si>
    <t>XA935NM</t>
  </si>
  <si>
    <t>XA935TD</t>
  </si>
  <si>
    <t>XA935TK</t>
  </si>
  <si>
    <t>XA936MB</t>
  </si>
  <si>
    <t>XA936TD</t>
  </si>
  <si>
    <t>XA936TK</t>
  </si>
  <si>
    <t>XA937MB</t>
  </si>
  <si>
    <t>XA937MK</t>
  </si>
  <si>
    <t>XA937TD</t>
  </si>
  <si>
    <t>XA937TK</t>
  </si>
  <si>
    <t>XA938GJ</t>
  </si>
  <si>
    <t>XA938TD</t>
  </si>
  <si>
    <t>XA938TK</t>
  </si>
  <si>
    <t>XA939MB</t>
  </si>
  <si>
    <t>XA939TD</t>
  </si>
  <si>
    <t>XA939TK</t>
  </si>
  <si>
    <t>XA940MK</t>
  </si>
  <si>
    <t>XA940TK</t>
  </si>
  <si>
    <t>XA941GJ</t>
  </si>
  <si>
    <t>XA941HY</t>
  </si>
  <si>
    <t>XA941MK</t>
  </si>
  <si>
    <t>XA941TK</t>
  </si>
  <si>
    <t>XA942GJ</t>
  </si>
  <si>
    <t>XA942MK</t>
  </si>
  <si>
    <t>XA942TK</t>
  </si>
  <si>
    <t>XA942VY</t>
  </si>
  <si>
    <t>XA943BK</t>
  </si>
  <si>
    <t>XA943GJ</t>
  </si>
  <si>
    <t>XA943MK</t>
  </si>
  <si>
    <t>XA943TK</t>
  </si>
  <si>
    <t>XA944BK</t>
  </si>
  <si>
    <t>XA944EM</t>
  </si>
  <si>
    <t>XA944GJ</t>
  </si>
  <si>
    <t>XA944MK</t>
  </si>
  <si>
    <t>XA944TK</t>
  </si>
  <si>
    <t>XA945JT</t>
  </si>
  <si>
    <t>XA945MK</t>
  </si>
  <si>
    <t>XA946MK</t>
  </si>
  <si>
    <t>XA946VY</t>
  </si>
  <si>
    <t>XA947DW</t>
  </si>
  <si>
    <t>XA947FJ</t>
  </si>
  <si>
    <t>XA947JY</t>
  </si>
  <si>
    <t>XA947MK</t>
  </si>
  <si>
    <t>XA947VY</t>
  </si>
  <si>
    <t>XA948DW</t>
  </si>
  <si>
    <t>XA948MK</t>
  </si>
  <si>
    <t>XA948TL</t>
  </si>
  <si>
    <t>TONIA TRASPORTI S.R.L.</t>
  </si>
  <si>
    <t>XA948VY</t>
  </si>
  <si>
    <t>XA949VY</t>
  </si>
  <si>
    <t>XA949ZR</t>
  </si>
  <si>
    <t>XA950JX</t>
  </si>
  <si>
    <t>XA953HF</t>
  </si>
  <si>
    <t>XA953RF</t>
  </si>
  <si>
    <t>XA953WK</t>
  </si>
  <si>
    <t>CB725CW</t>
  </si>
  <si>
    <t>XA955TX</t>
  </si>
  <si>
    <t>XA956WM</t>
  </si>
  <si>
    <t>NO NUOVA EXPRESS LINE</t>
  </si>
  <si>
    <t>XA957GB</t>
  </si>
  <si>
    <t>XA958RG</t>
  </si>
  <si>
    <t>XA959KH</t>
  </si>
  <si>
    <t>XA959RG</t>
  </si>
  <si>
    <t>CB725CY</t>
  </si>
  <si>
    <t>HR08ALZ</t>
  </si>
  <si>
    <t>XA959WW</t>
  </si>
  <si>
    <t>XA960CZ</t>
  </si>
  <si>
    <t>XA960KH</t>
  </si>
  <si>
    <t>XA960WY</t>
  </si>
  <si>
    <t>XA961KH</t>
  </si>
  <si>
    <t>XA961VY</t>
  </si>
  <si>
    <t>XA962KH</t>
  </si>
  <si>
    <t>XA962WK</t>
  </si>
  <si>
    <t>XA963KH</t>
  </si>
  <si>
    <t>XA963MC</t>
  </si>
  <si>
    <t>XA963VY</t>
  </si>
  <si>
    <t>XA963WK</t>
  </si>
  <si>
    <t>XA964KH</t>
  </si>
  <si>
    <t>XA965KH</t>
  </si>
  <si>
    <t>XA965MB</t>
  </si>
  <si>
    <t>XA966KH</t>
  </si>
  <si>
    <t>XA967KH</t>
  </si>
  <si>
    <t>XA968KH</t>
  </si>
  <si>
    <t>XA968MB</t>
  </si>
  <si>
    <t>XA970EB</t>
  </si>
  <si>
    <t>KH703HA</t>
  </si>
  <si>
    <t>XA972JY</t>
  </si>
  <si>
    <t>XA972TJ</t>
  </si>
  <si>
    <t>XA972WK</t>
  </si>
  <si>
    <t>XA973JE</t>
  </si>
  <si>
    <t>XA973JY</t>
  </si>
  <si>
    <t>SV33MLC</t>
  </si>
  <si>
    <t>XA974FM</t>
  </si>
  <si>
    <t>SW091LE</t>
  </si>
  <si>
    <t>XA975HF</t>
  </si>
  <si>
    <t>XA975VY</t>
  </si>
  <si>
    <t>XA976TK</t>
  </si>
  <si>
    <t>XA977HF</t>
  </si>
  <si>
    <t>XA978JY</t>
  </si>
  <si>
    <t>XA978NM</t>
  </si>
  <si>
    <t>XA978TL</t>
  </si>
  <si>
    <t>XA978VY</t>
  </si>
  <si>
    <t>XA9798JA</t>
  </si>
  <si>
    <t>XA979HF</t>
  </si>
  <si>
    <t>XA979NH</t>
  </si>
  <si>
    <t>XA979NM</t>
  </si>
  <si>
    <t>XA980VY</t>
  </si>
  <si>
    <t>XA981JT</t>
  </si>
  <si>
    <t>XA983BF</t>
  </si>
  <si>
    <t>XA983LV</t>
  </si>
  <si>
    <t>XA983LY</t>
  </si>
  <si>
    <t>XA984BM</t>
  </si>
  <si>
    <t>XA984LY</t>
  </si>
  <si>
    <t>XA984SY</t>
  </si>
  <si>
    <t>XA985LR</t>
  </si>
  <si>
    <t>XA985LY</t>
  </si>
  <si>
    <t>XA986LY</t>
  </si>
  <si>
    <t>XA986WK</t>
  </si>
  <si>
    <t>XA987LY</t>
  </si>
  <si>
    <t>XA987PW</t>
  </si>
  <si>
    <t>XA987WK</t>
  </si>
  <si>
    <t>XA988GB</t>
  </si>
  <si>
    <t>XA988PW</t>
  </si>
  <si>
    <t>XA988WK</t>
  </si>
  <si>
    <t>XA989AR</t>
  </si>
  <si>
    <t>XA989WK</t>
  </si>
  <si>
    <t>XA990EJ</t>
  </si>
  <si>
    <t>XA990WK</t>
  </si>
  <si>
    <t>XA991WK</t>
  </si>
  <si>
    <t>XA992AR</t>
  </si>
  <si>
    <t>XA992EM</t>
  </si>
  <si>
    <t>VL07WLL</t>
  </si>
  <si>
    <t>XA994EM</t>
  </si>
  <si>
    <t>XA994LR</t>
  </si>
  <si>
    <t>XA995EM</t>
  </si>
  <si>
    <t>XA995KP</t>
  </si>
  <si>
    <t>XA995LR</t>
  </si>
  <si>
    <t>XA996AR</t>
  </si>
  <si>
    <t>XA996EM</t>
  </si>
  <si>
    <t>VW892CH</t>
  </si>
  <si>
    <t>XA996NM</t>
  </si>
  <si>
    <t>XA997AR</t>
  </si>
  <si>
    <t>XA997EM</t>
  </si>
  <si>
    <t>XA997JX</t>
  </si>
  <si>
    <t>XA997NM</t>
  </si>
  <si>
    <t>XA997RM</t>
  </si>
  <si>
    <t>XA997SY</t>
  </si>
  <si>
    <t>XA997WK</t>
  </si>
  <si>
    <t>XA998SY</t>
  </si>
  <si>
    <t>XA998WK</t>
  </si>
  <si>
    <t>XA999AR</t>
  </si>
  <si>
    <t>XA999EM</t>
  </si>
  <si>
    <t>XA999TG</t>
  </si>
  <si>
    <t>XA999XA</t>
  </si>
  <si>
    <t>XB022AP</t>
  </si>
  <si>
    <t>XB027AP</t>
  </si>
  <si>
    <t>XB030AP</t>
  </si>
  <si>
    <t>XB040AF</t>
  </si>
  <si>
    <t>XB041AF</t>
  </si>
  <si>
    <t>XB074AF</t>
  </si>
  <si>
    <t>XB091AD</t>
  </si>
  <si>
    <t>XB095AD</t>
  </si>
  <si>
    <t>XB145AG</t>
  </si>
  <si>
    <t xml:space="preserve">XB166AG </t>
  </si>
  <si>
    <t xml:space="preserve">F.M. SOLO PER PADOVA </t>
  </si>
  <si>
    <t>XB167AG</t>
  </si>
  <si>
    <t xml:space="preserve">XB167AG </t>
  </si>
  <si>
    <t>XB168AG</t>
  </si>
  <si>
    <t xml:space="preserve">XB172AG </t>
  </si>
  <si>
    <t>XB173AG</t>
  </si>
  <si>
    <t>XB363AB</t>
  </si>
  <si>
    <t>XB488AW</t>
  </si>
  <si>
    <t>XB544BC</t>
  </si>
  <si>
    <t>XB578AG</t>
  </si>
  <si>
    <t>XB625AB</t>
  </si>
  <si>
    <t>XB628AB</t>
  </si>
  <si>
    <t>XB636AB</t>
  </si>
  <si>
    <t>SOLO X LYS FRT</t>
  </si>
  <si>
    <t>XB663AM</t>
  </si>
  <si>
    <t>XB664AM</t>
  </si>
  <si>
    <t>XB692AF</t>
  </si>
  <si>
    <t>XB752AY</t>
  </si>
  <si>
    <t>XB753AY</t>
  </si>
  <si>
    <t>XB807AV</t>
  </si>
  <si>
    <t>XB810AV</t>
  </si>
  <si>
    <t>XB812AP</t>
  </si>
  <si>
    <t>XB835AP</t>
  </si>
  <si>
    <t>XB854AP</t>
  </si>
  <si>
    <t>XB856AP</t>
  </si>
  <si>
    <t>XB857AP</t>
  </si>
  <si>
    <t>XB859AP</t>
  </si>
  <si>
    <t>XB860AP</t>
  </si>
  <si>
    <t>XB863AP</t>
  </si>
  <si>
    <t>XB865AP</t>
  </si>
  <si>
    <t>XB869AP</t>
  </si>
  <si>
    <t>XB870AP</t>
  </si>
  <si>
    <t>XB871AP</t>
  </si>
  <si>
    <t>XB873AP</t>
  </si>
  <si>
    <t>XB875AP</t>
  </si>
  <si>
    <t>XH644RE</t>
  </si>
  <si>
    <t>XR083WS</t>
  </si>
  <si>
    <t>XSH21340</t>
  </si>
  <si>
    <t>XSH22800</t>
  </si>
  <si>
    <t>XSH23220</t>
  </si>
  <si>
    <t>XSH23303</t>
  </si>
  <si>
    <t>XSH26035</t>
  </si>
  <si>
    <t>XYS994</t>
  </si>
  <si>
    <t>XYY807</t>
  </si>
  <si>
    <t>XYY808</t>
  </si>
  <si>
    <t>XYY812</t>
  </si>
  <si>
    <t>XZ401WR</t>
  </si>
  <si>
    <t>XZE622</t>
  </si>
  <si>
    <t>XZE911</t>
  </si>
  <si>
    <t>XZE916</t>
  </si>
  <si>
    <t>XZE917</t>
  </si>
  <si>
    <t>XZE922</t>
  </si>
  <si>
    <t>XZR-230</t>
  </si>
  <si>
    <t>XZR237</t>
  </si>
  <si>
    <t>XZX107</t>
  </si>
  <si>
    <t>XZX-107</t>
  </si>
  <si>
    <t>XZX112</t>
  </si>
  <si>
    <t>XZX113</t>
  </si>
  <si>
    <t>PASDINFO</t>
  </si>
  <si>
    <t>Kronos Express Srl</t>
  </si>
  <si>
    <t>van 14 m3</t>
  </si>
  <si>
    <t>B06MLC</t>
  </si>
  <si>
    <t>van conv. box</t>
  </si>
  <si>
    <t>B104WZY</t>
  </si>
  <si>
    <t>B118MLC</t>
  </si>
  <si>
    <t>BL570YG</t>
  </si>
  <si>
    <t>BM413TH</t>
  </si>
  <si>
    <t>BP10849</t>
  </si>
  <si>
    <t>BV575GT</t>
  </si>
  <si>
    <t>BX062DL</t>
  </si>
  <si>
    <t>CD403DR</t>
  </si>
  <si>
    <t>TGFL023RF</t>
  </si>
  <si>
    <t>AD69366</t>
  </si>
  <si>
    <t>JL292</t>
  </si>
  <si>
    <t>OP24RR</t>
  </si>
  <si>
    <t>R9076BDF</t>
  </si>
  <si>
    <t>RIJK-10723</t>
  </si>
  <si>
    <t>TM92ESS</t>
  </si>
  <si>
    <t>XA138TB</t>
  </si>
  <si>
    <t>FENIX TRASPORTI S.R.L.</t>
  </si>
  <si>
    <t>XA262YG</t>
  </si>
  <si>
    <t>XA289YG</t>
  </si>
  <si>
    <t>XA316YG</t>
  </si>
  <si>
    <t>XA546LT</t>
  </si>
  <si>
    <t>XA556NK</t>
  </si>
  <si>
    <t>XA642RE-</t>
  </si>
  <si>
    <t>XA811JJ</t>
  </si>
  <si>
    <t>XA835AP</t>
  </si>
  <si>
    <t>XA961WK</t>
  </si>
  <si>
    <t>XB093AD</t>
  </si>
  <si>
    <t>XB616AL</t>
  </si>
  <si>
    <t>XB826AP</t>
  </si>
  <si>
    <t>XSH25047</t>
  </si>
  <si>
    <t>XSH26751</t>
  </si>
  <si>
    <t>AE82114</t>
  </si>
  <si>
    <t>XA897XH</t>
  </si>
  <si>
    <t>XA280YG</t>
  </si>
  <si>
    <t>XA465GH</t>
  </si>
  <si>
    <t>XA372FZ</t>
  </si>
  <si>
    <t xml:space="preserve">ORANGE </t>
  </si>
  <si>
    <t>PURPLE</t>
  </si>
  <si>
    <t>BAIA</t>
  </si>
  <si>
    <t>ZIPH</t>
  </si>
  <si>
    <t>PSAT8</t>
  </si>
  <si>
    <t>MRST8</t>
  </si>
  <si>
    <t>XIKA</t>
  </si>
  <si>
    <t>404/405</t>
  </si>
  <si>
    <t>ISHA</t>
  </si>
  <si>
    <t>AHOA</t>
  </si>
  <si>
    <t>ISRA</t>
  </si>
  <si>
    <t>408/409</t>
  </si>
  <si>
    <t>CUFT8</t>
  </si>
  <si>
    <t>FRLA</t>
  </si>
  <si>
    <t>XVYA</t>
  </si>
  <si>
    <t>412/413</t>
  </si>
  <si>
    <t>QZR</t>
  </si>
  <si>
    <t>QZRT8</t>
  </si>
  <si>
    <t>XRLA</t>
  </si>
  <si>
    <t>VNZT8</t>
  </si>
  <si>
    <t>PMFT8</t>
  </si>
  <si>
    <t>QICA</t>
  </si>
  <si>
    <t>BRIP</t>
  </si>
  <si>
    <t>MILA</t>
  </si>
  <si>
    <t>BLQP</t>
  </si>
  <si>
    <t>421/422/423</t>
  </si>
  <si>
    <t>BZQA</t>
  </si>
  <si>
    <t>425/426/427</t>
  </si>
  <si>
    <t>ZCBA</t>
  </si>
  <si>
    <t>ZIQH</t>
  </si>
  <si>
    <t>433/434</t>
  </si>
  <si>
    <t>AOIP</t>
  </si>
  <si>
    <t>435/436</t>
  </si>
  <si>
    <t>SAYA</t>
  </si>
  <si>
    <t>ZJYH</t>
  </si>
  <si>
    <t>438/439</t>
  </si>
  <si>
    <t>ROMT8</t>
  </si>
  <si>
    <t>QCZA</t>
  </si>
  <si>
    <t>ZMFH</t>
  </si>
  <si>
    <t>442/443</t>
  </si>
  <si>
    <t>QPZT8</t>
  </si>
  <si>
    <t>QPAT8</t>
  </si>
  <si>
    <t>XNCA</t>
  </si>
  <si>
    <t>IPRA</t>
  </si>
  <si>
    <t>DCIA</t>
  </si>
  <si>
    <t>448/449</t>
  </si>
  <si>
    <t>FIRA</t>
  </si>
  <si>
    <t>QEAA</t>
  </si>
  <si>
    <t>451/452</t>
  </si>
  <si>
    <t>LTZA</t>
  </si>
  <si>
    <t>AOTT8</t>
  </si>
  <si>
    <t>QCLA</t>
  </si>
  <si>
    <t>SKGA</t>
  </si>
  <si>
    <t>SUFA</t>
  </si>
  <si>
    <t>302/303</t>
  </si>
  <si>
    <t>BAUA</t>
  </si>
  <si>
    <t>304/305</t>
  </si>
  <si>
    <t>QALT8</t>
  </si>
  <si>
    <t>QRGA</t>
  </si>
  <si>
    <t>307/308</t>
  </si>
  <si>
    <t>VRNT8</t>
  </si>
  <si>
    <t>QAQA</t>
  </si>
  <si>
    <t>LUGT8</t>
  </si>
  <si>
    <t>ZRHT8</t>
  </si>
  <si>
    <t>VRDH</t>
  </si>
  <si>
    <t>XWTH</t>
  </si>
  <si>
    <t>314/315</t>
  </si>
  <si>
    <t>QQKH</t>
  </si>
  <si>
    <t>ATHA</t>
  </si>
  <si>
    <t>XPIH</t>
  </si>
  <si>
    <t>XRTH</t>
  </si>
  <si>
    <t>319/320</t>
  </si>
  <si>
    <t>XPVA</t>
  </si>
  <si>
    <t>LYST8</t>
  </si>
  <si>
    <t>JLPA</t>
  </si>
  <si>
    <t>BRUH</t>
  </si>
  <si>
    <t>GTIH</t>
  </si>
  <si>
    <t>GHFH</t>
  </si>
  <si>
    <t>GKEH</t>
  </si>
  <si>
    <t>335/336</t>
  </si>
  <si>
    <t>MXPC</t>
  </si>
  <si>
    <t>337/338</t>
  </si>
  <si>
    <t>QQNH</t>
  </si>
  <si>
    <t>BCNH</t>
  </si>
  <si>
    <t>340/341</t>
  </si>
  <si>
    <t>MADH</t>
  </si>
  <si>
    <t>342/343</t>
  </si>
  <si>
    <t>QARH</t>
  </si>
  <si>
    <t>344/345</t>
  </si>
  <si>
    <t>QEZA</t>
  </si>
  <si>
    <t>VBST8</t>
  </si>
  <si>
    <t>348/349</t>
  </si>
  <si>
    <t>QVAT8</t>
  </si>
  <si>
    <t>GOAT8</t>
  </si>
  <si>
    <t>351/352</t>
  </si>
  <si>
    <t>QRTA</t>
  </si>
  <si>
    <t>353/354</t>
  </si>
  <si>
    <t>FCO/MLA</t>
  </si>
  <si>
    <t>FCOH</t>
  </si>
  <si>
    <t>Dati da inserire</t>
  </si>
  <si>
    <t>Load Content</t>
  </si>
  <si>
    <t xml:space="preserve">Load Item Type name </t>
  </si>
  <si>
    <t>Abbreviation</t>
  </si>
  <si>
    <t>ITEM TYPE description</t>
  </si>
  <si>
    <t>Ora Corrente</t>
  </si>
  <si>
    <t>Giorno lavorativo</t>
  </si>
  <si>
    <t xml:space="preserve">Lunedì </t>
  </si>
  <si>
    <t>Any material that needs offloading on a dock door with boom conveyor:</t>
  </si>
  <si>
    <t>Chiusure Linee</t>
  </si>
  <si>
    <t>Martedì</t>
  </si>
  <si>
    <t>&gt;Loose loaded conveyable and unconveyable parcels Loose loaded or, Smalls/Docs in bags</t>
  </si>
  <si>
    <t>ITD - Xn</t>
  </si>
  <si>
    <t>Chiudono 120 minuti</t>
  </si>
  <si>
    <t>Mercoledì</t>
  </si>
  <si>
    <t>NON CONVEYABLES</t>
  </si>
  <si>
    <t>NC</t>
  </si>
  <si>
    <t>ERN no Tstatus</t>
  </si>
  <si>
    <t>Giovedì</t>
  </si>
  <si>
    <t>SHRINK WRAP PALLETS</t>
  </si>
  <si>
    <t>SWP</t>
  </si>
  <si>
    <t>Any material that can only be offloaded on both a boom conveyor door or freight door.</t>
  </si>
  <si>
    <t>ERN Tstatus</t>
  </si>
  <si>
    <t>Chiudono 40 minuti</t>
  </si>
  <si>
    <t>Venerdì</t>
  </si>
  <si>
    <t>&gt;Conveyable and non-conveyable parcel and/or smalls/docs loaded on shrink wrapped break down pallets</t>
  </si>
  <si>
    <t>ZRH - DZ5 - LUG</t>
  </si>
  <si>
    <t>Any material that needs offloading at a freight dock door (without a boom-conveyor):</t>
  </si>
  <si>
    <t>&gt;Non-break down pallets and or material in Cages/Roller Containers</t>
  </si>
  <si>
    <t>FLAT BOTTOM PALLETS</t>
  </si>
  <si>
    <t>FLB</t>
  </si>
  <si>
    <t>&gt;Flat Bottom Pallets only (limited usage from/to castor deck only locations)</t>
  </si>
  <si>
    <t>MIXED</t>
  </si>
  <si>
    <t>MIX</t>
  </si>
  <si>
    <t>Undefinable Load and Sequence, fully mixed</t>
  </si>
  <si>
    <t>Spostamento magazzino</t>
  </si>
  <si>
    <t>DANGEROUS GOODS</t>
  </si>
  <si>
    <t>Any Dangerous goods that requires specific handling through Dangerous Goods area, always loaded on the back of the trailer</t>
  </si>
  <si>
    <t>ULDs</t>
  </si>
  <si>
    <t>ULD</t>
  </si>
  <si>
    <t>Any material in containers that need to be offloaded on a castor deck:
Items loaded in ULDs, PMC, Flat Bottom pallets, TRKs etc.</t>
  </si>
  <si>
    <t>MTY ULDs</t>
  </si>
  <si>
    <t>MYT ULD</t>
  </si>
  <si>
    <t>Empty Aircraft Containers or Air Flat bottom pallets to be offloaded on Castor deck</t>
  </si>
  <si>
    <t>MTY Cages</t>
  </si>
  <si>
    <t>MTY CAG</t>
  </si>
  <si>
    <t xml:space="preserve">Empty road network cages </t>
  </si>
  <si>
    <t>ITD - Station 4:35</t>
  </si>
  <si>
    <t>Load Type</t>
  </si>
  <si>
    <t>(Double deck trailer usage only)</t>
  </si>
  <si>
    <t>Capacità di carico (mt)</t>
  </si>
  <si>
    <t>Load Type name</t>
  </si>
  <si>
    <t>Load TYPE description</t>
  </si>
  <si>
    <t>TR10</t>
  </si>
  <si>
    <t>TT-55m3</t>
  </si>
  <si>
    <t>Status License Plate</t>
  </si>
  <si>
    <t>VARIATA</t>
  </si>
  <si>
    <t>MOTHERBAG</t>
  </si>
  <si>
    <t>ok</t>
  </si>
  <si>
    <t>Colonna1</t>
  </si>
  <si>
    <t>Subco</t>
  </si>
  <si>
    <t>Fedex</t>
  </si>
  <si>
    <t>MYT CAGE</t>
  </si>
  <si>
    <t>Automatic Departure Delay</t>
  </si>
  <si>
    <t>Bad weather</t>
  </si>
  <si>
    <t>Computer problems</t>
  </si>
  <si>
    <t>Customs delay</t>
  </si>
  <si>
    <t>Departure under investigation</t>
  </si>
  <si>
    <t>Driver delay</t>
  </si>
  <si>
    <t>Driver health problems</t>
  </si>
  <si>
    <t>Driver needs legal rest hours</t>
  </si>
  <si>
    <t>ERN Own trailer breakdown</t>
  </si>
  <si>
    <t>Late departure due to late arrival</t>
  </si>
  <si>
    <t>Late freight / late sort</t>
  </si>
  <si>
    <t>Late inbound aircraft</t>
  </si>
  <si>
    <t>Late local truck</t>
  </si>
  <si>
    <t>Paperwork delay</t>
  </si>
  <si>
    <t>Queue at gatehouse</t>
  </si>
  <si>
    <t>Strike</t>
  </si>
  <si>
    <t>Truck breakdown</t>
  </si>
  <si>
    <t>Truck ordered (too) late</t>
  </si>
  <si>
    <t>Vehicle not available on time</t>
  </si>
  <si>
    <t>Wrong schedule tour creation</t>
  </si>
  <si>
    <t>Note RTH</t>
  </si>
  <si>
    <t>T Status</t>
  </si>
  <si>
    <t>Dati driver non presenti</t>
  </si>
  <si>
    <t>Loading information</t>
  </si>
  <si>
    <t>Apple</t>
  </si>
  <si>
    <t>Status</t>
  </si>
  <si>
    <t>Concatena</t>
  </si>
  <si>
    <t>Status2</t>
  </si>
  <si>
    <t>In carico</t>
  </si>
  <si>
    <t>Hold and Fill</t>
  </si>
  <si>
    <t>Stat 22 - LXN</t>
  </si>
  <si>
    <t>Warehouse</t>
  </si>
  <si>
    <t>Missing Lineahault Connection</t>
  </si>
  <si>
    <t>Stat 21</t>
  </si>
  <si>
    <t>Truck Breakdown</t>
  </si>
  <si>
    <t>Stat 22 - LXB</t>
  </si>
  <si>
    <t>RTH</t>
  </si>
  <si>
    <t>Departure deleted</t>
  </si>
  <si>
    <t>Stat 22 - LXC</t>
  </si>
  <si>
    <t>Sorter BD 15' - 60'</t>
  </si>
  <si>
    <t>Stat 22 - MTB</t>
  </si>
  <si>
    <t>Sorter DB over 60'</t>
  </si>
  <si>
    <t>Avvisare Service Assurance</t>
  </si>
  <si>
    <t>Control Room</t>
  </si>
  <si>
    <t>Truck Breakdown on Doors</t>
  </si>
  <si>
    <t>Stoianovici, Fanel</t>
  </si>
  <si>
    <t>GZ305GW</t>
  </si>
  <si>
    <t>Zakaria, Saoudi</t>
  </si>
  <si>
    <t>GT003BG</t>
  </si>
  <si>
    <t>IMR&gt;MRS&gt;IMR&lt;</t>
  </si>
  <si>
    <t>ENBR21209</t>
  </si>
  <si>
    <t>GEWI&gt;IMR&lt;</t>
  </si>
  <si>
    <t>GEWI</t>
  </si>
  <si>
    <t>Ready For Departure</t>
  </si>
  <si>
    <t>Sgro, Giuseppe</t>
  </si>
  <si>
    <t>APLE&gt;IMR&lt;</t>
  </si>
  <si>
    <t>APLE</t>
  </si>
  <si>
    <t>Sibbi, Rachid</t>
  </si>
  <si>
    <t>FD856VW</t>
  </si>
  <si>
    <t>Merola, Fabio</t>
  </si>
  <si>
    <t>GZ756VL</t>
  </si>
  <si>
    <t>Butt, Zaryab</t>
  </si>
  <si>
    <t>GR905PX</t>
  </si>
  <si>
    <t>COVD&gt;BO2&lt;</t>
  </si>
  <si>
    <t>COVD</t>
  </si>
  <si>
    <t>Badica, Razvan Lucian</t>
  </si>
  <si>
    <t>GK371LF</t>
  </si>
  <si>
    <t>Palo, Carmine</t>
  </si>
  <si>
    <t>GC264JF</t>
  </si>
  <si>
    <t>Cerciello, Giovanni</t>
  </si>
  <si>
    <t>GZ342GP</t>
  </si>
  <si>
    <t>APLE&gt;MM1&lt;</t>
  </si>
  <si>
    <t>Toma, Liviu</t>
  </si>
  <si>
    <t>FB992ZC</t>
  </si>
  <si>
    <t>Ngom, Mbar</t>
  </si>
  <si>
    <t>GR909PX</t>
  </si>
  <si>
    <t>Toure, Mame Mor</t>
  </si>
  <si>
    <t>GX311KZ</t>
  </si>
  <si>
    <t>Diabate, Mohamed</t>
  </si>
  <si>
    <t>GR369KC</t>
  </si>
  <si>
    <t>Marsico, Claudio</t>
  </si>
  <si>
    <t>GW547HR</t>
  </si>
  <si>
    <t>Jallow, Alhagie</t>
  </si>
  <si>
    <t>GH073PC</t>
  </si>
  <si>
    <t>De Paula, Luciano</t>
  </si>
  <si>
    <t>GZ758VL</t>
  </si>
  <si>
    <t>Pasqua, Fernando Cesar</t>
  </si>
  <si>
    <t>GD550FY</t>
  </si>
  <si>
    <t>Del Papato, Raffaele</t>
  </si>
  <si>
    <t>GV168CL</t>
  </si>
  <si>
    <t>Jeno, Simon</t>
  </si>
  <si>
    <t>GV384MY</t>
  </si>
  <si>
    <t>Shahzad, Khurram</t>
  </si>
  <si>
    <t>HB973HK</t>
  </si>
  <si>
    <t>Marano, Vincenzo</t>
  </si>
  <si>
    <t>GS928SD</t>
  </si>
  <si>
    <t>Diagne, Cheikouna</t>
  </si>
  <si>
    <t>GS810SD</t>
  </si>
  <si>
    <t>PD2&gt;DNG&gt;IMR&gt;PD2&lt;</t>
  </si>
  <si>
    <t>Souhaib, Belhadj</t>
  </si>
  <si>
    <t>GG221WS</t>
  </si>
  <si>
    <t>Miccione, Domenico</t>
  </si>
  <si>
    <t>HC719BF</t>
  </si>
  <si>
    <t>Mititelu, Sorin Dan</t>
  </si>
  <si>
    <t>FL925FM</t>
  </si>
  <si>
    <t>Koudia, Houssam Eddine</t>
  </si>
  <si>
    <t>GW918TH</t>
  </si>
  <si>
    <t>Caristo, Roberto</t>
  </si>
  <si>
    <t>GR887PC</t>
  </si>
  <si>
    <t>Radev, Ventislav</t>
  </si>
  <si>
    <t>GS483DK</t>
  </si>
  <si>
    <t>Kandi, Brahim</t>
  </si>
  <si>
    <t>FL799HN</t>
  </si>
  <si>
    <t>XA567SB</t>
  </si>
  <si>
    <t>LYS&gt;IMR&gt;LYS&lt;</t>
  </si>
  <si>
    <t>IMR&gt;LYS&lt;</t>
  </si>
  <si>
    <t>Verderame, Crocifisso</t>
  </si>
  <si>
    <t>GM337AS</t>
  </si>
  <si>
    <t>Ataalla, Ahmed Nabawi</t>
  </si>
  <si>
    <t>GW906TH</t>
  </si>
  <si>
    <t>Fofanfa, Kassou</t>
  </si>
  <si>
    <t>GR986GT</t>
  </si>
  <si>
    <t>XB867AP</t>
  </si>
  <si>
    <t>Tanko, Mohammedyusif</t>
  </si>
  <si>
    <t>GS270DJ</t>
  </si>
  <si>
    <t>Ba, Lamarana</t>
  </si>
  <si>
    <t>GS921SD</t>
  </si>
  <si>
    <t>Benfsail, Mehdi</t>
  </si>
  <si>
    <t>HB966HK</t>
  </si>
  <si>
    <t>Essafri, Adil</t>
  </si>
  <si>
    <t>GD542FY</t>
  </si>
  <si>
    <t>Alessio, Hugo Alberto</t>
  </si>
  <si>
    <t>IMR&gt;STBY&lt;</t>
  </si>
  <si>
    <t>STBY</t>
  </si>
  <si>
    <t>Gelea, Mihai Bogdan</t>
  </si>
  <si>
    <t>HD554YX</t>
  </si>
  <si>
    <t>El Bachir, El Kihen</t>
  </si>
  <si>
    <t>GR575DJ</t>
  </si>
  <si>
    <t>Danciu, Cristian Doinel</t>
  </si>
  <si>
    <t>HE400JX</t>
  </si>
  <si>
    <t>Vaideanu, Pavel Petru</t>
  </si>
  <si>
    <t>GW708HX</t>
  </si>
  <si>
    <t>XA350HX</t>
  </si>
  <si>
    <t>Guesmi, Yassine</t>
  </si>
  <si>
    <t>GV349ML</t>
  </si>
  <si>
    <t>Ndiaye, Babakar</t>
  </si>
  <si>
    <t>Cibo Ottone, Maurizio</t>
  </si>
  <si>
    <t>GE460EA</t>
  </si>
  <si>
    <t>XA288YG</t>
  </si>
  <si>
    <t>Bogdan, Ion</t>
  </si>
  <si>
    <t>GA211TD</t>
  </si>
  <si>
    <t>XWT&gt;LJU&gt;IMR&gt;XWT&lt;</t>
  </si>
  <si>
    <t>MV9&gt;IMR&gt;MV9&lt;</t>
  </si>
  <si>
    <t>Augustine, John</t>
  </si>
  <si>
    <t>GL250MW</t>
  </si>
  <si>
    <t>Soare, Alin-gabriel</t>
  </si>
  <si>
    <t>GS538SD</t>
  </si>
  <si>
    <t>Camara, Mamadou</t>
  </si>
  <si>
    <t>GK089YM</t>
  </si>
  <si>
    <t>Popa, Nicolae</t>
  </si>
  <si>
    <t>HD142KY</t>
  </si>
  <si>
    <t>Izzo, Antonio</t>
  </si>
  <si>
    <t>GW873HX</t>
  </si>
  <si>
    <t>XB038AF</t>
  </si>
  <si>
    <t>Diagne, Youssou</t>
  </si>
  <si>
    <t>GL517HL</t>
  </si>
  <si>
    <t>Ouro Gbele, Moubassirou</t>
  </si>
  <si>
    <t>GN483KR</t>
  </si>
  <si>
    <t>Sponza, Giovanni</t>
  </si>
  <si>
    <t>GW082XH</t>
  </si>
  <si>
    <t>Mastrangelo, Nicola</t>
  </si>
  <si>
    <t>GR463TR</t>
  </si>
  <si>
    <t>Seserman, Dorinel</t>
  </si>
  <si>
    <t>GM239CP</t>
  </si>
  <si>
    <t>Gora, Diop</t>
  </si>
  <si>
    <t>GW374XH</t>
  </si>
  <si>
    <t>IMR&gt;06A&lt;</t>
  </si>
  <si>
    <t>Burga, Tiberiu</t>
  </si>
  <si>
    <t>GS 540 SD</t>
  </si>
  <si>
    <t>El Abbassi, Abdelilah</t>
  </si>
  <si>
    <t>GW146TH</t>
  </si>
  <si>
    <t>XB496BJ</t>
  </si>
  <si>
    <t>El Mehjoubi, Omar</t>
  </si>
  <si>
    <t>GP071LC</t>
  </si>
  <si>
    <t>Ait Bah, Salah</t>
  </si>
  <si>
    <t>HB981HK</t>
  </si>
  <si>
    <t>Ahmadi, Khodabhas</t>
  </si>
  <si>
    <t>HB980HK</t>
  </si>
  <si>
    <t>QAR&gt;IMR&gt;QAR&lt;</t>
  </si>
  <si>
    <t>MAD&gt;IMR&gt;MAD&lt;</t>
  </si>
  <si>
    <t>IMR&gt;Z8C&gt;DNG&gt;IMR&lt;</t>
  </si>
  <si>
    <t>Nicoara, Ioan</t>
  </si>
  <si>
    <t>TM17GTT</t>
  </si>
  <si>
    <t>ENB17832</t>
  </si>
  <si>
    <t>IMR&gt;HNJ&gt;IMR&lt;</t>
  </si>
  <si>
    <t>Petrica, Megan</t>
  </si>
  <si>
    <t>B714SSE</t>
  </si>
  <si>
    <t>HNJ&gt;IMR&gt;HNJ&lt;</t>
  </si>
  <si>
    <t>IMR&gt;MAD&gt;IMR&lt;</t>
  </si>
  <si>
    <t>IMR&gt;DNG&gt;IMR&lt;</t>
  </si>
  <si>
    <t>Fasano, Andrea</t>
  </si>
  <si>
    <t>GJ822PK</t>
  </si>
  <si>
    <t>IMR&gt;XPI&gt;MV9&gt;IMR&lt;</t>
  </si>
  <si>
    <t>Florin Catalin Mariuta, Florin Catalin Mariuta</t>
  </si>
  <si>
    <t>GC921AL</t>
  </si>
  <si>
    <t>IMR&gt;BCN&gt;IMR&lt;</t>
  </si>
  <si>
    <t>Vasile, Dragos Marius</t>
  </si>
  <si>
    <t>TM 23 GTT</t>
  </si>
  <si>
    <t>ENBD20373</t>
  </si>
  <si>
    <t>IMR&gt;QAR&gt;IMR&lt;</t>
  </si>
  <si>
    <t>Grigoras, Pavel</t>
  </si>
  <si>
    <t>TM 46 GTT</t>
  </si>
  <si>
    <t>WA1&gt;IMR&gt;WA1&lt;</t>
  </si>
  <si>
    <t>ENBR21355</t>
  </si>
  <si>
    <t>BCN&gt;IMR&gt;BCN&lt;</t>
  </si>
  <si>
    <t>IMR&gt;WA1&gt;IMR&lt;</t>
  </si>
  <si>
    <t>Turri, Roberto</t>
  </si>
  <si>
    <t>GW 102 TH</t>
  </si>
  <si>
    <t>IMR&gt;MV9&gt;IMR&lt;</t>
  </si>
  <si>
    <t>Petruta, Cojocaru</t>
  </si>
  <si>
    <t>PH51LPX</t>
  </si>
  <si>
    <t>IMR&gt;BCN&lt;</t>
  </si>
  <si>
    <t>R7097BDG</t>
  </si>
  <si>
    <t>IMR&gt;XWT&lt;</t>
  </si>
  <si>
    <t>Laczko, Jozsef</t>
  </si>
  <si>
    <t>IF 81 RAP</t>
  </si>
  <si>
    <t>Botici, Daniel</t>
  </si>
  <si>
    <t>GM476AS</t>
  </si>
  <si>
    <t>ENBR26446</t>
  </si>
  <si>
    <t>ZNF&gt;IMR&gt;DNG&gt;ZNF&lt;</t>
  </si>
  <si>
    <t>IMR&gt;XWT&gt;IMR&lt;</t>
  </si>
  <si>
    <t>ENBD20115</t>
  </si>
  <si>
    <t>IMR&gt;XPI&lt;</t>
  </si>
  <si>
    <t>Popa, Ionela</t>
  </si>
  <si>
    <t>2CAW586</t>
  </si>
  <si>
    <t>Cristian - Cornel, Vladau</t>
  </si>
  <si>
    <t>B532SSE</t>
  </si>
  <si>
    <t>Denis, Hoca</t>
  </si>
  <si>
    <t>B173461</t>
  </si>
  <si>
    <t>DNG&gt;IMR&gt;DNG&lt;</t>
  </si>
  <si>
    <t>Elena Georgiana Enea, Elena Georgiana Enea</t>
  </si>
  <si>
    <t xml:space="preserve">GC839AL </t>
  </si>
  <si>
    <t>ENBR21046</t>
  </si>
  <si>
    <t>IMR&gt;BZQ&gt;IMR&lt;</t>
  </si>
  <si>
    <t>Ioana Cristina, Craciunescu</t>
  </si>
  <si>
    <t>GJ622PK</t>
  </si>
  <si>
    <t>BZQ&gt;IMR&gt;BZQ&lt;</t>
  </si>
  <si>
    <t>Moldoveanu, Alexandru Mario</t>
  </si>
  <si>
    <t>IF 54 RAP</t>
  </si>
  <si>
    <t>MDA&gt;IMR&gt;VBS&gt;MDA&lt;</t>
  </si>
  <si>
    <t>Doghmani, Yahia</t>
  </si>
  <si>
    <t>GE455WR</t>
  </si>
  <si>
    <t>Mataj, Ismet</t>
  </si>
  <si>
    <t>FF455XT</t>
  </si>
  <si>
    <t>Ghenade, Damaschin</t>
  </si>
  <si>
    <t>HA870GG</t>
  </si>
  <si>
    <t>Gueye, Serigne Madieng</t>
  </si>
  <si>
    <t>GE011XR</t>
  </si>
  <si>
    <t>Ihor, Hrynevych</t>
  </si>
  <si>
    <t>FE529WB</t>
  </si>
  <si>
    <t>Vallone, Francesco</t>
  </si>
  <si>
    <t>GP142CP</t>
  </si>
  <si>
    <t>Sijam, Hamid</t>
  </si>
  <si>
    <t>GC881ZX</t>
  </si>
  <si>
    <t>XA266YG</t>
  </si>
  <si>
    <t>Ashar, Mahmood</t>
  </si>
  <si>
    <t>GW752TF</t>
  </si>
  <si>
    <t>Gane Arachchi Appuhamilage, Kavindra Narada</t>
  </si>
  <si>
    <t>GK006HA</t>
  </si>
  <si>
    <t>IMR&gt;ZRH&gt;IMR&lt;</t>
  </si>
  <si>
    <t>IMR&gt;ZRH&gt;ECL&gt;IMR&lt;</t>
  </si>
  <si>
    <t>Timofei, Ferrante Zaiat</t>
  </si>
  <si>
    <t>FT039NM</t>
  </si>
  <si>
    <t>Justiniano, Murrugarra Humberto Jesus</t>
  </si>
  <si>
    <t>GC286ZX</t>
  </si>
  <si>
    <t>Ternovestskyy, Dmytro</t>
  </si>
  <si>
    <t>GY441ED</t>
  </si>
  <si>
    <t>Panainte, Eduard</t>
  </si>
  <si>
    <t>HD713JT</t>
  </si>
  <si>
    <t>Lauretta, Giovanni</t>
  </si>
  <si>
    <t>FR425FF</t>
  </si>
  <si>
    <t>Mbabane, Ahmadou Bamba</t>
  </si>
  <si>
    <t>GG473WS</t>
  </si>
  <si>
    <t>Zraidi, Salah</t>
  </si>
  <si>
    <t>GK102XC</t>
  </si>
  <si>
    <t>Nastasa, Petrica Daniel</t>
  </si>
  <si>
    <t>GD890FS</t>
  </si>
  <si>
    <t>IMR&gt;LUG&gt;IMR&lt;</t>
  </si>
  <si>
    <t>Mishi, Ilir</t>
  </si>
  <si>
    <t>FR469RB</t>
  </si>
  <si>
    <t>Gandin, Marco Valerio</t>
  </si>
  <si>
    <t>GW375XH</t>
  </si>
  <si>
    <t>Bivolu, Constantin</t>
  </si>
  <si>
    <t>GV385MY</t>
  </si>
  <si>
    <t>Hallah, Youcef Islam</t>
  </si>
  <si>
    <t>HB367HS</t>
  </si>
  <si>
    <t>El Ayouni, Ayoub</t>
  </si>
  <si>
    <t>GH063XK</t>
  </si>
  <si>
    <t>XA070TN</t>
  </si>
  <si>
    <t>Samb, Bara</t>
  </si>
  <si>
    <t>GE524XR</t>
  </si>
  <si>
    <t>Morchid, El Khamis</t>
  </si>
  <si>
    <t>FL763AZ</t>
  </si>
  <si>
    <t>Ion, Burghila</t>
  </si>
  <si>
    <t>HB971JX</t>
  </si>
  <si>
    <t>Ragea, Mihaita Catalin</t>
  </si>
  <si>
    <t>GY973GK</t>
  </si>
  <si>
    <t>Dabbou, Ahmed</t>
  </si>
  <si>
    <t>GK322LM</t>
  </si>
  <si>
    <t>Laaziz, Said</t>
  </si>
  <si>
    <t>GD436JG</t>
  </si>
  <si>
    <t>Popescu, Stefan</t>
  </si>
  <si>
    <t>HB985HK</t>
  </si>
  <si>
    <t>XB861AP</t>
  </si>
  <si>
    <t>Ouardi, Zouhair</t>
  </si>
  <si>
    <t>GL253MW</t>
  </si>
  <si>
    <t>Moaca, Marius</t>
  </si>
  <si>
    <t>GW753TF</t>
  </si>
  <si>
    <t>Essabane, Mohamed</t>
  </si>
  <si>
    <t>GB352BD</t>
  </si>
  <si>
    <t>Arsene, Alexandru Ionut</t>
  </si>
  <si>
    <t>GV523WS</t>
  </si>
  <si>
    <t>R'houma, Salah</t>
  </si>
  <si>
    <t>Correia Atanzio, Renato</t>
  </si>
  <si>
    <t>GG023WG</t>
  </si>
  <si>
    <t>Affaoui, Mohamed</t>
  </si>
  <si>
    <t>GB437GB</t>
  </si>
  <si>
    <t>XA551EJ</t>
  </si>
  <si>
    <t>Shkembi, Edmond</t>
  </si>
  <si>
    <t>DH316JP</t>
  </si>
  <si>
    <t>Mehmood, Asif</t>
  </si>
  <si>
    <t>GW140TH</t>
  </si>
  <si>
    <t>Et Taal, Mbarek</t>
  </si>
  <si>
    <t>Hammoumi, Ali</t>
  </si>
  <si>
    <t>GL251MW</t>
  </si>
  <si>
    <t>Balde, Mamadou Mouctar</t>
  </si>
  <si>
    <t>GZ752VL</t>
  </si>
  <si>
    <t>Bouzriguen, Rachid</t>
  </si>
  <si>
    <t>FL917HN</t>
  </si>
  <si>
    <t>Luchek, Yaroslav</t>
  </si>
  <si>
    <t>GK316HA</t>
  </si>
  <si>
    <t>RNV&gt;IMR&gt;QAL&gt;RNV&lt;</t>
  </si>
  <si>
    <t>Lacanna, Rocco Donato</t>
  </si>
  <si>
    <t>GM783TK</t>
  </si>
  <si>
    <t>Khaidar, Said</t>
  </si>
  <si>
    <t>GK292LM</t>
  </si>
  <si>
    <t>Stan, Anton</t>
  </si>
  <si>
    <t>HA871GG</t>
  </si>
  <si>
    <t>Ghionea, Constantin Cristian</t>
  </si>
  <si>
    <t>HC310BG</t>
  </si>
  <si>
    <t>XB829AP</t>
  </si>
  <si>
    <t>Galazzo, Roberto</t>
  </si>
  <si>
    <t>GA217TD</t>
  </si>
  <si>
    <t>Tractor-trailer 2/3 Axles 55m3</t>
  </si>
  <si>
    <t>Amariutei, Sabastian Ioan</t>
  </si>
  <si>
    <t>GM794MV</t>
  </si>
  <si>
    <t>Melnychuk, Ruslan</t>
  </si>
  <si>
    <t>GD439JG</t>
  </si>
  <si>
    <t>Rapisarsa, Marco</t>
  </si>
  <si>
    <t>GP879RR</t>
  </si>
  <si>
    <t>Badoi, Marian</t>
  </si>
  <si>
    <t>HC328BG</t>
  </si>
  <si>
    <t>Cociorba, Cristina Sorina</t>
  </si>
  <si>
    <t>GX930JF</t>
  </si>
  <si>
    <t>El Ghadghoud, Mohammed</t>
  </si>
  <si>
    <t>GK724HA</t>
  </si>
  <si>
    <t>Golubenco, Sergiu</t>
  </si>
  <si>
    <t>GH070XK</t>
  </si>
  <si>
    <t>Petrache, Ioan</t>
  </si>
  <si>
    <t>GV386MY</t>
  </si>
  <si>
    <t>Monello, Maurizio</t>
  </si>
  <si>
    <t>Botezatu, Augustin</t>
  </si>
  <si>
    <t>GW136TH</t>
  </si>
  <si>
    <t>Puci, Orazio</t>
  </si>
  <si>
    <t>HC082GW</t>
  </si>
  <si>
    <t>Khodri, Fouad</t>
  </si>
  <si>
    <t>GL529HL</t>
  </si>
  <si>
    <t>Fracchiolla, Domenico</t>
  </si>
  <si>
    <t>HB971HK</t>
  </si>
  <si>
    <t>Marih, Abderrahim</t>
  </si>
  <si>
    <t>GZ577RT</t>
  </si>
  <si>
    <t>Batista, Alberto</t>
  </si>
  <si>
    <t>Iannizzotto, Lorenzo</t>
  </si>
  <si>
    <t>FR873HX</t>
  </si>
  <si>
    <t>Azizaj, Arban</t>
  </si>
  <si>
    <t>HB370HS</t>
  </si>
  <si>
    <t>IMR&gt;MXP&gt;IMR&lt;</t>
  </si>
  <si>
    <t>ENBD20101</t>
  </si>
  <si>
    <t>Yeo Porossely, Hubert</t>
  </si>
  <si>
    <t>GL453HL</t>
  </si>
  <si>
    <t>Belaouia, El Habib</t>
  </si>
  <si>
    <t>GK869HA</t>
  </si>
  <si>
    <t>Ech Chaad, Rachid</t>
  </si>
  <si>
    <t>GH309BP</t>
  </si>
  <si>
    <t>Slyusarenko, Taras</t>
  </si>
  <si>
    <t>FR050FF</t>
  </si>
  <si>
    <t>Mocanu, Dorian</t>
  </si>
  <si>
    <t>GJ043NS</t>
  </si>
  <si>
    <t>Sgro, Bruno</t>
  </si>
  <si>
    <t>HE853MA</t>
  </si>
  <si>
    <t>IMR&gt;ATH&lt;</t>
  </si>
  <si>
    <t>IMR&gt;ATH&gt;IMR&lt;</t>
  </si>
  <si>
    <t>IMR&gt;KR9&lt;</t>
  </si>
  <si>
    <t>Allera Longo, Riccardo</t>
  </si>
  <si>
    <t>HA453GH</t>
  </si>
  <si>
    <t>Herrat, Alaa</t>
  </si>
  <si>
    <t>FR870RH</t>
  </si>
  <si>
    <t>Hlyhalo, Anatolii</t>
  </si>
  <si>
    <t>FM813WR</t>
  </si>
  <si>
    <t>IMR&gt;SKG&lt;</t>
  </si>
  <si>
    <t>Trabelsi, Mohamed</t>
  </si>
  <si>
    <t>HD555YX</t>
  </si>
  <si>
    <t>Pisleag, Marcel</t>
  </si>
  <si>
    <t>GM409BY</t>
  </si>
  <si>
    <t>Dicorato, Romualdo</t>
  </si>
  <si>
    <t>GG227JW</t>
  </si>
  <si>
    <t>Katbi, El Alami</t>
  </si>
  <si>
    <t>GG202WS</t>
  </si>
  <si>
    <t>XA682YA</t>
  </si>
  <si>
    <t>Ciconte, Domenico</t>
  </si>
  <si>
    <t>GG226JW</t>
  </si>
  <si>
    <t>XA015WL</t>
  </si>
  <si>
    <t>Berzuntanu, Adrian</t>
  </si>
  <si>
    <t>GW132TH</t>
  </si>
  <si>
    <t>XB478BJ</t>
  </si>
  <si>
    <t>Voinea, Claudiu</t>
  </si>
  <si>
    <t>GZ760VL</t>
  </si>
  <si>
    <t>Muhammad, Yasin</t>
  </si>
  <si>
    <t>GD782LY</t>
  </si>
  <si>
    <t>XA323XS</t>
  </si>
  <si>
    <t>Stancu, Nelu Dumitru</t>
  </si>
  <si>
    <t>TM 48 GTT</t>
  </si>
  <si>
    <t>Berila, Vasile Ovidiu</t>
  </si>
  <si>
    <t>FR051FF</t>
  </si>
  <si>
    <t>Costache, Eugen</t>
  </si>
  <si>
    <t>FD935VW</t>
  </si>
  <si>
    <t>Binaj, Agim</t>
  </si>
  <si>
    <t>Niculae, Dumitru</t>
  </si>
  <si>
    <t>GM875MG</t>
  </si>
  <si>
    <t>XA581SN</t>
  </si>
  <si>
    <t>Vig, Ioan Cristian</t>
  </si>
  <si>
    <t>TM 14 GTT</t>
  </si>
  <si>
    <t>Spasojević, Zoran</t>
  </si>
  <si>
    <t>AEMQ196</t>
  </si>
  <si>
    <t>IMR&gt;QAR&lt;</t>
  </si>
  <si>
    <t>Manackalakath Saidumohammed, Abdu</t>
  </si>
  <si>
    <t>AAMG674</t>
  </si>
  <si>
    <t>ZNF&gt;IMR&gt;ZNF&lt;</t>
  </si>
  <si>
    <t>ENBR26558</t>
  </si>
  <si>
    <t>Ana Spataru, Ana Spataru</t>
  </si>
  <si>
    <t>GR837DM</t>
  </si>
  <si>
    <t>DFT&gt;IMR&gt;DFT&lt;</t>
  </si>
  <si>
    <t>Hula, Andrei-madalin</t>
  </si>
  <si>
    <t>B 174 RAP</t>
  </si>
  <si>
    <t>De Martini, Gianantonio</t>
  </si>
  <si>
    <t>GJ626PK</t>
  </si>
  <si>
    <t>IMR&gt;DFT&gt;IMR&lt;</t>
  </si>
  <si>
    <t>Loredana Petronela Asofiei, Loredana Petronela Asofiei</t>
  </si>
  <si>
    <t>GY260BF</t>
  </si>
  <si>
    <t>Cacula, Florentin Lucian</t>
  </si>
  <si>
    <t>MS 21 RTE</t>
  </si>
  <si>
    <t>ENB16259</t>
  </si>
  <si>
    <t>Bratescu, Georgiana Elena</t>
  </si>
  <si>
    <t xml:space="preserve">GR190DM </t>
  </si>
  <si>
    <t>Marius, Bogza</t>
  </si>
  <si>
    <t>GR192DM</t>
  </si>
  <si>
    <t>IMR&gt;MAD&lt;</t>
  </si>
  <si>
    <t>Novytskyy, Viktor</t>
  </si>
  <si>
    <t>GC925AL</t>
  </si>
  <si>
    <t>Boian, Cristian Ionel</t>
  </si>
  <si>
    <t>GR839DM</t>
  </si>
  <si>
    <t>Claudiu Iurniuc, Claudiu Iurniuc</t>
  </si>
  <si>
    <t xml:space="preserve">GT700AZ </t>
  </si>
  <si>
    <t>XWT&gt;IMR&gt;XWT&lt;</t>
  </si>
  <si>
    <t>IMR&gt;MV9&lt;</t>
  </si>
  <si>
    <t>Fodoca, Gheorghe</t>
  </si>
  <si>
    <t xml:space="preserve">2CFM394 </t>
  </si>
  <si>
    <t>Iliescu, Alexandru Daniel</t>
  </si>
  <si>
    <t>B 157 RAP</t>
  </si>
  <si>
    <t>Leonard  Cristian, Popa</t>
  </si>
  <si>
    <t>Cheraitia, Mounir</t>
  </si>
  <si>
    <t>GM787CC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</si>
</sst>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quot;€&quot;_-;\-* #,##0.00\ &quot;€&quot;_-;_-* &quot;-&quot;??\ &quot;€&quot;_-;_-@_-"/>
    <numFmt numFmtId="165" formatCode="_-* #,##0.00_-;\-* #,##0.00_-;_-* &quot;-&quot;??_-;_-@_-"/>
    <numFmt numFmtId="166" formatCode="h:mm;@"/>
    <numFmt numFmtId="167" formatCode="[h]:mm:ss;@"/>
    <numFmt numFmtId="168" formatCode="[$-10010]hh:mm;@"/>
    <numFmt numFmtId="169" formatCode="h:mm:ss;@"/>
    <numFmt numFmtId="170" formatCode="mm/dd/yy;@"/>
    <numFmt numFmtId="171" formatCode="0;\-0;;@"/>
    <numFmt numFmtId="172" formatCode="0;[Red]0"/>
  </numFmts>
  <fonts count="52">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Calibri"/>
      <family val="2"/>
      <scheme val="minor"/>
    </font>
    <font>
      <b/>
      <sz val="14"/>
      <color theme="0"/>
      <name val="Calibri"/>
      <family val="2"/>
      <scheme val="minor"/>
    </font>
    <font>
      <sz val="11"/>
      <name val="Calibri"/>
      <family val="2"/>
      <scheme val="minor"/>
    </font>
    <font>
      <b/>
      <sz val="8"/>
      <color theme="0"/>
      <name val="Calibri"/>
      <family val="2"/>
      <scheme val="minor"/>
    </font>
    <font>
      <sz val="11"/>
      <color rgb="FF000000"/>
      <name val="Calibri"/>
      <family val="2"/>
    </font>
    <font>
      <sz val="11"/>
      <color rgb="FF000000"/>
      <name val="Calibri"/>
      <family val="2"/>
      <scheme val="minor"/>
    </font>
    <font>
      <b/>
      <sz val="8"/>
      <color rgb="FFFFFFFF"/>
      <name val="Arial"/>
      <family val="2"/>
    </font>
    <font>
      <sz val="8"/>
      <color theme="1" tint="4.9989318521683403E-2"/>
      <name val="Arial"/>
      <family val="2"/>
    </font>
    <font>
      <sz val="8"/>
      <color theme="1"/>
      <name val="Arial"/>
      <family val="2"/>
    </font>
    <font>
      <b/>
      <sz val="8"/>
      <color theme="0"/>
      <name val="Arial"/>
      <family val="2"/>
    </font>
    <font>
      <sz val="8"/>
      <name val="Calibri"/>
      <family val="2"/>
      <scheme val="minor"/>
    </font>
    <font>
      <sz val="16"/>
      <color theme="1"/>
      <name val="Calibri"/>
      <family val="2"/>
      <scheme val="minor"/>
    </font>
    <font>
      <b/>
      <sz val="24"/>
      <color theme="0"/>
      <name val="Calibri"/>
      <family val="2"/>
      <scheme val="minor"/>
    </font>
    <font>
      <b/>
      <sz val="10"/>
      <color rgb="FF7030A0"/>
      <name val="Calibri"/>
      <family val="2"/>
      <scheme val="minor"/>
    </font>
    <font>
      <b/>
      <sz val="10"/>
      <color theme="1"/>
      <name val="Calibri"/>
      <family val="2"/>
      <scheme val="minor"/>
    </font>
    <font>
      <b/>
      <sz val="12"/>
      <color theme="1"/>
      <name val="Calibri"/>
      <family val="2"/>
      <scheme val="minor"/>
    </font>
    <font>
      <b/>
      <sz val="10"/>
      <color rgb="FFFF0000"/>
      <name val="Calibri"/>
      <family val="2"/>
      <scheme val="minor"/>
    </font>
    <font>
      <b/>
      <sz val="8"/>
      <name val="Calibri"/>
      <family val="2"/>
      <scheme val="minor"/>
    </font>
    <font>
      <b/>
      <sz val="10"/>
      <name val="Calibri"/>
      <family val="2"/>
    </font>
    <font>
      <b/>
      <sz val="14"/>
      <name val="Calibri"/>
      <family val="2"/>
      <scheme val="minor"/>
    </font>
    <font>
      <b/>
      <sz val="10"/>
      <name val="Calibri"/>
      <family val="2"/>
      <scheme val="minor"/>
    </font>
    <font>
      <sz val="10"/>
      <color theme="1"/>
      <name val="Calibri"/>
      <family val="2"/>
      <scheme val="minor"/>
    </font>
    <font>
      <b/>
      <sz val="22"/>
      <color theme="1"/>
      <name val="Calibri"/>
      <family val="2"/>
      <scheme val="minor"/>
    </font>
    <font>
      <sz val="12"/>
      <color theme="1"/>
      <name val="Calibri"/>
      <family val="2"/>
      <scheme val="minor"/>
    </font>
    <font>
      <b/>
      <sz val="10"/>
      <color rgb="FF0070C0"/>
      <name val="Calibri"/>
      <family val="2"/>
      <scheme val="minor"/>
    </font>
    <font>
      <sz val="9"/>
      <color rgb="FF3A3A3A"/>
      <name val="Inherit"/>
    </font>
    <font>
      <b/>
      <sz val="10"/>
      <color theme="0"/>
      <name val="Calibri"/>
      <family val="2"/>
      <scheme val="minor"/>
    </font>
    <font>
      <sz val="10"/>
      <color rgb="FF7030A0"/>
      <name val="Calibri"/>
      <family val="2"/>
      <scheme val="minor"/>
    </font>
    <font>
      <sz val="10"/>
      <name val="Calibri"/>
      <family val="2"/>
      <scheme val="minor"/>
    </font>
    <font>
      <sz val="10"/>
      <color rgb="FF0070C0"/>
      <name val="Calibri"/>
      <family val="2"/>
      <scheme val="minor"/>
    </font>
    <font>
      <sz val="10"/>
      <color rgb="FF000000"/>
      <name val="Calibri"/>
      <family val="2"/>
    </font>
    <font>
      <b/>
      <i/>
      <u/>
      <sz val="10"/>
      <color rgb="FFFF0000"/>
      <name val="Calibri"/>
      <family val="2"/>
      <scheme val="minor"/>
    </font>
    <font>
      <b/>
      <sz val="10"/>
      <color rgb="FFFFFFFF"/>
      <name val="FedEx Sans"/>
      <family val="2"/>
    </font>
    <font>
      <sz val="9"/>
      <color rgb="FFFFFFFF"/>
      <name val="FedEx Sans"/>
      <family val="2"/>
    </font>
    <font>
      <sz val="10"/>
      <color rgb="FF323232"/>
      <name val="FedEx Sans"/>
      <family val="2"/>
    </font>
    <font>
      <sz val="11"/>
      <color theme="0"/>
      <name val="Calibri"/>
      <family val="2"/>
      <scheme val="minor"/>
    </font>
    <font>
      <b/>
      <sz val="10"/>
      <color theme="1"/>
      <name val="FedEx Sans"/>
      <family val="2"/>
    </font>
    <font>
      <sz val="10"/>
      <color theme="1"/>
      <name val="FedEx Sans"/>
      <family val="2"/>
    </font>
    <font>
      <b/>
      <i/>
      <u/>
      <sz val="11"/>
      <name val="Calibri"/>
      <family val="2"/>
      <scheme val="minor"/>
    </font>
    <font>
      <sz val="4"/>
      <color theme="0"/>
      <name val="Calibri"/>
      <family val="2"/>
      <scheme val="minor"/>
    </font>
    <font>
      <sz val="11"/>
      <color rgb="FF242424"/>
      <name val="Aptos Narrow"/>
      <family val="2"/>
    </font>
    <font>
      <sz val="11"/>
      <color theme="1"/>
      <name val="Segoe UI"/>
      <family val="2"/>
    </font>
    <font>
      <sz val="11"/>
      <color rgb="FF000000"/>
      <name val="Calibri"/>
      <charset val="1"/>
    </font>
    <font>
      <sz val="11"/>
      <color rgb="FFFF0000"/>
      <name val="Calibri"/>
      <scheme val="minor"/>
    </font>
    <font>
      <sz val="11"/>
      <color rgb="FFFF0000"/>
      <name val="Roboto"/>
      <charset val="1"/>
    </font>
    <font>
      <sz val="14"/>
      <color theme="1"/>
      <name val="Calibri"/>
      <family val="2"/>
      <scheme val="minor"/>
    </font>
    <font>
      <sz val="12"/>
      <color rgb="FF000000"/>
      <name val="Aptos"/>
      <charset val="1"/>
    </font>
  </fonts>
  <fills count="28">
    <fill>
      <patternFill patternType="none"/>
    </fill>
    <fill>
      <patternFill patternType="gray125"/>
    </fill>
    <fill>
      <patternFill patternType="solid">
        <fgColor rgb="FF7030A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002060"/>
        <bgColor indexed="64"/>
      </patternFill>
    </fill>
    <fill>
      <patternFill patternType="solid">
        <fgColor theme="7" tint="0.59999389629810485"/>
        <bgColor indexed="64"/>
      </patternFill>
    </fill>
    <fill>
      <patternFill patternType="solid">
        <fgColor rgb="FF002060"/>
        <bgColor rgb="FF000000"/>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4" tint="0.79998168889431442"/>
        <bgColor indexed="64"/>
      </patternFill>
    </fill>
    <fill>
      <patternFill patternType="solid">
        <fgColor rgb="FFB1A0C7"/>
        <bgColor rgb="FF000000"/>
      </patternFill>
    </fill>
    <fill>
      <patternFill patternType="solid">
        <fgColor rgb="FF7030A0"/>
        <bgColor rgb="FF000000"/>
      </patternFill>
    </fill>
    <fill>
      <patternFill patternType="solid">
        <fgColor theme="0"/>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4D148C"/>
        <bgColor indexed="64"/>
      </patternFill>
    </fill>
    <fill>
      <patternFill patternType="solid">
        <fgColor rgb="FF00B050"/>
        <bgColor indexed="64"/>
      </patternFill>
    </fill>
    <fill>
      <patternFill patternType="solid">
        <fgColor theme="8" tint="-0.249977111117893"/>
        <bgColor indexed="64"/>
      </patternFill>
    </fill>
    <fill>
      <patternFill patternType="solid">
        <fgColor rgb="FF7030A0"/>
        <bgColor theme="4" tint="0.79998168889431442"/>
      </patternFill>
    </fill>
    <fill>
      <patternFill patternType="solid">
        <fgColor theme="8" tint="0.399975585192419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diagonal/>
    </border>
    <border>
      <left style="thin">
        <color indexed="64"/>
      </left>
      <right/>
      <top style="thin">
        <color indexed="64"/>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auto="1"/>
      </right>
      <top style="thick">
        <color auto="1"/>
      </top>
      <bottom/>
      <diagonal/>
    </border>
    <border>
      <left style="thick">
        <color indexed="64"/>
      </left>
      <right style="thick">
        <color indexed="64"/>
      </right>
      <top style="thick">
        <color indexed="64"/>
      </top>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theme="4" tint="0.39997558519241921"/>
      </left>
      <right style="thin">
        <color theme="4" tint="0.39997558519241921"/>
      </right>
      <top style="thin">
        <color theme="4" tint="0.39997558519241921"/>
      </top>
      <bottom/>
      <diagonal/>
    </border>
    <border>
      <left style="thin">
        <color rgb="FFFFFFFF"/>
      </left>
      <right/>
      <top style="thin">
        <color rgb="FFFFFFFF"/>
      </top>
      <bottom/>
      <diagonal/>
    </border>
    <border>
      <left/>
      <right/>
      <top style="thin">
        <color rgb="FFFFFFFF"/>
      </top>
      <bottom/>
      <diagonal/>
    </border>
    <border>
      <left/>
      <right style="thin">
        <color rgb="FFFFFFFF"/>
      </right>
      <top style="thin">
        <color rgb="FFFFFFFF"/>
      </top>
      <bottom/>
      <diagonal/>
    </border>
    <border>
      <left/>
      <right style="medium">
        <color indexed="64"/>
      </right>
      <top style="medium">
        <color indexed="64"/>
      </top>
      <bottom/>
      <diagonal/>
    </border>
    <border>
      <left style="thick">
        <color auto="1"/>
      </left>
      <right/>
      <top/>
      <bottom/>
      <diagonal/>
    </border>
    <border>
      <left/>
      <right style="thick">
        <color auto="1"/>
      </right>
      <top/>
      <bottom/>
      <diagonal/>
    </border>
    <border>
      <left style="medium">
        <color indexed="64"/>
      </left>
      <right style="thin">
        <color indexed="64"/>
      </right>
      <top/>
      <bottom style="medium">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style="thin">
        <color indexed="64"/>
      </right>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ck">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auto="1"/>
      </right>
      <top style="thin">
        <color auto="1"/>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right style="thin">
        <color auto="1"/>
      </right>
      <top style="medium">
        <color indexed="64"/>
      </top>
      <bottom style="thin">
        <color auto="1"/>
      </bottom>
      <diagonal/>
    </border>
    <border>
      <left style="medium">
        <color indexed="64"/>
      </left>
      <right/>
      <top/>
      <bottom style="thin">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top style="medium">
        <color rgb="FF000000"/>
      </top>
      <bottom/>
      <diagonal/>
    </border>
    <border>
      <left style="medium">
        <color indexed="64"/>
      </left>
      <right style="medium">
        <color indexed="64"/>
      </right>
      <top style="thin">
        <color indexed="64"/>
      </top>
      <bottom/>
      <diagonal/>
    </border>
    <border>
      <left/>
      <right style="thin">
        <color auto="1"/>
      </right>
      <top style="medium">
        <color indexed="64"/>
      </top>
      <bottom/>
      <diagonal/>
    </border>
    <border>
      <left style="medium">
        <color rgb="FFFFFFFF"/>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style="medium">
        <color rgb="FFFFFFFF"/>
      </right>
      <top/>
      <bottom style="medium">
        <color rgb="FFFFFFFF"/>
      </bottom>
      <diagonal/>
    </border>
    <border>
      <left/>
      <right style="medium">
        <color rgb="FFFFFFFF"/>
      </right>
      <top/>
      <bottom style="medium">
        <color rgb="FFFFFFFF"/>
      </bottom>
      <diagonal/>
    </border>
    <border>
      <left style="medium">
        <color indexed="64"/>
      </left>
      <right style="medium">
        <color indexed="64"/>
      </right>
      <top style="medium">
        <color rgb="FFFFFFFF"/>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28" fillId="0" borderId="0"/>
    <xf numFmtId="0" fontId="1" fillId="0" borderId="0"/>
    <xf numFmtId="0" fontId="28" fillId="0" borderId="0"/>
  </cellStyleXfs>
  <cellXfs count="573">
    <xf numFmtId="0" fontId="0" fillId="0" borderId="0" xfId="0"/>
    <xf numFmtId="0" fontId="2" fillId="2" borderId="2" xfId="2" applyFont="1" applyFill="1" applyBorder="1" applyAlignment="1">
      <alignment horizontal="center" vertical="center" wrapText="1"/>
    </xf>
    <xf numFmtId="166" fontId="0" fillId="0" borderId="0" xfId="0" applyNumberFormat="1"/>
    <xf numFmtId="0" fontId="6" fillId="0" borderId="0" xfId="0" applyFont="1" applyAlignment="1">
      <alignment horizontal="center" vertical="center" wrapText="1"/>
    </xf>
    <xf numFmtId="0" fontId="0" fillId="0" borderId="1" xfId="0" applyBorder="1" applyAlignment="1">
      <alignment horizontal="center"/>
    </xf>
    <xf numFmtId="0" fontId="0" fillId="0" borderId="0" xfId="0" applyAlignment="1">
      <alignment horizontal="center"/>
    </xf>
    <xf numFmtId="166" fontId="0" fillId="0" borderId="0" xfId="0" applyNumberFormat="1" applyAlignment="1">
      <alignment horizontal="center"/>
    </xf>
    <xf numFmtId="166" fontId="2" fillId="2" borderId="2" xfId="0" applyNumberFormat="1" applyFont="1" applyFill="1" applyBorder="1" applyAlignment="1">
      <alignment horizontal="center" vertical="center" wrapText="1"/>
    </xf>
    <xf numFmtId="166" fontId="0" fillId="0" borderId="0" xfId="0" applyNumberFormat="1" applyProtection="1">
      <protection locked="0"/>
    </xf>
    <xf numFmtId="0" fontId="0" fillId="0" borderId="0" xfId="0" applyProtection="1">
      <protection locked="0"/>
    </xf>
    <xf numFmtId="0" fontId="0" fillId="0" borderId="0" xfId="0" applyAlignment="1" applyProtection="1">
      <alignment horizontal="center"/>
      <protection locked="0"/>
    </xf>
    <xf numFmtId="0" fontId="4" fillId="4" borderId="2" xfId="0" applyFont="1" applyFill="1" applyBorder="1" applyAlignment="1" applyProtection="1">
      <alignment horizontal="center" vertical="center" wrapText="1"/>
      <protection locked="0"/>
    </xf>
    <xf numFmtId="166" fontId="0" fillId="0" borderId="3" xfId="0" applyNumberFormat="1" applyBorder="1" applyAlignment="1">
      <alignment horizontal="center"/>
    </xf>
    <xf numFmtId="0" fontId="0" fillId="0" borderId="3" xfId="0" applyBorder="1"/>
    <xf numFmtId="0" fontId="0" fillId="0" borderId="3" xfId="0" applyBorder="1" applyProtection="1">
      <protection locked="0"/>
    </xf>
    <xf numFmtId="164" fontId="0" fillId="0" borderId="1" xfId="0" applyNumberFormat="1" applyBorder="1"/>
    <xf numFmtId="164" fontId="0" fillId="0" borderId="3" xfId="0" applyNumberFormat="1" applyBorder="1"/>
    <xf numFmtId="166" fontId="0" fillId="0" borderId="1" xfId="0" applyNumberFormat="1" applyBorder="1" applyAlignment="1">
      <alignment horizontal="center"/>
    </xf>
    <xf numFmtId="0" fontId="3" fillId="0" borderId="1" xfId="2" applyFont="1" applyBorder="1" applyAlignment="1">
      <alignment horizontal="center" vertical="center"/>
    </xf>
    <xf numFmtId="0" fontId="0" fillId="0" borderId="1" xfId="0" applyBorder="1"/>
    <xf numFmtId="0" fontId="0" fillId="0" borderId="1" xfId="0" applyBorder="1" applyProtection="1">
      <protection locked="0"/>
    </xf>
    <xf numFmtId="0" fontId="4" fillId="6" borderId="2" xfId="0" applyFont="1" applyFill="1" applyBorder="1" applyAlignment="1" applyProtection="1">
      <alignment horizontal="center" vertical="center" wrapText="1"/>
      <protection locked="0"/>
    </xf>
    <xf numFmtId="0" fontId="4" fillId="4" borderId="2" xfId="0" applyFont="1" applyFill="1" applyBorder="1" applyAlignment="1">
      <alignment horizontal="center" vertical="center" wrapText="1"/>
    </xf>
    <xf numFmtId="0" fontId="0" fillId="0" borderId="3" xfId="0" applyBorder="1" applyAlignment="1" applyProtection="1">
      <alignment horizontal="center"/>
      <protection locked="0"/>
    </xf>
    <xf numFmtId="166" fontId="0" fillId="0" borderId="1" xfId="0" applyNumberFormat="1" applyBorder="1" applyProtection="1">
      <protection locked="0"/>
    </xf>
    <xf numFmtId="0" fontId="0" fillId="0" borderId="1" xfId="0" applyBorder="1" applyAlignment="1" applyProtection="1">
      <alignment horizontal="center"/>
      <protection locked="0"/>
    </xf>
    <xf numFmtId="1" fontId="0" fillId="0" borderId="1" xfId="0" applyNumberFormat="1" applyBorder="1" applyAlignment="1" applyProtection="1">
      <alignment horizontal="center"/>
      <protection locked="0"/>
    </xf>
    <xf numFmtId="166" fontId="0" fillId="0" borderId="1" xfId="0" applyNumberFormat="1" applyBorder="1" applyAlignment="1" applyProtection="1">
      <alignment horizontal="center"/>
      <protection locked="0"/>
    </xf>
    <xf numFmtId="166" fontId="0" fillId="9" borderId="19" xfId="0" applyNumberFormat="1" applyFill="1" applyBorder="1" applyAlignment="1">
      <alignment horizontal="center"/>
    </xf>
    <xf numFmtId="166" fontId="0" fillId="0" borderId="1" xfId="0" applyNumberFormat="1" applyBorder="1"/>
    <xf numFmtId="14" fontId="3" fillId="0" borderId="1" xfId="2" applyNumberFormat="1" applyFont="1" applyBorder="1" applyAlignment="1">
      <alignment horizontal="center" vertical="center"/>
    </xf>
    <xf numFmtId="0" fontId="12" fillId="0" borderId="1" xfId="0" applyFont="1" applyBorder="1" applyAlignment="1">
      <alignment horizontal="center" vertical="center"/>
    </xf>
    <xf numFmtId="166" fontId="0" fillId="0" borderId="8" xfId="0" applyNumberFormat="1" applyBorder="1" applyProtection="1">
      <protection locked="0"/>
    </xf>
    <xf numFmtId="0" fontId="0" fillId="0" borderId="4" xfId="0" applyBorder="1"/>
    <xf numFmtId="0" fontId="0" fillId="0" borderId="19" xfId="0" applyBorder="1"/>
    <xf numFmtId="166" fontId="0" fillId="10" borderId="19" xfId="0" applyNumberFormat="1" applyFill="1" applyBorder="1" applyAlignment="1">
      <alignment horizontal="center"/>
    </xf>
    <xf numFmtId="0" fontId="0" fillId="6" borderId="23" xfId="0" applyFill="1" applyBorder="1"/>
    <xf numFmtId="0" fontId="0" fillId="0" borderId="30" xfId="0" applyBorder="1"/>
    <xf numFmtId="0" fontId="0" fillId="6" borderId="31" xfId="0" applyFill="1" applyBorder="1"/>
    <xf numFmtId="0" fontId="0" fillId="0" borderId="23" xfId="0" applyBorder="1"/>
    <xf numFmtId="0" fontId="0" fillId="6" borderId="30" xfId="0" applyFill="1" applyBorder="1"/>
    <xf numFmtId="166" fontId="0" fillId="9" borderId="23" xfId="0" applyNumberForma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34" xfId="0" applyBorder="1"/>
    <xf numFmtId="0" fontId="0" fillId="0" borderId="29" xfId="0" applyBorder="1" applyAlignment="1">
      <alignment horizontal="center"/>
    </xf>
    <xf numFmtId="0" fontId="0" fillId="0" borderId="19" xfId="0" applyBorder="1" applyAlignment="1">
      <alignment horizontal="center"/>
    </xf>
    <xf numFmtId="0" fontId="0" fillId="0" borderId="11" xfId="0" applyBorder="1" applyAlignment="1">
      <alignment horizontal="center"/>
    </xf>
    <xf numFmtId="0" fontId="0" fillId="13" borderId="27" xfId="0" applyFill="1" applyBorder="1" applyAlignment="1">
      <alignment horizontal="center"/>
    </xf>
    <xf numFmtId="0" fontId="0" fillId="0" borderId="27" xfId="0" applyBorder="1" applyAlignment="1">
      <alignment horizontal="center"/>
    </xf>
    <xf numFmtId="0" fontId="0" fillId="13" borderId="37" xfId="0" applyFill="1" applyBorder="1" applyAlignment="1">
      <alignment horizontal="center"/>
    </xf>
    <xf numFmtId="0" fontId="0" fillId="0" borderId="8" xfId="0" applyBorder="1" applyAlignment="1">
      <alignment horizontal="center" vertical="center"/>
    </xf>
    <xf numFmtId="0" fontId="0" fillId="8" borderId="8" xfId="0" applyFill="1" applyBorder="1" applyAlignment="1">
      <alignment horizontal="center" vertical="center"/>
    </xf>
    <xf numFmtId="0" fontId="0" fillId="8" borderId="8" xfId="0" applyFill="1" applyBorder="1" applyAlignment="1">
      <alignment horizontal="center"/>
    </xf>
    <xf numFmtId="0" fontId="0" fillId="6" borderId="8" xfId="0" applyFill="1" applyBorder="1" applyAlignment="1">
      <alignment horizontal="center" vertical="center"/>
    </xf>
    <xf numFmtId="0" fontId="0" fillId="8" borderId="8" xfId="0" applyFill="1" applyBorder="1" applyAlignment="1">
      <alignment horizontal="center" vertical="center" wrapText="1"/>
    </xf>
    <xf numFmtId="0" fontId="0" fillId="8" borderId="26" xfId="0" applyFill="1" applyBorder="1" applyAlignment="1">
      <alignment horizontal="center" vertical="center"/>
    </xf>
    <xf numFmtId="9" fontId="0" fillId="0" borderId="1" xfId="1" applyFont="1" applyFill="1" applyBorder="1" applyAlignment="1" applyProtection="1">
      <alignment horizontal="center"/>
      <protection locked="0"/>
    </xf>
    <xf numFmtId="166" fontId="0" fillId="0" borderId="0" xfId="0" applyNumberFormat="1" applyAlignment="1" applyProtection="1">
      <alignment horizontal="center"/>
      <protection locked="0"/>
    </xf>
    <xf numFmtId="0" fontId="5" fillId="3" borderId="18" xfId="0" applyFont="1" applyFill="1" applyBorder="1" applyAlignment="1" applyProtection="1">
      <alignment horizontal="center" vertical="center" wrapText="1"/>
      <protection locked="0"/>
    </xf>
    <xf numFmtId="0" fontId="5" fillId="4" borderId="18" xfId="0" applyFont="1" applyFill="1" applyBorder="1" applyAlignment="1" applyProtection="1">
      <alignment horizontal="center" vertical="center" wrapText="1"/>
      <protection locked="0"/>
    </xf>
    <xf numFmtId="0" fontId="8" fillId="2" borderId="18" xfId="0" applyFont="1" applyFill="1" applyBorder="1" applyAlignment="1" applyProtection="1">
      <alignment horizontal="center" vertical="center" wrapText="1"/>
      <protection locked="0"/>
    </xf>
    <xf numFmtId="166" fontId="5" fillId="3" borderId="18" xfId="0" applyNumberFormat="1" applyFont="1" applyFill="1" applyBorder="1" applyAlignment="1" applyProtection="1">
      <alignment horizontal="center" vertical="center" wrapText="1"/>
      <protection locked="0"/>
    </xf>
    <xf numFmtId="166" fontId="5" fillId="5" borderId="22" xfId="0" applyNumberFormat="1" applyFont="1" applyFill="1" applyBorder="1" applyAlignment="1" applyProtection="1">
      <alignment horizontal="center" vertical="center" wrapText="1"/>
      <protection locked="0"/>
    </xf>
    <xf numFmtId="0" fontId="11" fillId="12" borderId="25" xfId="0" applyFont="1" applyFill="1" applyBorder="1" applyAlignment="1">
      <alignment horizontal="center" vertical="center"/>
    </xf>
    <xf numFmtId="0" fontId="13" fillId="0" borderId="1" xfId="0" applyFont="1" applyBorder="1" applyAlignment="1">
      <alignment horizontal="center" vertical="center"/>
    </xf>
    <xf numFmtId="0" fontId="14" fillId="12" borderId="1" xfId="0" applyFont="1" applyFill="1" applyBorder="1" applyAlignment="1">
      <alignment horizontal="center" vertical="center" wrapText="1"/>
    </xf>
    <xf numFmtId="0" fontId="14" fillId="12" borderId="1" xfId="0" applyFont="1" applyFill="1" applyBorder="1" applyAlignment="1">
      <alignment horizontal="center" vertical="center"/>
    </xf>
    <xf numFmtId="0" fontId="11" fillId="12" borderId="0" xfId="0" applyFont="1" applyFill="1" applyAlignment="1">
      <alignment horizontal="center" vertical="center"/>
    </xf>
    <xf numFmtId="0" fontId="5" fillId="4" borderId="18" xfId="0" applyFont="1" applyFill="1" applyBorder="1" applyAlignment="1" applyProtection="1">
      <alignment horizontal="center" vertical="center"/>
      <protection locked="0"/>
    </xf>
    <xf numFmtId="0" fontId="0" fillId="0" borderId="6" xfId="0" applyBorder="1" applyAlignment="1" applyProtection="1">
      <alignment horizontal="center"/>
      <protection locked="0"/>
    </xf>
    <xf numFmtId="0" fontId="0" fillId="0" borderId="7" xfId="0" applyBorder="1" applyProtection="1">
      <protection locked="0"/>
    </xf>
    <xf numFmtId="169" fontId="0" fillId="0" borderId="1" xfId="0" applyNumberFormat="1" applyBorder="1" applyProtection="1">
      <protection locked="0"/>
    </xf>
    <xf numFmtId="169" fontId="0" fillId="0" borderId="0" xfId="0" applyNumberFormat="1" applyAlignment="1" applyProtection="1">
      <alignment horizontal="center"/>
      <protection locked="0"/>
    </xf>
    <xf numFmtId="168" fontId="0" fillId="0" borderId="0" xfId="0" applyNumberFormat="1" applyAlignment="1" applyProtection="1">
      <alignment horizontal="center"/>
      <protection locked="0"/>
    </xf>
    <xf numFmtId="9" fontId="0" fillId="0" borderId="0" xfId="1" applyFont="1" applyAlignment="1" applyProtection="1">
      <alignment horizontal="center"/>
      <protection locked="0"/>
    </xf>
    <xf numFmtId="0" fontId="0" fillId="0" borderId="0" xfId="0" applyAlignment="1">
      <alignment horizontal="center" vertical="center"/>
    </xf>
    <xf numFmtId="0" fontId="26" fillId="0" borderId="0" xfId="5" applyFont="1" applyAlignment="1">
      <alignment horizontal="center"/>
    </xf>
    <xf numFmtId="0" fontId="26" fillId="0" borderId="1" xfId="5" applyFont="1" applyBorder="1" applyAlignment="1">
      <alignment horizontal="left"/>
    </xf>
    <xf numFmtId="0" fontId="28" fillId="0" borderId="0" xfId="7"/>
    <xf numFmtId="0" fontId="19" fillId="0" borderId="0" xfId="5" applyFont="1" applyAlignment="1">
      <alignment horizontal="center" vertical="center"/>
    </xf>
    <xf numFmtId="0" fontId="26" fillId="0" borderId="42" xfId="5" applyFont="1" applyBorder="1" applyAlignment="1">
      <alignment horizontal="center"/>
    </xf>
    <xf numFmtId="0" fontId="26" fillId="0" borderId="43" xfId="5" applyFont="1" applyBorder="1" applyAlignment="1">
      <alignment horizontal="center"/>
    </xf>
    <xf numFmtId="0" fontId="30" fillId="0" borderId="0" xfId="7" applyFont="1" applyAlignment="1">
      <alignment horizontal="justify" vertical="center"/>
    </xf>
    <xf numFmtId="0" fontId="19" fillId="0" borderId="0" xfId="5" applyFont="1" applyAlignment="1">
      <alignment horizontal="center"/>
    </xf>
    <xf numFmtId="0" fontId="25" fillId="2" borderId="48" xfId="5" applyFont="1" applyFill="1" applyBorder="1" applyAlignment="1">
      <alignment horizontal="center" vertical="center" textRotation="90"/>
    </xf>
    <xf numFmtId="0" fontId="23" fillId="17" borderId="30" xfId="5" applyFont="1" applyFill="1" applyBorder="1" applyAlignment="1">
      <alignment horizontal="center" vertical="center"/>
    </xf>
    <xf numFmtId="0" fontId="25" fillId="2" borderId="6" xfId="5" applyFont="1" applyFill="1" applyBorder="1" applyAlignment="1">
      <alignment horizontal="center" textRotation="90"/>
    </xf>
    <xf numFmtId="0" fontId="25" fillId="2" borderId="7" xfId="5" applyFont="1" applyFill="1" applyBorder="1" applyAlignment="1">
      <alignment horizontal="center" wrapText="1"/>
    </xf>
    <xf numFmtId="0" fontId="19" fillId="2" borderId="0" xfId="5" applyFont="1" applyFill="1" applyAlignment="1">
      <alignment horizontal="center"/>
    </xf>
    <xf numFmtId="22" fontId="26" fillId="0" borderId="0" xfId="5" applyNumberFormat="1" applyFont="1" applyAlignment="1">
      <alignment horizontal="center"/>
    </xf>
    <xf numFmtId="0" fontId="26" fillId="0" borderId="3" xfId="5" applyFont="1" applyBorder="1" applyAlignment="1">
      <alignment horizontal="center" vertical="center"/>
    </xf>
    <xf numFmtId="0" fontId="26" fillId="0" borderId="3" xfId="5" applyFont="1" applyBorder="1" applyAlignment="1">
      <alignment horizontal="left" vertical="center"/>
    </xf>
    <xf numFmtId="0" fontId="32" fillId="0" borderId="3" xfId="5" applyFont="1" applyBorder="1" applyAlignment="1">
      <alignment horizontal="left" vertical="center"/>
    </xf>
    <xf numFmtId="22" fontId="26" fillId="0" borderId="3" xfId="5" applyNumberFormat="1" applyFont="1" applyBorder="1" applyAlignment="1">
      <alignment horizontal="center" vertical="center"/>
    </xf>
    <xf numFmtId="0" fontId="25" fillId="18" borderId="3" xfId="5" applyFont="1" applyFill="1" applyBorder="1" applyAlignment="1">
      <alignment horizontal="center" vertical="center"/>
    </xf>
    <xf numFmtId="0" fontId="21" fillId="0" borderId="3" xfId="5" applyFont="1" applyBorder="1" applyAlignment="1">
      <alignment horizontal="center" vertical="center"/>
    </xf>
    <xf numFmtId="0" fontId="25" fillId="0" borderId="3" xfId="5" applyFont="1" applyBorder="1" applyAlignment="1">
      <alignment horizontal="center" vertical="center"/>
    </xf>
    <xf numFmtId="0" fontId="23" fillId="16" borderId="50" xfId="5" applyFont="1" applyFill="1" applyBorder="1" applyAlignment="1">
      <alignment horizontal="center" vertical="center"/>
    </xf>
    <xf numFmtId="0" fontId="25" fillId="8" borderId="51" xfId="5" applyFont="1" applyFill="1" applyBorder="1" applyAlignment="1">
      <alignment horizontal="center" vertical="center"/>
    </xf>
    <xf numFmtId="0" fontId="25" fillId="8" borderId="3" xfId="5" applyFont="1" applyFill="1" applyBorder="1" applyAlignment="1">
      <alignment horizontal="center" vertical="center"/>
    </xf>
    <xf numFmtId="0" fontId="33" fillId="18" borderId="0" xfId="8" applyFont="1" applyFill="1" applyProtection="1">
      <protection locked="0"/>
    </xf>
    <xf numFmtId="0" fontId="1" fillId="0" borderId="0" xfId="5" applyAlignment="1">
      <alignment horizontal="center"/>
    </xf>
    <xf numFmtId="0" fontId="26" fillId="0" borderId="0" xfId="5" applyFont="1" applyAlignment="1">
      <alignment horizontal="left"/>
    </xf>
    <xf numFmtId="0" fontId="32" fillId="0" borderId="0" xfId="5" applyFont="1" applyAlignment="1">
      <alignment horizontal="left"/>
    </xf>
    <xf numFmtId="0" fontId="34" fillId="0" borderId="0" xfId="5" applyFont="1" applyAlignment="1">
      <alignment horizontal="left"/>
    </xf>
    <xf numFmtId="0" fontId="21" fillId="0" borderId="0" xfId="5" applyFont="1" applyAlignment="1">
      <alignment horizontal="center"/>
    </xf>
    <xf numFmtId="0" fontId="35" fillId="0" borderId="0" xfId="5" applyFont="1" applyAlignment="1">
      <alignment horizontal="center"/>
    </xf>
    <xf numFmtId="0" fontId="33" fillId="0" borderId="0" xfId="5" applyFont="1" applyAlignment="1">
      <alignment horizontal="center"/>
    </xf>
    <xf numFmtId="0" fontId="21" fillId="0" borderId="0" xfId="5" applyFont="1" applyAlignment="1">
      <alignment horizontal="left"/>
    </xf>
    <xf numFmtId="0" fontId="0" fillId="0" borderId="0" xfId="5" applyFont="1" applyAlignment="1">
      <alignment horizontal="center"/>
    </xf>
    <xf numFmtId="0" fontId="26" fillId="0" borderId="24" xfId="5" applyFont="1" applyBorder="1" applyAlignment="1">
      <alignment horizontal="left"/>
    </xf>
    <xf numFmtId="0" fontId="10" fillId="0" borderId="30" xfId="0" applyFont="1" applyBorder="1" applyAlignment="1">
      <alignment vertical="center"/>
    </xf>
    <xf numFmtId="0" fontId="10" fillId="0" borderId="30" xfId="0" applyFont="1" applyBorder="1" applyAlignment="1">
      <alignment horizontal="center" vertical="center"/>
    </xf>
    <xf numFmtId="0" fontId="26" fillId="0" borderId="30" xfId="5" applyFont="1" applyBorder="1" applyAlignment="1">
      <alignment horizontal="center"/>
    </xf>
    <xf numFmtId="0" fontId="23" fillId="16" borderId="31" xfId="5" applyFont="1" applyFill="1" applyBorder="1" applyAlignment="1">
      <alignment horizontal="center" vertical="center"/>
    </xf>
    <xf numFmtId="20" fontId="25" fillId="8" borderId="49" xfId="5" applyNumberFormat="1" applyFont="1" applyFill="1" applyBorder="1" applyAlignment="1">
      <alignment horizontal="center" vertical="center"/>
    </xf>
    <xf numFmtId="0" fontId="26" fillId="0" borderId="1" xfId="5" applyFont="1" applyBorder="1" applyAlignment="1">
      <alignment horizontal="center"/>
    </xf>
    <xf numFmtId="0" fontId="31" fillId="0" borderId="3" xfId="5" applyFont="1" applyBorder="1" applyAlignment="1">
      <alignment horizontal="center" vertical="center"/>
    </xf>
    <xf numFmtId="0" fontId="19" fillId="0" borderId="8" xfId="5" applyFont="1" applyBorder="1" applyAlignment="1">
      <alignment horizontal="center" vertical="center"/>
    </xf>
    <xf numFmtId="0" fontId="18" fillId="0" borderId="19" xfId="5" applyFont="1" applyBorder="1" applyAlignment="1">
      <alignment horizontal="center" vertical="center" textRotation="90"/>
    </xf>
    <xf numFmtId="0" fontId="21" fillId="0" borderId="19" xfId="5" applyFont="1" applyBorder="1" applyAlignment="1">
      <alignment horizontal="center" vertical="center" textRotation="90"/>
    </xf>
    <xf numFmtId="0" fontId="29" fillId="0" borderId="28" xfId="5" applyFont="1" applyBorder="1" applyAlignment="1">
      <alignment horizontal="center" vertical="center" wrapText="1"/>
    </xf>
    <xf numFmtId="0" fontId="19" fillId="0" borderId="24" xfId="5" applyFont="1" applyBorder="1" applyAlignment="1">
      <alignment horizontal="center" vertical="center"/>
    </xf>
    <xf numFmtId="0" fontId="25" fillId="8" borderId="19" xfId="5" applyFont="1" applyFill="1" applyBorder="1" applyAlignment="1">
      <alignment textRotation="90"/>
    </xf>
    <xf numFmtId="0" fontId="25" fillId="8" borderId="19" xfId="5" applyFont="1" applyFill="1" applyBorder="1" applyAlignment="1">
      <alignment horizontal="center" textRotation="90"/>
    </xf>
    <xf numFmtId="0" fontId="25" fillId="8" borderId="58" xfId="5" applyFont="1" applyFill="1" applyBorder="1" applyAlignment="1">
      <alignment horizontal="center" wrapText="1"/>
    </xf>
    <xf numFmtId="0" fontId="19" fillId="0" borderId="19" xfId="5" applyFont="1" applyBorder="1" applyAlignment="1">
      <alignment horizontal="center" vertical="center"/>
    </xf>
    <xf numFmtId="0" fontId="19" fillId="0" borderId="60" xfId="5" applyFont="1" applyBorder="1" applyAlignment="1">
      <alignment horizontal="center" vertical="center"/>
    </xf>
    <xf numFmtId="0" fontId="31" fillId="2" borderId="6" xfId="5" applyFont="1" applyFill="1" applyBorder="1" applyAlignment="1">
      <alignment horizontal="left" vertical="center"/>
    </xf>
    <xf numFmtId="0" fontId="19" fillId="2" borderId="0" xfId="5" applyFont="1" applyFill="1" applyAlignment="1">
      <alignment horizontal="center" vertical="center"/>
    </xf>
    <xf numFmtId="0" fontId="18" fillId="2" borderId="0" xfId="5" applyFont="1" applyFill="1" applyAlignment="1">
      <alignment horizontal="center" vertical="center"/>
    </xf>
    <xf numFmtId="0" fontId="29" fillId="2" borderId="0" xfId="5" applyFont="1" applyFill="1" applyAlignment="1">
      <alignment horizontal="center" vertical="center" wrapText="1"/>
    </xf>
    <xf numFmtId="0" fontId="21" fillId="2" borderId="0" xfId="5" applyFont="1" applyFill="1" applyAlignment="1">
      <alignment horizontal="center" vertical="center"/>
    </xf>
    <xf numFmtId="0" fontId="22" fillId="2" borderId="0" xfId="5" applyFont="1" applyFill="1" applyAlignment="1">
      <alignment horizontal="center" textRotation="90"/>
    </xf>
    <xf numFmtId="0" fontId="25" fillId="2" borderId="0" xfId="5" applyFont="1" applyFill="1" applyAlignment="1">
      <alignment horizontal="center" textRotation="90"/>
    </xf>
    <xf numFmtId="0" fontId="25" fillId="2" borderId="0" xfId="5" applyFont="1" applyFill="1" applyAlignment="1">
      <alignment horizontal="left" vertical="center"/>
    </xf>
    <xf numFmtId="165" fontId="19" fillId="18" borderId="51" xfId="6" applyFont="1" applyFill="1" applyBorder="1" applyAlignment="1">
      <alignment horizontal="center" vertical="center"/>
    </xf>
    <xf numFmtId="165" fontId="19" fillId="18" borderId="44" xfId="6" applyFont="1" applyFill="1" applyBorder="1" applyAlignment="1">
      <alignment horizontal="center" vertical="center"/>
    </xf>
    <xf numFmtId="0" fontId="26" fillId="0" borderId="36" xfId="5" applyFont="1" applyBorder="1" applyAlignment="1">
      <alignment horizontal="center" vertical="center"/>
    </xf>
    <xf numFmtId="0" fontId="26" fillId="0" borderId="36" xfId="5" applyFont="1" applyBorder="1" applyAlignment="1">
      <alignment horizontal="left" vertical="center"/>
    </xf>
    <xf numFmtId="0" fontId="32" fillId="0" borderId="36" xfId="5" applyFont="1" applyBorder="1" applyAlignment="1">
      <alignment horizontal="left" vertical="center"/>
    </xf>
    <xf numFmtId="22" fontId="26" fillId="0" borderId="36" xfId="5" applyNumberFormat="1" applyFont="1" applyBorder="1" applyAlignment="1">
      <alignment horizontal="center" vertical="center"/>
    </xf>
    <xf numFmtId="0" fontId="25" fillId="18" borderId="36" xfId="5" applyFont="1" applyFill="1" applyBorder="1" applyAlignment="1">
      <alignment horizontal="center" vertical="center"/>
    </xf>
    <xf numFmtId="0" fontId="21" fillId="0" borderId="36" xfId="5" applyFont="1" applyBorder="1" applyAlignment="1">
      <alignment horizontal="center" vertical="center"/>
    </xf>
    <xf numFmtId="0" fontId="31" fillId="0" borderId="36" xfId="5" applyFont="1" applyBorder="1" applyAlignment="1">
      <alignment horizontal="center" vertical="center"/>
    </xf>
    <xf numFmtId="0" fontId="25" fillId="0" borderId="36" xfId="5" applyFont="1" applyBorder="1" applyAlignment="1">
      <alignment horizontal="center" vertical="center"/>
    </xf>
    <xf numFmtId="0" fontId="25" fillId="8" borderId="44" xfId="5" applyFont="1" applyFill="1" applyBorder="1" applyAlignment="1">
      <alignment horizontal="center" vertical="center"/>
    </xf>
    <xf numFmtId="0" fontId="25" fillId="8" borderId="36" xfId="5" applyFont="1" applyFill="1" applyBorder="1" applyAlignment="1">
      <alignment horizontal="center" vertical="center"/>
    </xf>
    <xf numFmtId="0" fontId="26" fillId="0" borderId="13" xfId="5" applyFont="1" applyBorder="1" applyAlignment="1">
      <alignment horizontal="center"/>
    </xf>
    <xf numFmtId="165" fontId="19" fillId="18" borderId="10" xfId="6" applyFont="1" applyFill="1" applyBorder="1" applyAlignment="1">
      <alignment horizontal="center" vertical="center"/>
    </xf>
    <xf numFmtId="0" fontId="26" fillId="0" borderId="15" xfId="5" applyFont="1" applyBorder="1" applyAlignment="1">
      <alignment horizontal="center" vertical="center"/>
    </xf>
    <xf numFmtId="0" fontId="26" fillId="0" borderId="15" xfId="5" applyFont="1" applyBorder="1" applyAlignment="1">
      <alignment horizontal="left" vertical="center"/>
    </xf>
    <xf numFmtId="0" fontId="32" fillId="0" borderId="15" xfId="5" applyFont="1" applyBorder="1" applyAlignment="1">
      <alignment horizontal="left" vertical="center"/>
    </xf>
    <xf numFmtId="22" fontId="26" fillId="0" borderId="15" xfId="5" applyNumberFormat="1" applyFont="1" applyBorder="1" applyAlignment="1">
      <alignment horizontal="center" vertical="center"/>
    </xf>
    <xf numFmtId="0" fontId="25" fillId="18" borderId="15" xfId="5" applyFont="1" applyFill="1" applyBorder="1" applyAlignment="1">
      <alignment horizontal="center" vertical="center"/>
    </xf>
    <xf numFmtId="0" fontId="21" fillId="0" borderId="15" xfId="5" applyFont="1" applyBorder="1" applyAlignment="1">
      <alignment horizontal="center" vertical="center"/>
    </xf>
    <xf numFmtId="0" fontId="31" fillId="0" borderId="15" xfId="5" applyFont="1" applyBorder="1" applyAlignment="1">
      <alignment horizontal="center" vertical="center"/>
    </xf>
    <xf numFmtId="0" fontId="25" fillId="0" borderId="15" xfId="5" applyFont="1" applyBorder="1" applyAlignment="1">
      <alignment horizontal="center" vertical="center"/>
    </xf>
    <xf numFmtId="0" fontId="23" fillId="16" borderId="53" xfId="5" applyFont="1" applyFill="1" applyBorder="1" applyAlignment="1">
      <alignment horizontal="center" vertical="center"/>
    </xf>
    <xf numFmtId="0" fontId="25" fillId="8" borderId="10" xfId="5" applyFont="1" applyFill="1" applyBorder="1" applyAlignment="1">
      <alignment horizontal="center" vertical="center"/>
    </xf>
    <xf numFmtId="0" fontId="25" fillId="8" borderId="15" xfId="5" applyFont="1" applyFill="1" applyBorder="1" applyAlignment="1">
      <alignment horizontal="center" vertical="center"/>
    </xf>
    <xf numFmtId="20" fontId="25" fillId="8" borderId="56" xfId="5" applyNumberFormat="1" applyFont="1" applyFill="1" applyBorder="1" applyAlignment="1">
      <alignment horizontal="center" vertical="center"/>
    </xf>
    <xf numFmtId="0" fontId="26" fillId="0" borderId="15" xfId="5" applyFont="1" applyBorder="1" applyAlignment="1">
      <alignment horizontal="center"/>
    </xf>
    <xf numFmtId="0" fontId="26" fillId="0" borderId="10" xfId="5" applyFont="1" applyBorder="1" applyAlignment="1">
      <alignment horizontal="center"/>
    </xf>
    <xf numFmtId="0" fontId="26" fillId="0" borderId="11" xfId="5" applyFont="1" applyBorder="1" applyAlignment="1">
      <alignment horizontal="center"/>
    </xf>
    <xf numFmtId="0" fontId="26" fillId="0" borderId="12" xfId="5" applyFont="1" applyBorder="1" applyAlignment="1">
      <alignment horizontal="center"/>
    </xf>
    <xf numFmtId="0" fontId="31" fillId="2" borderId="46" xfId="5" applyFont="1" applyFill="1" applyBorder="1" applyAlignment="1">
      <alignment horizontal="center"/>
    </xf>
    <xf numFmtId="22" fontId="31" fillId="2" borderId="46" xfId="5" applyNumberFormat="1" applyFont="1" applyFill="1" applyBorder="1" applyAlignment="1">
      <alignment horizontal="center"/>
    </xf>
    <xf numFmtId="0" fontId="31" fillId="2" borderId="45" xfId="5" applyFont="1" applyFill="1" applyBorder="1" applyAlignment="1">
      <alignment horizontal="center"/>
    </xf>
    <xf numFmtId="0" fontId="31" fillId="2" borderId="47" xfId="5" applyFont="1" applyFill="1" applyBorder="1" applyAlignment="1">
      <alignment horizontal="center"/>
    </xf>
    <xf numFmtId="0" fontId="31" fillId="0" borderId="0" xfId="5" applyFont="1" applyAlignment="1">
      <alignment horizontal="center"/>
    </xf>
    <xf numFmtId="0" fontId="25" fillId="2" borderId="0" xfId="5" applyFont="1" applyFill="1" applyAlignment="1">
      <alignment horizontal="center" wrapText="1"/>
    </xf>
    <xf numFmtId="20" fontId="25" fillId="8" borderId="58" xfId="5" applyNumberFormat="1" applyFont="1" applyFill="1" applyBorder="1" applyAlignment="1">
      <alignment horizontal="center" vertical="center"/>
    </xf>
    <xf numFmtId="20" fontId="25" fillId="8" borderId="9" xfId="5" applyNumberFormat="1" applyFont="1" applyFill="1" applyBorder="1" applyAlignment="1">
      <alignment horizontal="center" vertical="center"/>
    </xf>
    <xf numFmtId="0" fontId="25" fillId="8" borderId="61" xfId="5" applyFont="1" applyFill="1" applyBorder="1" applyAlignment="1">
      <alignment horizontal="center" vertical="center"/>
    </xf>
    <xf numFmtId="0" fontId="25" fillId="8" borderId="48" xfId="5" applyFont="1" applyFill="1" applyBorder="1" applyAlignment="1">
      <alignment horizontal="center" vertical="center"/>
    </xf>
    <xf numFmtId="0" fontId="25" fillId="8" borderId="16" xfId="5" applyFont="1" applyFill="1" applyBorder="1" applyAlignment="1">
      <alignment horizontal="center" vertical="center"/>
    </xf>
    <xf numFmtId="0" fontId="25" fillId="8" borderId="62" xfId="5" applyFont="1" applyFill="1" applyBorder="1" applyAlignment="1">
      <alignment horizontal="center" vertical="center"/>
    </xf>
    <xf numFmtId="0" fontId="25" fillId="8" borderId="63" xfId="5" applyFont="1" applyFill="1" applyBorder="1" applyAlignment="1">
      <alignment horizontal="center" vertical="center"/>
    </xf>
    <xf numFmtId="0" fontId="26" fillId="0" borderId="34" xfId="5" applyFont="1" applyBorder="1" applyAlignment="1">
      <alignment horizontal="center"/>
    </xf>
    <xf numFmtId="0" fontId="26" fillId="0" borderId="50" xfId="5" applyFont="1" applyBorder="1" applyAlignment="1">
      <alignment horizontal="center"/>
    </xf>
    <xf numFmtId="0" fontId="26" fillId="0" borderId="19" xfId="5" applyFont="1" applyBorder="1" applyAlignment="1">
      <alignment horizontal="center"/>
    </xf>
    <xf numFmtId="168" fontId="25" fillId="2" borderId="7" xfId="5" applyNumberFormat="1" applyFont="1" applyFill="1" applyBorder="1" applyAlignment="1">
      <alignment horizontal="left" vertical="center"/>
    </xf>
    <xf numFmtId="168" fontId="26" fillId="0" borderId="16" xfId="5" applyNumberFormat="1" applyFont="1" applyBorder="1" applyAlignment="1">
      <alignment horizontal="center"/>
    </xf>
    <xf numFmtId="168" fontId="26" fillId="0" borderId="17" xfId="5" applyNumberFormat="1" applyFont="1" applyBorder="1" applyAlignment="1">
      <alignment horizontal="center"/>
    </xf>
    <xf numFmtId="168" fontId="26" fillId="0" borderId="14" xfId="5" applyNumberFormat="1" applyFont="1" applyBorder="1" applyAlignment="1">
      <alignment horizontal="center"/>
    </xf>
    <xf numFmtId="168" fontId="21" fillId="0" borderId="0" xfId="5" applyNumberFormat="1" applyFont="1" applyAlignment="1">
      <alignment horizontal="left"/>
    </xf>
    <xf numFmtId="0" fontId="36" fillId="0" borderId="64" xfId="5" applyFont="1" applyBorder="1" applyAlignment="1">
      <alignment horizontal="center"/>
    </xf>
    <xf numFmtId="0" fontId="26" fillId="0" borderId="0" xfId="5" applyFont="1" applyAlignment="1" applyProtection="1">
      <alignment horizontal="center"/>
      <protection locked="0"/>
    </xf>
    <xf numFmtId="0" fontId="26" fillId="0" borderId="24" xfId="5" applyFont="1" applyBorder="1" applyAlignment="1" applyProtection="1">
      <alignment horizontal="left"/>
      <protection locked="0"/>
    </xf>
    <xf numFmtId="0" fontId="26" fillId="0" borderId="1" xfId="5" applyFont="1" applyBorder="1" applyAlignment="1" applyProtection="1">
      <alignment horizontal="left"/>
      <protection locked="0"/>
    </xf>
    <xf numFmtId="0" fontId="28" fillId="0" borderId="0" xfId="7" applyProtection="1">
      <protection locked="0"/>
    </xf>
    <xf numFmtId="0" fontId="19" fillId="0" borderId="0" xfId="5" applyFont="1" applyAlignment="1" applyProtection="1">
      <alignment horizontal="center" vertical="center"/>
      <protection locked="0"/>
    </xf>
    <xf numFmtId="0" fontId="26" fillId="0" borderId="42" xfId="5" applyFont="1" applyBorder="1" applyAlignment="1" applyProtection="1">
      <alignment horizontal="center"/>
      <protection locked="0"/>
    </xf>
    <xf numFmtId="0" fontId="26" fillId="0" borderId="43" xfId="5" applyFont="1" applyBorder="1" applyAlignment="1" applyProtection="1">
      <alignment horizontal="center"/>
      <protection locked="0"/>
    </xf>
    <xf numFmtId="0" fontId="19" fillId="0" borderId="60" xfId="5" applyFont="1" applyBorder="1" applyAlignment="1" applyProtection="1">
      <alignment horizontal="center" vertical="center"/>
      <protection locked="0"/>
    </xf>
    <xf numFmtId="0" fontId="19" fillId="0" borderId="19" xfId="5" applyFont="1" applyBorder="1" applyAlignment="1" applyProtection="1">
      <alignment horizontal="center" vertical="center"/>
      <protection locked="0"/>
    </xf>
    <xf numFmtId="0" fontId="18" fillId="0" borderId="19" xfId="5" applyFont="1" applyBorder="1" applyAlignment="1" applyProtection="1">
      <alignment horizontal="center" vertical="center" textRotation="90"/>
      <protection locked="0"/>
    </xf>
    <xf numFmtId="0" fontId="21" fillId="0" borderId="19" xfId="5" applyFont="1" applyBorder="1" applyAlignment="1" applyProtection="1">
      <alignment horizontal="center" vertical="center" textRotation="90"/>
      <protection locked="0"/>
    </xf>
    <xf numFmtId="0" fontId="29" fillId="0" borderId="28" xfId="5" applyFont="1" applyBorder="1" applyAlignment="1" applyProtection="1">
      <alignment horizontal="center" vertical="center" wrapText="1"/>
      <protection locked="0"/>
    </xf>
    <xf numFmtId="0" fontId="19" fillId="0" borderId="24" xfId="5" applyFont="1" applyBorder="1" applyAlignment="1" applyProtection="1">
      <alignment horizontal="center" vertical="center"/>
      <protection locked="0"/>
    </xf>
    <xf numFmtId="0" fontId="19" fillId="0" borderId="8" xfId="5" applyFont="1" applyBorder="1" applyAlignment="1" applyProtection="1">
      <alignment horizontal="center" vertical="center"/>
      <protection locked="0"/>
    </xf>
    <xf numFmtId="0" fontId="25" fillId="8" borderId="65" xfId="5" applyFont="1" applyFill="1" applyBorder="1" applyAlignment="1" applyProtection="1">
      <alignment textRotation="90"/>
      <protection locked="0"/>
    </xf>
    <xf numFmtId="0" fontId="25" fillId="8" borderId="2" xfId="5" applyFont="1" applyFill="1" applyBorder="1" applyAlignment="1" applyProtection="1">
      <alignment horizontal="center" textRotation="90"/>
      <protection locked="0"/>
    </xf>
    <xf numFmtId="0" fontId="25" fillId="8" borderId="66" xfId="5" applyFont="1" applyFill="1" applyBorder="1" applyAlignment="1" applyProtection="1">
      <alignment horizontal="center" wrapText="1"/>
      <protection locked="0"/>
    </xf>
    <xf numFmtId="0" fontId="30" fillId="0" borderId="0" xfId="7" applyFont="1" applyAlignment="1" applyProtection="1">
      <alignment horizontal="justify" vertical="center"/>
      <protection locked="0"/>
    </xf>
    <xf numFmtId="0" fontId="19" fillId="0" borderId="0" xfId="5" applyFont="1" applyAlignment="1" applyProtection="1">
      <alignment horizontal="center"/>
      <protection locked="0"/>
    </xf>
    <xf numFmtId="0" fontId="10" fillId="0" borderId="30" xfId="0" applyFont="1" applyBorder="1" applyAlignment="1" applyProtection="1">
      <alignment vertical="center"/>
      <protection locked="0"/>
    </xf>
    <xf numFmtId="0" fontId="31" fillId="2" borderId="46" xfId="5" applyFont="1" applyFill="1" applyBorder="1" applyAlignment="1" applyProtection="1">
      <alignment horizontal="center"/>
      <protection locked="0"/>
    </xf>
    <xf numFmtId="22" fontId="31" fillId="2" borderId="46" xfId="5" applyNumberFormat="1" applyFont="1" applyFill="1" applyBorder="1" applyAlignment="1" applyProtection="1">
      <alignment horizontal="center"/>
      <protection locked="0"/>
    </xf>
    <xf numFmtId="0" fontId="31" fillId="2" borderId="45" xfId="5" applyFont="1" applyFill="1" applyBorder="1" applyAlignment="1" applyProtection="1">
      <alignment horizontal="center"/>
      <protection locked="0"/>
    </xf>
    <xf numFmtId="0" fontId="31" fillId="2" borderId="47" xfId="5" applyFont="1" applyFill="1" applyBorder="1" applyAlignment="1" applyProtection="1">
      <alignment horizontal="center"/>
      <protection locked="0"/>
    </xf>
    <xf numFmtId="0" fontId="31" fillId="0" borderId="0" xfId="5" applyFont="1" applyAlignment="1" applyProtection="1">
      <alignment horizontal="center"/>
      <protection locked="0"/>
    </xf>
    <xf numFmtId="0" fontId="31" fillId="2" borderId="6" xfId="5" applyFont="1" applyFill="1" applyBorder="1" applyAlignment="1" applyProtection="1">
      <alignment horizontal="left" vertical="center"/>
      <protection locked="0"/>
    </xf>
    <xf numFmtId="0" fontId="19" fillId="2" borderId="0" xfId="5" applyFont="1" applyFill="1" applyAlignment="1" applyProtection="1">
      <alignment horizontal="center" vertical="center"/>
      <protection locked="0"/>
    </xf>
    <xf numFmtId="0" fontId="18" fillId="2" borderId="0" xfId="5" applyFont="1" applyFill="1" applyAlignment="1" applyProtection="1">
      <alignment horizontal="center" vertical="center"/>
      <protection locked="0"/>
    </xf>
    <xf numFmtId="0" fontId="25" fillId="2" borderId="48" xfId="5" applyFont="1" applyFill="1" applyBorder="1" applyAlignment="1" applyProtection="1">
      <alignment horizontal="center" vertical="center" textRotation="90"/>
      <protection locked="0"/>
    </xf>
    <xf numFmtId="0" fontId="29" fillId="2" borderId="0" xfId="5" applyFont="1" applyFill="1" applyAlignment="1" applyProtection="1">
      <alignment horizontal="center" vertical="center" wrapText="1"/>
      <protection locked="0"/>
    </xf>
    <xf numFmtId="0" fontId="21" fillId="2" borderId="0" xfId="5" applyFont="1" applyFill="1" applyAlignment="1" applyProtection="1">
      <alignment horizontal="center" vertical="center"/>
      <protection locked="0"/>
    </xf>
    <xf numFmtId="0" fontId="22" fillId="2" borderId="0" xfId="5" applyFont="1" applyFill="1" applyAlignment="1" applyProtection="1">
      <alignment horizontal="center" textRotation="90"/>
      <protection locked="0"/>
    </xf>
    <xf numFmtId="0" fontId="23" fillId="17" borderId="30" xfId="5" applyFont="1" applyFill="1" applyBorder="1" applyAlignment="1" applyProtection="1">
      <alignment horizontal="center" vertical="center"/>
      <protection locked="0"/>
    </xf>
    <xf numFmtId="0" fontId="25" fillId="2" borderId="6" xfId="5" applyFont="1" applyFill="1" applyBorder="1" applyAlignment="1" applyProtection="1">
      <alignment horizontal="center" textRotation="90"/>
      <protection locked="0"/>
    </xf>
    <xf numFmtId="0" fontId="25" fillId="2" borderId="0" xfId="5" applyFont="1" applyFill="1" applyAlignment="1" applyProtection="1">
      <alignment horizontal="center" textRotation="90"/>
      <protection locked="0"/>
    </xf>
    <xf numFmtId="0" fontId="25" fillId="2" borderId="7" xfId="5" applyFont="1" applyFill="1" applyBorder="1" applyAlignment="1" applyProtection="1">
      <alignment horizontal="center" wrapText="1"/>
      <protection locked="0"/>
    </xf>
    <xf numFmtId="0" fontId="25" fillId="2" borderId="0" xfId="5" applyFont="1" applyFill="1" applyAlignment="1" applyProtection="1">
      <alignment horizontal="center" wrapText="1"/>
      <protection locked="0"/>
    </xf>
    <xf numFmtId="0" fontId="25" fillId="2" borderId="0" xfId="5" applyFont="1" applyFill="1" applyAlignment="1" applyProtection="1">
      <alignment horizontal="left" vertical="center"/>
      <protection locked="0"/>
    </xf>
    <xf numFmtId="168" fontId="25" fillId="2" borderId="7" xfId="5" applyNumberFormat="1" applyFont="1" applyFill="1" applyBorder="1" applyAlignment="1" applyProtection="1">
      <alignment horizontal="left" vertical="center"/>
      <protection locked="0"/>
    </xf>
    <xf numFmtId="0" fontId="19" fillId="2" borderId="0" xfId="5" applyFont="1" applyFill="1" applyAlignment="1" applyProtection="1">
      <alignment horizontal="center"/>
      <protection locked="0"/>
    </xf>
    <xf numFmtId="22" fontId="26" fillId="0" borderId="0" xfId="5" applyNumberFormat="1" applyFont="1" applyAlignment="1" applyProtection="1">
      <alignment horizontal="center"/>
      <protection locked="0"/>
    </xf>
    <xf numFmtId="0" fontId="26" fillId="0" borderId="15" xfId="5" applyFont="1" applyBorder="1" applyAlignment="1" applyProtection="1">
      <alignment horizontal="left" vertical="center"/>
      <protection locked="0"/>
    </xf>
    <xf numFmtId="0" fontId="25" fillId="18" borderId="15" xfId="5" applyFont="1" applyFill="1" applyBorder="1" applyAlignment="1" applyProtection="1">
      <alignment horizontal="center" vertical="center"/>
      <protection locked="0"/>
    </xf>
    <xf numFmtId="0" fontId="21" fillId="0" borderId="15" xfId="5" applyFont="1" applyBorder="1" applyAlignment="1" applyProtection="1">
      <alignment horizontal="center" vertical="center"/>
      <protection locked="0"/>
    </xf>
    <xf numFmtId="0" fontId="25" fillId="0" borderId="15" xfId="5" applyFont="1" applyBorder="1" applyAlignment="1" applyProtection="1">
      <alignment horizontal="center" vertical="center"/>
      <protection locked="0"/>
    </xf>
    <xf numFmtId="0" fontId="23" fillId="16" borderId="15" xfId="5" applyFont="1" applyFill="1" applyBorder="1" applyAlignment="1" applyProtection="1">
      <alignment horizontal="center" vertical="center"/>
      <protection locked="0"/>
    </xf>
    <xf numFmtId="0" fontId="26" fillId="0" borderId="15" xfId="5" applyFont="1" applyBorder="1" applyAlignment="1" applyProtection="1">
      <alignment horizontal="center"/>
      <protection locked="0"/>
    </xf>
    <xf numFmtId="0" fontId="26" fillId="0" borderId="30" xfId="5" applyFont="1" applyBorder="1" applyAlignment="1" applyProtection="1">
      <alignment horizontal="center"/>
      <protection locked="0"/>
    </xf>
    <xf numFmtId="165" fontId="19" fillId="18" borderId="11" xfId="6" applyFont="1" applyFill="1" applyBorder="1" applyAlignment="1" applyProtection="1">
      <alignment horizontal="center" vertical="center"/>
      <protection locked="0"/>
    </xf>
    <xf numFmtId="0" fontId="26" fillId="0" borderId="1" xfId="5" applyFont="1" applyBorder="1" applyAlignment="1" applyProtection="1">
      <alignment horizontal="center" vertical="center"/>
      <protection locked="0"/>
    </xf>
    <xf numFmtId="0" fontId="26" fillId="0" borderId="1" xfId="5" applyFont="1" applyBorder="1" applyAlignment="1" applyProtection="1">
      <alignment horizontal="left" vertical="center"/>
      <protection locked="0"/>
    </xf>
    <xf numFmtId="22" fontId="26" fillId="0" borderId="1" xfId="5" applyNumberFormat="1" applyFont="1" applyBorder="1" applyAlignment="1" applyProtection="1">
      <alignment horizontal="center" vertical="center"/>
      <protection locked="0"/>
    </xf>
    <xf numFmtId="0" fontId="25" fillId="18" borderId="1" xfId="5" applyFont="1" applyFill="1" applyBorder="1" applyAlignment="1" applyProtection="1">
      <alignment horizontal="center" vertical="center"/>
      <protection locked="0"/>
    </xf>
    <xf numFmtId="0" fontId="21" fillId="0" borderId="1" xfId="5" applyFont="1" applyBorder="1" applyAlignment="1" applyProtection="1">
      <alignment horizontal="center" vertical="center"/>
      <protection locked="0"/>
    </xf>
    <xf numFmtId="0" fontId="25" fillId="0" borderId="1" xfId="5" applyFont="1" applyBorder="1" applyAlignment="1" applyProtection="1">
      <alignment horizontal="center" vertical="center"/>
      <protection locked="0"/>
    </xf>
    <xf numFmtId="0" fontId="23" fillId="16" borderId="1" xfId="5" applyFont="1" applyFill="1" applyBorder="1" applyAlignment="1" applyProtection="1">
      <alignment horizontal="center" vertical="center"/>
      <protection locked="0"/>
    </xf>
    <xf numFmtId="0" fontId="25" fillId="8" borderId="1" xfId="5" applyFont="1" applyFill="1" applyBorder="1" applyAlignment="1" applyProtection="1">
      <alignment horizontal="center" vertical="center"/>
      <protection locked="0"/>
    </xf>
    <xf numFmtId="0" fontId="26" fillId="0" borderId="1" xfId="5" applyFont="1" applyBorder="1" applyAlignment="1" applyProtection="1">
      <alignment horizontal="center"/>
      <protection locked="0"/>
    </xf>
    <xf numFmtId="0" fontId="36" fillId="0" borderId="64" xfId="5" applyFont="1" applyBorder="1" applyAlignment="1" applyProtection="1">
      <alignment horizontal="center"/>
      <protection locked="0"/>
    </xf>
    <xf numFmtId="165" fontId="19" fillId="18" borderId="12" xfId="6" applyFont="1" applyFill="1" applyBorder="1" applyAlignment="1" applyProtection="1">
      <alignment horizontal="center" vertical="center"/>
      <protection locked="0"/>
    </xf>
    <xf numFmtId="0" fontId="26" fillId="0" borderId="13" xfId="5" applyFont="1" applyBorder="1" applyAlignment="1" applyProtection="1">
      <alignment horizontal="center" vertical="center"/>
      <protection locked="0"/>
    </xf>
    <xf numFmtId="0" fontId="26" fillId="0" borderId="13" xfId="5" applyFont="1" applyBorder="1" applyAlignment="1" applyProtection="1">
      <alignment horizontal="left" vertical="center"/>
      <protection locked="0"/>
    </xf>
    <xf numFmtId="22" fontId="26" fillId="0" borderId="13" xfId="5" applyNumberFormat="1" applyFont="1" applyBorder="1" applyAlignment="1" applyProtection="1">
      <alignment horizontal="center" vertical="center"/>
      <protection locked="0"/>
    </xf>
    <xf numFmtId="0" fontId="25" fillId="18" borderId="13" xfId="5" applyFont="1" applyFill="1" applyBorder="1" applyAlignment="1" applyProtection="1">
      <alignment horizontal="center" vertical="center"/>
      <protection locked="0"/>
    </xf>
    <xf numFmtId="0" fontId="21" fillId="0" borderId="13" xfId="5" applyFont="1" applyBorder="1" applyAlignment="1" applyProtection="1">
      <alignment horizontal="center" vertical="center"/>
      <protection locked="0"/>
    </xf>
    <xf numFmtId="0" fontId="25" fillId="0" borderId="13" xfId="5" applyFont="1" applyBorder="1" applyAlignment="1" applyProtection="1">
      <alignment horizontal="center" vertical="center"/>
      <protection locked="0"/>
    </xf>
    <xf numFmtId="0" fontId="23" fillId="16" borderId="13" xfId="5" applyFont="1" applyFill="1" applyBorder="1" applyAlignment="1" applyProtection="1">
      <alignment horizontal="center" vertical="center"/>
      <protection locked="0"/>
    </xf>
    <xf numFmtId="0" fontId="25" fillId="8" borderId="13" xfId="5" applyFont="1" applyFill="1" applyBorder="1" applyAlignment="1" applyProtection="1">
      <alignment horizontal="center" vertical="center"/>
      <protection locked="0"/>
    </xf>
    <xf numFmtId="0" fontId="26" fillId="0" borderId="13" xfId="5" applyFont="1" applyBorder="1" applyAlignment="1" applyProtection="1">
      <alignment horizontal="center"/>
      <protection locked="0"/>
    </xf>
    <xf numFmtId="0" fontId="26" fillId="0" borderId="0" xfId="5" applyFont="1" applyAlignment="1" applyProtection="1">
      <alignment horizontal="left"/>
      <protection locked="0"/>
    </xf>
    <xf numFmtId="0" fontId="32" fillId="0" borderId="0" xfId="5" applyFont="1" applyAlignment="1" applyProtection="1">
      <alignment horizontal="left"/>
      <protection locked="0"/>
    </xf>
    <xf numFmtId="0" fontId="34" fillId="0" borderId="0" xfId="5" applyFont="1" applyAlignment="1" applyProtection="1">
      <alignment horizontal="left"/>
      <protection locked="0"/>
    </xf>
    <xf numFmtId="0" fontId="21" fillId="0" borderId="0" xfId="5" applyFont="1" applyAlignment="1" applyProtection="1">
      <alignment horizontal="center"/>
      <protection locked="0"/>
    </xf>
    <xf numFmtId="0" fontId="35" fillId="0" borderId="0" xfId="5" applyFont="1" applyAlignment="1" applyProtection="1">
      <alignment horizontal="center"/>
      <protection locked="0"/>
    </xf>
    <xf numFmtId="0" fontId="33" fillId="0" borderId="0" xfId="5" applyFont="1" applyAlignment="1" applyProtection="1">
      <alignment horizontal="center"/>
      <protection locked="0"/>
    </xf>
    <xf numFmtId="0" fontId="21" fillId="0" borderId="0" xfId="5" applyFont="1" applyAlignment="1" applyProtection="1">
      <alignment horizontal="left"/>
      <protection locked="0"/>
    </xf>
    <xf numFmtId="168" fontId="21" fillId="0" borderId="0" xfId="5" applyNumberFormat="1" applyFont="1" applyAlignment="1" applyProtection="1">
      <alignment horizontal="left"/>
      <protection locked="0"/>
    </xf>
    <xf numFmtId="0" fontId="0" fillId="0" borderId="0" xfId="5" applyFont="1" applyAlignment="1" applyProtection="1">
      <alignment horizontal="center"/>
      <protection locked="0"/>
    </xf>
    <xf numFmtId="0" fontId="25" fillId="8" borderId="1" xfId="5" applyFont="1" applyFill="1" applyBorder="1" applyAlignment="1">
      <alignment horizontal="center" vertical="center"/>
    </xf>
    <xf numFmtId="0" fontId="25" fillId="8" borderId="13" xfId="5" applyFont="1" applyFill="1" applyBorder="1" applyAlignment="1">
      <alignment horizontal="center" vertical="center"/>
    </xf>
    <xf numFmtId="0" fontId="31" fillId="0" borderId="1" xfId="5" applyFont="1" applyBorder="1" applyAlignment="1">
      <alignment horizontal="center" vertical="center"/>
    </xf>
    <xf numFmtId="0" fontId="31" fillId="0" borderId="13" xfId="5" applyFont="1" applyBorder="1" applyAlignment="1">
      <alignment horizontal="center" vertical="center"/>
    </xf>
    <xf numFmtId="0" fontId="8" fillId="2" borderId="21" xfId="0" applyFont="1" applyFill="1" applyBorder="1" applyAlignment="1" applyProtection="1">
      <alignment horizontal="center" vertical="center" wrapText="1"/>
      <protection locked="0"/>
    </xf>
    <xf numFmtId="168" fontId="8" fillId="2" borderId="22" xfId="0" applyNumberFormat="1" applyFont="1" applyFill="1" applyBorder="1" applyAlignment="1" applyProtection="1">
      <alignment horizontal="center" vertical="center" wrapText="1"/>
      <protection locked="0"/>
    </xf>
    <xf numFmtId="46" fontId="8" fillId="7" borderId="23" xfId="0" applyNumberFormat="1" applyFont="1" applyFill="1" applyBorder="1" applyAlignment="1" applyProtection="1">
      <alignment horizontal="center" vertical="center" wrapText="1"/>
      <protection locked="0"/>
    </xf>
    <xf numFmtId="167" fontId="8" fillId="7" borderId="5" xfId="0" applyNumberFormat="1" applyFont="1" applyFill="1" applyBorder="1" applyAlignment="1" applyProtection="1">
      <alignment horizontal="center" vertical="center" wrapText="1"/>
      <protection locked="0"/>
    </xf>
    <xf numFmtId="0" fontId="8" fillId="10" borderId="0" xfId="0" applyFont="1" applyFill="1" applyAlignment="1" applyProtection="1">
      <alignment horizontal="center" vertical="center" wrapText="1"/>
      <protection locked="0"/>
    </xf>
    <xf numFmtId="0" fontId="8" fillId="10" borderId="4" xfId="0" applyFont="1" applyFill="1" applyBorder="1" applyAlignment="1" applyProtection="1">
      <alignment horizontal="center" vertical="center" wrapText="1"/>
      <protection locked="0"/>
    </xf>
    <xf numFmtId="0" fontId="8" fillId="10" borderId="5" xfId="0" applyFont="1" applyFill="1" applyBorder="1" applyAlignment="1" applyProtection="1">
      <alignment horizontal="center" vertical="center" wrapText="1"/>
      <protection locked="0"/>
    </xf>
    <xf numFmtId="0" fontId="8" fillId="10" borderId="41" xfId="0" applyFont="1" applyFill="1" applyBorder="1" applyAlignment="1" applyProtection="1">
      <alignment horizontal="center" vertical="center" wrapText="1"/>
      <protection locked="0"/>
    </xf>
    <xf numFmtId="168" fontId="8" fillId="10" borderId="5" xfId="0" applyNumberFormat="1" applyFont="1" applyFill="1" applyBorder="1" applyAlignment="1" applyProtection="1">
      <alignment horizontal="center" vertical="center" wrapText="1"/>
      <protection locked="0"/>
    </xf>
    <xf numFmtId="9" fontId="8" fillId="10" borderId="5" xfId="1" applyFont="1" applyFill="1" applyBorder="1" applyAlignment="1" applyProtection="1">
      <alignment horizontal="center" vertical="center" wrapText="1"/>
      <protection locked="0"/>
    </xf>
    <xf numFmtId="169" fontId="8" fillId="10" borderId="5" xfId="0" applyNumberFormat="1" applyFont="1" applyFill="1" applyBorder="1" applyAlignment="1" applyProtection="1">
      <alignment horizontal="center" vertical="center" wrapText="1"/>
      <protection locked="0"/>
    </xf>
    <xf numFmtId="166" fontId="8" fillId="10" borderId="5" xfId="0" applyNumberFormat="1" applyFont="1" applyFill="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0" fillId="19" borderId="1" xfId="0" applyFill="1" applyBorder="1" applyAlignment="1" applyProtection="1">
      <alignment horizontal="center"/>
      <protection locked="0"/>
    </xf>
    <xf numFmtId="168" fontId="0" fillId="0" borderId="1" xfId="0" applyNumberFormat="1" applyBorder="1" applyAlignment="1" applyProtection="1">
      <alignment horizontal="center"/>
      <protection locked="0"/>
    </xf>
    <xf numFmtId="0" fontId="15" fillId="0" borderId="1" xfId="2" applyFont="1" applyBorder="1" applyAlignment="1" applyProtection="1">
      <alignment horizontal="center" vertical="center"/>
      <protection locked="0"/>
    </xf>
    <xf numFmtId="164" fontId="0" fillId="0" borderId="1" xfId="0" applyNumberFormat="1" applyBorder="1" applyAlignment="1" applyProtection="1">
      <alignment horizontal="center"/>
      <protection locked="0"/>
    </xf>
    <xf numFmtId="0" fontId="9" fillId="0" borderId="1" xfId="0" applyFont="1" applyBorder="1" applyAlignment="1" applyProtection="1">
      <alignment horizontal="center"/>
      <protection locked="0"/>
    </xf>
    <xf numFmtId="0" fontId="2" fillId="10" borderId="0" xfId="0" applyFont="1" applyFill="1" applyAlignment="1" applyProtection="1">
      <alignment horizontal="center" vertical="center" wrapText="1"/>
      <protection locked="0"/>
    </xf>
    <xf numFmtId="165" fontId="0" fillId="0" borderId="1" xfId="0" applyNumberFormat="1" applyBorder="1" applyAlignment="1" applyProtection="1">
      <alignment horizontal="center"/>
      <protection locked="0"/>
    </xf>
    <xf numFmtId="46" fontId="0" fillId="0" borderId="0" xfId="0" applyNumberFormat="1" applyAlignment="1" applyProtection="1">
      <alignment horizontal="center"/>
      <protection locked="0"/>
    </xf>
    <xf numFmtId="167" fontId="0" fillId="0" borderId="0" xfId="0" applyNumberFormat="1" applyAlignment="1" applyProtection="1">
      <alignment horizontal="center"/>
      <protection locked="0"/>
    </xf>
    <xf numFmtId="46" fontId="0" fillId="0" borderId="3" xfId="0" applyNumberFormat="1" applyBorder="1" applyAlignment="1">
      <alignment horizontal="center" wrapText="1"/>
    </xf>
    <xf numFmtId="167" fontId="0" fillId="0" borderId="3" xfId="0" quotePrefix="1" applyNumberFormat="1" applyBorder="1" applyAlignment="1">
      <alignment horizontal="center" wrapText="1"/>
    </xf>
    <xf numFmtId="0" fontId="15" fillId="0" borderId="1" xfId="2" applyFont="1" applyBorder="1" applyAlignment="1">
      <alignment horizontal="center" vertical="center"/>
    </xf>
    <xf numFmtId="0" fontId="26" fillId="0" borderId="1" xfId="2" applyFont="1" applyBorder="1" applyAlignment="1">
      <alignment horizontal="center" vertical="center"/>
    </xf>
    <xf numFmtId="164" fontId="0" fillId="0" borderId="1" xfId="0" applyNumberFormat="1" applyBorder="1" applyAlignment="1">
      <alignment horizontal="center"/>
    </xf>
    <xf numFmtId="2" fontId="0" fillId="11" borderId="1" xfId="0" applyNumberFormat="1" applyFill="1" applyBorder="1" applyAlignment="1">
      <alignment horizontal="center"/>
    </xf>
    <xf numFmtId="2" fontId="0" fillId="14" borderId="1" xfId="0" applyNumberFormat="1" applyFill="1" applyBorder="1" applyAlignment="1">
      <alignment horizontal="center"/>
    </xf>
    <xf numFmtId="2" fontId="0" fillId="14" borderId="17" xfId="0" applyNumberFormat="1" applyFill="1" applyBorder="1" applyAlignment="1">
      <alignment horizontal="center"/>
    </xf>
    <xf numFmtId="0" fontId="2" fillId="10" borderId="0" xfId="0" applyFont="1" applyFill="1" applyAlignment="1">
      <alignment horizontal="center" vertical="center" wrapText="1"/>
    </xf>
    <xf numFmtId="168" fontId="0" fillId="14" borderId="1" xfId="0" applyNumberFormat="1" applyFill="1" applyBorder="1" applyAlignment="1">
      <alignment horizontal="center"/>
    </xf>
    <xf numFmtId="9" fontId="0" fillId="14" borderId="1" xfId="1" applyFont="1" applyFill="1" applyBorder="1" applyAlignment="1" applyProtection="1">
      <alignment horizontal="center"/>
    </xf>
    <xf numFmtId="169" fontId="0" fillId="14" borderId="1" xfId="0" applyNumberFormat="1" applyFill="1" applyBorder="1" applyAlignment="1">
      <alignment horizontal="center"/>
    </xf>
    <xf numFmtId="166" fontId="0" fillId="14" borderId="1" xfId="0" applyNumberFormat="1" applyFill="1" applyBorder="1" applyAlignment="1">
      <alignment horizontal="center"/>
    </xf>
    <xf numFmtId="1" fontId="3" fillId="0" borderId="1" xfId="2" applyNumberFormat="1" applyFont="1" applyBorder="1" applyAlignment="1">
      <alignment horizontal="center" vertical="center" wrapText="1"/>
    </xf>
    <xf numFmtId="0" fontId="25" fillId="2" borderId="68" xfId="5" applyFont="1" applyFill="1" applyBorder="1" applyAlignment="1" applyProtection="1">
      <alignment horizontal="left" vertical="center"/>
      <protection locked="0"/>
    </xf>
    <xf numFmtId="0" fontId="26" fillId="0" borderId="1" xfId="5" applyFont="1" applyBorder="1" applyAlignment="1">
      <alignment horizontal="center" vertical="center"/>
    </xf>
    <xf numFmtId="20" fontId="25" fillId="8" borderId="1" xfId="5" applyNumberFormat="1" applyFont="1" applyFill="1" applyBorder="1" applyAlignment="1" applyProtection="1">
      <alignment horizontal="center" vertical="center"/>
      <protection locked="0"/>
    </xf>
    <xf numFmtId="20" fontId="25" fillId="8" borderId="13" xfId="5" applyNumberFormat="1" applyFont="1" applyFill="1" applyBorder="1" applyAlignment="1" applyProtection="1">
      <alignment horizontal="center" vertical="center"/>
      <protection locked="0"/>
    </xf>
    <xf numFmtId="0" fontId="26" fillId="0" borderId="13" xfId="5" applyFont="1" applyBorder="1" applyAlignment="1">
      <alignment horizontal="center" vertical="center"/>
    </xf>
    <xf numFmtId="0" fontId="33" fillId="0" borderId="69" xfId="5" applyFont="1" applyBorder="1" applyAlignment="1" applyProtection="1">
      <alignment horizontal="center" vertical="center" wrapText="1"/>
      <protection locked="0"/>
    </xf>
    <xf numFmtId="166" fontId="26" fillId="0" borderId="16" xfId="5" applyNumberFormat="1" applyFont="1" applyBorder="1" applyAlignment="1">
      <alignment horizontal="center"/>
    </xf>
    <xf numFmtId="166" fontId="26" fillId="0" borderId="17" xfId="5" applyNumberFormat="1" applyFont="1" applyBorder="1" applyAlignment="1">
      <alignment horizontal="center"/>
    </xf>
    <xf numFmtId="166" fontId="26" fillId="0" borderId="14" xfId="5" applyNumberFormat="1" applyFont="1" applyBorder="1" applyAlignment="1">
      <alignment horizontal="center"/>
    </xf>
    <xf numFmtId="0" fontId="25" fillId="8" borderId="19" xfId="5" applyFont="1" applyFill="1" applyBorder="1" applyAlignment="1" applyProtection="1">
      <alignment horizontal="center" wrapText="1"/>
      <protection locked="0"/>
    </xf>
    <xf numFmtId="0" fontId="11" fillId="12" borderId="38" xfId="0" applyFont="1" applyFill="1" applyBorder="1" applyAlignment="1">
      <alignment horizontal="center" vertical="center"/>
    </xf>
    <xf numFmtId="0" fontId="20" fillId="15" borderId="65" xfId="0" applyFont="1" applyFill="1" applyBorder="1" applyAlignment="1" applyProtection="1">
      <alignment horizontal="center" vertical="center" wrapText="1"/>
      <protection locked="0"/>
    </xf>
    <xf numFmtId="166" fontId="20" fillId="15" borderId="2" xfId="0" applyNumberFormat="1" applyFont="1" applyFill="1" applyBorder="1" applyAlignment="1" applyProtection="1">
      <alignment horizontal="center" vertical="center" wrapText="1"/>
      <protection locked="0"/>
    </xf>
    <xf numFmtId="0" fontId="20" fillId="15" borderId="66" xfId="0" applyFont="1" applyFill="1" applyBorder="1" applyAlignment="1" applyProtection="1">
      <alignment horizontal="center" vertical="center" wrapText="1"/>
      <protection locked="0"/>
    </xf>
    <xf numFmtId="0" fontId="20" fillId="9" borderId="65" xfId="0" applyFont="1" applyFill="1" applyBorder="1" applyAlignment="1" applyProtection="1">
      <alignment horizontal="center" vertical="center" wrapText="1"/>
      <protection locked="0"/>
    </xf>
    <xf numFmtId="166" fontId="20" fillId="9" borderId="2" xfId="0" applyNumberFormat="1" applyFont="1" applyFill="1" applyBorder="1" applyAlignment="1" applyProtection="1">
      <alignment horizontal="center" vertical="center" wrapText="1"/>
      <protection locked="0"/>
    </xf>
    <xf numFmtId="0" fontId="20" fillId="9" borderId="66" xfId="0" applyFont="1" applyFill="1" applyBorder="1" applyAlignment="1" applyProtection="1">
      <alignment horizontal="center" vertical="center" wrapText="1"/>
      <protection locked="0"/>
    </xf>
    <xf numFmtId="0" fontId="20" fillId="21" borderId="65" xfId="0" applyFont="1" applyFill="1" applyBorder="1" applyAlignment="1" applyProtection="1">
      <alignment horizontal="center" vertical="center" wrapText="1"/>
      <protection locked="0"/>
    </xf>
    <xf numFmtId="166" fontId="20" fillId="21" borderId="2" xfId="0" applyNumberFormat="1" applyFont="1" applyFill="1" applyBorder="1" applyAlignment="1" applyProtection="1">
      <alignment horizontal="center" vertical="center" wrapText="1"/>
      <protection locked="0"/>
    </xf>
    <xf numFmtId="0" fontId="20" fillId="21" borderId="66" xfId="0" applyFont="1" applyFill="1" applyBorder="1" applyAlignment="1" applyProtection="1">
      <alignment horizontal="center" vertical="center" wrapText="1"/>
      <protection locked="0"/>
    </xf>
    <xf numFmtId="0" fontId="5" fillId="22" borderId="19" xfId="0" applyFont="1" applyFill="1" applyBorder="1" applyAlignment="1" applyProtection="1">
      <alignment horizontal="center" vertical="center" wrapText="1"/>
      <protection locked="0"/>
    </xf>
    <xf numFmtId="0" fontId="8" fillId="2" borderId="70" xfId="0" applyFont="1" applyFill="1" applyBorder="1" applyAlignment="1" applyProtection="1">
      <alignment horizontal="center" vertical="center" wrapText="1"/>
      <protection locked="0"/>
    </xf>
    <xf numFmtId="0" fontId="37" fillId="23" borderId="71" xfId="0" applyFont="1" applyFill="1" applyBorder="1" applyAlignment="1">
      <alignment horizontal="center" vertical="center" wrapText="1"/>
    </xf>
    <xf numFmtId="0" fontId="38" fillId="23" borderId="74" xfId="0" applyFont="1" applyFill="1" applyBorder="1" applyAlignment="1">
      <alignment horizontal="center" vertical="center" wrapText="1"/>
    </xf>
    <xf numFmtId="0" fontId="38" fillId="23" borderId="75" xfId="0" applyFont="1" applyFill="1" applyBorder="1" applyAlignment="1">
      <alignment horizontal="center" vertical="center" wrapText="1"/>
    </xf>
    <xf numFmtId="0" fontId="39" fillId="0" borderId="7" xfId="0" applyFont="1" applyBorder="1" applyAlignment="1">
      <alignment vertical="center" wrapText="1"/>
    </xf>
    <xf numFmtId="0" fontId="39" fillId="0" borderId="77" xfId="0" applyFont="1" applyBorder="1" applyAlignment="1">
      <alignment vertical="center" wrapText="1"/>
    </xf>
    <xf numFmtId="0" fontId="39" fillId="0" borderId="30" xfId="0" applyFont="1" applyBorder="1" applyAlignment="1">
      <alignment vertical="center" wrapText="1"/>
    </xf>
    <xf numFmtId="0" fontId="39" fillId="0" borderId="23" xfId="0" applyFont="1" applyBorder="1" applyAlignment="1">
      <alignment vertical="center" wrapText="1"/>
    </xf>
    <xf numFmtId="0" fontId="39" fillId="0" borderId="31" xfId="0" applyFont="1" applyBorder="1" applyAlignment="1">
      <alignment vertical="center" wrapText="1"/>
    </xf>
    <xf numFmtId="0" fontId="39" fillId="0" borderId="9" xfId="0" applyFont="1" applyBorder="1" applyAlignment="1">
      <alignment vertical="center" wrapText="1"/>
    </xf>
    <xf numFmtId="0" fontId="39" fillId="0" borderId="19" xfId="0" applyFont="1" applyBorder="1" applyAlignment="1">
      <alignment vertical="top"/>
    </xf>
    <xf numFmtId="1" fontId="0" fillId="0" borderId="1" xfId="1" applyNumberFormat="1" applyFont="1" applyFill="1" applyBorder="1" applyAlignment="1" applyProtection="1">
      <alignment horizontal="center"/>
      <protection locked="0"/>
    </xf>
    <xf numFmtId="49" fontId="5" fillId="4" borderId="18" xfId="0" applyNumberFormat="1" applyFont="1" applyFill="1" applyBorder="1" applyAlignment="1" applyProtection="1">
      <alignment horizontal="center" vertical="center" wrapText="1"/>
      <protection locked="0"/>
    </xf>
    <xf numFmtId="166" fontId="8" fillId="10" borderId="0" xfId="0" applyNumberFormat="1" applyFont="1" applyFill="1" applyAlignment="1" applyProtection="1">
      <alignment horizontal="center" vertical="center" wrapText="1"/>
      <protection locked="0"/>
    </xf>
    <xf numFmtId="0" fontId="33" fillId="6" borderId="1" xfId="5" applyFont="1" applyFill="1" applyBorder="1" applyAlignment="1" applyProtection="1">
      <alignment vertical="center" wrapText="1"/>
      <protection locked="0"/>
    </xf>
    <xf numFmtId="0" fontId="26" fillId="6" borderId="1" xfId="5" applyFont="1" applyFill="1" applyBorder="1" applyAlignment="1" applyProtection="1">
      <alignment horizontal="center"/>
      <protection locked="0"/>
    </xf>
    <xf numFmtId="166" fontId="26" fillId="0" borderId="1" xfId="5" applyNumberFormat="1" applyFont="1" applyBorder="1" applyAlignment="1">
      <alignment horizontal="center"/>
    </xf>
    <xf numFmtId="0" fontId="25" fillId="8" borderId="15" xfId="5" applyFont="1" applyFill="1" applyBorder="1" applyAlignment="1" applyProtection="1">
      <alignment horizontal="center" vertical="center"/>
      <protection locked="0"/>
    </xf>
    <xf numFmtId="20" fontId="25" fillId="8" borderId="15" xfId="5" applyNumberFormat="1" applyFont="1" applyFill="1" applyBorder="1" applyAlignment="1" applyProtection="1">
      <alignment horizontal="center" vertical="center"/>
      <protection locked="0"/>
    </xf>
    <xf numFmtId="166" fontId="26" fillId="0" borderId="15" xfId="5" applyNumberFormat="1" applyFont="1" applyBorder="1" applyAlignment="1">
      <alignment horizontal="center"/>
    </xf>
    <xf numFmtId="166" fontId="26" fillId="0" borderId="13" xfId="5" applyNumberFormat="1" applyFont="1" applyBorder="1" applyAlignment="1">
      <alignment horizontal="center"/>
    </xf>
    <xf numFmtId="49" fontId="5" fillId="3" borderId="18" xfId="0" applyNumberFormat="1" applyFont="1" applyFill="1" applyBorder="1" applyAlignment="1" applyProtection="1">
      <alignment horizontal="center" vertical="center" wrapText="1"/>
      <protection locked="0"/>
    </xf>
    <xf numFmtId="170" fontId="0" fillId="9" borderId="19" xfId="0" applyNumberFormat="1" applyFill="1" applyBorder="1" applyAlignment="1">
      <alignment horizontal="center"/>
    </xf>
    <xf numFmtId="165" fontId="0" fillId="20" borderId="1" xfId="0" applyNumberFormat="1" applyFill="1" applyBorder="1" applyAlignment="1">
      <alignment horizontal="center"/>
    </xf>
    <xf numFmtId="165" fontId="0" fillId="0" borderId="1" xfId="0" applyNumberFormat="1" applyBorder="1" applyAlignment="1">
      <alignment horizontal="center"/>
    </xf>
    <xf numFmtId="168" fontId="0" fillId="0" borderId="1" xfId="0" applyNumberFormat="1" applyBorder="1" applyAlignment="1">
      <alignment horizontal="center"/>
    </xf>
    <xf numFmtId="1" fontId="0" fillId="0" borderId="1" xfId="0" applyNumberFormat="1" applyBorder="1" applyAlignment="1">
      <alignment horizontal="center"/>
    </xf>
    <xf numFmtId="49" fontId="0" fillId="0" borderId="1" xfId="0" applyNumberFormat="1" applyBorder="1" applyAlignment="1" applyProtection="1">
      <alignment horizontal="center"/>
      <protection locked="0"/>
    </xf>
    <xf numFmtId="166" fontId="0" fillId="0" borderId="8" xfId="0" applyNumberFormat="1" applyBorder="1" applyAlignment="1" applyProtection="1">
      <alignment horizontal="center"/>
      <protection locked="0"/>
    </xf>
    <xf numFmtId="166" fontId="0" fillId="14" borderId="20" xfId="0" applyNumberFormat="1" applyFill="1" applyBorder="1" applyAlignment="1">
      <alignment horizontal="center"/>
    </xf>
    <xf numFmtId="49" fontId="0" fillId="0" borderId="0" xfId="0" applyNumberFormat="1" applyAlignment="1" applyProtection="1">
      <alignment horizontal="center"/>
      <protection locked="0"/>
    </xf>
    <xf numFmtId="0" fontId="0" fillId="0" borderId="65" xfId="0" applyBorder="1" applyAlignment="1">
      <alignment horizontal="center"/>
    </xf>
    <xf numFmtId="0" fontId="0" fillId="0" borderId="2" xfId="0" applyBorder="1" applyAlignment="1">
      <alignment horizontal="center"/>
    </xf>
    <xf numFmtId="0" fontId="0" fillId="0" borderId="66"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0" borderId="81" xfId="0" applyBorder="1" applyAlignment="1">
      <alignment horizontal="center"/>
    </xf>
    <xf numFmtId="1" fontId="0" fillId="9" borderId="82" xfId="0" applyNumberFormat="1" applyFill="1" applyBorder="1" applyAlignment="1">
      <alignment horizontal="center"/>
    </xf>
    <xf numFmtId="1" fontId="0" fillId="9" borderId="83" xfId="0" applyNumberFormat="1" applyFill="1" applyBorder="1" applyAlignment="1">
      <alignment horizontal="center"/>
    </xf>
    <xf numFmtId="1" fontId="0" fillId="9" borderId="84" xfId="0" applyNumberFormat="1" applyFill="1" applyBorder="1" applyAlignment="1">
      <alignment horizontal="center"/>
    </xf>
    <xf numFmtId="0" fontId="0" fillId="2" borderId="28" xfId="0" applyFill="1" applyBorder="1"/>
    <xf numFmtId="0" fontId="0" fillId="2" borderId="29" xfId="0" applyFill="1" applyBorder="1"/>
    <xf numFmtId="49" fontId="0" fillId="0" borderId="1" xfId="0" applyNumberFormat="1" applyBorder="1" applyAlignment="1">
      <alignment horizontal="center"/>
    </xf>
    <xf numFmtId="0" fontId="0" fillId="0" borderId="44" xfId="0" applyBorder="1" applyAlignment="1">
      <alignment horizontal="center"/>
    </xf>
    <xf numFmtId="0" fontId="0" fillId="0" borderId="36" xfId="0" applyBorder="1" applyAlignment="1">
      <alignment horizontal="center"/>
    </xf>
    <xf numFmtId="0" fontId="0" fillId="0" borderId="63" xfId="0" applyBorder="1" applyAlignment="1">
      <alignment horizontal="center"/>
    </xf>
    <xf numFmtId="0" fontId="8" fillId="24" borderId="18" xfId="0" applyFont="1" applyFill="1" applyBorder="1" applyAlignment="1" applyProtection="1">
      <alignment horizontal="center" vertical="center" wrapText="1"/>
      <protection locked="0"/>
    </xf>
    <xf numFmtId="1" fontId="20" fillId="25" borderId="29" xfId="0" applyNumberFormat="1" applyFont="1" applyFill="1" applyBorder="1" applyAlignment="1" applyProtection="1">
      <alignment horizontal="center" vertical="center" wrapText="1"/>
      <protection locked="0"/>
    </xf>
    <xf numFmtId="1" fontId="0" fillId="0" borderId="0" xfId="0" applyNumberFormat="1" applyAlignment="1" applyProtection="1">
      <alignment horizontal="center"/>
      <protection locked="0"/>
    </xf>
    <xf numFmtId="0" fontId="26" fillId="0" borderId="15" xfId="5" applyFont="1" applyBorder="1" applyAlignment="1" applyProtection="1">
      <alignment horizontal="center" vertical="center"/>
      <protection locked="0"/>
    </xf>
    <xf numFmtId="22" fontId="26" fillId="0" borderId="15" xfId="5" applyNumberFormat="1" applyFont="1" applyBorder="1" applyAlignment="1" applyProtection="1">
      <alignment horizontal="center" vertical="center"/>
      <protection locked="0"/>
    </xf>
    <xf numFmtId="0" fontId="41" fillId="0" borderId="0" xfId="0" applyFont="1" applyAlignment="1">
      <alignment horizontal="center" vertical="center" wrapText="1"/>
    </xf>
    <xf numFmtId="0" fontId="42" fillId="0" borderId="0" xfId="0" applyFont="1" applyAlignment="1">
      <alignment horizontal="center" vertical="center" wrapText="1"/>
    </xf>
    <xf numFmtId="0" fontId="42" fillId="0" borderId="0" xfId="0" applyFont="1" applyAlignment="1">
      <alignment vertical="center" wrapText="1"/>
    </xf>
    <xf numFmtId="0" fontId="42" fillId="0" borderId="0" xfId="0" applyFont="1"/>
    <xf numFmtId="20" fontId="0" fillId="0" borderId="1" xfId="0" applyNumberFormat="1" applyBorder="1" applyAlignment="1" applyProtection="1">
      <alignment horizontal="center"/>
      <protection locked="0"/>
    </xf>
    <xf numFmtId="171" fontId="40" fillId="2" borderId="0" xfId="0" applyNumberFormat="1" applyFont="1" applyFill="1" applyAlignment="1">
      <alignment horizontal="center" vertical="center"/>
    </xf>
    <xf numFmtId="171" fontId="0" fillId="2" borderId="0" xfId="0" applyNumberFormat="1" applyFill="1"/>
    <xf numFmtId="171" fontId="0" fillId="0" borderId="0" xfId="0" applyNumberFormat="1"/>
    <xf numFmtId="171" fontId="0" fillId="0" borderId="0" xfId="0" applyNumberFormat="1" applyAlignment="1">
      <alignment horizontal="center" vertical="center"/>
    </xf>
    <xf numFmtId="171" fontId="0" fillId="18" borderId="1" xfId="0" applyNumberFormat="1" applyFill="1" applyBorder="1"/>
    <xf numFmtId="171" fontId="0" fillId="18" borderId="3" xfId="0" applyNumberFormat="1" applyFill="1" applyBorder="1"/>
    <xf numFmtId="171" fontId="40" fillId="2" borderId="65" xfId="0" applyNumberFormat="1" applyFont="1" applyFill="1" applyBorder="1" applyAlignment="1">
      <alignment horizontal="center" vertical="center"/>
    </xf>
    <xf numFmtId="171" fontId="40" fillId="2" borderId="66" xfId="0" applyNumberFormat="1" applyFont="1" applyFill="1" applyBorder="1" applyAlignment="1">
      <alignment horizontal="center" vertical="center"/>
    </xf>
    <xf numFmtId="166" fontId="40" fillId="2" borderId="0" xfId="0" applyNumberFormat="1" applyFont="1" applyFill="1" applyAlignment="1">
      <alignment horizontal="center" vertical="center"/>
    </xf>
    <xf numFmtId="165" fontId="0" fillId="0" borderId="0" xfId="0" applyNumberFormat="1"/>
    <xf numFmtId="166" fontId="0" fillId="0" borderId="0" xfId="0" applyNumberFormat="1" applyAlignment="1">
      <alignment horizontal="center" vertical="center"/>
    </xf>
    <xf numFmtId="171" fontId="0" fillId="0" borderId="53" xfId="0" applyNumberFormat="1" applyBorder="1" applyAlignment="1">
      <alignment horizontal="center" vertical="center"/>
    </xf>
    <xf numFmtId="171" fontId="0" fillId="0" borderId="54" xfId="0" applyNumberFormat="1" applyBorder="1" applyAlignment="1">
      <alignment horizontal="center" vertical="center"/>
    </xf>
    <xf numFmtId="171" fontId="0" fillId="0" borderId="34" xfId="0" applyNumberFormat="1" applyBorder="1" applyAlignment="1">
      <alignment horizontal="center" vertical="center"/>
    </xf>
    <xf numFmtId="171" fontId="7" fillId="3" borderId="0" xfId="0" applyNumberFormat="1" applyFont="1" applyFill="1" applyAlignment="1">
      <alignment horizontal="center" vertical="center"/>
    </xf>
    <xf numFmtId="171" fontId="40" fillId="2" borderId="0" xfId="0" applyNumberFormat="1" applyFont="1" applyFill="1"/>
    <xf numFmtId="166" fontId="40" fillId="2" borderId="0" xfId="0" applyNumberFormat="1" applyFont="1" applyFill="1"/>
    <xf numFmtId="171" fontId="44" fillId="26" borderId="1" xfId="0" applyNumberFormat="1" applyFont="1" applyFill="1" applyBorder="1" applyAlignment="1">
      <alignment horizontal="center" vertical="center" wrapText="1"/>
    </xf>
    <xf numFmtId="0" fontId="0" fillId="2" borderId="0" xfId="0" applyFill="1"/>
    <xf numFmtId="0" fontId="28" fillId="0" borderId="0" xfId="9"/>
    <xf numFmtId="0" fontId="28" fillId="0" borderId="0" xfId="9" applyAlignment="1">
      <alignment horizontal="center"/>
    </xf>
    <xf numFmtId="0" fontId="42" fillId="0" borderId="0" xfId="0" applyFont="1" applyAlignment="1">
      <alignment horizontal="center"/>
    </xf>
    <xf numFmtId="0" fontId="12" fillId="0" borderId="0" xfId="0" applyFont="1" applyAlignment="1">
      <alignment horizontal="center" vertical="center"/>
    </xf>
    <xf numFmtId="0" fontId="12" fillId="0" borderId="85" xfId="0" applyFont="1" applyBorder="1" applyAlignment="1">
      <alignment horizontal="center" vertical="center"/>
    </xf>
    <xf numFmtId="0" fontId="0" fillId="0" borderId="8" xfId="0" applyBorder="1" applyAlignment="1">
      <alignment horizontal="center"/>
    </xf>
    <xf numFmtId="0" fontId="14" fillId="12" borderId="20" xfId="0" applyFont="1" applyFill="1" applyBorder="1" applyAlignment="1">
      <alignment horizontal="center" vertical="center"/>
    </xf>
    <xf numFmtId="0" fontId="12" fillId="0" borderId="3" xfId="0" applyFont="1" applyBorder="1" applyAlignment="1">
      <alignment horizontal="center" vertical="center"/>
    </xf>
    <xf numFmtId="0" fontId="45" fillId="0" borderId="0" xfId="0" applyFont="1" applyAlignment="1">
      <alignment horizontal="center"/>
    </xf>
    <xf numFmtId="49" fontId="0" fillId="0" borderId="20" xfId="0" applyNumberFormat="1" applyBorder="1" applyAlignment="1" applyProtection="1">
      <alignment horizontal="center"/>
      <protection locked="0"/>
    </xf>
    <xf numFmtId="0" fontId="0" fillId="8" borderId="85" xfId="0" applyFill="1" applyBorder="1" applyAlignment="1">
      <alignment horizontal="left"/>
    </xf>
    <xf numFmtId="0" fontId="0" fillId="3" borderId="85" xfId="0" applyFill="1" applyBorder="1"/>
    <xf numFmtId="0" fontId="40" fillId="27" borderId="85" xfId="0" applyFont="1" applyFill="1" applyBorder="1"/>
    <xf numFmtId="0" fontId="0" fillId="0" borderId="85" xfId="0" applyBorder="1" applyAlignment="1">
      <alignment horizontal="left"/>
    </xf>
    <xf numFmtId="0" fontId="0" fillId="0" borderId="85" xfId="0" applyBorder="1"/>
    <xf numFmtId="0" fontId="0" fillId="0" borderId="0" xfId="0" applyAlignment="1">
      <alignment horizontal="left"/>
    </xf>
    <xf numFmtId="171" fontId="40" fillId="2" borderId="0" xfId="0" applyNumberFormat="1" applyFont="1" applyFill="1" applyAlignment="1">
      <alignment horizontal="center" vertical="center" wrapText="1"/>
    </xf>
    <xf numFmtId="167" fontId="8" fillId="7" borderId="1" xfId="0" applyNumberFormat="1" applyFont="1" applyFill="1" applyBorder="1" applyAlignment="1" applyProtection="1">
      <alignment horizontal="center" vertical="center" wrapText="1"/>
      <protection locked="0"/>
    </xf>
    <xf numFmtId="0" fontId="46" fillId="0" borderId="0" xfId="0" applyFont="1" applyAlignment="1">
      <alignment vertical="center"/>
    </xf>
    <xf numFmtId="0" fontId="8" fillId="7" borderId="18" xfId="0" applyFont="1" applyFill="1" applyBorder="1" applyAlignment="1" applyProtection="1">
      <alignment horizontal="center" vertical="center" wrapText="1"/>
      <protection locked="0"/>
    </xf>
    <xf numFmtId="0" fontId="4" fillId="0" borderId="0" xfId="0" applyFont="1" applyProtection="1">
      <protection locked="0"/>
    </xf>
    <xf numFmtId="22" fontId="0" fillId="0" borderId="0" xfId="0" applyNumberFormat="1" applyProtection="1">
      <protection locked="0"/>
    </xf>
    <xf numFmtId="14" fontId="2" fillId="2" borderId="2" xfId="2" applyNumberFormat="1" applyFont="1" applyFill="1" applyBorder="1" applyAlignment="1">
      <alignment horizontal="center" vertical="center" wrapText="1"/>
    </xf>
    <xf numFmtId="20" fontId="0" fillId="0" borderId="1" xfId="0" applyNumberFormat="1" applyBorder="1" applyProtection="1">
      <protection locked="0"/>
    </xf>
    <xf numFmtId="22" fontId="0" fillId="0" borderId="0" xfId="0" applyNumberFormat="1"/>
    <xf numFmtId="1" fontId="0" fillId="0" borderId="54" xfId="0" applyNumberFormat="1" applyBorder="1" applyAlignment="1">
      <alignment horizontal="center" vertical="center"/>
    </xf>
    <xf numFmtId="166" fontId="0" fillId="0" borderId="1" xfId="0" applyNumberFormat="1" applyBorder="1" applyAlignment="1">
      <alignment horizontal="center" vertical="center"/>
    </xf>
    <xf numFmtId="18" fontId="0" fillId="0" borderId="1" xfId="0" applyNumberFormat="1" applyBorder="1" applyProtection="1">
      <protection locked="0"/>
    </xf>
    <xf numFmtId="0" fontId="47" fillId="0" borderId="1" xfId="0" applyFont="1" applyBorder="1" applyProtection="1">
      <protection locked="0"/>
    </xf>
    <xf numFmtId="1" fontId="3" fillId="0" borderId="53" xfId="0" applyNumberFormat="1" applyFont="1" applyBorder="1" applyAlignment="1">
      <alignment vertical="center"/>
    </xf>
    <xf numFmtId="1" fontId="3" fillId="0" borderId="54" xfId="0" applyNumberFormat="1" applyFont="1" applyBorder="1" applyAlignment="1">
      <alignment vertical="center"/>
    </xf>
    <xf numFmtId="1" fontId="49" fillId="0" borderId="54" xfId="0" applyNumberFormat="1" applyFont="1" applyBorder="1"/>
    <xf numFmtId="1" fontId="49" fillId="0" borderId="0" xfId="0" applyNumberFormat="1" applyFont="1"/>
    <xf numFmtId="171" fontId="3" fillId="0" borderId="54" xfId="0" applyNumberFormat="1" applyFont="1" applyBorder="1" applyAlignment="1">
      <alignment vertical="center"/>
    </xf>
    <xf numFmtId="1" fontId="49" fillId="0" borderId="0" xfId="0" applyNumberFormat="1" applyFont="1" applyAlignment="1">
      <alignment horizontal="center"/>
    </xf>
    <xf numFmtId="1" fontId="49" fillId="0" borderId="54" xfId="0" applyNumberFormat="1" applyFont="1" applyBorder="1" applyAlignment="1">
      <alignment horizontal="center"/>
    </xf>
    <xf numFmtId="1" fontId="48" fillId="0" borderId="0" xfId="0" applyNumberFormat="1" applyFont="1"/>
    <xf numFmtId="171" fontId="3" fillId="0" borderId="54" xfId="0" applyNumberFormat="1" applyFont="1" applyBorder="1" applyAlignment="1">
      <alignment horizontal="center" vertical="center"/>
    </xf>
    <xf numFmtId="1" fontId="3" fillId="0" borderId="54" xfId="0" applyNumberFormat="1" applyFont="1" applyBorder="1" applyAlignment="1">
      <alignment horizontal="center" vertical="center"/>
    </xf>
    <xf numFmtId="166" fontId="50" fillId="0" borderId="1" xfId="0" applyNumberFormat="1" applyFont="1" applyBorder="1" applyAlignment="1" applyProtection="1">
      <alignment horizontal="center"/>
      <protection locked="0"/>
    </xf>
    <xf numFmtId="0" fontId="23" fillId="16" borderId="53" xfId="5" applyFont="1" applyFill="1" applyBorder="1" applyAlignment="1">
      <alignment horizontal="center" vertical="center"/>
    </xf>
    <xf numFmtId="0" fontId="23" fillId="16" borderId="54" xfId="5" applyFont="1" applyFill="1" applyBorder="1" applyAlignment="1">
      <alignment horizontal="center" vertical="center"/>
    </xf>
    <xf numFmtId="0" fontId="23" fillId="16" borderId="34" xfId="5" applyFont="1" applyFill="1" applyBorder="1" applyAlignment="1">
      <alignment horizontal="center" vertical="center"/>
    </xf>
    <xf numFmtId="0" fontId="24" fillId="8" borderId="10" xfId="5" applyFont="1" applyFill="1" applyBorder="1" applyAlignment="1">
      <alignment horizontal="center" vertical="center" wrapText="1"/>
    </xf>
    <xf numFmtId="0" fontId="24" fillId="8" borderId="15" xfId="5" applyFont="1" applyFill="1" applyBorder="1" applyAlignment="1">
      <alignment horizontal="center" vertical="center" wrapText="1"/>
    </xf>
    <xf numFmtId="0" fontId="24" fillId="8" borderId="56" xfId="5" applyFont="1" applyFill="1" applyBorder="1" applyAlignment="1">
      <alignment horizontal="center" vertical="center" wrapText="1"/>
    </xf>
    <xf numFmtId="0" fontId="24" fillId="8" borderId="12" xfId="5" applyFont="1" applyFill="1" applyBorder="1" applyAlignment="1">
      <alignment horizontal="center" vertical="center" wrapText="1"/>
    </xf>
    <xf numFmtId="0" fontId="24" fillId="8" borderId="13" xfId="5" applyFont="1" applyFill="1" applyBorder="1" applyAlignment="1">
      <alignment horizontal="center" vertical="center" wrapText="1"/>
    </xf>
    <xf numFmtId="0" fontId="24" fillId="8" borderId="57" xfId="5" applyFont="1" applyFill="1" applyBorder="1" applyAlignment="1">
      <alignment horizontal="center" vertical="center" wrapText="1"/>
    </xf>
    <xf numFmtId="0" fontId="33" fillId="0" borderId="53" xfId="5" applyFont="1" applyBorder="1" applyAlignment="1">
      <alignment horizontal="center" vertical="center" wrapText="1"/>
    </xf>
    <xf numFmtId="0" fontId="33" fillId="0" borderId="54" xfId="5" applyFont="1" applyBorder="1" applyAlignment="1">
      <alignment horizontal="center" vertical="center" wrapText="1"/>
    </xf>
    <xf numFmtId="0" fontId="33" fillId="0" borderId="34" xfId="5" applyFont="1" applyBorder="1" applyAlignment="1">
      <alignment horizontal="center" vertical="center" wrapText="1"/>
    </xf>
    <xf numFmtId="0" fontId="27" fillId="0" borderId="23" xfId="5" applyFont="1" applyBorder="1" applyAlignment="1">
      <alignment horizontal="center"/>
    </xf>
    <xf numFmtId="0" fontId="27" fillId="0" borderId="52" xfId="5" applyFont="1" applyBorder="1" applyAlignment="1">
      <alignment horizontal="center"/>
    </xf>
    <xf numFmtId="168" fontId="33" fillId="0" borderId="53" xfId="5" applyNumberFormat="1" applyFont="1" applyBorder="1" applyAlignment="1">
      <alignment horizontal="center" vertical="center" wrapText="1"/>
    </xf>
    <xf numFmtId="168" fontId="33" fillId="0" borderId="54" xfId="5" applyNumberFormat="1" applyFont="1" applyBorder="1" applyAlignment="1">
      <alignment horizontal="center" vertical="center" wrapText="1"/>
    </xf>
    <xf numFmtId="168" fontId="33" fillId="0" borderId="34" xfId="5" applyNumberFormat="1" applyFont="1" applyBorder="1" applyAlignment="1">
      <alignment horizontal="center" vertical="center" wrapText="1"/>
    </xf>
    <xf numFmtId="0" fontId="21" fillId="0" borderId="53" xfId="5" applyFont="1" applyBorder="1" applyAlignment="1">
      <alignment horizontal="center" vertical="center" wrapText="1"/>
    </xf>
    <xf numFmtId="0" fontId="21" fillId="0" borderId="54" xfId="5" applyFont="1" applyBorder="1" applyAlignment="1">
      <alignment horizontal="center" vertical="center" wrapText="1"/>
    </xf>
    <xf numFmtId="0" fontId="21" fillId="0" borderId="34" xfId="5" applyFont="1" applyBorder="1" applyAlignment="1">
      <alignment horizontal="center" vertical="center" wrapText="1"/>
    </xf>
    <xf numFmtId="0" fontId="22" fillId="0" borderId="53" xfId="5" applyFont="1" applyBorder="1" applyAlignment="1">
      <alignment horizontal="center" textRotation="90"/>
    </xf>
    <xf numFmtId="0" fontId="22" fillId="0" borderId="54" xfId="5" applyFont="1" applyBorder="1" applyAlignment="1">
      <alignment horizontal="center" textRotation="90"/>
    </xf>
    <xf numFmtId="0" fontId="22" fillId="0" borderId="34" xfId="5" applyFont="1" applyBorder="1" applyAlignment="1">
      <alignment horizontal="center" textRotation="90"/>
    </xf>
    <xf numFmtId="0" fontId="20" fillId="0" borderId="59" xfId="5" applyFont="1" applyBorder="1" applyAlignment="1">
      <alignment horizontal="center" vertical="center"/>
    </xf>
    <xf numFmtId="0" fontId="20" fillId="0" borderId="56" xfId="5" applyFont="1" applyBorder="1" applyAlignment="1">
      <alignment horizontal="center" vertical="center"/>
    </xf>
    <xf numFmtId="0" fontId="20" fillId="0" borderId="24" xfId="5" applyFont="1" applyBorder="1" applyAlignment="1">
      <alignment horizontal="center" vertical="center"/>
    </xf>
    <xf numFmtId="0" fontId="20" fillId="0" borderId="8" xfId="5" applyFont="1" applyBorder="1" applyAlignment="1">
      <alignment horizontal="center" vertical="center"/>
    </xf>
    <xf numFmtId="14" fontId="17" fillId="2" borderId="10" xfId="5" applyNumberFormat="1" applyFont="1" applyFill="1" applyBorder="1" applyAlignment="1">
      <alignment horizontal="center" vertical="center"/>
    </xf>
    <xf numFmtId="14" fontId="17" fillId="2" borderId="16" xfId="5" applyNumberFormat="1" applyFont="1" applyFill="1" applyBorder="1" applyAlignment="1">
      <alignment horizontal="center" vertical="center"/>
    </xf>
    <xf numFmtId="14" fontId="17" fillId="2" borderId="12" xfId="5" applyNumberFormat="1" applyFont="1" applyFill="1" applyBorder="1" applyAlignment="1">
      <alignment horizontal="center" vertical="center"/>
    </xf>
    <xf numFmtId="14" fontId="17" fillId="2" borderId="14" xfId="5" applyNumberFormat="1" applyFont="1" applyFill="1" applyBorder="1" applyAlignment="1">
      <alignment horizontal="center" vertical="center"/>
    </xf>
    <xf numFmtId="14" fontId="17" fillId="2" borderId="53" xfId="5" applyNumberFormat="1" applyFont="1" applyFill="1" applyBorder="1" applyAlignment="1">
      <alignment horizontal="center" vertical="center"/>
    </xf>
    <xf numFmtId="14" fontId="17" fillId="2" borderId="34" xfId="5" applyNumberFormat="1" applyFont="1" applyFill="1" applyBorder="1" applyAlignment="1">
      <alignment horizontal="center" vertical="center"/>
    </xf>
    <xf numFmtId="0" fontId="18" fillId="0" borderId="53" xfId="5" applyFont="1" applyBorder="1" applyAlignment="1">
      <alignment horizontal="center" vertical="center"/>
    </xf>
    <xf numFmtId="0" fontId="18" fillId="0" borderId="54" xfId="5" applyFont="1" applyBorder="1" applyAlignment="1">
      <alignment horizontal="center" vertical="center"/>
    </xf>
    <xf numFmtId="0" fontId="18" fillId="0" borderId="34" xfId="5" applyFont="1" applyBorder="1" applyAlignment="1">
      <alignment horizontal="center" vertical="center"/>
    </xf>
    <xf numFmtId="0" fontId="19" fillId="0" borderId="53" xfId="5" applyFont="1" applyBorder="1" applyAlignment="1">
      <alignment horizontal="center" vertical="center"/>
    </xf>
    <xf numFmtId="0" fontId="19" fillId="0" borderId="54" xfId="5" applyFont="1" applyBorder="1" applyAlignment="1">
      <alignment horizontal="center" vertical="center"/>
    </xf>
    <xf numFmtId="0" fontId="19" fillId="0" borderId="34" xfId="5" applyFont="1" applyBorder="1" applyAlignment="1">
      <alignment horizontal="center" vertical="center"/>
    </xf>
    <xf numFmtId="0" fontId="20" fillId="0" borderId="15" xfId="5" applyFont="1" applyBorder="1" applyAlignment="1">
      <alignment horizontal="center" vertical="center"/>
    </xf>
    <xf numFmtId="0" fontId="20" fillId="0" borderId="55" xfId="5" applyFont="1" applyBorder="1" applyAlignment="1">
      <alignment horizontal="center" vertical="center"/>
    </xf>
    <xf numFmtId="0" fontId="20" fillId="0" borderId="20" xfId="5" applyFont="1" applyBorder="1" applyAlignment="1">
      <alignment horizontal="center" vertical="center"/>
    </xf>
    <xf numFmtId="0" fontId="20" fillId="0" borderId="26" xfId="5" applyFont="1" applyBorder="1" applyAlignment="1">
      <alignment horizontal="center" vertical="center"/>
    </xf>
    <xf numFmtId="0" fontId="33" fillId="0" borderId="53" xfId="5" applyFont="1" applyBorder="1" applyAlignment="1" applyProtection="1">
      <alignment horizontal="center" vertical="center" wrapText="1"/>
      <protection locked="0"/>
    </xf>
    <xf numFmtId="0" fontId="33" fillId="0" borderId="54" xfId="5" applyFont="1" applyBorder="1" applyAlignment="1" applyProtection="1">
      <alignment horizontal="center" vertical="center" wrapText="1"/>
      <protection locked="0"/>
    </xf>
    <xf numFmtId="0" fontId="33" fillId="0" borderId="34" xfId="5" applyFont="1" applyBorder="1" applyAlignment="1" applyProtection="1">
      <alignment horizontal="center" vertical="center" wrapText="1"/>
      <protection locked="0"/>
    </xf>
    <xf numFmtId="0" fontId="21" fillId="0" borderId="53" xfId="5" applyFont="1" applyBorder="1" applyAlignment="1" applyProtection="1">
      <alignment horizontal="center" vertical="center" wrapText="1"/>
      <protection locked="0"/>
    </xf>
    <xf numFmtId="0" fontId="21" fillId="0" borderId="54" xfId="5" applyFont="1" applyBorder="1" applyAlignment="1" applyProtection="1">
      <alignment horizontal="center" vertical="center" wrapText="1"/>
      <protection locked="0"/>
    </xf>
    <xf numFmtId="0" fontId="21" fillId="0" borderId="34" xfId="5" applyFont="1" applyBorder="1" applyAlignment="1" applyProtection="1">
      <alignment horizontal="center" vertical="center" wrapText="1"/>
      <protection locked="0"/>
    </xf>
    <xf numFmtId="14" fontId="17" fillId="2" borderId="10" xfId="5" applyNumberFormat="1" applyFont="1" applyFill="1" applyBorder="1" applyAlignment="1" applyProtection="1">
      <alignment horizontal="center" vertical="center"/>
      <protection locked="0"/>
    </xf>
    <xf numFmtId="14" fontId="17" fillId="2" borderId="16" xfId="5" applyNumberFormat="1" applyFont="1" applyFill="1" applyBorder="1" applyAlignment="1" applyProtection="1">
      <alignment horizontal="center" vertical="center"/>
      <protection locked="0"/>
    </xf>
    <xf numFmtId="14" fontId="17" fillId="2" borderId="12" xfId="5" applyNumberFormat="1" applyFont="1" applyFill="1" applyBorder="1" applyAlignment="1" applyProtection="1">
      <alignment horizontal="center" vertical="center"/>
      <protection locked="0"/>
    </xf>
    <xf numFmtId="14" fontId="17" fillId="2" borderId="14" xfId="5" applyNumberFormat="1" applyFont="1" applyFill="1" applyBorder="1" applyAlignment="1" applyProtection="1">
      <alignment horizontal="center" vertical="center"/>
      <protection locked="0"/>
    </xf>
    <xf numFmtId="14" fontId="17" fillId="2" borderId="53" xfId="5" applyNumberFormat="1" applyFont="1" applyFill="1" applyBorder="1" applyAlignment="1" applyProtection="1">
      <alignment horizontal="center" vertical="center"/>
      <protection locked="0"/>
    </xf>
    <xf numFmtId="14" fontId="17" fillId="2" borderId="34" xfId="5" applyNumberFormat="1" applyFont="1" applyFill="1" applyBorder="1" applyAlignment="1" applyProtection="1">
      <alignment horizontal="center" vertical="center"/>
      <protection locked="0"/>
    </xf>
    <xf numFmtId="0" fontId="18" fillId="0" borderId="53" xfId="5" applyFont="1" applyBorder="1" applyAlignment="1" applyProtection="1">
      <alignment horizontal="center" vertical="center"/>
      <protection locked="0"/>
    </xf>
    <xf numFmtId="0" fontId="18" fillId="0" borderId="54" xfId="5" applyFont="1" applyBorder="1" applyAlignment="1" applyProtection="1">
      <alignment horizontal="center" vertical="center"/>
      <protection locked="0"/>
    </xf>
    <xf numFmtId="0" fontId="18" fillId="0" borderId="34" xfId="5" applyFont="1" applyBorder="1" applyAlignment="1" applyProtection="1">
      <alignment horizontal="center" vertical="center"/>
      <protection locked="0"/>
    </xf>
    <xf numFmtId="0" fontId="19" fillId="0" borderId="53" xfId="5" applyFont="1" applyBorder="1" applyAlignment="1" applyProtection="1">
      <alignment horizontal="center" vertical="center"/>
      <protection locked="0"/>
    </xf>
    <xf numFmtId="0" fontId="19" fillId="0" borderId="54" xfId="5" applyFont="1" applyBorder="1" applyAlignment="1" applyProtection="1">
      <alignment horizontal="center" vertical="center"/>
      <protection locked="0"/>
    </xf>
    <xf numFmtId="0" fontId="19" fillId="0" borderId="34" xfId="5" applyFont="1" applyBorder="1" applyAlignment="1" applyProtection="1">
      <alignment horizontal="center" vertical="center"/>
      <protection locked="0"/>
    </xf>
    <xf numFmtId="0" fontId="20" fillId="0" borderId="59" xfId="5" applyFont="1" applyBorder="1" applyAlignment="1" applyProtection="1">
      <alignment horizontal="center" vertical="center"/>
      <protection locked="0"/>
    </xf>
    <xf numFmtId="0" fontId="20" fillId="0" borderId="15" xfId="5" applyFont="1" applyBorder="1" applyAlignment="1" applyProtection="1">
      <alignment horizontal="center" vertical="center"/>
      <protection locked="0"/>
    </xf>
    <xf numFmtId="0" fontId="20" fillId="0" borderId="56" xfId="5" applyFont="1" applyBorder="1" applyAlignment="1" applyProtection="1">
      <alignment horizontal="center" vertical="center"/>
      <protection locked="0"/>
    </xf>
    <xf numFmtId="0" fontId="20" fillId="0" borderId="55" xfId="5" applyFont="1" applyBorder="1" applyAlignment="1" applyProtection="1">
      <alignment horizontal="center" vertical="center"/>
      <protection locked="0"/>
    </xf>
    <xf numFmtId="0" fontId="20" fillId="0" borderId="20" xfId="5" applyFont="1" applyBorder="1" applyAlignment="1" applyProtection="1">
      <alignment horizontal="center" vertical="center"/>
      <protection locked="0"/>
    </xf>
    <xf numFmtId="0" fontId="20" fillId="0" borderId="26" xfId="5" applyFont="1" applyBorder="1" applyAlignment="1" applyProtection="1">
      <alignment horizontal="center" vertical="center"/>
      <protection locked="0"/>
    </xf>
    <xf numFmtId="0" fontId="22" fillId="0" borderId="53" xfId="5" applyFont="1" applyBorder="1" applyAlignment="1" applyProtection="1">
      <alignment horizontal="center" textRotation="90"/>
      <protection locked="0"/>
    </xf>
    <xf numFmtId="0" fontId="22" fillId="0" borderId="54" xfId="5" applyFont="1" applyBorder="1" applyAlignment="1" applyProtection="1">
      <alignment horizontal="center" textRotation="90"/>
      <protection locked="0"/>
    </xf>
    <xf numFmtId="0" fontId="22" fillId="0" borderId="34" xfId="5" applyFont="1" applyBorder="1" applyAlignment="1" applyProtection="1">
      <alignment horizontal="center" textRotation="90"/>
      <protection locked="0"/>
    </xf>
    <xf numFmtId="0" fontId="20" fillId="0" borderId="24" xfId="5" applyFont="1" applyBorder="1" applyAlignment="1" applyProtection="1">
      <alignment horizontal="center" vertical="center"/>
      <protection locked="0"/>
    </xf>
    <xf numFmtId="0" fontId="20" fillId="0" borderId="8" xfId="5" applyFont="1" applyBorder="1" applyAlignment="1" applyProtection="1">
      <alignment horizontal="center" vertical="center"/>
      <protection locked="0"/>
    </xf>
    <xf numFmtId="0" fontId="23" fillId="16" borderId="53" xfId="5" applyFont="1" applyFill="1" applyBorder="1" applyAlignment="1" applyProtection="1">
      <alignment horizontal="center" vertical="center"/>
      <protection locked="0"/>
    </xf>
    <xf numFmtId="0" fontId="23" fillId="16" borderId="54" xfId="5" applyFont="1" applyFill="1" applyBorder="1" applyAlignment="1" applyProtection="1">
      <alignment horizontal="center" vertical="center"/>
      <protection locked="0"/>
    </xf>
    <xf numFmtId="0" fontId="23" fillId="16" borderId="34" xfId="5" applyFont="1" applyFill="1" applyBorder="1" applyAlignment="1" applyProtection="1">
      <alignment horizontal="center" vertical="center"/>
      <protection locked="0"/>
    </xf>
    <xf numFmtId="0" fontId="24" fillId="8" borderId="4" xfId="5" applyFont="1" applyFill="1" applyBorder="1" applyAlignment="1" applyProtection="1">
      <alignment horizontal="center" vertical="center" wrapText="1"/>
      <protection locked="0"/>
    </xf>
    <xf numFmtId="0" fontId="24" fillId="8" borderId="5" xfId="5" applyFont="1" applyFill="1" applyBorder="1" applyAlignment="1" applyProtection="1">
      <alignment horizontal="center" vertical="center" wrapText="1"/>
      <protection locked="0"/>
    </xf>
    <xf numFmtId="0" fontId="24" fillId="8" borderId="41" xfId="5" applyFont="1" applyFill="1" applyBorder="1" applyAlignment="1" applyProtection="1">
      <alignment horizontal="center" vertical="center" wrapText="1"/>
      <protection locked="0"/>
    </xf>
    <xf numFmtId="0" fontId="24" fillId="8" borderId="6" xfId="5" applyFont="1" applyFill="1" applyBorder="1" applyAlignment="1" applyProtection="1">
      <alignment horizontal="center" vertical="center" wrapText="1"/>
      <protection locked="0"/>
    </xf>
    <xf numFmtId="0" fontId="24" fillId="8" borderId="0" xfId="5" applyFont="1" applyFill="1" applyAlignment="1" applyProtection="1">
      <alignment horizontal="center" vertical="center" wrapText="1"/>
      <protection locked="0"/>
    </xf>
    <xf numFmtId="0" fontId="24" fillId="8" borderId="7" xfId="5" applyFont="1" applyFill="1" applyBorder="1" applyAlignment="1" applyProtection="1">
      <alignment horizontal="center" vertical="center" wrapText="1"/>
      <protection locked="0"/>
    </xf>
    <xf numFmtId="168" fontId="33" fillId="0" borderId="53" xfId="5" applyNumberFormat="1" applyFont="1" applyBorder="1" applyAlignment="1" applyProtection="1">
      <alignment horizontal="center" vertical="center" wrapText="1"/>
      <protection locked="0"/>
    </xf>
    <xf numFmtId="168" fontId="33" fillId="0" borderId="54" xfId="5" applyNumberFormat="1" applyFont="1" applyBorder="1" applyAlignment="1" applyProtection="1">
      <alignment horizontal="center" vertical="center" wrapText="1"/>
      <protection locked="0"/>
    </xf>
    <xf numFmtId="168" fontId="33" fillId="0" borderId="34" xfId="5" applyNumberFormat="1" applyFont="1" applyBorder="1" applyAlignment="1" applyProtection="1">
      <alignment horizontal="center" vertical="center" wrapText="1"/>
      <protection locked="0"/>
    </xf>
    <xf numFmtId="0" fontId="27" fillId="0" borderId="23" xfId="5" applyFont="1" applyBorder="1" applyAlignment="1" applyProtection="1">
      <alignment horizontal="center"/>
      <protection locked="0"/>
    </xf>
    <xf numFmtId="0" fontId="27" fillId="0" borderId="52" xfId="5" applyFont="1" applyBorder="1" applyAlignment="1" applyProtection="1">
      <alignment horizontal="center"/>
      <protection locked="0"/>
    </xf>
    <xf numFmtId="0" fontId="33" fillId="0" borderId="4" xfId="5" applyFont="1" applyBorder="1" applyAlignment="1" applyProtection="1">
      <alignment horizontal="center" vertical="center" wrapText="1"/>
      <protection locked="0"/>
    </xf>
    <xf numFmtId="0" fontId="33" fillId="0" borderId="41" xfId="5" applyFont="1" applyBorder="1" applyAlignment="1" applyProtection="1">
      <alignment horizontal="center" vertical="center" wrapText="1"/>
      <protection locked="0"/>
    </xf>
    <xf numFmtId="0" fontId="33" fillId="0" borderId="60" xfId="5" applyFont="1" applyBorder="1" applyAlignment="1" applyProtection="1">
      <alignment horizontal="center" vertical="center" wrapText="1"/>
      <protection locked="0"/>
    </xf>
    <xf numFmtId="0" fontId="33" fillId="0" borderId="67" xfId="5" applyFont="1" applyBorder="1" applyAlignment="1" applyProtection="1">
      <alignment horizontal="center" vertical="center" wrapText="1"/>
      <protection locked="0"/>
    </xf>
    <xf numFmtId="171" fontId="43" fillId="18" borderId="28" xfId="0" applyNumberFormat="1" applyFont="1" applyFill="1" applyBorder="1" applyAlignment="1">
      <alignment horizontal="center"/>
    </xf>
    <xf numFmtId="171" fontId="43" fillId="18" borderId="35" xfId="0" applyNumberFormat="1" applyFont="1" applyFill="1" applyBorder="1" applyAlignment="1">
      <alignment horizontal="center"/>
    </xf>
    <xf numFmtId="171" fontId="43" fillId="18" borderId="29" xfId="0" applyNumberFormat="1" applyFont="1" applyFill="1" applyBorder="1" applyAlignment="1">
      <alignment horizontal="center"/>
    </xf>
    <xf numFmtId="0" fontId="11" fillId="12" borderId="0" xfId="0" applyFont="1" applyFill="1" applyAlignment="1">
      <alignment horizontal="center" vertical="center"/>
    </xf>
    <xf numFmtId="0" fontId="11" fillId="12" borderId="38" xfId="0" applyFont="1" applyFill="1" applyBorder="1" applyAlignment="1">
      <alignment horizontal="center" vertical="center"/>
    </xf>
    <xf numFmtId="0" fontId="11" fillId="12" borderId="39" xfId="0" applyFont="1" applyFill="1" applyBorder="1" applyAlignment="1">
      <alignment horizontal="center" vertical="center"/>
    </xf>
    <xf numFmtId="0" fontId="11" fillId="12" borderId="40" xfId="0" applyFont="1" applyFill="1" applyBorder="1" applyAlignment="1">
      <alignment horizontal="center" vertical="center"/>
    </xf>
    <xf numFmtId="0" fontId="16" fillId="15" borderId="6" xfId="0" applyFont="1" applyFill="1" applyBorder="1" applyAlignment="1">
      <alignment horizontal="center" vertical="center"/>
    </xf>
    <xf numFmtId="0" fontId="16" fillId="15" borderId="0" xfId="0" applyFont="1" applyFill="1" applyAlignment="1">
      <alignment horizontal="center" vertical="center"/>
    </xf>
    <xf numFmtId="0" fontId="39" fillId="0" borderId="23" xfId="0" applyFont="1" applyBorder="1" applyAlignment="1">
      <alignment vertical="center" wrapText="1"/>
    </xf>
    <xf numFmtId="0" fontId="39" fillId="0" borderId="31" xfId="0" applyFont="1" applyBorder="1" applyAlignment="1">
      <alignment vertical="center" wrapText="1"/>
    </xf>
    <xf numFmtId="0" fontId="39" fillId="0" borderId="23" xfId="0" applyFont="1" applyBorder="1" applyAlignment="1">
      <alignment horizontal="left" vertical="center" wrapText="1"/>
    </xf>
    <xf numFmtId="0" fontId="39" fillId="0" borderId="31" xfId="0" applyFont="1" applyBorder="1" applyAlignment="1">
      <alignment horizontal="left" vertical="center" wrapText="1"/>
    </xf>
    <xf numFmtId="0" fontId="38" fillId="23" borderId="72" xfId="0" applyFont="1" applyFill="1" applyBorder="1" applyAlignment="1">
      <alignment horizontal="left" vertical="center" wrapText="1"/>
    </xf>
    <xf numFmtId="0" fontId="38" fillId="23" borderId="73" xfId="0" applyFont="1" applyFill="1" applyBorder="1" applyAlignment="1">
      <alignment horizontal="left" vertical="center" wrapText="1"/>
    </xf>
    <xf numFmtId="0" fontId="39" fillId="0" borderId="76" xfId="0" applyFont="1" applyBorder="1" applyAlignment="1">
      <alignment vertical="center" wrapText="1"/>
    </xf>
    <xf numFmtId="0" fontId="38" fillId="23" borderId="72" xfId="0" applyFont="1" applyFill="1" applyBorder="1" applyAlignment="1">
      <alignment horizontal="center" vertical="center" wrapText="1"/>
    </xf>
    <xf numFmtId="0" fontId="38" fillId="23" borderId="73" xfId="0" applyFont="1" applyFill="1" applyBorder="1" applyAlignment="1">
      <alignment horizontal="center" vertical="center" wrapText="1"/>
    </xf>
    <xf numFmtId="0" fontId="0" fillId="0" borderId="78" xfId="0" applyBorder="1" applyAlignment="1">
      <alignment horizontal="center"/>
    </xf>
    <xf numFmtId="0" fontId="0" fillId="0" borderId="9" xfId="0" applyBorder="1" applyAlignment="1">
      <alignment horizontal="center"/>
    </xf>
    <xf numFmtId="0" fontId="0" fillId="0" borderId="35" xfId="0" applyBorder="1" applyAlignment="1">
      <alignment horizontal="center"/>
    </xf>
    <xf numFmtId="0" fontId="0" fillId="0" borderId="29" xfId="0" applyBorder="1" applyAlignment="1">
      <alignment horizontal="center"/>
    </xf>
    <xf numFmtId="0" fontId="0" fillId="2" borderId="4" xfId="0" applyFill="1" applyBorder="1" applyAlignment="1">
      <alignment horizontal="center"/>
    </xf>
    <xf numFmtId="0" fontId="0" fillId="2" borderId="41" xfId="0" applyFill="1" applyBorder="1" applyAlignment="1">
      <alignment horizontal="center"/>
    </xf>
    <xf numFmtId="0" fontId="0" fillId="2" borderId="6" xfId="0" applyFill="1" applyBorder="1" applyAlignment="1">
      <alignment horizontal="center"/>
    </xf>
    <xf numFmtId="0" fontId="0" fillId="2" borderId="7" xfId="0" applyFill="1" applyBorder="1" applyAlignment="1">
      <alignment horizontal="center"/>
    </xf>
    <xf numFmtId="0" fontId="0" fillId="2" borderId="78" xfId="0" applyFill="1" applyBorder="1" applyAlignment="1">
      <alignment horizontal="center"/>
    </xf>
    <xf numFmtId="0" fontId="0" fillId="2" borderId="77" xfId="0"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0" fillId="2" borderId="9" xfId="0" applyFill="1" applyBorder="1" applyAlignment="1">
      <alignment horizontal="center"/>
    </xf>
    <xf numFmtId="0" fontId="0" fillId="2" borderId="23" xfId="0" applyFill="1" applyBorder="1" applyAlignment="1">
      <alignment horizontal="center"/>
    </xf>
    <xf numFmtId="0" fontId="0" fillId="2" borderId="30" xfId="0" applyFill="1" applyBorder="1" applyAlignment="1">
      <alignment horizontal="center"/>
    </xf>
    <xf numFmtId="0" fontId="0" fillId="2" borderId="31" xfId="0" applyFill="1" applyBorder="1" applyAlignment="1">
      <alignment horizontal="center"/>
    </xf>
    <xf numFmtId="0" fontId="0" fillId="0" borderId="28" xfId="0" applyBorder="1" applyAlignment="1">
      <alignment horizontal="center"/>
    </xf>
    <xf numFmtId="0" fontId="9" fillId="0" borderId="0" xfId="0" applyFont="1" applyBorder="1" applyAlignment="1" applyProtection="1">
      <alignment horizontal="center"/>
      <protection locked="0"/>
    </xf>
    <xf numFmtId="166" fontId="0" fillId="0" borderId="0" xfId="0" applyNumberFormat="1" applyBorder="1" applyAlignment="1" applyProtection="1">
      <alignment horizontal="center"/>
      <protection locked="0"/>
    </xf>
    <xf numFmtId="172" fontId="3" fillId="0" borderId="54" xfId="0" applyNumberFormat="1" applyFont="1" applyBorder="1" applyAlignment="1">
      <alignment horizontal="center" vertical="center"/>
    </xf>
    <xf numFmtId="0" fontId="51" fillId="0" borderId="0" xfId="0" applyFont="1" applyProtection="1">
      <protection locked="0"/>
    </xf>
    <xf numFmtId="164" fontId="0" fillId="0" borderId="0" xfId="0" applyNumberFormat="1" applyAlignment="1">
      <alignment horizontal="center"/>
    </xf>
  </cellXfs>
  <cellStyles count="10">
    <cellStyle name="Migliaia" xfId="6" builtinId="3"/>
    <cellStyle name="Normal 2" xfId="7" xr:uid="{5F6E128D-CA22-44C2-9AAC-9A1671B3F81D}"/>
    <cellStyle name="Normal 2 3" xfId="5" xr:uid="{BC97EA89-CB5E-47EA-A912-F59AB709C4E4}"/>
    <cellStyle name="Normal 3 3" xfId="8" xr:uid="{32FEBFD7-1A7A-4F73-AACF-3727B6611671}"/>
    <cellStyle name="Normale" xfId="0" builtinId="0"/>
    <cellStyle name="Normale 2" xfId="9" xr:uid="{BED3BFA0-9D4C-4CCC-A1D3-16A854344266}"/>
    <cellStyle name="Normale 2 2" xfId="2" xr:uid="{D40E65E2-E998-4938-B46C-ED6E38617754}"/>
    <cellStyle name="Normale 2 2 2" xfId="3" xr:uid="{E2A9B291-347F-4EC5-BBE4-395AA713FED0}"/>
    <cellStyle name="Normale 2 2 4" xfId="4" xr:uid="{AA004137-8994-4E39-AB6E-E659F941B5A5}"/>
    <cellStyle name="Percentuale" xfId="1" builtinId="5"/>
  </cellStyles>
  <dxfs count="406">
    <dxf>
      <border outline="0">
        <bottom style="thin">
          <color indexed="64"/>
        </bottom>
      </border>
    </dxf>
    <dxf>
      <border outline="0">
        <bottom style="thin">
          <color theme="4" tint="0.39997558519241921"/>
        </bottom>
      </border>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ont>
        <color theme="0"/>
      </font>
      <fill>
        <patternFill>
          <bgColor rgb="FFFF0000"/>
        </patternFill>
      </fill>
    </dxf>
    <dxf>
      <font>
        <color rgb="FF9C0006"/>
      </font>
      <fill>
        <patternFill>
          <bgColor rgb="FFFFC7CE"/>
        </patternFill>
      </fill>
    </dxf>
    <dxf>
      <font>
        <color rgb="FF9C0006"/>
      </font>
      <fill>
        <patternFill>
          <bgColor rgb="FFFFC7CE"/>
        </patternFill>
      </fill>
    </dxf>
    <dxf>
      <numFmt numFmtId="171" formatCode="0;\-0;;@"/>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numFmt numFmtId="171" formatCode="0;\-0;;@"/>
      <alignment horizontal="center" vertical="center" textRotation="0" wrapText="0" indent="0" justifyLastLine="0" shrinkToFit="0" readingOrder="0"/>
    </dxf>
    <dxf>
      <numFmt numFmtId="171" formatCode="0;\-0;;@"/>
      <fill>
        <patternFill patternType="none">
          <fgColor indexed="64"/>
          <bgColor auto="1"/>
        </patternFill>
      </fill>
      <alignment horizontal="center" vertical="center"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style="thin">
          <color indexed="64"/>
        </horizontal>
      </border>
    </dxf>
    <dxf>
      <numFmt numFmtId="166" formatCode="h:mm;@"/>
      <alignment horizontal="center" vertical="center" textRotation="0" wrapText="0" indent="0" justifyLastLine="0" shrinkToFit="0" readingOrder="0"/>
    </dxf>
    <dxf>
      <numFmt numFmtId="166" formatCode="h:mm;@"/>
      <alignment horizontal="center" vertical="center" textRotation="0" wrapText="0" indent="0" justifyLastLine="0" shrinkToFit="0" readingOrder="0"/>
    </dxf>
    <dxf>
      <numFmt numFmtId="166" formatCode="h:mm;@"/>
      <alignment horizontal="center" vertical="center" textRotation="0" wrapText="0" indent="0" justifyLastLine="0" shrinkToFit="0" readingOrder="0"/>
    </dxf>
    <dxf>
      <numFmt numFmtId="171" formatCode="0;\-0;;@"/>
      <alignment horizontal="center" vertical="center" textRotation="0" wrapText="0" indent="0" justifyLastLine="0" shrinkToFit="0" readingOrder="0"/>
    </dxf>
    <dxf>
      <numFmt numFmtId="171" formatCode="0;\-0;;@"/>
      <alignment horizontal="center" vertical="center" textRotation="0" wrapText="0" indent="0" justifyLastLine="0" shrinkToFit="0" readingOrder="0"/>
    </dxf>
    <dxf>
      <numFmt numFmtId="171" formatCode="0;\-0;;@"/>
      <alignment horizontal="center" vertical="center" textRotation="0" wrapText="0" indent="0" justifyLastLine="0" shrinkToFit="0" readingOrder="0"/>
    </dxf>
    <dxf>
      <numFmt numFmtId="171" formatCode="0;\-0;;@"/>
      <alignment horizontal="center" vertical="center" textRotation="0" wrapText="0" indent="0" justifyLastLine="0" shrinkToFit="0" readingOrder="0"/>
    </dxf>
    <dxf>
      <numFmt numFmtId="171" formatCode="0;\-0;;@"/>
      <alignment horizontal="center" vertical="center" textRotation="0" wrapText="0" indent="0" justifyLastLine="0" shrinkToFit="0" readingOrder="0"/>
    </dxf>
    <dxf>
      <numFmt numFmtId="171" formatCode="0;\-0;;@"/>
      <alignment horizontal="center" vertical="center" textRotation="0" wrapText="0" indent="0" justifyLastLine="0" shrinkToFit="0" readingOrder="0"/>
    </dxf>
    <dxf>
      <numFmt numFmtId="171" formatCode="0;\-0;;@"/>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171" formatCode="0;\-0;;@"/>
      <fill>
        <patternFill patternType="solid">
          <fgColor indexed="64"/>
          <bgColor rgb="FF7030A0"/>
        </patternFill>
      </fill>
      <alignment horizontal="center" vertical="center" textRotation="0" wrapText="0" indent="0" justifyLastLine="0" shrinkToFit="0" readingOrder="0"/>
    </dxf>
    <dxf>
      <fill>
        <patternFill>
          <bgColor theme="9" tint="0.59996337778862885"/>
        </patternFill>
      </fill>
    </dxf>
    <dxf>
      <font>
        <color theme="0"/>
      </font>
      <fill>
        <patternFill>
          <bgColor rgb="FFFF0000"/>
        </patternFill>
      </fill>
    </dxf>
    <dxf>
      <font>
        <color theme="0" tint="-4.9989318521683403E-2"/>
      </font>
      <fill>
        <patternFill>
          <bgColor rgb="FFFF0000"/>
        </patternFill>
      </fill>
    </dxf>
    <dxf>
      <font>
        <color theme="0" tint="-4.9989318521683403E-2"/>
      </font>
      <fill>
        <patternFill>
          <bgColor rgb="FFFF0000"/>
        </patternFill>
      </fill>
    </dxf>
    <dxf>
      <font>
        <color theme="0" tint="-4.9989318521683403E-2"/>
      </font>
      <fill>
        <patternFill>
          <bgColor rgb="FFFF0000"/>
        </patternFill>
      </fill>
    </dxf>
    <dxf>
      <font>
        <color theme="0" tint="-4.9989318521683403E-2"/>
      </font>
      <fill>
        <patternFill>
          <bgColor rgb="FFFF0000"/>
        </patternFill>
      </fill>
    </dxf>
    <dxf>
      <font>
        <color theme="0" tint="-4.9989318521683403E-2"/>
      </font>
      <fill>
        <patternFill>
          <bgColor rgb="FFFF0000"/>
        </patternFill>
      </fill>
    </dxf>
    <dxf>
      <font>
        <color theme="0"/>
      </font>
    </dxf>
    <dxf>
      <font>
        <color theme="0"/>
      </font>
    </dxf>
    <dxf>
      <fill>
        <patternFill>
          <bgColor theme="7" tint="0.39994506668294322"/>
        </patternFill>
      </fill>
    </dxf>
    <dxf>
      <fill>
        <patternFill>
          <bgColor theme="8" tint="0.39994506668294322"/>
        </patternFill>
      </fill>
    </dxf>
    <dxf>
      <fill>
        <patternFill>
          <bgColor theme="9" tint="0.39994506668294322"/>
        </patternFill>
      </fill>
    </dxf>
    <dxf>
      <fill>
        <patternFill>
          <bgColor rgb="FFFF5050"/>
        </patternFill>
      </fill>
    </dxf>
    <dxf>
      <fill>
        <patternFill>
          <bgColor rgb="FF00B0F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theme="7" tint="0.39994506668294322"/>
        </patternFill>
      </fill>
    </dxf>
    <dxf>
      <fill>
        <patternFill>
          <bgColor theme="8" tint="0.39994506668294322"/>
        </patternFill>
      </fill>
    </dxf>
    <dxf>
      <fill>
        <patternFill>
          <bgColor theme="9" tint="0.39994506668294322"/>
        </patternFill>
      </fill>
    </dxf>
    <dxf>
      <fill>
        <patternFill>
          <bgColor rgb="FFFF5050"/>
        </patternFill>
      </fill>
    </dxf>
    <dxf>
      <fill>
        <patternFill>
          <bgColor rgb="FFFFC000"/>
        </patternFill>
      </fill>
    </dxf>
    <dxf>
      <fill>
        <patternFill>
          <bgColor rgb="FF92D050"/>
        </patternFill>
      </fill>
    </dxf>
    <dxf>
      <fill>
        <patternFill>
          <bgColor rgb="FFFFFF00"/>
        </patternFill>
      </fill>
    </dxf>
    <dxf>
      <fill>
        <patternFill>
          <bgColor rgb="FF92D050"/>
        </patternFill>
      </fill>
    </dxf>
    <dxf>
      <fill>
        <patternFill>
          <bgColor rgb="FFFFC000"/>
        </patternFill>
      </fill>
    </dxf>
    <dxf>
      <font>
        <b/>
        <i val="0"/>
      </font>
      <fill>
        <patternFill>
          <bgColor rgb="FFFF3300"/>
        </patternFill>
      </fill>
    </dxf>
    <dxf>
      <fill>
        <patternFill>
          <bgColor rgb="FF00B0F0"/>
        </patternFill>
      </fill>
    </dxf>
    <dxf>
      <fill>
        <patternFill>
          <bgColor rgb="FF00B0F0"/>
        </patternFill>
      </fill>
    </dxf>
    <dxf>
      <fill>
        <patternFill>
          <bgColor rgb="FF92D050"/>
        </patternFill>
      </fill>
    </dxf>
    <dxf>
      <fill>
        <patternFill>
          <bgColor rgb="FF00B0F0"/>
        </patternFill>
      </fill>
    </dxf>
    <dxf>
      <font>
        <b/>
        <i val="0"/>
      </font>
      <fill>
        <patternFill>
          <bgColor rgb="FFFF3300"/>
        </patternFill>
      </fill>
    </dxf>
    <dxf>
      <font>
        <b/>
        <i val="0"/>
      </font>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00B0F0"/>
        </patternFill>
      </fill>
    </dxf>
    <dxf>
      <font>
        <b/>
        <i val="0"/>
      </font>
      <fill>
        <patternFill>
          <bgColor rgb="FFFF3300"/>
        </patternFill>
      </fill>
    </dxf>
    <dxf>
      <font>
        <color theme="0"/>
      </font>
    </dxf>
    <dxf>
      <font>
        <color theme="0"/>
      </font>
    </dxf>
    <dxf>
      <font>
        <color theme="0"/>
      </font>
    </dxf>
    <dxf>
      <font>
        <color theme="0"/>
      </font>
    </dxf>
    <dxf>
      <fill>
        <patternFill>
          <bgColor rgb="FF00B0F0"/>
        </patternFill>
      </fill>
    </dxf>
    <dxf>
      <font>
        <color theme="0"/>
      </font>
    </dxf>
    <dxf>
      <font>
        <color theme="0"/>
      </font>
    </dxf>
    <dxf>
      <font>
        <color theme="0"/>
      </font>
    </dxf>
    <dxf>
      <font>
        <b/>
        <i val="0"/>
        <color rgb="FFFF0000"/>
      </font>
    </dxf>
    <dxf>
      <fill>
        <patternFill>
          <bgColor theme="0" tint="-0.499984740745262"/>
        </patternFill>
      </fill>
    </dxf>
    <dxf>
      <font>
        <strike val="0"/>
        <color theme="7" tint="0.39994506668294322"/>
      </font>
    </dxf>
    <dxf>
      <font>
        <strike val="0"/>
        <color theme="7" tint="0.39994506668294322"/>
      </font>
    </dxf>
    <dxf>
      <font>
        <color rgb="FFFFFFFF"/>
      </font>
    </dxf>
    <dxf>
      <font>
        <b/>
        <i val="0"/>
      </font>
      <fill>
        <patternFill>
          <bgColor rgb="FFFF3300"/>
        </patternFill>
      </fill>
    </dxf>
    <dxf>
      <font>
        <color theme="0"/>
      </font>
    </dxf>
    <dxf>
      <font>
        <b/>
        <i val="0"/>
      </font>
      <fill>
        <patternFill>
          <bgColor rgb="FF92D050"/>
        </patternFill>
      </fill>
    </dxf>
    <dxf>
      <fill>
        <patternFill>
          <bgColor rgb="FF92D050"/>
        </patternFill>
      </fill>
    </dxf>
    <dxf>
      <font>
        <strike val="0"/>
        <outline val="0"/>
        <shadow val="0"/>
        <u val="none"/>
        <vertAlign val="baseline"/>
        <sz val="11"/>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numFmt numFmtId="166" formatCode="h:mm;@"/>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1"/>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numFmt numFmtId="166" formatCode="h:mm;@"/>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1"/>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fill>
        <patternFill patternType="solid">
          <fgColor indexed="64"/>
          <bgColor rgb="FF002060"/>
        </patternFill>
      </fill>
      <alignment horizontal="center" vertical="center" textRotation="0" wrapText="1" indent="0" justifyLastLine="0" shrinkToFit="0" readingOrder="0"/>
      <protection locked="1" hidden="0"/>
    </dxf>
    <dxf>
      <font>
        <strike val="0"/>
        <outline val="0"/>
        <shadow val="0"/>
        <u val="none"/>
        <vertAlign val="baseline"/>
        <sz val="11"/>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numFmt numFmtId="2" formatCode="0.00"/>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8" formatCode="[$-10010]h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numFmt numFmtId="2" formatCode="0.00"/>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8" formatCode="[$-10010]h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numFmt numFmtId="2" formatCode="0.00"/>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numFmt numFmtId="2" formatCode="0.00"/>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8" formatCode="[$-10010]h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8" formatCode="[$-10010]h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8" formatCode="[$-10010]h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9" formatCode="h:mm:ss;@"/>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8" formatCode="[$-10010]h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numFmt numFmtId="2" formatCode="0.00"/>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2" formatCode="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1" hidden="0"/>
    </dxf>
    <dxf>
      <font>
        <b/>
        <strike val="0"/>
        <outline val="0"/>
        <shadow val="0"/>
        <u val="none"/>
        <vertAlign val="baseline"/>
        <sz val="11"/>
        <color theme="0"/>
        <name val="Calibri"/>
        <family val="2"/>
      </font>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1"/>
        <color theme="0"/>
        <name val="Calibri"/>
        <family val="2"/>
      </font>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trike val="0"/>
        <outline val="0"/>
        <shadow val="0"/>
        <u val="none"/>
        <vertAlign val="baseline"/>
        <sz val="11"/>
        <color theme="0"/>
        <name val="Calibri"/>
        <family val="2"/>
      </font>
      <numFmt numFmtId="169" formatCode="h:mm:ss;@"/>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trike val="0"/>
        <outline val="0"/>
        <shadow val="0"/>
        <u val="none"/>
        <vertAlign val="baseline"/>
        <sz val="11"/>
        <color theme="0"/>
        <name val="Calibri"/>
        <family val="2"/>
      </font>
      <numFmt numFmtId="169" formatCode="h:mm:ss;@"/>
      <fill>
        <patternFill patternType="solid">
          <fgColor indexed="64"/>
          <bgColor rgb="FF00206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none">
          <fgColor indexed="64"/>
          <bgColor auto="1"/>
        </patternFill>
      </fill>
      <border diagonalUp="0" diagonalDown="0">
        <left style="thin">
          <color indexed="64"/>
        </left>
        <right/>
        <top style="thin">
          <color indexed="64"/>
        </top>
        <bottom style="thin">
          <color indexed="64"/>
        </bottom>
        <vertical/>
        <horizontal/>
      </border>
      <protection locked="0" hidden="0"/>
    </dxf>
    <dxf>
      <font>
        <strike val="0"/>
        <outline val="0"/>
        <shadow val="0"/>
        <u val="none"/>
        <vertAlign val="baseline"/>
        <name val="Calibri"/>
        <family val="2"/>
      </font>
      <numFmt numFmtId="166" formatCode="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9" formatCode="h:mm:ss;@"/>
      <fill>
        <patternFill patternType="none">
          <fgColor indexed="64"/>
          <bgColor auto="1"/>
        </patternFill>
      </fill>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name val="Calibri"/>
        <family val="2"/>
      </font>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fill>
        <patternFill patternType="none">
          <fgColor indexed="64"/>
          <bgColor auto="1"/>
        </patternFill>
      </fill>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none">
          <fgColor indexed="64"/>
          <bgColor auto="1"/>
        </patternFill>
      </fill>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none">
          <fgColor indexed="64"/>
          <bgColor auto="1"/>
        </patternFill>
      </fill>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fill>
        <patternFill patternType="none">
          <fgColor indexed="64"/>
          <bgColor auto="1"/>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30" formatCode="@"/>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164" formatCode="_-* #,##0.00\ &quot;€&quot;_-;\-* #,##0.00\ &quot;€&quot;_-;_-* &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4" formatCode="_-* #,##0.00\ &quot;€&quot;_-;\-* #,##0.00\ &quot;€&quot;_-;_-* &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4" formatCode="_-* #,##0.00\ &quot;€&quot;_-;\-* #,##0.00\ &quot;€&quot;_-;_-* &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name val="Calibri"/>
        <family val="2"/>
      </font>
      <numFmt numFmtId="164" formatCode="_-* #,##0.00\ &quot;€&quot;_-;\-* #,##0.00\ &quot;€&quot;_-;_-* &quot;-&quot;??\ &quot;€&quot;_-;_-@_-"/>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4" formatCode="_-* #,##0.00\ &quot;€&quot;_-;\-* #,##0.00\ &quot;€&quot;_-;_-* &quot;-&quot;??\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name val="Calibri"/>
        <family val="2"/>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name val="Calibri"/>
        <family val="2"/>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name val="Calibri"/>
        <family val="2"/>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name val="Calibri"/>
        <family val="2"/>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name val="Calibri"/>
        <family val="2"/>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strike val="0"/>
        <outline val="0"/>
        <shadow val="0"/>
        <u val="none"/>
        <vertAlign val="baseline"/>
        <sz val="11"/>
        <name val="Calibri"/>
        <family val="2"/>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strike val="0"/>
        <outline val="0"/>
        <shadow val="0"/>
        <u val="none"/>
        <vertAlign val="baseline"/>
        <sz val="11"/>
        <name val="Calibri"/>
        <family val="2"/>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strike val="0"/>
        <outline val="0"/>
        <shadow val="0"/>
        <u val="none"/>
        <vertAlign val="baseline"/>
        <sz val="11"/>
        <name val="Calibri"/>
        <family val="2"/>
      </font>
      <numFmt numFmtId="30" formatCode="@"/>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name val="Calibri"/>
        <family val="2"/>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scheme val="minor"/>
      </font>
      <numFmt numFmtId="165" formatCode="_-* #,##0.00_-;\-* #,##0.00_-;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FF0000"/>
        <name val="Calibri"/>
        <family val="2"/>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6" formatCode="h:mm;@"/>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1"/>
        <name val="Calibri"/>
        <family val="2"/>
      </font>
      <numFmt numFmtId="167" formatCode="[h]:mm:ss;@"/>
      <fill>
        <patternFill patternType="none">
          <fgColor indexed="64"/>
          <bgColor auto="1"/>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protection locked="1" hidden="0"/>
    </dxf>
    <dxf>
      <font>
        <strike val="0"/>
        <outline val="0"/>
        <shadow val="0"/>
        <u val="none"/>
        <vertAlign val="baseline"/>
        <sz val="11"/>
        <name val="Calibri"/>
        <family val="2"/>
      </font>
      <numFmt numFmtId="168" formatCode="[$-10010]hh:mm;@"/>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5" formatCode="_-* #,##0.00_-;\-* #,##0.00_-;_-*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5" formatCode="_-* #,##0.00_-;\-* #,##0.00_-;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5" formatCode="_-* #,##0.00_-;\-* #,##0.00_-;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Calibri"/>
        <family val="2"/>
      </font>
      <numFmt numFmtId="165" formatCode="_-* #,##0.00_-;\-* #,##0.00_-;_-* &quot;-&quot;??_-;_-@_-"/>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border outline="0">
        <bottom style="thin">
          <color rgb="FF000000"/>
        </bottom>
      </border>
    </dxf>
    <dxf>
      <font>
        <strike val="0"/>
        <outline val="0"/>
        <shadow val="0"/>
        <u val="none"/>
        <vertAlign val="baseline"/>
        <sz val="11"/>
        <name val="Calibri"/>
        <family val="2"/>
      </font>
      <numFmt numFmtId="166" formatCode="h:mm;@"/>
      <fill>
        <patternFill patternType="solid">
          <fgColor indexed="64"/>
          <bgColor theme="5" tint="0.79998168889431442"/>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theme="0"/>
        <name val="Calibri"/>
        <family val="2"/>
        <scheme val="minor"/>
      </font>
      <numFmt numFmtId="166" formatCode="h:mm;@"/>
      <fill>
        <patternFill patternType="solid">
          <fgColor indexed="64"/>
          <bgColor rgb="FF002060"/>
        </patternFill>
      </fill>
      <alignment horizontal="center" vertical="center" textRotation="0" wrapText="1" indent="0" justifyLastLine="0" shrinkToFit="0" readingOrder="0"/>
      <protection locked="0" hidden="0"/>
    </dxf>
    <dxf>
      <font>
        <color rgb="FFFF0000"/>
      </font>
      <fill>
        <patternFill>
          <bgColor rgb="FFFFC000"/>
        </patternFill>
      </fill>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ont>
        <color rgb="FFFF0000"/>
      </font>
      <fill>
        <patternFill>
          <bgColor rgb="FFFFC000"/>
        </patternFill>
      </fill>
    </dxf>
    <dxf>
      <font>
        <color rgb="FFFF0000"/>
      </font>
      <fill>
        <patternFill>
          <bgColor rgb="FFFFFF00"/>
        </patternFill>
      </fill>
    </dxf>
    <dxf>
      <font>
        <color rgb="FFFF0000"/>
      </font>
      <fill>
        <patternFill>
          <bgColor rgb="FFFFC000"/>
        </patternFill>
      </fill>
    </dxf>
    <dxf>
      <font>
        <color theme="0"/>
      </font>
      <fill>
        <patternFill>
          <bgColor rgb="FFFF0000"/>
        </patternFill>
      </fill>
    </dxf>
    <dxf>
      <fill>
        <patternFill>
          <bgColor theme="6" tint="0.39994506668294322"/>
        </patternFill>
      </fill>
    </dxf>
    <dxf>
      <fill>
        <patternFill>
          <bgColor rgb="FF92D050"/>
        </patternFill>
      </fill>
    </dxf>
    <dxf>
      <font>
        <color rgb="FFFF0000"/>
      </font>
      <fill>
        <patternFill>
          <bgColor rgb="FFFFC000"/>
        </patternFill>
      </fill>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ill>
        <patternFill>
          <bgColor theme="9" tint="0.59996337778862885"/>
        </patternFill>
      </fill>
    </dxf>
    <dxf>
      <fill>
        <patternFill>
          <bgColor rgb="FF00B0F0"/>
        </patternFill>
      </fill>
    </dxf>
    <dxf>
      <fill>
        <patternFill>
          <bgColor rgb="FF00B0F0"/>
        </patternFill>
      </fill>
    </dxf>
    <dxf>
      <fill>
        <patternFill>
          <bgColor rgb="FF92D050"/>
        </patternFill>
      </fill>
    </dxf>
    <dxf>
      <font>
        <color theme="0"/>
      </font>
      <fill>
        <patternFill>
          <bgColor rgb="FFFF0000"/>
        </patternFill>
      </fill>
    </dxf>
    <dxf>
      <fill>
        <patternFill>
          <bgColor theme="0"/>
        </patternFill>
      </fill>
    </dxf>
    <dxf>
      <fill>
        <patternFill>
          <bgColor rgb="FF92D050"/>
        </patternFill>
      </fill>
    </dxf>
    <dxf>
      <font>
        <color theme="0"/>
      </font>
      <fill>
        <patternFill>
          <bgColor rgb="FFFF0000"/>
        </patternFill>
      </fill>
    </dxf>
    <dxf>
      <fill>
        <patternFill>
          <bgColor theme="0"/>
        </patternFill>
      </fill>
    </dxf>
    <dxf>
      <font>
        <color rgb="FFFF0000"/>
      </font>
      <fill>
        <patternFill>
          <bgColor rgb="FFFFC000"/>
        </patternFill>
      </fill>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ont>
        <color rgb="FFFF0000"/>
      </font>
      <fill>
        <patternFill>
          <bgColor rgb="FFFFC000"/>
        </patternFill>
      </fill>
    </dxf>
    <dxf>
      <font>
        <color rgb="FFFF0000"/>
      </font>
      <fill>
        <patternFill>
          <bgColor rgb="FFFFFF00"/>
        </patternFill>
      </fill>
    </dxf>
    <dxf>
      <font>
        <color rgb="FFFF0000"/>
      </font>
      <fill>
        <patternFill>
          <bgColor rgb="FFFFC000"/>
        </patternFill>
      </fill>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ill>
        <patternFill>
          <bgColor theme="9" tint="0.59996337778862885"/>
        </patternFill>
      </fill>
    </dxf>
    <dxf>
      <fill>
        <patternFill>
          <bgColor rgb="FF00B0F0"/>
        </patternFill>
      </fill>
    </dxf>
    <dxf>
      <fill>
        <patternFill>
          <bgColor rgb="FF00B0F0"/>
        </patternFill>
      </fill>
    </dxf>
    <dxf>
      <fill>
        <patternFill>
          <bgColor theme="0"/>
        </patternFill>
      </fill>
    </dxf>
    <dxf>
      <fill>
        <patternFill>
          <bgColor theme="6" tint="0.39994506668294322"/>
        </patternFill>
      </fill>
    </dxf>
    <dxf>
      <fill>
        <patternFill>
          <bgColor rgb="FF92D050"/>
        </patternFill>
      </fill>
    </dxf>
    <dxf>
      <font>
        <color theme="0"/>
      </font>
      <fill>
        <patternFill>
          <bgColor rgb="FFFF0000"/>
        </patternFill>
      </fill>
    </dxf>
    <dxf>
      <fill>
        <patternFill>
          <bgColor rgb="FFFFFF00"/>
        </patternFill>
      </fill>
    </dxf>
    <dxf>
      <fill>
        <patternFill>
          <bgColor rgb="FF92D050"/>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ont>
        <color theme="0"/>
      </font>
      <fill>
        <patternFill>
          <bgColor rgb="FF00B0F0"/>
        </patternFill>
      </fill>
    </dxf>
    <dxf>
      <font>
        <color theme="0"/>
      </font>
      <fill>
        <patternFill>
          <bgColor rgb="FFFF0000"/>
        </patternFill>
      </fill>
    </dxf>
    <dxf>
      <font>
        <color rgb="FF9C0006"/>
      </font>
      <fill>
        <patternFill patternType="solid">
          <bgColor rgb="FFFFC000"/>
        </patternFill>
      </fill>
    </dxf>
    <dxf>
      <font>
        <color rgb="FF9C0006"/>
      </font>
      <fill>
        <patternFill patternType="solid">
          <bgColor rgb="FFFFFF00"/>
        </patternFill>
      </fill>
    </dxf>
    <dxf>
      <font>
        <color theme="0"/>
      </font>
    </dxf>
    <dxf>
      <font>
        <color rgb="FFFF0000"/>
      </font>
      <fill>
        <patternFill>
          <bgColor rgb="FFFFC000"/>
        </patternFill>
      </fill>
    </dxf>
    <dxf>
      <fill>
        <patternFill>
          <bgColor rgb="FFFFFF00"/>
        </patternFill>
      </fill>
    </dxf>
    <dxf>
      <fill>
        <patternFill>
          <bgColor rgb="FF00B050"/>
        </patternFill>
      </fill>
    </dxf>
    <dxf>
      <fill>
        <patternFill>
          <bgColor rgb="FFFF0000"/>
        </patternFill>
      </fill>
    </dxf>
    <dxf>
      <fill>
        <patternFill>
          <bgColor theme="7" tint="0.79998168889431442"/>
        </patternFill>
      </fill>
      <border>
        <left style="thin">
          <color auto="1"/>
        </left>
        <right style="thin">
          <color auto="1"/>
        </right>
        <top style="thin">
          <color auto="1"/>
        </top>
        <bottom style="thin">
          <color auto="1"/>
        </bottom>
      </border>
    </dxf>
    <dxf>
      <font>
        <color rgb="FFFF0000"/>
      </font>
      <fill>
        <patternFill>
          <bgColor rgb="FFFFC000"/>
        </patternFill>
      </fill>
    </dxf>
    <dxf>
      <font>
        <color rgb="FFFF0000"/>
      </font>
      <fill>
        <patternFill>
          <bgColor rgb="FFFFFF00"/>
        </patternFill>
      </fill>
    </dxf>
    <dxf>
      <font>
        <color rgb="FFFF0000"/>
      </font>
      <fill>
        <patternFill>
          <bgColor rgb="FFFFC000"/>
        </patternFill>
      </fill>
    </dxf>
    <dxf>
      <fill>
        <patternFill>
          <bgColor theme="9" tint="0.59996337778862885"/>
        </patternFill>
      </fill>
    </dxf>
    <dxf>
      <fill>
        <patternFill>
          <bgColor rgb="FF00B0F0"/>
        </patternFill>
      </fill>
    </dxf>
    <dxf>
      <fill>
        <patternFill>
          <bgColor rgb="FF00B0F0"/>
        </patternFill>
      </fill>
    </dxf>
    <dxf>
      <fill>
        <patternFill>
          <bgColor theme="0"/>
        </patternFill>
      </fill>
    </dxf>
    <dxf>
      <fill>
        <patternFill>
          <bgColor theme="6" tint="0.39994506668294322"/>
        </patternFill>
      </fill>
    </dxf>
    <dxf>
      <fill>
        <patternFill>
          <bgColor rgb="FF92D050"/>
        </patternFill>
      </fill>
    </dxf>
    <dxf>
      <font>
        <color theme="0"/>
      </font>
      <fill>
        <patternFill>
          <bgColor rgb="FFFF0000"/>
        </patternFill>
      </fill>
    </dxf>
    <dxf>
      <fill>
        <patternFill>
          <bgColor rgb="FFFFFF00"/>
        </patternFill>
      </fill>
    </dxf>
    <dxf>
      <fill>
        <patternFill>
          <bgColor rgb="FF92D050"/>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ont>
        <color theme="0"/>
      </font>
      <fill>
        <patternFill>
          <bgColor rgb="FF00B0F0"/>
        </patternFill>
      </fill>
    </dxf>
    <dxf>
      <font>
        <color rgb="FFFF0000"/>
      </font>
      <fill>
        <patternFill>
          <bgColor theme="0"/>
        </patternFill>
      </fill>
    </dxf>
    <dxf>
      <font>
        <color theme="0"/>
      </font>
      <fill>
        <patternFill>
          <bgColor rgb="FFFF0000"/>
        </patternFill>
      </fill>
    </dxf>
    <dxf>
      <font>
        <color rgb="FF9C0006"/>
      </font>
      <fill>
        <patternFill patternType="solid">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92D050"/>
        </patternFill>
      </fill>
    </dxf>
    <dxf>
      <fill>
        <patternFill>
          <bgColor rgb="FFFFC000"/>
        </patternFill>
      </fill>
    </dxf>
    <dxf>
      <fill>
        <patternFill>
          <bgColor rgb="FF00B0F0"/>
        </patternFill>
      </fill>
    </dxf>
    <dxf>
      <fill>
        <patternFill>
          <bgColor rgb="FF00B0F0"/>
        </patternFill>
      </fill>
    </dxf>
    <dxf>
      <font>
        <b/>
        <i val="0"/>
      </font>
      <fill>
        <patternFill>
          <bgColor rgb="FFFF3300"/>
        </patternFill>
      </fill>
    </dxf>
    <dxf>
      <fill>
        <patternFill>
          <bgColor rgb="FF00B0F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FF0000"/>
        </patternFill>
      </fill>
    </dxf>
    <dxf>
      <fill>
        <patternFill>
          <bgColor rgb="FF00B0F0"/>
        </patternFill>
      </fill>
    </dxf>
    <dxf>
      <font>
        <color theme="0"/>
      </font>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ont>
        <strike val="0"/>
        <color theme="7" tint="0.39994506668294322"/>
      </font>
    </dxf>
    <dxf>
      <font>
        <strike val="0"/>
        <color theme="7" tint="0.39994506668294322"/>
      </font>
    </dxf>
    <dxf>
      <font>
        <color rgb="FFFFFFFF"/>
      </font>
    </dxf>
    <dxf>
      <font>
        <b/>
        <i val="0"/>
      </font>
      <fill>
        <patternFill>
          <bgColor rgb="FFFF3300"/>
        </patternFill>
      </fill>
    </dxf>
    <dxf>
      <font>
        <color theme="0"/>
      </font>
    </dxf>
    <dxf>
      <font>
        <b/>
        <i val="0"/>
      </font>
      <fill>
        <patternFill>
          <bgColor rgb="FF92D050"/>
        </patternFill>
      </fill>
    </dxf>
  </dxfs>
  <tableStyles count="0" defaultTableStyle="TableStyleMedium2" defaultPivotStyle="PivotStyleLight16"/>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27</xdr:col>
      <xdr:colOff>414074</xdr:colOff>
      <xdr:row>74</xdr:row>
      <xdr:rowOff>50802</xdr:rowOff>
    </xdr:from>
    <xdr:to>
      <xdr:col>29</xdr:col>
      <xdr:colOff>461966</xdr:colOff>
      <xdr:row>75</xdr:row>
      <xdr:rowOff>125150</xdr:rowOff>
    </xdr:to>
    <xdr:sp macro="" textlink="">
      <xdr:nvSpPr>
        <xdr:cNvPr id="2" name="Freccia a destra 2">
          <a:extLst>
            <a:ext uri="{FF2B5EF4-FFF2-40B4-BE49-F238E27FC236}">
              <a16:creationId xmlns:a16="http://schemas.microsoft.com/office/drawing/2014/main" id="{8A486EAE-C9B8-4A35-907C-C7C3DA5241D4}"/>
            </a:ext>
          </a:extLst>
        </xdr:cNvPr>
        <xdr:cNvSpPr/>
      </xdr:nvSpPr>
      <xdr:spPr>
        <a:xfrm>
          <a:off x="12596549" y="15071727"/>
          <a:ext cx="1267092" cy="283898"/>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solidFill>
              <a:srgbClr val="FF0000"/>
            </a:solidFill>
          </a:endParaRPr>
        </a:p>
      </xdr:txBody>
    </xdr:sp>
    <xdr:clientData/>
  </xdr:twoCellAnchor>
  <xdr:twoCellAnchor>
    <xdr:from>
      <xdr:col>25</xdr:col>
      <xdr:colOff>59531</xdr:colOff>
      <xdr:row>3</xdr:row>
      <xdr:rowOff>-1</xdr:rowOff>
    </xdr:from>
    <xdr:to>
      <xdr:col>29</xdr:col>
      <xdr:colOff>527048</xdr:colOff>
      <xdr:row>4</xdr:row>
      <xdr:rowOff>8732</xdr:rowOff>
    </xdr:to>
    <xdr:sp macro="" textlink="">
      <xdr:nvSpPr>
        <xdr:cNvPr id="3" name="Freccia a destra 1">
          <a:extLst>
            <a:ext uri="{FF2B5EF4-FFF2-40B4-BE49-F238E27FC236}">
              <a16:creationId xmlns:a16="http://schemas.microsoft.com/office/drawing/2014/main" id="{51D220F8-AF4A-42FB-BE4D-522A49E5BE88}"/>
            </a:ext>
          </a:extLst>
        </xdr:cNvPr>
        <xdr:cNvSpPr/>
      </xdr:nvSpPr>
      <xdr:spPr>
        <a:xfrm>
          <a:off x="11022806" y="828674"/>
          <a:ext cx="2905917" cy="208758"/>
        </a:xfrm>
        <a:prstGeom prst="rightArrow">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59531</xdr:colOff>
      <xdr:row>3</xdr:row>
      <xdr:rowOff>-1</xdr:rowOff>
    </xdr:from>
    <xdr:to>
      <xdr:col>31</xdr:col>
      <xdr:colOff>0</xdr:colOff>
      <xdr:row>4</xdr:row>
      <xdr:rowOff>8732</xdr:rowOff>
    </xdr:to>
    <xdr:sp macro="" textlink="">
      <xdr:nvSpPr>
        <xdr:cNvPr id="3" name="Freccia a destra 1">
          <a:extLst>
            <a:ext uri="{FF2B5EF4-FFF2-40B4-BE49-F238E27FC236}">
              <a16:creationId xmlns:a16="http://schemas.microsoft.com/office/drawing/2014/main" id="{AA36BCAC-7997-44B5-9542-C47C7A7B2F72}"/>
            </a:ext>
          </a:extLst>
        </xdr:cNvPr>
        <xdr:cNvSpPr/>
      </xdr:nvSpPr>
      <xdr:spPr>
        <a:xfrm>
          <a:off x="15909131" y="857249"/>
          <a:ext cx="3105942" cy="218283"/>
        </a:xfrm>
        <a:prstGeom prst="rightArrow">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105834</xdr:colOff>
      <xdr:row>5</xdr:row>
      <xdr:rowOff>74084</xdr:rowOff>
    </xdr:from>
    <xdr:to>
      <xdr:col>22</xdr:col>
      <xdr:colOff>1957917</xdr:colOff>
      <xdr:row>11</xdr:row>
      <xdr:rowOff>137584</xdr:rowOff>
    </xdr:to>
    <xdr:sp macro="" textlink="">
      <xdr:nvSpPr>
        <xdr:cNvPr id="2" name="CasellaDiTesto 1">
          <a:extLst>
            <a:ext uri="{FF2B5EF4-FFF2-40B4-BE49-F238E27FC236}">
              <a16:creationId xmlns:a16="http://schemas.microsoft.com/office/drawing/2014/main" id="{3EFA98CC-897F-1E56-11FF-400310CFC6E4}"/>
            </a:ext>
          </a:extLst>
        </xdr:cNvPr>
        <xdr:cNvSpPr txBox="1"/>
      </xdr:nvSpPr>
      <xdr:spPr>
        <a:xfrm>
          <a:off x="13991167" y="846667"/>
          <a:ext cx="47625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100"/>
            <a:t>Le colonne da compilare</a:t>
          </a:r>
          <a:r>
            <a:rPr lang="it-IT" sz="1100" baseline="0"/>
            <a:t> sono solamente </a:t>
          </a:r>
          <a:br>
            <a:rPr lang="it-IT" sz="1100" baseline="0"/>
          </a:br>
          <a:r>
            <a:rPr lang="it-IT" sz="1100" baseline="0"/>
            <a:t>COLONNA I -&gt; CONS</a:t>
          </a:r>
        </a:p>
        <a:p>
          <a:pPr algn="ctr"/>
          <a:r>
            <a:rPr lang="it-IT" sz="1100" baseline="0"/>
            <a:t>COLONNA K -&gt; STAT77</a:t>
          </a:r>
        </a:p>
        <a:p>
          <a:endParaRPr lang="it-IT" sz="1100" baseline="0"/>
        </a:p>
        <a:p>
          <a:r>
            <a:rPr lang="it-IT" sz="1100" baseline="0"/>
            <a:t>Le altre non </a:t>
          </a:r>
          <a:r>
            <a:rPr lang="it-IT" sz="1100" b="1" i="1" u="sng" baseline="0"/>
            <a:t>DEVONO ESSERE ASSOLUTAMENTE TOCCATE </a:t>
          </a:r>
          <a:r>
            <a:rPr lang="it-IT" sz="1100" baseline="0"/>
            <a:t>pena invalidazione dei processi</a:t>
          </a:r>
        </a:p>
        <a:p>
          <a:endParaRPr lang="it-IT" sz="1100"/>
        </a:p>
      </xdr:txBody>
    </xdr:sp>
    <xdr:clientData/>
  </xdr:twoCellAnchor>
  <xdr:twoCellAnchor>
    <xdr:from>
      <xdr:col>17</xdr:col>
      <xdr:colOff>95251</xdr:colOff>
      <xdr:row>12</xdr:row>
      <xdr:rowOff>169332</xdr:rowOff>
    </xdr:from>
    <xdr:to>
      <xdr:col>22</xdr:col>
      <xdr:colOff>1947334</xdr:colOff>
      <xdr:row>27</xdr:row>
      <xdr:rowOff>21167</xdr:rowOff>
    </xdr:to>
    <xdr:sp macro="" textlink="">
      <xdr:nvSpPr>
        <xdr:cNvPr id="3" name="CasellaDiTesto 2">
          <a:extLst>
            <a:ext uri="{FF2B5EF4-FFF2-40B4-BE49-F238E27FC236}">
              <a16:creationId xmlns:a16="http://schemas.microsoft.com/office/drawing/2014/main" id="{9CFD4682-46C8-4A8E-A0B9-58F6F1C40B9A}"/>
            </a:ext>
          </a:extLst>
        </xdr:cNvPr>
        <xdr:cNvSpPr txBox="1"/>
      </xdr:nvSpPr>
      <xdr:spPr>
        <a:xfrm>
          <a:off x="13980584" y="2275415"/>
          <a:ext cx="4762500" cy="270933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3200" b="1" i="0">
              <a:solidFill>
                <a:srgbClr val="FF0000"/>
              </a:solidFill>
            </a:rPr>
            <a:t>ATTENZIONE</a:t>
          </a:r>
        </a:p>
        <a:p>
          <a:pPr algn="ctr"/>
          <a:r>
            <a:rPr lang="it-IT" sz="1100"/>
            <a:t>Prima di procedere occorre</a:t>
          </a:r>
          <a:r>
            <a:rPr lang="it-IT" sz="1100" baseline="0"/>
            <a:t> inserie:</a:t>
          </a:r>
        </a:p>
        <a:p>
          <a:pPr algn="ctr"/>
          <a:r>
            <a:rPr lang="it-IT" sz="1100" baseline="0"/>
            <a:t>COLONNA B -&gt; MOVEMENT FROM ROCS from 18:00 day N until 12:00 day N+1</a:t>
          </a:r>
        </a:p>
        <a:p>
          <a:pPr marL="0" marR="0" lvl="0" indent="0" algn="ctr" defTabSz="914400" eaLnBrk="1" fontAlgn="auto" latinLnBrk="0" hangingPunct="1">
            <a:lnSpc>
              <a:spcPct val="100000"/>
            </a:lnSpc>
            <a:spcBef>
              <a:spcPts val="0"/>
            </a:spcBef>
            <a:spcAft>
              <a:spcPts val="0"/>
            </a:spcAft>
            <a:buClrTx/>
            <a:buSzTx/>
            <a:buFontTx/>
            <a:buNone/>
            <a:tabLst/>
            <a:defRPr/>
          </a:pPr>
          <a:r>
            <a:rPr lang="it-IT" sz="1100" baseline="0"/>
            <a:t>COLONNA C -&gt; TOUR FROM ROCS </a:t>
          </a:r>
          <a:r>
            <a:rPr lang="it-IT" sz="1100" baseline="0">
              <a:solidFill>
                <a:schemeClr val="dk1"/>
              </a:solidFill>
              <a:effectLst/>
              <a:latin typeface="+mn-lt"/>
              <a:ea typeface="+mn-ea"/>
              <a:cs typeface="+mn-cs"/>
            </a:rPr>
            <a:t>from 18:00 day N until 12:00 day N+1</a:t>
          </a:r>
          <a:endParaRPr lang="it-IT">
            <a:effectLst/>
          </a:endParaRPr>
        </a:p>
        <a:p>
          <a:pPr algn="ctr"/>
          <a:r>
            <a:rPr lang="it-IT" sz="1600" b="1" i="1" u="sng" baseline="0">
              <a:solidFill>
                <a:srgbClr val="FF0000"/>
              </a:solidFill>
            </a:rPr>
            <a:t>VANNO INCOLLATI COME 'VALORI</a:t>
          </a:r>
          <a:r>
            <a:rPr lang="it-IT" sz="1100" b="1" i="1" u="sng" baseline="0"/>
            <a:t>'</a:t>
          </a:r>
        </a:p>
        <a:p>
          <a:pPr algn="ctr"/>
          <a:r>
            <a:rPr lang="it-IT" sz="1100" b="1" i="1" u="sng"/>
            <a:t>(on</a:t>
          </a:r>
          <a:r>
            <a:rPr lang="it-IT" sz="1100" b="1" i="1" u="sng" baseline="0"/>
            <a:t> friday sort until day is need to be N+3)</a:t>
          </a:r>
        </a:p>
        <a:p>
          <a:pPr algn="ctr"/>
          <a:endParaRPr lang="it-IT" sz="1100" b="1" i="1" u="sng" baseline="0"/>
        </a:p>
        <a:p>
          <a:pPr algn="ctr"/>
          <a:r>
            <a:rPr lang="it-IT" sz="1100" b="1" i="1">
              <a:solidFill>
                <a:srgbClr val="FF0000"/>
              </a:solidFill>
            </a:rPr>
            <a:t>I MEZZI SPECIALI DEVONO ESSERE INSERITI A MANO:</a:t>
          </a:r>
        </a:p>
        <a:p>
          <a:pPr algn="ctr"/>
          <a:r>
            <a:rPr lang="it-IT" sz="1100" b="1" i="1">
              <a:solidFill>
                <a:srgbClr val="FF0000"/>
              </a:solidFill>
            </a:rPr>
            <a:t>INSERIRE MOVMEENT e</a:t>
          </a:r>
          <a:r>
            <a:rPr lang="it-IT" sz="1100" b="1" i="1" baseline="0">
              <a:solidFill>
                <a:srgbClr val="FF0000"/>
              </a:solidFill>
            </a:rPr>
            <a:t> TOUR NELLE RISPETTIVE COLONNE B e C</a:t>
          </a:r>
          <a:endParaRPr lang="it-IT" sz="1100" b="1" i="1">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9525</xdr:colOff>
      <xdr:row>0</xdr:row>
      <xdr:rowOff>57150</xdr:rowOff>
    </xdr:from>
    <xdr:to>
      <xdr:col>18</xdr:col>
      <xdr:colOff>47625</xdr:colOff>
      <xdr:row>2</xdr:row>
      <xdr:rowOff>142875</xdr:rowOff>
    </xdr:to>
    <xdr:sp macro="" textlink="">
      <xdr:nvSpPr>
        <xdr:cNvPr id="2" name="CasellaDiTesto 1">
          <a:extLst>
            <a:ext uri="{FF2B5EF4-FFF2-40B4-BE49-F238E27FC236}">
              <a16:creationId xmlns:a16="http://schemas.microsoft.com/office/drawing/2014/main" id="{FA162AD2-5ED6-1335-7434-C4295302F047}"/>
            </a:ext>
          </a:extLst>
        </xdr:cNvPr>
        <xdr:cNvSpPr txBox="1"/>
      </xdr:nvSpPr>
      <xdr:spPr>
        <a:xfrm>
          <a:off x="10248900" y="57150"/>
          <a:ext cx="613410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Incollare in coda estrazione YOS: TARGA - FORNITORE-SPECIFICA</a:t>
          </a:r>
          <a:br>
            <a:rPr lang="it-IT" sz="1100"/>
          </a:br>
          <a:r>
            <a:rPr lang="it-IT" sz="1100"/>
            <a:t>se</a:t>
          </a:r>
          <a:r>
            <a:rPr lang="it-IT" sz="1100" baseline="0"/>
            <a:t> trailer già presente si colora di rosso, vuol dire che è doppia e occorre cancellarla</a:t>
          </a:r>
          <a:endParaRPr lang="it-IT" sz="1100"/>
        </a:p>
      </xdr:txBody>
    </xdr:sp>
    <xdr:clientData/>
  </xdr:twoCellAnchor>
</xdr:wsDr>
</file>

<file path=xl/persons/person.xml><?xml version="1.0" encoding="utf-8"?>
<personList xmlns="http://schemas.microsoft.com/office/spreadsheetml/2018/threadedcomments" xmlns:x="http://schemas.openxmlformats.org/spreadsheetml/2006/main">
  <person displayName="RICCI GIULIA" id="{9C42F70B-8E19-4134-A4A5-234568F91F6F}" userId="S::ricci.giulia@fedex.com::2d1761e0-76ee-48a6-b6dc-165a4c5eaf9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97B07D8-1205-4B03-B094-9067AC430D98}" name="Out_Table" displayName="Out_Table" ref="A1:CT411" totalsRowShown="0" headerRowDxfId="237" dataDxfId="236" tableBorderDxfId="235">
  <autoFilter ref="A1:CT411" xr:uid="{D97B07D8-1205-4B03-B094-9067AC430D98}">
    <filterColumn colId="4">
      <filters>
        <filter val="(NonBlanks)"/>
        <filter val="QAR 1"/>
        <filter val="QAR 2"/>
        <filter val="QAR 3"/>
        <filter val="QAR 4"/>
        <filter val="QAR 5"/>
        <filter val="QAR 6"/>
        <filter val="QAR 7"/>
      </filters>
    </filterColumn>
  </autoFilter>
  <tableColumns count="98">
    <tableColumn id="88" xr3:uid="{D4E6F09A-D3A5-49FB-A071-853F602FC6A1}" name="Indice" dataDxfId="234">
      <calculatedColumnFormula>$CR2</calculatedColumnFormula>
    </tableColumn>
    <tableColumn id="1" xr3:uid="{C4E110EB-1623-4F63-AAB0-E68FBE61FDA9}" name="Tour ITD     (From Planning) / MOV ERN" dataDxfId="233"/>
    <tableColumn id="98" xr3:uid="{358E0E5F-0292-4F5D-8ADB-28474B1A3A06}" name="MOV ITD   / TOUR ERN2" dataDxfId="232">
      <calculatedColumnFormula>IFERROR(IF(LEFT(B2,3)='STAT 77'!$X$2,_xlfn.XLOOKUP(B2,'STAT 77'!C:C,'STAT 77'!B:B),_xlfn.XLOOKUP(B2,'STAT 77'!B:B,'STAT 77'!C:C)),"NON TROVATO")</calculatedColumnFormula>
    </tableColumn>
    <tableColumn id="2" xr3:uid="{9CE55B05-2797-4FF8-9F45-E90F99E7DE0C}" name="Tour String           (From Planning)" dataDxfId="231"/>
    <tableColumn id="3" xr3:uid="{157AA47C-11B6-47C9-A88F-C0480F9384B8}" name="Destination             ORANGE (From Planning)" dataDxfId="230"/>
    <tableColumn id="97" xr3:uid="{7E841FCE-0C79-4FF0-BC60-B144B4E01B96}" name="Destination             PURPLE" dataDxfId="229">
      <calculatedColumnFormula>IFERROR(VLOOKUP(E2,'Cambio O2P'!C:E,2,FALSE),"")</calculatedColumnFormula>
    </tableColumn>
    <tableColumn id="4" xr3:uid="{2EF1C6A4-5151-4048-A98F-1BB770DC3825}" name="Departure_x000a_Time                 (From Planning)" dataDxfId="228"/>
    <tableColumn id="5" xr3:uid="{D980784E-3947-4485-A071-94E0FF633C87}" name="Countdown CD Alert" dataDxfId="227">
      <calculatedColumnFormula>IFERROR(IF(AND('INformazioni per calcoli'!$AB$3&lt;(--"15:00"),'INformazioni per calcoli'!$AB$3&gt;(--"10:00")),"",IF($B2="","",IF($X2&lt;&gt;"","Mezzo Chiuso",IF($W2&lt;&gt;"","Non al Carico",IF($G2-'INformazioni per calcoli'!$AB$5-'INformazioni per calcoli'!$AB$3+$J2&lt;0,"LFLS",IF($K2&lt;&gt;"","Safe Parking",IF($W2&lt;&gt;"",$G2-'INformazioni per calcoli'!$AB$5-'INformazioni per calcoli'!$AB$3+$K2,"Non al carico"))))))),"")</calculatedColumnFormula>
    </tableColumn>
    <tableColumn id="6" xr3:uid="{9D2C236B-6704-4656-92B1-F22A3C42FCD3}" name="TIME for PCE to FRT" dataDxfId="226">
      <calculatedColumnFormula>IFERROR(IF($H2&lt;&gt;"",IF($H2="Safe Parking","",IF($W2&lt;&gt;"",IF(AND($U2="X",$V2="X"),$H2-(--"00:30"),""),IF($X2&lt;&gt;"","Mezzo Chiuso","Non al carico"))),""),"")</calculatedColumnFormula>
    </tableColumn>
    <tableColumn id="7" xr3:uid="{38A2D528-E82A-4127-ABE7-4BA83FBADD93}" name="Day         (Auto Rec.)" dataDxfId="225" dataCellStyle="Normale 2 2">
      <calculatedColumnFormula>IFERROR(IF($B2&lt;&gt;"",IF(AND('INformazioni per calcoli'!$AB$3&lt;(--"15:00"),'INformazioni per calcoli'!$AB$3&gt;(--"00:00")),0,IF($G2&lt;(--"19:30"),"+1",0)),""),"")</calculatedColumnFormula>
    </tableColumn>
    <tableColumn id="8" xr3:uid="{7491B12C-07A5-4F29-BD23-305B695978FE}" name="SP                                                                       (From Planning - solo Venerdì)" dataDxfId="224"/>
    <tableColumn id="9" xr3:uid="{3DADFADF-7EC7-4D5D-B832-D61BBB241CAC}" name="Operator                                                                       (From Planning)" dataDxfId="223"/>
    <tableColumn id="95" xr3:uid="{3A89DAC7-9568-4202-A50D-7C2CB3050AA5}" name="Check Operator" dataDxfId="222">
      <calculatedColumnFormula>IFERROR(_xlfn.XLOOKUP($Q2,'Elenco Casse'!$D:$D,'Elenco Casse'!$E:$E),"")</calculatedColumnFormula>
    </tableColumn>
    <tableColumn id="96" xr3:uid="{3FCCCA3C-222B-40BF-8618-DBFCD374D1DE}" name="Note Particolari" dataDxfId="221">
      <calculatedColumnFormula>IFERROR(_xlfn.XLOOKUP($Q2,'Elenco Casse'!$D:$D,'Elenco Casse'!$F:$F),"")</calculatedColumnFormula>
    </tableColumn>
    <tableColumn id="10" xr3:uid="{38412605-9059-4EF2-8D65-29C7DEDF9946}" name="Vehicle Type                       (From Planning)" dataDxfId="220">
      <calculatedColumnFormula>IF(Out_Table[[#This Row],[Operator                                                                       (From Planning)]]&lt;&gt;"","TT-2/3","")</calculatedColumnFormula>
    </tableColumn>
    <tableColumn id="76" xr3:uid="{FA04E674-8DC8-4BFF-A6D0-7EF8E444E168}" name="Check Condition" dataDxfId="219" dataCellStyle="Normale 2 2">
      <calculatedColumnFormula>IF(CM2&lt;&gt;"",CM2,"")</calculatedColumnFormula>
    </tableColumn>
    <tableColumn id="11" xr3:uid="{B4063D2E-907A-4759-BDA4-3DFFA99BAFA7}" name="Targa    (CTRL)" dataDxfId="218">
      <calculatedColumnFormula>VLOOKUP(Out_Table[[#This Row],[Destination             ORANGE (From Planning)]],'Outlist Originale'!$AJ$4:$BF$80,11,FALSE)</calculatedColumnFormula>
    </tableColumn>
    <tableColumn id="12" xr3:uid="{FF975284-6145-4EB4-BED2-2F35E63DCEDE}" name="STATO       (RTH)" dataDxfId="217"/>
    <tableColumn id="13" xr3:uid="{080AA946-B46D-4214-9912-EECDA4728171}" name="New Trailer          (From Planning)" dataDxfId="216"/>
    <tableColumn id="14" xr3:uid="{2B44C2B2-1580-40A9-921A-21B27DFBB892}" name="LOADING INSTRUCTION                                                                                                                 (From Planning)" dataDxfId="215"/>
    <tableColumn id="15" xr3:uid="{0AEAC7A6-4CD0-42B5-BAAA-B9EF6D239E78}" name="PCE              (Auto Rec.)" dataDxfId="214">
      <calculatedColumnFormula>IF(ISNUMBER(SEARCH("Parcel",$T2)),"X","")</calculatedColumnFormula>
    </tableColumn>
    <tableColumn id="16" xr3:uid="{A3B80940-308C-4710-9EAD-A71DC9A44219}" name="FRT             (Auto Rec.)" dataDxfId="213">
      <calculatedColumnFormula>IF(ISNUMBER(SEARCH("Freight",$T2)),"X","")</calculatedColumnFormula>
    </tableColumn>
    <tableColumn id="17" xr3:uid="{605F7B48-D3D1-465E-81DE-988625A6B078}" name="Rampa    (CTRL - RTH)" dataDxfId="212"/>
    <tableColumn id="18" xr3:uid="{5CA5C126-BC3C-4157-81AE-28B2B3D0E722}" name="Close Doors (CTRL - RTH)" dataDxfId="211"/>
    <tableColumn id="46" xr3:uid="{4AC27D56-549C-4A3F-9152-F7DE57CC06CA}" name="Parking     (CTRL - RTH)" dataDxfId="210">
      <calculatedColumnFormula>IF(Out_Table[[#This Row],[DOC Del. hr. (RTH)]]&lt;&gt;"","XXX","")</calculatedColumnFormula>
    </tableColumn>
    <tableColumn id="81" xr3:uid="{02E3749F-A2AD-42C0-AEC6-1DC55B8B68D7}" name="1              Dest." dataDxfId="209"/>
    <tableColumn id="82" xr3:uid="{61657B48-1FB5-45C0-B6B8-2CD7AE056971}" name="1               Type" dataDxfId="208"/>
    <tableColumn id="83" xr3:uid="{7C67C254-B6A2-407D-8AA6-ADB1D9B8195F}" name="1                   QTY" dataDxfId="207"/>
    <tableColumn id="84" xr3:uid="{3DBC8FD4-E3C9-4563-8CB6-AE65352C5C94}" name="2              Dest." dataDxfId="206"/>
    <tableColumn id="85" xr3:uid="{D9BE9883-902E-4B0E-8E78-ECC7E8E47D7F}" name="2             Type" dataDxfId="205"/>
    <tableColumn id="19" xr3:uid="{BD443692-F09E-449A-AEE8-2D776507123B}" name="2                   QTY" dataDxfId="204"/>
    <tableColumn id="20" xr3:uid="{5F6DB548-87DC-4B76-9DE4-2174FEDDF9FA}" name="3                Des." dataDxfId="203"/>
    <tableColumn id="21" xr3:uid="{E6844F13-87C4-4C3C-8491-47710ABA9810}" name="3             Type" dataDxfId="202"/>
    <tableColumn id="22" xr3:uid="{D7AFDC34-C02F-4D3E-ACEE-64AB0CD9AF19}" name="3                   QTY" dataDxfId="201"/>
    <tableColumn id="94" xr3:uid="{3E6FA8BA-9C9F-4E88-AFB8-E02E4582ACBC}" name="Sacchi" dataDxfId="200"/>
    <tableColumn id="23" xr3:uid="{8B7D3CF7-FB4C-4339-AB53-3EE3AF769E26}" name="Double Deck trailer N° bumpers" dataDxfId="199"/>
    <tableColumn id="24" xr3:uid="{EB41BEC4-A75E-4BD3-B473-C7CB4A4A8E00}" name="String for ROCS departure remarks (copy/paste)" dataDxfId="198">
      <calculatedColumnFormula>IF(X2&lt;&gt;"",CONCATENATE(IF(AA2&lt;&gt;"",CONCATENATE(Z2," ",AA2," ",BI2),""),IF(AD2&lt;&gt;"",CONCATENATE(","," ",AC2," ",AD2," ",BJ2),""),IF(AG2&lt;&gt;"",CONCATENATE(","," ",AF2," ",AG2," ",BK2),""),IF(AJ2&lt;&gt;"",CONCATENATE(","," ","DD"," ",BL2),"")," ",IF(AI2&lt;&gt;"",CONCATENATE(" - ",AI2," Bag"),"")),"")</calculatedColumnFormula>
    </tableColumn>
    <tableColumn id="50" xr3:uid="{581968F8-5C56-4B10-B953-9DE9BB8060EC}" name="Remarks on ROCS" dataDxfId="197"/>
    <tableColumn id="91" xr3:uid="{010BB989-4769-4F0F-8EF4-78427BD93FD6}" name="Not Derpated / Change time Departure" dataDxfId="196"/>
    <tableColumn id="92" xr3:uid="{0EA40DE7-9C2E-43ED-915D-EE4A3EFAE2CA}" name="CONS CHIUSA DA RTH" dataDxfId="195"/>
    <tableColumn id="93" xr3:uid="{9C5F6985-52B0-493A-8F8F-22B6E63FFF6C}" name="CONS MULTIPLE" dataDxfId="194"/>
    <tableColumn id="25" xr3:uid="{2905C739-DD70-40C8-BF42-2C6779C26FD3}" name="Note LOC" dataDxfId="193">
      <calculatedColumnFormula>IFERROR(VLOOKUP(#REF!,Outlist!$A$5:$V$120,20,FALSE),"")</calculatedColumnFormula>
    </tableColumn>
    <tableColumn id="26" xr3:uid="{FBE61049-A4E2-4C1A-9390-8FF456E65BFC}" name="Sigillo 1 (RTH)" dataDxfId="192">
      <calculatedColumnFormula>IFERROR(IF(VLOOKUP($A2,#REF!,8,FALSE)&lt;&gt;"",VLOOKUP($A2,#REF!,8,FALSE),""),"")</calculatedColumnFormula>
    </tableColumn>
    <tableColumn id="29" xr3:uid="{44116581-B514-4766-8BEA-EF01976204B3}" name="Mail hr. (RTH)" dataDxfId="191"/>
    <tableColumn id="30" xr3:uid="{D262396F-222F-443B-A4C3-0B56BCC80006}" name="Dogana Answ. (RTH)" dataDxfId="190"/>
    <tableColumn id="31" xr3:uid="{0C7A439C-E972-4AA0-A17F-BEC10C456788}" name="DOC Ready hr.           (RTH)" dataDxfId="189"/>
    <tableColumn id="32" xr3:uid="{9E85C29C-C023-49FF-BC62-F3B310A0A3D0}" name="DOC Del. hr. (RTH)" dataDxfId="188"/>
    <tableColumn id="33" xr3:uid="{9A0D9AF8-4F2B-4D6A-8146-F818C4FA97C0}" name="NOTE RTH" dataDxfId="187"/>
    <tableColumn id="34" xr3:uid="{B8CC08D6-2BDD-4A4F-B73F-BB7B8CB05C77}" name="NOTE CONTROL ROOM" dataDxfId="186"/>
    <tableColumn id="49" xr3:uid="{279525D8-135A-4DA7-8775-761F3F60EB7B}" name="Lineea Cancellata" dataDxfId="185">
      <calculatedColumnFormula>IFERROR(IF(Out_Table[[#This Row],[Cancellazione linea]]="Cancellata","yes",""),"")</calculatedColumnFormula>
    </tableColumn>
    <tableColumn id="35" xr3:uid="{A0A6FCA7-098B-465C-A8AF-2B2202DBDAD5}" name="RITARDO   (CTRL - LPC)" dataDxfId="184">
      <calculatedColumnFormula>IF(BA2="",BZ2,IF(AND(BA2&lt;(--"23:59:59"),BA2&gt;(--"15:00:00"),G2&lt;(--"14:00:00"),G2&gt;(--"00:00:01")),"",IF(BA2&gt;G2,BZ2,"")))</calculatedColumnFormula>
    </tableColumn>
    <tableColumn id="27" xr3:uid="{7825D6DE-6F29-4F03-B9DE-DCBF94C49196}" name="Orario ingresso traction (GH)" dataDxfId="183"/>
    <tableColumn id="36" xr3:uid="{EAF03785-ED8B-47A5-851E-BB35B2508F3A}" name="Ora Uscita    (GH)" dataDxfId="182"/>
    <tableColumn id="37" xr3:uid="{2892C6F3-BC6C-4AE0-9D33-9C4182FAD691}" name="Aggiornamento STATUS" dataDxfId="181"/>
    <tableColumn id="38" xr3:uid="{9BDC0D83-F7DD-41D8-843C-78939861C83E}" name="Status da inserire" dataDxfId="180">
      <calculatedColumnFormula>IFERROR(VLOOKUP(Out_Table[[#This Row],[Aggiornamento STATUS]],'INformazioni per calcoli'!$Y$70:$AA$76,2,FALSE),"")</calculatedColumnFormula>
    </tableColumn>
    <tableColumn id="39" xr3:uid="{2D0A2DE8-068F-48FB-80C2-5254554D795A}" name="NON TOCCARE3" dataDxfId="179"/>
    <tableColumn id="40" xr3:uid="{ECB9D020-0800-470A-AFC9-3769C70DE735}" name="NON TOCCARE4" dataDxfId="178"/>
    <tableColumn id="41" xr3:uid="{3CA5B2EB-67E2-4BE9-964A-94BF410FDB15}" name="Destination Cleared" dataDxfId="177">
      <calculatedColumnFormula>LEFT(#REF!,3)</calculatedColumnFormula>
    </tableColumn>
    <tableColumn id="42" xr3:uid="{24C6581D-AC95-4234-BE78-FBCB4E25D1D2}" name="Departed" dataDxfId="176">
      <calculatedColumnFormula>IF(Out_Table[[#This Row],[Ora Uscita    (GH)]]&lt;&gt;"","x","")</calculatedColumnFormula>
    </tableColumn>
    <tableColumn id="43" xr3:uid="{11E803D5-1583-470D-A7E3-F6F0ED940055}" name="Mtr. Trailer" dataDxfId="175">
      <calculatedColumnFormula>VLOOKUP($O2,'INformazioni per calcoli'!$Y$20:$AA$23,3,FALSE)</calculatedColumnFormula>
    </tableColumn>
    <tableColumn id="44" xr3:uid="{12BDA448-8A1F-4CFE-AE8F-E95D35598393}" name="qty 1" dataDxfId="174">
      <calculatedColumnFormula>MROUND(Out_Table[[#This Row],[Mtr. Trailer]]*AB2,0.5)</calculatedColumnFormula>
    </tableColumn>
    <tableColumn id="45" xr3:uid="{DFB1D9C9-5160-494B-BD4A-60B8A024C619}" name="qty 2" dataDxfId="173">
      <calculatedColumnFormula>MROUND(Out_Table[[#This Row],[Mtr. Trailer]]*AE2,0.5)</calculatedColumnFormula>
    </tableColumn>
    <tableColumn id="47" xr3:uid="{5B145846-9375-48F8-8AB3-2FC0F0CB96AD}" name="qty 3" dataDxfId="172">
      <calculatedColumnFormula>MROUND(Out_Table[[#This Row],[Mtr. Trailer]]*AH2,0.5)</calculatedColumnFormula>
    </tableColumn>
    <tableColumn id="48" xr3:uid="{6503C1AD-0455-476F-9BFC-8B9FA090A3A0}" name="DD" dataDxfId="171">
      <calculatedColumnFormula>Out_Table[[#This Row],[Double Deck trailer N° bumpers]]</calculatedColumnFormula>
    </tableColumn>
    <tableColumn id="28" xr3:uid="{45D10739-91B3-4560-88D6-C28F1066D1CD}" name="Vuoto" dataDxfId="170"/>
    <tableColumn id="51" xr3:uid="{93AA6B40-C8F0-4080-958F-EEC071AC216D}" name="Linea" dataDxfId="169">
      <calculatedColumnFormula>B2</calculatedColumnFormula>
    </tableColumn>
    <tableColumn id="52" xr3:uid="{BABC05B1-7973-4BE3-966C-763B39BDDAC5}" name="Dest" dataDxfId="168"/>
    <tableColumn id="53" xr3:uid="{A5032CD6-D231-4FB4-80DF-B7E84295F796}" name="Close doors &lt;--&gt; STD" dataDxfId="167">
      <calculatedColumnFormula>IF(AND(G2&gt;(--"00:00:01"),G2&lt;(--"15:00:00")),IF(AND(X2&gt;(--"00:00:01"),X2&lt;(--"15:00:00")),G2-X2,G2+1-X2),G2-X2)</calculatedColumnFormula>
    </tableColumn>
    <tableColumn id="54" xr3:uid="{2CA4BE93-709C-4295-9E30-5A74F9D1FCD9}" name="%% loaded" dataDxfId="166">
      <calculatedColumnFormula>AE2+AF2+AH2+AJ2</calculatedColumnFormula>
    </tableColumn>
    <tableColumn id="55" xr3:uid="{12A5C06F-8373-4047-BACF-27B79E9F4731}" name="Close Doors OK" dataDxfId="165">
      <calculatedColumnFormula>IF(OR(BP2&lt;=(--"00:20:00"),BQ2&gt;=100%),"OK","Not OK")</calculatedColumnFormula>
    </tableColumn>
    <tableColumn id="56" xr3:uid="{802D8805-8321-40EF-9CBC-FF3AE2F557A3}" name="DelDoc &lt;-- STD" dataDxfId="164">
      <calculatedColumnFormula>IF(AND(G2&gt;(--"00:00:01"),G2&lt;(--"15:00:00")),IF(AND(AU2&gt;(--"00:00:01"),AU2&lt;(--"15:00:00")),G2-AU2,G2+1-AU2),G2-AU2)</calculatedColumnFormula>
    </tableColumn>
    <tableColumn id="57" xr3:uid="{F2531BC2-B1A8-44BA-A86D-DAE5E32DB2E8}" name="Time DelDoc -&gt; Gate In" dataDxfId="163">
      <calculatedColumnFormula>IF(AND(AZ2&gt;(--"00:00:01"),AZ2&lt;(--"15:00:00")),IF(AND(AU2&gt;(--"00:00:01"),AU2&lt;(--"15:00:00")),AZ2-AU2,AZ2+1-AU2),AZ2-AU2)</calculatedColumnFormula>
    </tableColumn>
    <tableColumn id="58" xr3:uid="{0778CF27-4753-45C0-A623-82892D6CA98A}" name="Time Gate In -&gt; Gate Out" dataDxfId="162">
      <calculatedColumnFormula>IF(AND(BA2&gt;(--"00:00:01"),BA2&lt;(--"15:00:00")),IF(AND(AZ2&gt;(--"00:00:01"),AZ2&lt;(--"15:00:00")),BA2-AZ2,BA2+1-AZ2),BA2-AZ2)</calculatedColumnFormula>
    </tableColumn>
    <tableColumn id="59" xr3:uid="{D764EAB8-ACD8-4E07-A4F5-8034B095CC50}" name="Check Autista     T Status" dataDxfId="161">
      <calculatedColumnFormula>AV2</calculatedColumnFormula>
    </tableColumn>
    <tableColumn id="60" xr3:uid="{0C77CDA9-AD8D-4AB5-930E-8F59E705DE60}" name="Vuoto2" dataDxfId="160"/>
    <tableColumn id="61" xr3:uid="{5BE7E859-CCBC-4525-901A-6022D7866E2C}" name="Check t status" dataDxfId="159">
      <calculatedColumnFormula>IF(AV2="T Status",IF(AV2&lt;&gt;T2,"X",""),"")</calculatedColumnFormula>
    </tableColumn>
    <tableColumn id="62" xr3:uid="{08B3EF24-6020-427E-BB1D-5A803DE72D59}" name="Vuoto3" dataDxfId="158"/>
    <tableColumn id="63" xr3:uid="{EFCA83AE-EF1E-4342-9C6E-5B4BAE65B2E3}" name="Delay Code" dataDxfId="157">
      <calculatedColumnFormula>IF(X2&lt;&gt;"",IF(CC2="X","Driver Delay",IF(CA2="X","Paperwork Delay",IF(CB2="X","Late freight late sort",IF(CD2="X","Chiamare Control Room",IF(CE2="X","Chiamare Control Room",IF(CF2="X","Chiamare Control Room","")))))),"")</calculatedColumnFormula>
    </tableColumn>
    <tableColumn id="64" xr3:uid="{48385A35-ECDA-4FF7-A6EC-C2BFAC30C269}" name="Doc Ready" dataDxfId="156">
      <calculatedColumnFormula>IF(K2="",IF(IF(AND(G2&gt;(--"00:00:01"),G2&lt;(--"15:00:00")),IF(AND(AT2&gt;(--"08:00:00"),AT2&lt;(--"23:59:59")),G2+1-AT2,G2-AT2),G2-AT2)&gt;(--"00:20:00"),"","X"),"")</calculatedColumnFormula>
    </tableColumn>
    <tableColumn id="65" xr3:uid="{7879A118-18CB-47C4-AA4A-D3CAE01F9BC3}" name="Close Doors" dataDxfId="155">
      <calculatedColumnFormula>IF(K2="",IF(BP2&gt;=(--"00:20:00"),"","X"),"")</calculatedColumnFormula>
    </tableColumn>
    <tableColumn id="66" xr3:uid="{BFD570D5-5ADC-4B7A-88FD-E44FFB53ABB0}" name="Driver " dataDxfId="154">
      <calculatedColumnFormula>IF(OR(AV2="Autista non presente",AV2="Dati driver non presenti"),"X","")</calculatedColumnFormula>
    </tableColumn>
    <tableColumn id="67" xr3:uid="{46FEAA69-4283-4F4A-AFB3-AD24BAF460C9}" name="Del Doc w/Driver ok" dataDxfId="153">
      <calculatedColumnFormula>IF(K2="",IF(AND(CC2="",BS2&lt;(--"00:20:00")),"X",""),"")</calculatedColumnFormula>
    </tableColumn>
    <tableColumn id="68" xr3:uid="{E9621F5A-2CD4-47EA-8D75-2DC2F846AA4A}" name="Gate in Overtime" dataDxfId="152">
      <calculatedColumnFormula>IF(K2="",IF(BT2&gt;(--"00:15:00"),"X",""),IF(AZ2&lt;&gt;"",IF(G2-AZ2&gt;(--"00:30:00"),"X",""),""))</calculatedColumnFormula>
    </tableColumn>
    <tableColumn id="69" xr3:uid="{629D4E11-36E7-4E0C-885A-F1B34E1AC540}" name="Gate out Overtime" dataDxfId="151">
      <calculatedColumnFormula>IF(AND(CA2="",CB2="",CC2="",CD2="",CE2=""),"X","")</calculatedColumnFormula>
    </tableColumn>
    <tableColumn id="70" xr3:uid="{2FF5917E-40C8-43AC-A6C5-30DA62CFFC62}" name="Vuoto32" dataDxfId="150"/>
    <tableColumn id="71" xr3:uid="{9EDAEA58-B3DB-4E58-963D-F4E1954E56FB}" name="Check Orario" dataDxfId="149">
      <calculatedColumnFormula>IF(BT2&gt;(--"00:15:00"),"X","")</calculatedColumnFormula>
    </tableColumn>
    <tableColumn id="72" xr3:uid="{94E33DCA-03D2-45C8-981F-AC12D6B3A813}" name="Ritardo" dataDxfId="148">
      <calculatedColumnFormula>AY2</calculatedColumnFormula>
    </tableColumn>
    <tableColumn id="73" xr3:uid="{C180F25B-D0D4-43F8-AFD0-9A7CEA079853}" name="Estrazione" dataDxfId="147">
      <calculatedColumnFormula>IF(AND(CH2&lt;&gt;"",CI2&lt;&gt;"",LEFT(B2,3)="ITD"),AP2,"")</calculatedColumnFormula>
    </tableColumn>
    <tableColumn id="75" xr3:uid="{254EC6C7-7BCE-4863-BC60-8346CEC5EEF0}" name="Orario" dataDxfId="146">
      <calculatedColumnFormula>IF(CJ2&lt;&gt;"",BT2,"")</calculatedColumnFormula>
    </tableColumn>
    <tableColumn id="74" xr3:uid="{94233CAF-BBF8-4F12-B498-5DEA2B002AE9}" name="Vuoto4" dataDxfId="145"/>
    <tableColumn id="77" xr3:uid="{89FE2E3F-72D0-4A7B-B86D-F4556611730D}" name="Monoasse" dataDxfId="144">
      <calculatedColumnFormula>IFERROR(VLOOKUP(Q2,'Elenco Casse'!$D$4:$F$292,3,FALSE),"")</calculatedColumnFormula>
    </tableColumn>
    <tableColumn id="78" xr3:uid="{DBD95BC9-3926-4545-AD7D-E42B426472C5}" name="Vuoto42" dataDxfId="143"/>
    <tableColumn id="79" xr3:uid="{B41BB00D-FB72-4271-9B94-0C5200B3DDCC}" name="Cassa outlist" dataDxfId="142">
      <calculatedColumnFormula>IFERROR(VLOOKUP(#REF!,Outlist!$A$5:$H$120,8,FALSE),"")</calculatedColumnFormula>
    </tableColumn>
    <tableColumn id="80" xr3:uid="{A48AFA85-D075-4012-8F05-D78F294D8E8C}" name="Documenti Consegnati" dataDxfId="141">
      <calculatedColumnFormula>IFERROR(IF(VLOOKUP(#REF!,Outlist!$A$5:$S$120,19,FALSE)&lt;&gt;0,"Y",""),"")</calculatedColumnFormula>
    </tableColumn>
    <tableColumn id="86" xr3:uid="{89C596D2-5CE1-4350-8CE4-33ED44C80E17}" name="Vuoto422" dataDxfId="140"/>
    <tableColumn id="87" xr3:uid="{6AF46D90-85B3-4175-8AD6-5B22088DE4E6}" name="Cassa outlist3" dataDxfId="139">
      <calculatedColumnFormula>IFERROR(VLOOKUP(I2,Outlist!$A$5:$H$120,8,FALSE),"")</calculatedColumnFormula>
    </tableColumn>
    <tableColumn id="89" xr3:uid="{26144BC8-C8CD-475D-8C9F-B5F87212FFCE}" name="Vuoto4222" dataDxfId="138"/>
    <tableColumn id="90" xr3:uid="{A65EE081-C6E3-47EC-B3AC-81366857F6F1}" name="Cancellazione linea" dataDxfId="137">
      <calculatedColumnFormula>VLOOKUP(Out_Table[[#This Row],[Destination             ORANGE (From Planning)]],Outlist!$A$5:$W$120,22,FALSE)</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114C5E8-00BE-486D-B725-5C8331A0A45B}" name="Tabella111" displayName="Tabella111" ref="A2:L1203" totalsRowShown="0" headerRowDxfId="41" dataDxfId="40">
  <autoFilter ref="A2:L1203" xr:uid="{1114C5E8-00BE-486D-B725-5C8331A0A45B}">
    <filterColumn colId="11">
      <filters blank="1"/>
    </filterColumn>
  </autoFilter>
  <sortState xmlns:xlrd2="http://schemas.microsoft.com/office/spreadsheetml/2017/richdata2" ref="A3:L1203">
    <sortCondition ref="H2:H1203"/>
  </sortState>
  <tableColumns count="12">
    <tableColumn id="4" xr3:uid="{E4D00DB0-9A59-4671-A2E3-3B47B825F742}" name="outbound refer" dataDxfId="39"/>
    <tableColumn id="12" xr3:uid="{BE654A7E-7D93-49B9-AB5A-49E23EDD391E}" name="Movement ID" dataDxfId="38"/>
    <tableColumn id="1" xr3:uid="{9EBA92F1-DD6B-4F5D-A07C-E5104A19020F}" name="Tour ID" dataDxfId="37"/>
    <tableColumn id="3" xr3:uid="{4BD074D5-EEBD-4BDC-B04F-2A21539A82DA}" name="Destination ORANGE" dataDxfId="36">
      <calculatedColumnFormula>IF($B3&lt;&gt;"",IFERROR(IF(LEFT($B3,3)=$Z$2,VLOOKUP($C3,Outbound!$B:$Z,4,FALSE),VLOOKUP($B3,Outbound!$B:$Z,4,FALSE)),"ON ROCS/NOT ON FILE"),"")</calculatedColumnFormula>
    </tableColumn>
    <tableColumn id="5" xr3:uid="{5D7A61B8-E195-47B0-B25B-01393CD67D63}" name="Destination PURPLE" dataDxfId="35">
      <calculatedColumnFormula>IF($B3&lt;&gt;"",IFERROR(IF(LEFT($B3,4)=$Z$2,VLOOKUP($C3,Outbound!$B:$Z,5,FALSE),VLOOKUP($B3,Outbound!$B:$Z,5,FALSE)),"ON ROCS/NOT ON FILE"),"")</calculatedColumnFormula>
    </tableColumn>
    <tableColumn id="6" xr3:uid="{E7B55A0A-7785-4C1F-9792-B7484F6F5413}" name="Operator name" dataDxfId="34">
      <calculatedColumnFormula>IF(B3&lt;&gt;"",IFERROR(IF(LEFT($B3,3)=$Z$2,VLOOKUP($C3,Outbound!$B:$Z,11,FALSE),VLOOKUP($B3,Outbound!$B:$Z,11,FALSE)),"NON TROVATO"),"")</calculatedColumnFormula>
    </tableColumn>
    <tableColumn id="7" xr3:uid="{2E8147C0-F6AC-4481-80FC-29AC70CEC8C2}" name="TU GPS" dataDxfId="33">
      <calculatedColumnFormula>IF(B3&lt;&gt;"",IFERROR(IF(LEFT($B3,3)=$Z$2,VLOOKUP($C3,Outbound!$B:$AAZ,16,FALSE),VLOOKUP($B3,Outbound!$B:$AAZ,16,FALSE)),"NON TROVATO"),"")</calculatedColumnFormula>
    </tableColumn>
    <tableColumn id="2" xr3:uid="{687A740E-F746-43A4-910D-986EF2C1A83E}" name="Schedulated Time" dataDxfId="32">
      <calculatedColumnFormula>IF(B3&lt;&gt;"",IFERROR(IF(LEFT($B3,3)=$Z$2,VLOOKUP($C3,Outbound!$B:$AAZ,6,FALSE),VLOOKUP($B3,Outbound!$B:$AAZ,6,FALSE)),"NON TROVATO"),"")</calculatedColumnFormula>
    </tableColumn>
    <tableColumn id="11" xr3:uid="{65D43436-95D8-4316-B826-5F779BC74936}" name="Partenza" dataDxfId="31">
      <calculatedColumnFormula>IF(B3&lt;&gt;"",IFERROR(IF(LEFT($B3,3)=$Z$2,VLOOKUP($C3,Outbound!$B:$AAZ,52,FALSE),VLOOKUP($B3,Outbound!$B:$AAZ,52,FALSE)),"NON TROVATO"),"")</calculatedColumnFormula>
    </tableColumn>
    <tableColumn id="8" xr3:uid="{44C76BDD-9FAD-4336-B143-E7A3C32E19E3}" name="CONS" dataDxfId="30"/>
    <tableColumn id="9" xr3:uid="{24E2F9A7-1248-4BA0-BA7F-C389D4591202}" name="VISA ROUTE" dataDxfId="29">
      <calculatedColumnFormula>IF(B3&lt;&gt;"",IF($D3&lt;&gt;"ON ROCS/NOT ON FILE",IFERROR(_xlfn.XLOOKUP(LEFT($D3,3),'STAT 77 Table'!$B:$B,'STAT 77 Table'!$A:$A),"ZZ"&amp;RIGHT($B3,4)),""),"")</calculatedColumnFormula>
    </tableColumn>
    <tableColumn id="10" xr3:uid="{06780C50-D15E-473D-A3F6-86176F2D2BCF}" name="STAT77" dataDxfId="2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7507C1-D8A1-4D12-951F-B99E93FBE66F}" name="Table222" displayName="Table222" ref="D3:G4687" totalsRowShown="0" headerRowDxfId="8" dataDxfId="7">
  <autoFilter ref="D3:G4687" xr:uid="{027507C1-D8A1-4D12-951F-B99E93FBE66F}">
    <filterColumn colId="0">
      <filters>
        <filter val="AF51251"/>
      </filters>
    </filterColumn>
  </autoFilter>
  <tableColumns count="4">
    <tableColumn id="1" xr3:uid="{5293798C-DDCE-4613-A6A9-6F348EF80351}" name="TARGA" dataDxfId="6"/>
    <tableColumn id="3" xr3:uid="{1FBDE0AF-60D6-4597-8DFB-D87F006E6C90}" name="FORNITORE" dataDxfId="5"/>
    <tableColumn id="2" xr3:uid="{49FFC13E-C29C-4052-A3FC-3833D00C0CA8}" name="Note" dataDxfId="4"/>
    <tableColumn id="4" xr3:uid="{CEB1193F-E761-4278-AC99-17AC4C4702F3}" name="Specifica" dataDxfId="3"/>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68625D-A63E-439C-8944-0E20A8386A14}" name="Tabella1" displayName="Tabella1" ref="Y25:Y28" totalsRowShown="0" headerRowDxfId="2" tableBorderDxfId="1">
  <autoFilter ref="Y25:Y28" xr:uid="{9270BE88-C72C-4B43-A7D8-D793F9AFD2A7}"/>
  <tableColumns count="1">
    <tableColumn id="1" xr3:uid="{9C1218B0-F0D5-4C9A-810C-725AF370192F}" name="Status License Plat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6D725D6-4F49-4DA5-8A76-5AED999A6856}" name="Tabella2" displayName="Tabella2" ref="Y31:Y33" totalsRowShown="0">
  <autoFilter ref="Y31:Y33" xr:uid="{2837CE8B-5735-4A5D-8377-70795E446906}"/>
  <tableColumns count="1">
    <tableColumn id="1" xr3:uid="{039BE42A-ECA4-4D32-A96E-F855D678EBEF}" name="Colonna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92FEDC0-37A0-458F-B8AC-4D2260D80B2F}" name="Tabella3" displayName="Tabella3" ref="Y35:Y55" totalsRowShown="0" tableBorderDxfId="0">
  <autoFilter ref="Y35:Y55" xr:uid="{13B3D741-5945-42C8-87C2-B9F448EF280D}"/>
  <sortState xmlns:xlrd2="http://schemas.microsoft.com/office/spreadsheetml/2017/richdata2" ref="Y36:Y55">
    <sortCondition ref="Y35:Y55"/>
  </sortState>
  <tableColumns count="1">
    <tableColumn id="1" xr3:uid="{99CDE47C-B4B6-47F5-A4B6-B86B63377B46}" name="Delay Cod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6901B14-3CCC-44C3-B35F-BB363D4EC91F}" name="Tabella4" displayName="Tabella4" ref="Y58:Y62" totalsRowShown="0">
  <autoFilter ref="Y58:Y62" xr:uid="{A6901B14-3CCC-44C3-B35F-BB363D4EC91F}"/>
  <tableColumns count="1">
    <tableColumn id="1" xr3:uid="{6EAF9642-D785-49B2-9D0B-909689EA1AF5}" name="Note RTH"/>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6C42FB-0FC2-4B4C-8FDB-6F8949E9B3C1}" name="Tabella5" displayName="Tabella5" ref="Y64:Y66" totalsRowShown="0">
  <autoFilter ref="Y64:Y66" xr:uid="{E16C42FB-0FC2-4B4C-8FDB-6F8949E9B3C1}"/>
  <tableColumns count="1">
    <tableColumn id="1" xr3:uid="{40E9CD3D-C9EB-4367-A2E3-62358177098C}" name="Loading informat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3B5E4C9-E3D8-48D1-A2BA-F600F2A85997}" name="Table7" displayName="Table7" ref="Y68:AB76" totalsRowShown="0">
  <autoFilter ref="Y68:AB76" xr:uid="{93B5E4C9-E3D8-48D1-A2BA-F600F2A85997}"/>
  <tableColumns count="4">
    <tableColumn id="1" xr3:uid="{318FD5BD-31F5-40F6-9D1E-A78E3F31B6F5}" name="Status"/>
    <tableColumn id="2" xr3:uid="{A2E0F8B9-A598-4A9D-8FE3-C1553EE5D4B2}" name="Concatena">
      <calculatedColumnFormula>_xlfn.CONCAT(AA69,"   -   ",AB69)</calculatedColumnFormula>
    </tableColumn>
    <tableColumn id="3" xr3:uid="{0090D834-6556-48AA-84D6-1D6B8353392A}" name="Status2"/>
    <tableColumn id="4" xr3:uid="{2BC07263-E166-42FD-96CC-889300DC7F9A}" name="In caric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06" dT="2026-10-07T09:46:46.37" personId="{9C42F70B-8E19-4134-A4A5-234568F91F6F}" id="{8733C254-9375-4BBC-BEA1-F1EAFF84AE13}">
    <text>RICHIESTA DAL FORNITORE</text>
  </threadedComment>
  <threadedComment ref="Q215" dT="2026-10-07T08:35:49.27" personId="{9C42F70B-8E19-4134-A4A5-234568F91F6F}" id="{C6C22F30-3C3E-4450-9329-DECF150C0E8A}">
    <text>RICHIESTA DAL FORNITORE</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D4D37-DBCA-4473-85E1-A67C814B6006}">
  <sheetPr codeName="Foglio2">
    <tabColor rgb="FF7030A0"/>
    <pageSetUpPr fitToPage="1"/>
  </sheetPr>
  <dimension ref="A1:BM130"/>
  <sheetViews>
    <sheetView zoomScale="70" zoomScaleNormal="70" zoomScaleSheetLayoutView="90" workbookViewId="0">
      <pane ySplit="3" topLeftCell="A4" activePane="bottomLeft" state="frozen"/>
      <selection pane="bottomLeft" activeCell="A191" sqref="A191"/>
      <selection activeCell="A191" sqref="A191"/>
    </sheetView>
  </sheetViews>
  <sheetFormatPr defaultColWidth="9.140625" defaultRowHeight="15.75"/>
  <cols>
    <col min="1" max="1" width="7.5703125" style="84" customWidth="1"/>
    <col min="2" max="2" width="9.85546875" style="77" bestFit="1" customWidth="1"/>
    <col min="3" max="3" width="34.5703125" style="103" customWidth="1"/>
    <col min="4" max="4" width="12.5703125" style="104" customWidth="1"/>
    <col min="5" max="5" width="17" style="77" customWidth="1"/>
    <col min="6" max="7" width="3.42578125" style="77" bestFit="1" customWidth="1"/>
    <col min="8" max="8" width="16.42578125" style="105" bestFit="1" customWidth="1"/>
    <col min="9" max="9" width="8.5703125" style="106" customWidth="1"/>
    <col min="10" max="10" width="3.42578125" style="77" bestFit="1" customWidth="1"/>
    <col min="11" max="12" width="12.5703125" style="77" hidden="1" customWidth="1"/>
    <col min="13" max="13" width="14.5703125" style="107" bestFit="1" customWidth="1"/>
    <col min="14" max="14" width="3.42578125" style="108" bestFit="1" customWidth="1"/>
    <col min="15" max="15" width="3.42578125" style="108" customWidth="1"/>
    <col min="16" max="16" width="3.42578125" style="108" bestFit="1" customWidth="1"/>
    <col min="17" max="18" width="3.42578125" style="108" customWidth="1"/>
    <col min="19" max="21" width="9.5703125" style="108" customWidth="1"/>
    <col min="22" max="22" width="18.85546875" style="109" customWidth="1"/>
    <col min="23" max="23" width="14" style="109" bestFit="1" customWidth="1"/>
    <col min="24" max="24" width="35.85546875" style="109" bestFit="1" customWidth="1"/>
    <col min="25" max="25" width="18.85546875" style="187" customWidth="1"/>
    <col min="26" max="26" width="9.140625" style="77"/>
    <col min="27" max="27" width="12.140625" style="77" hidden="1" customWidth="1"/>
    <col min="28" max="29" width="0" style="77" hidden="1" customWidth="1"/>
    <col min="30" max="30" width="9.5703125" style="77" hidden="1" customWidth="1"/>
    <col min="31" max="32" width="0" style="77" hidden="1" customWidth="1"/>
    <col min="33" max="33" width="9.140625" style="89"/>
    <col min="34" max="35" width="9.140625" style="77"/>
    <col min="36" max="36" width="11.42578125" style="114" customWidth="1"/>
    <col min="37" max="37" width="22.140625" style="77" bestFit="1" customWidth="1"/>
    <col min="38" max="38" width="12.140625" style="77" bestFit="1" customWidth="1"/>
    <col min="39" max="39" width="9.42578125" style="77" bestFit="1" customWidth="1"/>
    <col min="40" max="40" width="11.42578125" style="77" customWidth="1"/>
    <col min="41" max="41" width="17.85546875" style="77" customWidth="1"/>
    <col min="42" max="42" width="16.140625" style="77" bestFit="1" customWidth="1"/>
    <col min="43" max="43" width="32.85546875" style="77" customWidth="1"/>
    <col min="44" max="46" width="15.5703125" style="77" customWidth="1"/>
    <col min="47" max="47" width="32" style="77" bestFit="1" customWidth="1"/>
    <col min="48" max="48" width="19.5703125" style="77" bestFit="1" customWidth="1"/>
    <col min="49" max="49" width="23.140625" style="77" bestFit="1" customWidth="1"/>
    <col min="50" max="50" width="16.42578125" style="77" bestFit="1" customWidth="1"/>
    <col min="51" max="51" width="7.42578125" style="77" bestFit="1" customWidth="1"/>
    <col min="52" max="52" width="5.5703125" style="77" bestFit="1" customWidth="1"/>
    <col min="53" max="53" width="3" style="77" customWidth="1"/>
    <col min="54" max="55" width="5.5703125" style="77" bestFit="1" customWidth="1"/>
    <col min="56" max="58" width="9.140625" style="77"/>
    <col min="59" max="59" width="9.140625" style="81"/>
    <col min="60" max="60" width="9.140625" style="82"/>
    <col min="61" max="62" width="9.140625" style="77"/>
    <col min="63" max="65" width="9.140625" style="79"/>
    <col min="66" max="16384" width="9.140625" style="77"/>
  </cols>
  <sheetData>
    <row r="1" spans="1:63" ht="15" customHeight="1">
      <c r="A1" s="470" t="s">
        <v>0</v>
      </c>
      <c r="B1" s="471"/>
      <c r="C1" s="474"/>
      <c r="D1" s="476" t="s">
        <v>1</v>
      </c>
      <c r="E1" s="479" t="s">
        <v>2</v>
      </c>
      <c r="F1" s="466" t="s">
        <v>3</v>
      </c>
      <c r="G1" s="482"/>
      <c r="H1" s="467"/>
      <c r="I1" s="460" t="s">
        <v>4</v>
      </c>
      <c r="J1" s="463" t="s">
        <v>5</v>
      </c>
      <c r="K1" s="466" t="s">
        <v>6</v>
      </c>
      <c r="L1" s="467"/>
      <c r="M1" s="443" t="s">
        <v>7</v>
      </c>
      <c r="N1" s="446" t="s">
        <v>8</v>
      </c>
      <c r="O1" s="447"/>
      <c r="P1" s="447"/>
      <c r="Q1" s="447"/>
      <c r="R1" s="447"/>
      <c r="S1" s="448"/>
      <c r="T1" s="452" t="s">
        <v>9</v>
      </c>
      <c r="U1" s="452" t="s">
        <v>10</v>
      </c>
      <c r="V1" s="452" t="s">
        <v>11</v>
      </c>
      <c r="W1" s="452" t="s">
        <v>12</v>
      </c>
      <c r="X1" s="452" t="s">
        <v>13</v>
      </c>
      <c r="Y1" s="457" t="s">
        <v>14</v>
      </c>
      <c r="AJ1" s="455"/>
      <c r="AK1" s="111">
        <v>2</v>
      </c>
      <c r="AL1" s="78">
        <v>3</v>
      </c>
      <c r="AM1" s="78">
        <v>4</v>
      </c>
      <c r="AN1" s="78">
        <v>5</v>
      </c>
      <c r="AO1" s="78">
        <v>6</v>
      </c>
      <c r="AP1" s="78">
        <v>7</v>
      </c>
      <c r="AQ1" s="78">
        <v>8</v>
      </c>
      <c r="AR1" s="78">
        <v>9</v>
      </c>
      <c r="AS1" s="78">
        <v>10</v>
      </c>
      <c r="AT1" s="78">
        <v>11</v>
      </c>
      <c r="AU1" s="78">
        <v>12</v>
      </c>
      <c r="AV1" s="78">
        <v>13</v>
      </c>
      <c r="AW1" s="78">
        <v>14</v>
      </c>
      <c r="AX1" s="78">
        <v>15</v>
      </c>
      <c r="AY1" s="78">
        <v>16</v>
      </c>
      <c r="AZ1" s="78">
        <v>17</v>
      </c>
      <c r="BA1" s="78">
        <v>18</v>
      </c>
      <c r="BB1" s="78">
        <v>19</v>
      </c>
      <c r="BC1" s="78">
        <v>20</v>
      </c>
      <c r="BD1" s="78">
        <v>21</v>
      </c>
      <c r="BE1" s="78">
        <v>22</v>
      </c>
      <c r="BF1" s="78">
        <v>23</v>
      </c>
      <c r="BG1" s="78">
        <v>24</v>
      </c>
      <c r="BH1" s="78">
        <v>25</v>
      </c>
      <c r="BI1" s="78">
        <v>26</v>
      </c>
      <c r="BJ1" s="78">
        <v>27</v>
      </c>
    </row>
    <row r="2" spans="1:63" ht="16.5" thickBot="1">
      <c r="A2" s="472"/>
      <c r="B2" s="473"/>
      <c r="C2" s="475"/>
      <c r="D2" s="477"/>
      <c r="E2" s="480"/>
      <c r="F2" s="483"/>
      <c r="G2" s="484"/>
      <c r="H2" s="485"/>
      <c r="I2" s="461"/>
      <c r="J2" s="464"/>
      <c r="K2" s="468"/>
      <c r="L2" s="469"/>
      <c r="M2" s="444"/>
      <c r="N2" s="449"/>
      <c r="O2" s="450"/>
      <c r="P2" s="450"/>
      <c r="Q2" s="450"/>
      <c r="R2" s="450"/>
      <c r="S2" s="451"/>
      <c r="T2" s="453"/>
      <c r="U2" s="453"/>
      <c r="V2" s="453"/>
      <c r="W2" s="453"/>
      <c r="X2" s="453"/>
      <c r="Y2" s="458"/>
      <c r="AJ2" s="456"/>
      <c r="AK2" s="80" t="s">
        <v>15</v>
      </c>
    </row>
    <row r="3" spans="1:63" s="84" customFormat="1" ht="38.25" thickTop="1" thickBot="1">
      <c r="A3" s="128" t="s">
        <v>7</v>
      </c>
      <c r="B3" s="127" t="s">
        <v>16</v>
      </c>
      <c r="C3" s="127" t="s">
        <v>17</v>
      </c>
      <c r="D3" s="478"/>
      <c r="E3" s="481"/>
      <c r="F3" s="120" t="s">
        <v>18</v>
      </c>
      <c r="G3" s="121" t="s">
        <v>17</v>
      </c>
      <c r="H3" s="122" t="s">
        <v>19</v>
      </c>
      <c r="I3" s="462"/>
      <c r="J3" s="465"/>
      <c r="K3" s="123" t="s">
        <v>20</v>
      </c>
      <c r="L3" s="119" t="s">
        <v>21</v>
      </c>
      <c r="M3" s="445"/>
      <c r="N3" s="124" t="s">
        <v>22</v>
      </c>
      <c r="O3" s="125" t="s">
        <v>23</v>
      </c>
      <c r="P3" s="125" t="s">
        <v>24</v>
      </c>
      <c r="Q3" s="125" t="s">
        <v>25</v>
      </c>
      <c r="R3" s="125" t="s">
        <v>26</v>
      </c>
      <c r="S3" s="126" t="s">
        <v>27</v>
      </c>
      <c r="T3" s="454"/>
      <c r="U3" s="454"/>
      <c r="V3" s="454"/>
      <c r="W3" s="454"/>
      <c r="X3" s="454"/>
      <c r="Y3" s="459"/>
      <c r="Z3" s="83"/>
      <c r="AA3" s="83"/>
      <c r="AB3" s="83"/>
      <c r="AC3" s="83"/>
      <c r="AD3" s="83"/>
      <c r="AE3" s="83"/>
      <c r="AF3" s="83"/>
      <c r="AG3" s="89"/>
      <c r="AH3" s="83"/>
      <c r="AJ3" s="112" t="s">
        <v>28</v>
      </c>
      <c r="AK3" s="167" t="s">
        <v>29</v>
      </c>
      <c r="AL3" s="167" t="s">
        <v>30</v>
      </c>
      <c r="AM3" s="167" t="s">
        <v>31</v>
      </c>
      <c r="AN3" s="167" t="s">
        <v>32</v>
      </c>
      <c r="AO3" s="168" t="s">
        <v>33</v>
      </c>
      <c r="AP3" s="167" t="s">
        <v>34</v>
      </c>
      <c r="AQ3" s="167" t="s">
        <v>35</v>
      </c>
      <c r="AR3" s="167" t="s">
        <v>36</v>
      </c>
      <c r="AS3" s="167" t="s">
        <v>37</v>
      </c>
      <c r="AT3" s="167" t="s">
        <v>38</v>
      </c>
      <c r="AU3" s="167" t="s">
        <v>39</v>
      </c>
      <c r="AV3" s="167" t="s">
        <v>40</v>
      </c>
      <c r="AW3" s="167" t="s">
        <v>41</v>
      </c>
      <c r="AX3" s="167" t="s">
        <v>42</v>
      </c>
      <c r="AY3" s="167" t="s">
        <v>43</v>
      </c>
      <c r="AZ3" s="167" t="s">
        <v>44</v>
      </c>
      <c r="BA3" s="167" t="s">
        <v>45</v>
      </c>
      <c r="BB3" s="167" t="s">
        <v>46</v>
      </c>
      <c r="BC3" s="167" t="s">
        <v>47</v>
      </c>
      <c r="BD3" s="167" t="s">
        <v>46</v>
      </c>
      <c r="BE3" s="167" t="s">
        <v>47</v>
      </c>
      <c r="BF3" s="167" t="s">
        <v>46</v>
      </c>
      <c r="BG3" s="169" t="s">
        <v>47</v>
      </c>
      <c r="BH3" s="170" t="s">
        <v>21</v>
      </c>
      <c r="BI3" s="167"/>
      <c r="BJ3" s="170"/>
      <c r="BK3" s="171"/>
    </row>
    <row r="4" spans="1:63" s="89" customFormat="1" thickBot="1">
      <c r="A4" s="129" t="s">
        <v>48</v>
      </c>
      <c r="B4" s="130"/>
      <c r="C4" s="130"/>
      <c r="D4" s="131"/>
      <c r="E4" s="130"/>
      <c r="F4" s="85"/>
      <c r="G4" s="85"/>
      <c r="H4" s="132"/>
      <c r="I4" s="133"/>
      <c r="J4" s="134"/>
      <c r="K4" s="130"/>
      <c r="L4" s="130"/>
      <c r="M4" s="86"/>
      <c r="N4" s="87"/>
      <c r="O4" s="135"/>
      <c r="P4" s="135"/>
      <c r="Q4" s="135"/>
      <c r="R4" s="135"/>
      <c r="S4" s="88"/>
      <c r="T4" s="172"/>
      <c r="U4" s="172"/>
      <c r="V4" s="136"/>
      <c r="W4" s="136"/>
      <c r="X4" s="136"/>
      <c r="Y4" s="183"/>
      <c r="AJ4" s="113" t="s">
        <v>49</v>
      </c>
      <c r="AK4" s="77" t="s">
        <v>50</v>
      </c>
      <c r="AL4" s="77" t="s">
        <v>0</v>
      </c>
      <c r="AM4" s="77" t="s">
        <v>49</v>
      </c>
      <c r="AN4" s="77" t="s">
        <v>51</v>
      </c>
      <c r="AO4" s="90">
        <v>45317.020833333336</v>
      </c>
      <c r="AP4" s="90"/>
      <c r="AQ4" s="90" t="s">
        <v>52</v>
      </c>
      <c r="AR4" s="77" t="s">
        <v>53</v>
      </c>
      <c r="AS4" s="90" t="s">
        <v>54</v>
      </c>
      <c r="AT4" s="77" t="s">
        <v>55</v>
      </c>
      <c r="AU4" s="77" t="s">
        <v>49</v>
      </c>
      <c r="AV4" s="77" t="s">
        <v>56</v>
      </c>
      <c r="AW4" s="77" t="s">
        <v>57</v>
      </c>
      <c r="AX4" s="77" t="s">
        <v>58</v>
      </c>
      <c r="AY4" s="77" t="s">
        <v>58</v>
      </c>
      <c r="AZ4" s="77" t="s">
        <v>58</v>
      </c>
      <c r="BA4" s="77" t="s">
        <v>58</v>
      </c>
      <c r="BB4" s="77" t="s">
        <v>59</v>
      </c>
      <c r="BC4" s="77" t="s">
        <v>58</v>
      </c>
      <c r="BD4" s="77"/>
      <c r="BE4" s="77"/>
      <c r="BF4" s="77"/>
      <c r="BG4" s="81"/>
      <c r="BH4" s="82"/>
      <c r="BI4" s="77"/>
      <c r="BJ4" s="77"/>
    </row>
    <row r="5" spans="1:63">
      <c r="A5" s="150" t="s">
        <v>60</v>
      </c>
      <c r="B5" s="151" t="str">
        <f t="shared" ref="B5:B36" si="0">VLOOKUP(A5,AJ:BJ,2,FALSE)</f>
        <v>ERN07792</v>
      </c>
      <c r="C5" s="152" t="str">
        <f>VLOOKUP(A5,AJ:BJ,8,FALSE)</f>
        <v>Strada Sp. Z O.O.</v>
      </c>
      <c r="D5" s="153" t="str">
        <f t="shared" ref="D5:D36" si="1">VLOOKUP(A5,AJ:BJ,11,FALSE)</f>
        <v>ENB16224</v>
      </c>
      <c r="E5" s="154">
        <f>VLOOKUP(A5,AJ:BJ,6,FALSE)</f>
        <v>45344.020833333336</v>
      </c>
      <c r="F5" s="155" t="s">
        <v>61</v>
      </c>
      <c r="G5" s="155"/>
      <c r="H5" s="151" t="e">
        <f>IF(VLOOKUP(A5,#REF!,10,FALSE)=0,VLOOKUP(A5,AJ:BJ,11,FALSE),VLOOKUP(A5,#REF!,10,FALSE))</f>
        <v>#REF!</v>
      </c>
      <c r="I5" s="156" t="str">
        <f t="shared" ref="I5:I36" si="2">VLOOKUP(A5,AJ:BJ,12,FALSE)</f>
        <v>DNG</v>
      </c>
      <c r="J5" s="157" t="str">
        <f>IFERROR(IF(VLOOKUP($A5,#REF!,14,FALSE)="","","Y"),"")</f>
        <v/>
      </c>
      <c r="K5" s="158"/>
      <c r="L5" s="158"/>
      <c r="M5" s="159" t="str">
        <f t="shared" ref="M5:M69" si="3">A5</f>
        <v>DNG 1</v>
      </c>
      <c r="N5" s="160"/>
      <c r="O5" s="161"/>
      <c r="P5" s="161"/>
      <c r="Q5" s="161" t="str">
        <f>IFERROR(IF(VLOOKUP($A5,#REF!,30,FALSE)="","","Y"),"")</f>
        <v/>
      </c>
      <c r="R5" s="161" t="str">
        <f>IFERROR(IF(VLOOKUP($A5,#REF!,37,FALSE)="","","Y"),"")</f>
        <v/>
      </c>
      <c r="S5" s="162"/>
      <c r="T5" s="164" t="s">
        <v>62</v>
      </c>
      <c r="U5" s="163" t="s">
        <v>62</v>
      </c>
      <c r="V5" s="163" t="str">
        <f>IFERROR(IF(VLOOKUP($A5,#REF!,11,FALSE)="VARIATA","NEW TRAILER",""),"")</f>
        <v/>
      </c>
      <c r="W5" s="163" t="str">
        <f>IFERROR(IF(VLOOKUP(A5,#REF!,18,FALSE)&lt;&gt;"",VLOOKUP(A5,#REF!,18,FALSE),VLOOKUP(A5,#REF!,16,FALSE)),"")</f>
        <v/>
      </c>
      <c r="X5" s="163" t="str">
        <f>IFERROR(CONCATENATE(VLOOKUP($A5,#REF!,33,FALSE)," - ",VLOOKUP($A5,#REF!,13,FALSE)," - "),"")</f>
        <v/>
      </c>
      <c r="Y5" s="184" t="str">
        <f>IFERROR(IF(VLOOKUP($A5,#REF!,36,FALSE)&lt;&gt;0,VLOOKUP($A5,#REF!,36,FALSE),""),"")</f>
        <v/>
      </c>
      <c r="Z5" s="101"/>
      <c r="AJ5" s="114" t="s">
        <v>63</v>
      </c>
      <c r="AK5" s="77" t="s">
        <v>64</v>
      </c>
      <c r="AL5" s="77" t="s">
        <v>0</v>
      </c>
      <c r="AM5" s="77" t="s">
        <v>65</v>
      </c>
      <c r="AN5" s="77" t="s">
        <v>66</v>
      </c>
      <c r="AO5" s="90">
        <v>45317.263888888891</v>
      </c>
      <c r="AP5" s="90"/>
      <c r="AQ5" s="77" t="s">
        <v>67</v>
      </c>
      <c r="AT5" s="77" t="s">
        <v>68</v>
      </c>
      <c r="AU5" s="77" t="s">
        <v>65</v>
      </c>
      <c r="AV5" s="77" t="s">
        <v>58</v>
      </c>
      <c r="AW5" s="77" t="s">
        <v>57</v>
      </c>
      <c r="AX5" s="77" t="s">
        <v>58</v>
      </c>
      <c r="AY5" s="77" t="s">
        <v>58</v>
      </c>
      <c r="AZ5" s="77" t="s">
        <v>58</v>
      </c>
      <c r="BA5" s="77" t="s">
        <v>58</v>
      </c>
      <c r="BB5" s="77" t="s">
        <v>59</v>
      </c>
      <c r="BC5" s="77" t="s">
        <v>58</v>
      </c>
    </row>
    <row r="6" spans="1:63">
      <c r="A6" s="137" t="s">
        <v>69</v>
      </c>
      <c r="B6" s="91" t="str">
        <f t="shared" si="0"/>
        <v>ERN02948</v>
      </c>
      <c r="C6" s="92" t="str">
        <f>VLOOKUP(A6,AJ:BJ,8,FALSE)</f>
        <v>Strada Sp. Z O.O.</v>
      </c>
      <c r="D6" s="93">
        <f t="shared" si="1"/>
        <v>0</v>
      </c>
      <c r="E6" s="94">
        <v>45347.020833333336</v>
      </c>
      <c r="F6" s="95" t="s">
        <v>61</v>
      </c>
      <c r="G6" s="95"/>
      <c r="H6" s="91" t="e">
        <f>IF(VLOOKUP(A6,#REF!,10,FALSE)=0,VLOOKUP(A6,AJ:BJ,11,FALSE),VLOOKUP(A6,#REF!,10,FALSE))</f>
        <v>#REF!</v>
      </c>
      <c r="I6" s="96" t="str">
        <f t="shared" si="2"/>
        <v>DNG</v>
      </c>
      <c r="J6" s="118" t="str">
        <f>IFERROR(IF(VLOOKUP($A6,#REF!,14,FALSE)="","","Y"),"")</f>
        <v/>
      </c>
      <c r="K6" s="97"/>
      <c r="L6" s="97"/>
      <c r="M6" s="98" t="str">
        <f t="shared" si="3"/>
        <v>DNG 2</v>
      </c>
      <c r="N6" s="99"/>
      <c r="O6" s="100"/>
      <c r="P6" s="100"/>
      <c r="Q6" s="100" t="str">
        <f>IFERROR(IF(VLOOKUP($A6,#REF!,30,FALSE)="","","Y"),"")</f>
        <v/>
      </c>
      <c r="R6" s="100" t="str">
        <f>IFERROR(IF(VLOOKUP($A6,#REF!,37,FALSE)="","","Y"),"")</f>
        <v/>
      </c>
      <c r="S6" s="116"/>
      <c r="T6" s="165" t="s">
        <v>62</v>
      </c>
      <c r="U6" s="117" t="s">
        <v>62</v>
      </c>
      <c r="V6" s="117" t="str">
        <f>IFERROR(IF(VLOOKUP($A6,#REF!,11,FALSE)="VARIATA","NEW TRAILER",""),"")</f>
        <v/>
      </c>
      <c r="W6" s="117" t="str">
        <f>IFERROR(IF(VLOOKUP(A6,#REF!,18,FALSE)&lt;&gt;"",VLOOKUP(A6,#REF!,18,FALSE),VLOOKUP(A6,#REF!,16,FALSE)),"")</f>
        <v/>
      </c>
      <c r="X6" s="117" t="str">
        <f>IFERROR(CONCATENATE(VLOOKUP($A6,#REF!,33,FALSE)," - ",VLOOKUP($A6,#REF!,13,FALSE)," - "),"")</f>
        <v/>
      </c>
      <c r="Y6" s="185" t="str">
        <f>IFERROR(IF(VLOOKUP($A6,#REF!,36,FALSE)&lt;&gt;0,VLOOKUP($A6,#REF!,36,FALSE),""),"")</f>
        <v/>
      </c>
      <c r="Z6" s="101"/>
      <c r="AJ6" s="114" t="s">
        <v>70</v>
      </c>
      <c r="AK6" s="77" t="s">
        <v>71</v>
      </c>
      <c r="AL6" s="77" t="s">
        <v>0</v>
      </c>
      <c r="AM6" s="77" t="s">
        <v>65</v>
      </c>
      <c r="AN6" s="77" t="s">
        <v>66</v>
      </c>
      <c r="AO6" s="90">
        <v>45317.263888888891</v>
      </c>
      <c r="AP6" s="90"/>
      <c r="AQ6" s="90" t="s">
        <v>67</v>
      </c>
      <c r="AS6" s="90"/>
      <c r="AT6" s="77" t="s">
        <v>72</v>
      </c>
      <c r="AU6" s="77" t="s">
        <v>65</v>
      </c>
      <c r="AV6" s="77" t="s">
        <v>56</v>
      </c>
      <c r="AW6" s="77" t="s">
        <v>57</v>
      </c>
      <c r="AX6" s="77" t="s">
        <v>58</v>
      </c>
      <c r="AY6" s="77" t="s">
        <v>58</v>
      </c>
      <c r="AZ6" s="77" t="s">
        <v>58</v>
      </c>
      <c r="BA6" s="77" t="s">
        <v>58</v>
      </c>
      <c r="BB6" s="77" t="s">
        <v>59</v>
      </c>
      <c r="BC6" s="77" t="s">
        <v>58</v>
      </c>
    </row>
    <row r="7" spans="1:63">
      <c r="A7" s="137" t="s">
        <v>73</v>
      </c>
      <c r="B7" s="91" t="str">
        <f t="shared" si="0"/>
        <v>ERN10067</v>
      </c>
      <c r="C7" s="92" t="str">
        <f>VLOOKUP(A7,AJ:BJ,8,FALSE)</f>
        <v>Lsc Sp Z O O</v>
      </c>
      <c r="D7" s="93" t="str">
        <f t="shared" si="1"/>
        <v>ENBD20332</v>
      </c>
      <c r="E7" s="94">
        <f>VLOOKUP(A7,AJ:BJ,6,FALSE)</f>
        <v>45317.020833333336</v>
      </c>
      <c r="F7" s="95" t="s">
        <v>61</v>
      </c>
      <c r="G7" s="95"/>
      <c r="H7" s="91" t="e">
        <f>IF(VLOOKUP(A7,#REF!,10,FALSE)=0,VLOOKUP(A7,AJ:BJ,11,FALSE),VLOOKUP(A7,#REF!,10,FALSE))</f>
        <v>#REF!</v>
      </c>
      <c r="I7" s="96" t="str">
        <f t="shared" si="2"/>
        <v>DNG</v>
      </c>
      <c r="J7" s="118" t="str">
        <f>IFERROR(IF(VLOOKUP($A7,#REF!,14,FALSE)="","","Y"),"")</f>
        <v/>
      </c>
      <c r="K7" s="97"/>
      <c r="L7" s="97"/>
      <c r="M7" s="98" t="str">
        <f t="shared" si="3"/>
        <v>DNG 3</v>
      </c>
      <c r="N7" s="99"/>
      <c r="O7" s="100"/>
      <c r="P7" s="100"/>
      <c r="Q7" s="100" t="str">
        <f>IFERROR(IF(VLOOKUP($A7,#REF!,30,FALSE)="","","Y"),"")</f>
        <v/>
      </c>
      <c r="R7" s="100" t="str">
        <f>IFERROR(IF(VLOOKUP($A7,#REF!,37,FALSE)="","","Y"),"")</f>
        <v/>
      </c>
      <c r="S7" s="116"/>
      <c r="T7" s="165"/>
      <c r="U7" s="117"/>
      <c r="V7" s="117" t="str">
        <f>IFERROR(IF(VLOOKUP($A7,#REF!,11,FALSE)="VARIATA","NEW TRAILER",""),"")</f>
        <v/>
      </c>
      <c r="W7" s="117" t="str">
        <f>IFERROR(IF(VLOOKUP(A7,#REF!,18,FALSE)&lt;&gt;"",VLOOKUP(A7,#REF!,18,FALSE),VLOOKUP(A7,#REF!,16,FALSE)),"")</f>
        <v/>
      </c>
      <c r="X7" s="117" t="str">
        <f>IFERROR(CONCATENATE(VLOOKUP($A7,#REF!,33,FALSE)," - ",VLOOKUP($A7,#REF!,13,FALSE)," - "),"")</f>
        <v/>
      </c>
      <c r="Y7" s="185" t="str">
        <f>IFERROR(IF(VLOOKUP($A7,#REF!,36,FALSE)&lt;&gt;0,VLOOKUP($A7,#REF!,36,FALSE),""),"")</f>
        <v/>
      </c>
      <c r="Z7" s="101"/>
      <c r="AJ7" s="114" t="s">
        <v>74</v>
      </c>
      <c r="AK7" s="77" t="s">
        <v>75</v>
      </c>
      <c r="AL7" s="77" t="s">
        <v>0</v>
      </c>
      <c r="AM7" s="77" t="s">
        <v>65</v>
      </c>
      <c r="AN7" s="77" t="s">
        <v>66</v>
      </c>
      <c r="AO7" s="90">
        <v>45317.263888888891</v>
      </c>
      <c r="AP7" s="90"/>
      <c r="AQ7" s="90" t="s">
        <v>67</v>
      </c>
      <c r="AS7" s="90"/>
      <c r="AU7" s="77" t="s">
        <v>65</v>
      </c>
      <c r="AV7" s="77" t="s">
        <v>58</v>
      </c>
      <c r="AW7" s="77" t="s">
        <v>76</v>
      </c>
      <c r="AX7" s="77" t="s">
        <v>58</v>
      </c>
      <c r="AY7" s="77" t="s">
        <v>58</v>
      </c>
      <c r="AZ7" s="77" t="s">
        <v>58</v>
      </c>
      <c r="BA7" s="77" t="s">
        <v>58</v>
      </c>
      <c r="BB7" s="77" t="s">
        <v>59</v>
      </c>
      <c r="BC7" s="77" t="s">
        <v>58</v>
      </c>
    </row>
    <row r="8" spans="1:63">
      <c r="A8" s="137" t="s">
        <v>77</v>
      </c>
      <c r="B8" s="91" t="str">
        <f t="shared" si="0"/>
        <v>ERN14458</v>
      </c>
      <c r="C8" s="92" t="s">
        <v>78</v>
      </c>
      <c r="D8" s="93">
        <f t="shared" si="1"/>
        <v>0</v>
      </c>
      <c r="E8" s="94">
        <v>45317.104166666664</v>
      </c>
      <c r="F8" s="95" t="s">
        <v>61</v>
      </c>
      <c r="G8" s="95"/>
      <c r="H8" s="91" t="e">
        <f>IF(VLOOKUP(A8,#REF!,10,FALSE)=0,VLOOKUP(A8,AJ:BJ,11,FALSE),VLOOKUP(A8,#REF!,10,FALSE))</f>
        <v>#REF!</v>
      </c>
      <c r="I8" s="96" t="str">
        <f t="shared" si="2"/>
        <v>DNG</v>
      </c>
      <c r="J8" s="118" t="str">
        <f>IFERROR(IF(VLOOKUP($A8,#REF!,14,FALSE)="","","Y"),"")</f>
        <v/>
      </c>
      <c r="K8" s="97"/>
      <c r="L8" s="97"/>
      <c r="M8" s="98" t="str">
        <f t="shared" si="3"/>
        <v>DNG 4</v>
      </c>
      <c r="N8" s="99"/>
      <c r="O8" s="100"/>
      <c r="P8" s="100"/>
      <c r="Q8" s="100" t="str">
        <f>IFERROR(IF(VLOOKUP($A8,#REF!,30,FALSE)="","","Y"),"")</f>
        <v/>
      </c>
      <c r="R8" s="100" t="str">
        <f>IFERROR(IF(VLOOKUP($A8,#REF!,37,FALSE)="","","Y"),"")</f>
        <v/>
      </c>
      <c r="S8" s="116"/>
      <c r="T8" s="165"/>
      <c r="U8" s="117"/>
      <c r="V8" s="117" t="str">
        <f>IFERROR(IF(VLOOKUP($A8,#REF!,11,FALSE)="VARIATA","NEW TRAILER",""),"")</f>
        <v/>
      </c>
      <c r="W8" s="117" t="str">
        <f>IFERROR(IF(VLOOKUP(A8,#REF!,18,FALSE)&lt;&gt;"",VLOOKUP(A8,#REF!,18,FALSE),VLOOKUP(A8,#REF!,16,FALSE)),"")</f>
        <v/>
      </c>
      <c r="X8" s="117" t="str">
        <f>IFERROR(CONCATENATE(VLOOKUP($A8,#REF!,33,FALSE)," - ",VLOOKUP($A8,#REF!,13,FALSE)," - "),"")</f>
        <v/>
      </c>
      <c r="Y8" s="185" t="str">
        <f>IFERROR(IF(VLOOKUP($A8,#REF!,36,FALSE)&lt;&gt;0,VLOOKUP($A8,#REF!,36,FALSE),""),"")</f>
        <v/>
      </c>
      <c r="AJ8" s="113" t="s">
        <v>79</v>
      </c>
      <c r="AK8" s="77" t="s">
        <v>80</v>
      </c>
      <c r="AL8" s="77" t="s">
        <v>0</v>
      </c>
      <c r="AM8" s="77" t="s">
        <v>81</v>
      </c>
      <c r="AN8" s="77" t="s">
        <v>66</v>
      </c>
      <c r="AO8" s="90">
        <v>45317.034722222219</v>
      </c>
      <c r="AP8" s="90"/>
      <c r="AQ8" s="90" t="s">
        <v>82</v>
      </c>
      <c r="AR8" s="77" t="s">
        <v>83</v>
      </c>
      <c r="AS8" s="90" t="s">
        <v>84</v>
      </c>
      <c r="AU8" s="77" t="s">
        <v>85</v>
      </c>
      <c r="AV8" s="77" t="s">
        <v>58</v>
      </c>
      <c r="AW8" s="77" t="s">
        <v>57</v>
      </c>
      <c r="AX8" s="77" t="s">
        <v>58</v>
      </c>
      <c r="AY8" s="77" t="s">
        <v>58</v>
      </c>
      <c r="AZ8" s="77" t="s">
        <v>58</v>
      </c>
      <c r="BA8" s="77" t="s">
        <v>58</v>
      </c>
      <c r="BB8" s="77" t="s">
        <v>59</v>
      </c>
      <c r="BC8" s="77" t="s">
        <v>58</v>
      </c>
    </row>
    <row r="9" spans="1:63" ht="16.5" thickBot="1">
      <c r="A9" s="137" t="s">
        <v>86</v>
      </c>
      <c r="B9" s="91" t="str">
        <f t="shared" si="0"/>
        <v>ERN91503</v>
      </c>
      <c r="C9" s="92" t="str">
        <f t="shared" ref="C9:C40" si="4">VLOOKUP(A9,AJ:BJ,8,FALSE)</f>
        <v>T Service Spa</v>
      </c>
      <c r="D9" s="93">
        <f t="shared" si="1"/>
        <v>0</v>
      </c>
      <c r="E9" s="94">
        <v>0.10416666666666667</v>
      </c>
      <c r="F9" s="95" t="s">
        <v>61</v>
      </c>
      <c r="G9" s="95"/>
      <c r="H9" s="91" t="e">
        <f>IF(VLOOKUP(A9,#REF!,10,FALSE)=0,VLOOKUP(A9,AJ:BJ,11,FALSE),VLOOKUP(A9,#REF!,10,FALSE))</f>
        <v>#REF!</v>
      </c>
      <c r="I9" s="96" t="str">
        <f t="shared" si="2"/>
        <v>DNG</v>
      </c>
      <c r="J9" s="118" t="str">
        <f>IFERROR(IF(VLOOKUP($A9,#REF!,14,FALSE)="","","Y"),"")</f>
        <v/>
      </c>
      <c r="K9" s="97"/>
      <c r="L9" s="97"/>
      <c r="M9" s="98" t="str">
        <f t="shared" si="3"/>
        <v>DNG 5</v>
      </c>
      <c r="N9" s="99"/>
      <c r="O9" s="100"/>
      <c r="P9" s="100"/>
      <c r="Q9" s="100" t="str">
        <f>IFERROR(IF(VLOOKUP($A9,#REF!,30,FALSE)="","","Y"),"")</f>
        <v/>
      </c>
      <c r="R9" s="100" t="str">
        <f>IFERROR(IF(VLOOKUP($A9,#REF!,37,FALSE)="","","Y"),"")</f>
        <v/>
      </c>
      <c r="S9" s="116"/>
      <c r="T9" s="165"/>
      <c r="U9" s="117"/>
      <c r="V9" s="117" t="str">
        <f>IFERROR(IF(VLOOKUP($A9,#REF!,11,FALSE)="VARIATA","NEW TRAILER",""),"")</f>
        <v/>
      </c>
      <c r="W9" s="117" t="str">
        <f>IFERROR(IF(VLOOKUP(A9,#REF!,18,FALSE)&lt;&gt;"",VLOOKUP(A9,#REF!,18,FALSE),VLOOKUP(A9,#REF!,16,FALSE)),"")</f>
        <v/>
      </c>
      <c r="X9" s="117" t="str">
        <f>IFERROR(CONCATENATE(VLOOKUP($A9,#REF!,33,FALSE)," - ",VLOOKUP($A9,#REF!,13,FALSE)," - "),"")</f>
        <v/>
      </c>
      <c r="Y9" s="185" t="str">
        <f>IFERROR(IF(VLOOKUP($A9,#REF!,36,FALSE)&lt;&gt;0,VLOOKUP($A9,#REF!,36,FALSE),""),"")</f>
        <v/>
      </c>
      <c r="AJ9" s="114" t="s">
        <v>87</v>
      </c>
      <c r="AK9" s="77" t="s">
        <v>88</v>
      </c>
      <c r="AL9" s="77" t="s">
        <v>0</v>
      </c>
      <c r="AM9" s="77" t="s">
        <v>81</v>
      </c>
      <c r="AN9" s="77" t="s">
        <v>51</v>
      </c>
      <c r="AO9" s="90">
        <v>45317.034722222219</v>
      </c>
      <c r="AP9" s="90"/>
      <c r="AQ9" s="77" t="s">
        <v>89</v>
      </c>
      <c r="AR9" s="77" t="s">
        <v>90</v>
      </c>
      <c r="AS9" s="77" t="s">
        <v>91</v>
      </c>
      <c r="AT9" s="77" t="s">
        <v>92</v>
      </c>
      <c r="AU9" s="77" t="s">
        <v>81</v>
      </c>
      <c r="AV9" s="77" t="s">
        <v>56</v>
      </c>
      <c r="AW9" s="77" t="s">
        <v>57</v>
      </c>
      <c r="AX9" s="77" t="s">
        <v>58</v>
      </c>
      <c r="AY9" s="77" t="s">
        <v>58</v>
      </c>
      <c r="AZ9" s="77" t="s">
        <v>58</v>
      </c>
      <c r="BA9" s="77" t="s">
        <v>58</v>
      </c>
      <c r="BB9" s="77" t="s">
        <v>59</v>
      </c>
      <c r="BC9" s="77" t="s">
        <v>58</v>
      </c>
    </row>
    <row r="10" spans="1:63" ht="16.5" thickBot="1">
      <c r="A10" s="137" t="s">
        <v>93</v>
      </c>
      <c r="B10" s="91" t="str">
        <f t="shared" si="0"/>
        <v>ERN91510</v>
      </c>
      <c r="C10" s="92" t="str">
        <f t="shared" si="4"/>
        <v>Galileo Transport Srl</v>
      </c>
      <c r="D10" s="93">
        <f t="shared" si="1"/>
        <v>0</v>
      </c>
      <c r="E10" s="94">
        <v>45348</v>
      </c>
      <c r="F10" s="95" t="s">
        <v>61</v>
      </c>
      <c r="G10" s="95"/>
      <c r="H10" s="91" t="e">
        <f>IF(VLOOKUP(A10,#REF!,10,FALSE)=0,VLOOKUP(A10,AJ:BJ,11,FALSE),VLOOKUP(A10,#REF!,10,FALSE))</f>
        <v>#REF!</v>
      </c>
      <c r="I10" s="96" t="str">
        <f t="shared" si="2"/>
        <v>DNG</v>
      </c>
      <c r="J10" s="118" t="str">
        <f>IFERROR(IF(VLOOKUP($A10,#REF!,14,FALSE)="","","Y"),"")</f>
        <v/>
      </c>
      <c r="K10" s="97"/>
      <c r="L10" s="97"/>
      <c r="M10" s="98" t="str">
        <f t="shared" si="3"/>
        <v>DNG 6</v>
      </c>
      <c r="N10" s="99"/>
      <c r="O10" s="100"/>
      <c r="P10" s="100"/>
      <c r="Q10" s="100" t="str">
        <f>IFERROR(IF(VLOOKUP($A10,#REF!,30,FALSE)="","","Y"),"")</f>
        <v/>
      </c>
      <c r="R10" s="100" t="str">
        <f>IFERROR(IF(VLOOKUP($A10,#REF!,37,FALSE)="","","Y"),"")</f>
        <v/>
      </c>
      <c r="S10" s="116"/>
      <c r="T10" s="165"/>
      <c r="U10" s="117"/>
      <c r="V10" s="117" t="str">
        <f>IFERROR(IF(VLOOKUP($A10,#REF!,11,FALSE)="VARIATA","NEW TRAILER",""),"")</f>
        <v/>
      </c>
      <c r="W10" s="117" t="str">
        <f>IFERROR(IF(VLOOKUP(A10,#REF!,18,FALSE)&lt;&gt;"",VLOOKUP(A10,#REF!,18,FALSE),VLOOKUP(A10,#REF!,16,FALSE)),"")</f>
        <v/>
      </c>
      <c r="X10" s="117" t="str">
        <f>IFERROR(CONCATENATE(VLOOKUP($A10,#REF!,33,FALSE)," - ",VLOOKUP($A10,#REF!,13,FALSE)," - "),"")</f>
        <v/>
      </c>
      <c r="Y10" s="185" t="str">
        <f>IFERROR(IF(VLOOKUP($A10,#REF!,36,FALSE)&lt;&gt;0,VLOOKUP($A10,#REF!,36,FALSE),""),"")</f>
        <v/>
      </c>
      <c r="AA10" s="182" t="s">
        <v>10</v>
      </c>
      <c r="AJ10" s="114" t="s">
        <v>94</v>
      </c>
      <c r="AK10" s="77" t="s">
        <v>95</v>
      </c>
      <c r="AL10" s="77" t="s">
        <v>0</v>
      </c>
      <c r="AM10" s="77" t="s">
        <v>81</v>
      </c>
      <c r="AN10" s="77" t="s">
        <v>66</v>
      </c>
      <c r="AO10" s="90">
        <v>45317.034722222219</v>
      </c>
      <c r="AP10" s="90"/>
      <c r="AQ10" s="77" t="s">
        <v>82</v>
      </c>
      <c r="AR10" s="77" t="s">
        <v>96</v>
      </c>
      <c r="AS10" s="77" t="s">
        <v>97</v>
      </c>
      <c r="AU10" s="77" t="s">
        <v>81</v>
      </c>
      <c r="AV10" s="77" t="s">
        <v>58</v>
      </c>
      <c r="AW10" s="77" t="s">
        <v>57</v>
      </c>
      <c r="AX10" s="77" t="s">
        <v>58</v>
      </c>
      <c r="AY10" s="77" t="s">
        <v>58</v>
      </c>
      <c r="AZ10" s="77" t="s">
        <v>58</v>
      </c>
      <c r="BA10" s="77" t="s">
        <v>58</v>
      </c>
      <c r="BB10" s="77" t="s">
        <v>59</v>
      </c>
      <c r="BC10" s="77" t="s">
        <v>58</v>
      </c>
    </row>
    <row r="11" spans="1:63">
      <c r="A11" s="137" t="s">
        <v>98</v>
      </c>
      <c r="B11" s="91" t="str">
        <f t="shared" si="0"/>
        <v>ERN16768</v>
      </c>
      <c r="C11" s="92" t="str">
        <f t="shared" si="4"/>
        <v>Maracana Srl</v>
      </c>
      <c r="D11" s="93">
        <f t="shared" si="1"/>
        <v>0</v>
      </c>
      <c r="E11" s="94">
        <f t="shared" ref="E11:E42" si="5">VLOOKUP(A11,AJ:BJ,6,FALSE)</f>
        <v>45317.239583333336</v>
      </c>
      <c r="F11" s="95" t="s">
        <v>61</v>
      </c>
      <c r="G11" s="95"/>
      <c r="H11" s="91" t="e">
        <f>IF(VLOOKUP(A11,#REF!,10,FALSE)=0,VLOOKUP(A11,AJ:BJ,11,FALSE),VLOOKUP(A11,#REF!,10,FALSE))</f>
        <v>#REF!</v>
      </c>
      <c r="I11" s="96" t="str">
        <f t="shared" si="2"/>
        <v>DNG</v>
      </c>
      <c r="J11" s="118" t="str">
        <f>IFERROR(IF(VLOOKUP($A11,#REF!,14,FALSE)="","","Y"),"")</f>
        <v/>
      </c>
      <c r="K11" s="97"/>
      <c r="L11" s="97"/>
      <c r="M11" s="98" t="str">
        <f t="shared" si="3"/>
        <v>dng 8</v>
      </c>
      <c r="N11" s="99"/>
      <c r="O11" s="100"/>
      <c r="P11" s="100"/>
      <c r="Q11" s="100" t="str">
        <f>IFERROR(IF(VLOOKUP($A11,#REF!,30,FALSE)="","","Y"),"")</f>
        <v/>
      </c>
      <c r="R11" s="100" t="str">
        <f>IFERROR(IF(VLOOKUP($A11,#REF!,37,FALSE)="","","Y"),"")</f>
        <v/>
      </c>
      <c r="S11" s="116"/>
      <c r="T11" s="165"/>
      <c r="U11" s="117"/>
      <c r="V11" s="117" t="str">
        <f>IFERROR(IF(VLOOKUP($A11,#REF!,11,FALSE)="VARIATA","NEW TRAILER",""),"")</f>
        <v/>
      </c>
      <c r="W11" s="117" t="str">
        <f>IFERROR(IF(VLOOKUP(A11,#REF!,18,FALSE)&lt;&gt;"",VLOOKUP(A11,#REF!,18,FALSE),VLOOKUP(A11,#REF!,16,FALSE)),"")</f>
        <v/>
      </c>
      <c r="X11" s="117" t="str">
        <f>IFERROR(CONCATENATE(VLOOKUP($A11,#REF!,33,FALSE)," - ",VLOOKUP($A11,#REF!,13,FALSE)," - "),"")</f>
        <v/>
      </c>
      <c r="Y11" s="185" t="str">
        <f>IFERROR(IF(VLOOKUP($A11,#REF!,36,FALSE)&lt;&gt;0,VLOOKUP($A11,#REF!,36,FALSE),""),"")</f>
        <v/>
      </c>
      <c r="AA11" s="181" t="s">
        <v>62</v>
      </c>
      <c r="AJ11" s="114" t="s">
        <v>99</v>
      </c>
      <c r="AK11" s="77" t="s">
        <v>100</v>
      </c>
      <c r="AL11" s="77" t="s">
        <v>0</v>
      </c>
      <c r="AM11" s="77" t="s">
        <v>81</v>
      </c>
      <c r="AN11" s="77" t="s">
        <v>51</v>
      </c>
      <c r="AO11" s="90">
        <v>45317.034722222219</v>
      </c>
      <c r="AP11" s="90"/>
      <c r="AQ11" s="90" t="s">
        <v>89</v>
      </c>
      <c r="AR11" s="77" t="s">
        <v>101</v>
      </c>
      <c r="AS11" s="77" t="s">
        <v>102</v>
      </c>
      <c r="AT11" s="77" t="s">
        <v>103</v>
      </c>
      <c r="AU11" s="77" t="s">
        <v>81</v>
      </c>
      <c r="AV11" s="77" t="s">
        <v>58</v>
      </c>
      <c r="AW11" s="77" t="s">
        <v>57</v>
      </c>
      <c r="AX11" s="77" t="s">
        <v>58</v>
      </c>
      <c r="AY11" s="77" t="s">
        <v>58</v>
      </c>
      <c r="AZ11" s="77" t="s">
        <v>58</v>
      </c>
      <c r="BA11" s="77" t="s">
        <v>58</v>
      </c>
      <c r="BB11" s="77" t="s">
        <v>59</v>
      </c>
      <c r="BC11" s="77" t="s">
        <v>58</v>
      </c>
    </row>
    <row r="12" spans="1:63" ht="16.5" thickBot="1">
      <c r="A12" s="137" t="s">
        <v>104</v>
      </c>
      <c r="B12" s="91" t="str">
        <f t="shared" si="0"/>
        <v>ERN16731</v>
      </c>
      <c r="C12" s="92" t="str">
        <f t="shared" si="4"/>
        <v>T Service Spa</v>
      </c>
      <c r="D12" s="93">
        <f t="shared" si="1"/>
        <v>0</v>
      </c>
      <c r="E12" s="94">
        <f t="shared" si="5"/>
        <v>45317.239583333336</v>
      </c>
      <c r="F12" s="95" t="s">
        <v>61</v>
      </c>
      <c r="G12" s="95"/>
      <c r="H12" s="91" t="e">
        <f>IF(VLOOKUP(A12,#REF!,10,FALSE)=0,VLOOKUP(A12,AJ:BJ,11,FALSE),VLOOKUP(A12,#REF!,10,FALSE))</f>
        <v>#REF!</v>
      </c>
      <c r="I12" s="96" t="str">
        <f t="shared" si="2"/>
        <v>DNG</v>
      </c>
      <c r="J12" s="118" t="str">
        <f>IFERROR(IF(VLOOKUP($A12,#REF!,14,FALSE)="","","Y"),"")</f>
        <v/>
      </c>
      <c r="K12" s="97"/>
      <c r="L12" s="97"/>
      <c r="M12" s="98" t="str">
        <f t="shared" si="3"/>
        <v>dng 7</v>
      </c>
      <c r="N12" s="99"/>
      <c r="O12" s="100"/>
      <c r="P12" s="100"/>
      <c r="Q12" s="100" t="str">
        <f>IFERROR(IF(VLOOKUP($A12,#REF!,30,FALSE)="","","Y"),"")</f>
        <v/>
      </c>
      <c r="R12" s="100" t="str">
        <f>IFERROR(IF(VLOOKUP($A12,#REF!,37,FALSE)="","","Y"),"")</f>
        <v/>
      </c>
      <c r="S12" s="116"/>
      <c r="T12" s="165"/>
      <c r="U12" s="117"/>
      <c r="V12" s="117" t="str">
        <f>IFERROR(IF(VLOOKUP($A12,#REF!,11,FALSE)="VARIATA","NEW TRAILER",""),"")</f>
        <v/>
      </c>
      <c r="W12" s="117" t="str">
        <f>IFERROR(IF(VLOOKUP(A12,#REF!,18,FALSE)&lt;&gt;"",VLOOKUP(A12,#REF!,18,FALSE),VLOOKUP(A12,#REF!,16,FALSE)),"")</f>
        <v/>
      </c>
      <c r="X12" s="117" t="str">
        <f>IFERROR(CONCATENATE(VLOOKUP($A12,#REF!,33,FALSE)," - ",VLOOKUP($A12,#REF!,13,FALSE)," - "),"")</f>
        <v/>
      </c>
      <c r="Y12" s="185" t="str">
        <f>IFERROR(IF(VLOOKUP($A12,#REF!,36,FALSE)&lt;&gt;0,VLOOKUP($A12,#REF!,36,FALSE),""),"")</f>
        <v/>
      </c>
      <c r="AA12" s="180" t="s">
        <v>105</v>
      </c>
      <c r="AJ12" s="114" t="s">
        <v>106</v>
      </c>
      <c r="AK12" s="77" t="s">
        <v>107</v>
      </c>
      <c r="AL12" s="77" t="s">
        <v>0</v>
      </c>
      <c r="AM12" s="77" t="s">
        <v>81</v>
      </c>
      <c r="AN12" s="77" t="s">
        <v>66</v>
      </c>
      <c r="AO12" s="90">
        <v>45317.479166666664</v>
      </c>
      <c r="AP12" s="90"/>
      <c r="AQ12" s="90" t="s">
        <v>108</v>
      </c>
      <c r="AR12" s="77" t="s">
        <v>109</v>
      </c>
      <c r="AS12" s="90" t="s">
        <v>110</v>
      </c>
      <c r="AU12" s="77" t="s">
        <v>85</v>
      </c>
      <c r="AV12" s="77" t="s">
        <v>58</v>
      </c>
      <c r="AW12" s="77" t="s">
        <v>57</v>
      </c>
      <c r="AX12" s="77" t="s">
        <v>58</v>
      </c>
      <c r="AY12" s="77" t="s">
        <v>58</v>
      </c>
      <c r="AZ12" s="77" t="s">
        <v>58</v>
      </c>
      <c r="BA12" s="77" t="s">
        <v>58</v>
      </c>
      <c r="BB12" s="77" t="s">
        <v>59</v>
      </c>
      <c r="BC12" s="77" t="s">
        <v>58</v>
      </c>
    </row>
    <row r="13" spans="1:63">
      <c r="A13" s="137" t="s">
        <v>111</v>
      </c>
      <c r="B13" s="91" t="str">
        <f t="shared" si="0"/>
        <v>ERN16770</v>
      </c>
      <c r="C13" s="92" t="str">
        <f t="shared" si="4"/>
        <v>T Service Spa</v>
      </c>
      <c r="D13" s="93">
        <f t="shared" si="1"/>
        <v>0</v>
      </c>
      <c r="E13" s="94">
        <f t="shared" si="5"/>
        <v>45317.260416666664</v>
      </c>
      <c r="F13" s="95" t="s">
        <v>61</v>
      </c>
      <c r="G13" s="95"/>
      <c r="H13" s="91" t="e">
        <f>IF(VLOOKUP(A13,#REF!,10,FALSE)=0,VLOOKUP(A13,AJ:BJ,11,FALSE),VLOOKUP(A13,#REF!,10,FALSE))</f>
        <v>#REF!</v>
      </c>
      <c r="I13" s="96" t="str">
        <f t="shared" si="2"/>
        <v>DNG</v>
      </c>
      <c r="J13" s="118" t="str">
        <f>IFERROR(IF(VLOOKUP($A13,#REF!,14,FALSE)="","","Y"),"")</f>
        <v/>
      </c>
      <c r="K13" s="97"/>
      <c r="L13" s="97"/>
      <c r="M13" s="98" t="str">
        <f t="shared" si="3"/>
        <v>DNG 9</v>
      </c>
      <c r="N13" s="99"/>
      <c r="O13" s="100"/>
      <c r="P13" s="100"/>
      <c r="Q13" s="100" t="str">
        <f>IFERROR(IF(VLOOKUP($A13,#REF!,30,FALSE)="","","Y"),"")</f>
        <v/>
      </c>
      <c r="R13" s="100" t="str">
        <f>IFERROR(IF(VLOOKUP($A13,#REF!,37,FALSE)="","","Y"),"")</f>
        <v/>
      </c>
      <c r="S13" s="116"/>
      <c r="T13" s="165"/>
      <c r="U13" s="117"/>
      <c r="V13" s="117" t="str">
        <f>IFERROR(IF(VLOOKUP($A13,#REF!,11,FALSE)="VARIATA","NEW TRAILER",""),"")</f>
        <v/>
      </c>
      <c r="W13" s="117" t="str">
        <f>IFERROR(IF(VLOOKUP(A13,#REF!,18,FALSE)&lt;&gt;"",VLOOKUP(A13,#REF!,18,FALSE),VLOOKUP(A13,#REF!,16,FALSE)),"")</f>
        <v/>
      </c>
      <c r="X13" s="117" t="str">
        <f>IFERROR(CONCATENATE(VLOOKUP($A13,#REF!,33,FALSE)," - ",VLOOKUP($A13,#REF!,13,FALSE)," - "),"")</f>
        <v/>
      </c>
      <c r="Y13" s="185" t="str">
        <f>IFERROR(IF(VLOOKUP($A13,#REF!,36,FALSE)&lt;&gt;0,VLOOKUP($A13,#REF!,36,FALSE),""),"")</f>
        <v/>
      </c>
      <c r="AJ13" s="114" t="s">
        <v>112</v>
      </c>
      <c r="AK13" s="77" t="s">
        <v>113</v>
      </c>
      <c r="AL13" s="77" t="s">
        <v>0</v>
      </c>
      <c r="AM13" s="77" t="s">
        <v>81</v>
      </c>
      <c r="AN13" s="77" t="s">
        <v>51</v>
      </c>
      <c r="AO13" s="90">
        <v>45317.479166666664</v>
      </c>
      <c r="AP13" s="90"/>
      <c r="AQ13" s="90" t="s">
        <v>114</v>
      </c>
      <c r="AR13" s="77" t="s">
        <v>115</v>
      </c>
      <c r="AS13" s="90" t="s">
        <v>116</v>
      </c>
      <c r="AT13" s="77" t="s">
        <v>117</v>
      </c>
      <c r="AU13" s="77" t="s">
        <v>81</v>
      </c>
      <c r="AV13" s="77" t="s">
        <v>58</v>
      </c>
      <c r="AW13" s="77" t="s">
        <v>57</v>
      </c>
      <c r="AX13" s="77" t="s">
        <v>58</v>
      </c>
      <c r="AY13" s="77" t="s">
        <v>58</v>
      </c>
      <c r="AZ13" s="77" t="s">
        <v>58</v>
      </c>
      <c r="BA13" s="77" t="s">
        <v>58</v>
      </c>
      <c r="BB13" s="77" t="s">
        <v>59</v>
      </c>
      <c r="BC13" s="77" t="s">
        <v>58</v>
      </c>
    </row>
    <row r="14" spans="1:63">
      <c r="A14" s="137" t="s">
        <v>118</v>
      </c>
      <c r="B14" s="91" t="str">
        <f t="shared" si="0"/>
        <v>ERN91505</v>
      </c>
      <c r="C14" s="92" t="str">
        <f t="shared" si="4"/>
        <v>Etb Freight International Kft.</v>
      </c>
      <c r="D14" s="93">
        <f t="shared" si="1"/>
        <v>0</v>
      </c>
      <c r="E14" s="94">
        <f t="shared" si="5"/>
        <v>45317.260416666664</v>
      </c>
      <c r="F14" s="95"/>
      <c r="G14" s="95" t="s">
        <v>61</v>
      </c>
      <c r="H14" s="91" t="e">
        <f>IF(VLOOKUP(A14,#REF!,10,FALSE)=0,VLOOKUP(A14,AJ:BJ,11,FALSE),VLOOKUP(A14,#REF!,10,FALSE))</f>
        <v>#REF!</v>
      </c>
      <c r="I14" s="96" t="str">
        <f t="shared" si="2"/>
        <v>DNG</v>
      </c>
      <c r="J14" s="118" t="str">
        <f>IFERROR(IF(VLOOKUP($A14,#REF!,14,FALSE)="","","Y"),"")</f>
        <v/>
      </c>
      <c r="K14" s="97"/>
      <c r="L14" s="97"/>
      <c r="M14" s="98" t="str">
        <f t="shared" si="3"/>
        <v>DNG 10</v>
      </c>
      <c r="N14" s="99"/>
      <c r="O14" s="100"/>
      <c r="P14" s="100"/>
      <c r="Q14" s="100" t="str">
        <f>IFERROR(IF(VLOOKUP($A14,#REF!,30,FALSE)="","","Y"),"")</f>
        <v/>
      </c>
      <c r="R14" s="100" t="str">
        <f>IFERROR(IF(VLOOKUP($A14,#REF!,37,FALSE)="","","Y"),"")</f>
        <v/>
      </c>
      <c r="S14" s="116"/>
      <c r="T14" s="165"/>
      <c r="U14" s="117"/>
      <c r="V14" s="117" t="str">
        <f>IFERROR(IF(VLOOKUP($A14,#REF!,11,FALSE)="VARIATA","NEW TRAILER",""),"")</f>
        <v/>
      </c>
      <c r="W14" s="117" t="str">
        <f>IFERROR(IF(VLOOKUP(A14,#REF!,18,FALSE)&lt;&gt;"",VLOOKUP(A14,#REF!,18,FALSE),VLOOKUP(A14,#REF!,16,FALSE)),"")</f>
        <v/>
      </c>
      <c r="X14" s="117" t="str">
        <f>IFERROR(CONCATENATE(VLOOKUP($A14,#REF!,33,FALSE)," - ",VLOOKUP($A14,#REF!,13,FALSE)," - "),"")</f>
        <v/>
      </c>
      <c r="Y14" s="185" t="str">
        <f>IFERROR(IF(VLOOKUP($A14,#REF!,36,FALSE)&lt;&gt;0,VLOOKUP($A14,#REF!,36,FALSE),""),"")</f>
        <v/>
      </c>
      <c r="AJ14" s="114" t="s">
        <v>119</v>
      </c>
      <c r="AK14" s="77" t="s">
        <v>120</v>
      </c>
      <c r="AL14" s="77" t="s">
        <v>0</v>
      </c>
      <c r="AM14" s="77" t="s">
        <v>81</v>
      </c>
      <c r="AN14" s="77" t="s">
        <v>51</v>
      </c>
      <c r="AO14" s="90">
        <v>45317.479166666664</v>
      </c>
      <c r="AP14" s="90"/>
      <c r="AQ14" s="90" t="s">
        <v>114</v>
      </c>
      <c r="AR14" s="77" t="s">
        <v>121</v>
      </c>
      <c r="AS14" s="90" t="s">
        <v>122</v>
      </c>
      <c r="AT14" s="77" t="s">
        <v>123</v>
      </c>
      <c r="AU14" s="77" t="s">
        <v>81</v>
      </c>
      <c r="AV14" s="77" t="s">
        <v>58</v>
      </c>
      <c r="AW14" s="77" t="s">
        <v>57</v>
      </c>
      <c r="AX14" s="77" t="s">
        <v>58</v>
      </c>
      <c r="AY14" s="77" t="s">
        <v>58</v>
      </c>
      <c r="AZ14" s="77" t="s">
        <v>58</v>
      </c>
      <c r="BA14" s="77" t="s">
        <v>58</v>
      </c>
      <c r="BB14" s="77" t="s">
        <v>59</v>
      </c>
      <c r="BC14" s="77" t="s">
        <v>58</v>
      </c>
    </row>
    <row r="15" spans="1:63" ht="16.5" thickBot="1">
      <c r="A15" s="137" t="s">
        <v>124</v>
      </c>
      <c r="B15" s="91" t="str">
        <f t="shared" si="0"/>
        <v>ERN90127</v>
      </c>
      <c r="C15" s="92" t="str">
        <f t="shared" si="4"/>
        <v>Lsc Sp Z O O</v>
      </c>
      <c r="D15" s="93" t="str">
        <f t="shared" si="1"/>
        <v>ENB14375</v>
      </c>
      <c r="E15" s="94">
        <f t="shared" si="5"/>
        <v>45317.260416666664</v>
      </c>
      <c r="F15" s="95" t="s">
        <v>61</v>
      </c>
      <c r="G15" s="95"/>
      <c r="H15" s="91" t="e">
        <f>IF(VLOOKUP(A15,#REF!,10,FALSE)=0,VLOOKUP(A15,AJ:BJ,11,FALSE),VLOOKUP(A15,#REF!,10,FALSE))</f>
        <v>#REF!</v>
      </c>
      <c r="I15" s="96" t="str">
        <f t="shared" si="2"/>
        <v>DFT</v>
      </c>
      <c r="J15" s="118" t="str">
        <f>IFERROR(IF(VLOOKUP($A15,#REF!,14,FALSE)="","","Y"),"")</f>
        <v/>
      </c>
      <c r="K15" s="97"/>
      <c r="L15" s="97"/>
      <c r="M15" s="98" t="str">
        <f t="shared" si="3"/>
        <v>DFT</v>
      </c>
      <c r="N15" s="99"/>
      <c r="O15" s="100"/>
      <c r="P15" s="100"/>
      <c r="Q15" s="100" t="str">
        <f>IFERROR(IF(VLOOKUP($A15,#REF!,30,FALSE)="","","Y"),"")</f>
        <v/>
      </c>
      <c r="R15" s="100" t="str">
        <f>IFERROR(IF(VLOOKUP($A15,#REF!,37,FALSE)="","","Y"),"")</f>
        <v/>
      </c>
      <c r="S15" s="116"/>
      <c r="T15" s="165"/>
      <c r="U15" s="117"/>
      <c r="V15" s="117" t="str">
        <f>IFERROR(IF(VLOOKUP($A15,#REF!,11,FALSE)="VARIATA","NEW TRAILER",""),"")</f>
        <v/>
      </c>
      <c r="W15" s="117" t="str">
        <f>IFERROR(IF(VLOOKUP(A15,#REF!,18,FALSE)&lt;&gt;"",VLOOKUP(A15,#REF!,18,FALSE),VLOOKUP(A15,#REF!,16,FALSE)),"")</f>
        <v/>
      </c>
      <c r="X15" s="117" t="str">
        <f>IFERROR(CONCATENATE(VLOOKUP($A15,#REF!,33,FALSE)," - ",VLOOKUP($A15,#REF!,13,FALSE)," - "),"")</f>
        <v/>
      </c>
      <c r="Y15" s="185" t="str">
        <f>IFERROR(IF(VLOOKUP($A15,#REF!,36,FALSE)&lt;&gt;0,VLOOKUP($A15,#REF!,36,FALSE),""),"")</f>
        <v/>
      </c>
      <c r="AK15" s="77" t="s">
        <v>125</v>
      </c>
      <c r="AL15" s="77" t="s">
        <v>0</v>
      </c>
      <c r="AM15" s="77" t="s">
        <v>126</v>
      </c>
      <c r="AN15" s="77" t="s">
        <v>127</v>
      </c>
      <c r="AO15" s="90">
        <v>45316.833333333336</v>
      </c>
      <c r="AP15" s="90">
        <v>45316.478472222225</v>
      </c>
      <c r="AQ15" s="90" t="s">
        <v>128</v>
      </c>
      <c r="AR15" s="77" t="s">
        <v>129</v>
      </c>
      <c r="AS15" s="90" t="s">
        <v>130</v>
      </c>
      <c r="AT15" s="77" t="s">
        <v>131</v>
      </c>
      <c r="AU15" s="77" t="s">
        <v>126</v>
      </c>
      <c r="AV15" s="77" t="s">
        <v>58</v>
      </c>
      <c r="AW15" s="77" t="s">
        <v>57</v>
      </c>
      <c r="AX15" s="77" t="s">
        <v>58</v>
      </c>
      <c r="AY15" s="77" t="s">
        <v>58</v>
      </c>
      <c r="AZ15" s="77" t="s">
        <v>58</v>
      </c>
      <c r="BA15" s="77" t="s">
        <v>58</v>
      </c>
      <c r="BB15" s="77" t="s">
        <v>59</v>
      </c>
      <c r="BC15" s="77" t="s">
        <v>58</v>
      </c>
    </row>
    <row r="16" spans="1:63" ht="16.5" thickBot="1">
      <c r="A16" s="137" t="s">
        <v>132</v>
      </c>
      <c r="B16" s="91" t="str">
        <f t="shared" si="0"/>
        <v>ERN17451</v>
      </c>
      <c r="C16" s="92" t="str">
        <f t="shared" si="4"/>
        <v>Rayden N.V.</v>
      </c>
      <c r="D16" s="93" t="str">
        <f t="shared" si="1"/>
        <v>ENB14286</v>
      </c>
      <c r="E16" s="94">
        <f t="shared" si="5"/>
        <v>45317.28125</v>
      </c>
      <c r="F16" s="95" t="s">
        <v>61</v>
      </c>
      <c r="G16" s="95"/>
      <c r="H16" s="91" t="e">
        <f>IF(VLOOKUP(A16,#REF!,10,FALSE)=0,VLOOKUP(A16,AJ:BJ,11,FALSE),VLOOKUP(A16,#REF!,10,FALSE))</f>
        <v>#REF!</v>
      </c>
      <c r="I16" s="96" t="str">
        <f t="shared" si="2"/>
        <v>BZQ</v>
      </c>
      <c r="J16" s="118" t="str">
        <f>IFERROR(IF(VLOOKUP($A16,#REF!,14,FALSE)="","","Y"),"")</f>
        <v/>
      </c>
      <c r="K16" s="97"/>
      <c r="L16" s="97"/>
      <c r="M16" s="98" t="str">
        <f t="shared" si="3"/>
        <v>BZQ 1</v>
      </c>
      <c r="N16" s="99"/>
      <c r="O16" s="100"/>
      <c r="P16" s="100"/>
      <c r="Q16" s="100" t="str">
        <f>IFERROR(IF(VLOOKUP($A16,#REF!,30,FALSE)="","","Y"),"")</f>
        <v/>
      </c>
      <c r="R16" s="100" t="str">
        <f>IFERROR(IF(VLOOKUP($A16,#REF!,37,FALSE)="","","Y"),"")</f>
        <v/>
      </c>
      <c r="S16" s="116"/>
      <c r="T16" s="165"/>
      <c r="U16" s="117"/>
      <c r="V16" s="117" t="str">
        <f>IFERROR(IF(VLOOKUP($A16,#REF!,11,FALSE)="VARIATA","NEW TRAILER",""),"")</f>
        <v/>
      </c>
      <c r="W16" s="117" t="str">
        <f>IFERROR(IF(VLOOKUP(A16,#REF!,18,FALSE)&lt;&gt;"",VLOOKUP(A16,#REF!,18,FALSE),VLOOKUP(A16,#REF!,16,FALSE)),"")</f>
        <v/>
      </c>
      <c r="X16" s="117" t="str">
        <f>IFERROR(CONCATENATE(VLOOKUP($A16,#REF!,33,FALSE)," - ",VLOOKUP($A16,#REF!,13,FALSE)," - "),"")</f>
        <v/>
      </c>
      <c r="Y16" s="185" t="str">
        <f>IFERROR(IF(VLOOKUP($A16,#REF!,36,FALSE)&lt;&gt;0,VLOOKUP($A16,#REF!,36,FALSE),""),"")</f>
        <v/>
      </c>
      <c r="AA16" s="188"/>
      <c r="AJ16" s="114" t="s">
        <v>132</v>
      </c>
      <c r="AK16" s="77" t="s">
        <v>133</v>
      </c>
      <c r="AL16" s="77" t="s">
        <v>0</v>
      </c>
      <c r="AM16" s="77" t="s">
        <v>134</v>
      </c>
      <c r="AN16" s="77" t="s">
        <v>51</v>
      </c>
      <c r="AO16" s="90">
        <v>45317.28125</v>
      </c>
      <c r="AP16" s="90"/>
      <c r="AQ16" s="90" t="s">
        <v>135</v>
      </c>
      <c r="AR16" s="77" t="s">
        <v>136</v>
      </c>
      <c r="AS16" s="90" t="s">
        <v>137</v>
      </c>
      <c r="AT16" s="77" t="s">
        <v>138</v>
      </c>
      <c r="AU16" s="77" t="s">
        <v>134</v>
      </c>
      <c r="AV16" s="77" t="s">
        <v>56</v>
      </c>
      <c r="AW16" s="77" t="s">
        <v>57</v>
      </c>
      <c r="AX16" s="77" t="s">
        <v>58</v>
      </c>
      <c r="AY16" s="77" t="s">
        <v>58</v>
      </c>
      <c r="AZ16" s="77" t="s">
        <v>58</v>
      </c>
      <c r="BA16" s="77" t="s">
        <v>58</v>
      </c>
      <c r="BB16" s="77" t="s">
        <v>59</v>
      </c>
      <c r="BC16" s="77" t="s">
        <v>58</v>
      </c>
    </row>
    <row r="17" spans="1:55">
      <c r="A17" s="137" t="s">
        <v>139</v>
      </c>
      <c r="B17" s="91" t="str">
        <f t="shared" si="0"/>
        <v>ERN16950</v>
      </c>
      <c r="C17" s="92" t="str">
        <f t="shared" si="4"/>
        <v>Matelda Srl</v>
      </c>
      <c r="D17" s="93" t="str">
        <f t="shared" si="1"/>
        <v>ENBD20124</v>
      </c>
      <c r="E17" s="94">
        <f t="shared" si="5"/>
        <v>45317.28125</v>
      </c>
      <c r="F17" s="95" t="s">
        <v>61</v>
      </c>
      <c r="G17" s="95"/>
      <c r="H17" s="91" t="e">
        <f>IF(VLOOKUP(A17,#REF!,10,FALSE)=0,VLOOKUP(A17,AJ:BJ,11,FALSE),VLOOKUP(A17,#REF!,10,FALSE))</f>
        <v>#REF!</v>
      </c>
      <c r="I17" s="96" t="str">
        <f t="shared" si="2"/>
        <v>BZQ</v>
      </c>
      <c r="J17" s="118" t="str">
        <f>IFERROR(IF(VLOOKUP($A17,#REF!,14,FALSE)="","","Y"),"")</f>
        <v/>
      </c>
      <c r="K17" s="97"/>
      <c r="L17" s="97"/>
      <c r="M17" s="98" t="str">
        <f t="shared" si="3"/>
        <v>BZQ 2</v>
      </c>
      <c r="N17" s="99"/>
      <c r="O17" s="100"/>
      <c r="P17" s="100"/>
      <c r="Q17" s="100" t="str">
        <f>IFERROR(IF(VLOOKUP($A17,#REF!,30,FALSE)="","","Y"),"")</f>
        <v/>
      </c>
      <c r="R17" s="100" t="str">
        <f>IFERROR(IF(VLOOKUP($A17,#REF!,37,FALSE)="","","Y"),"")</f>
        <v/>
      </c>
      <c r="S17" s="116"/>
      <c r="T17" s="165"/>
      <c r="U17" s="117"/>
      <c r="V17" s="117" t="str">
        <f>IFERROR(IF(VLOOKUP($A17,#REF!,11,FALSE)="VARIATA","NEW TRAILER",""),"")</f>
        <v/>
      </c>
      <c r="W17" s="117" t="str">
        <f>IFERROR(IF(VLOOKUP(A17,#REF!,18,FALSE)&lt;&gt;"",VLOOKUP(A17,#REF!,18,FALSE),VLOOKUP(A17,#REF!,16,FALSE)),"")</f>
        <v/>
      </c>
      <c r="X17" s="117" t="str">
        <f>IFERROR(CONCATENATE(VLOOKUP($A17,#REF!,33,FALSE)," - ",VLOOKUP($A17,#REF!,13,FALSE)," - "),"")</f>
        <v/>
      </c>
      <c r="Y17" s="185" t="str">
        <f>IFERROR(IF(VLOOKUP($A17,#REF!,36,FALSE)&lt;&gt;0,VLOOKUP($A17,#REF!,36,FALSE),""),"")</f>
        <v/>
      </c>
      <c r="AJ17" s="114" t="s">
        <v>139</v>
      </c>
      <c r="AK17" s="77" t="s">
        <v>140</v>
      </c>
      <c r="AL17" s="77" t="s">
        <v>0</v>
      </c>
      <c r="AM17" s="77" t="s">
        <v>134</v>
      </c>
      <c r="AN17" s="77" t="s">
        <v>66</v>
      </c>
      <c r="AO17" s="90">
        <v>45317.28125</v>
      </c>
      <c r="AP17" s="90"/>
      <c r="AQ17" s="77" t="s">
        <v>52</v>
      </c>
      <c r="AT17" s="77" t="s">
        <v>141</v>
      </c>
      <c r="AU17" s="77" t="s">
        <v>134</v>
      </c>
      <c r="AV17" s="77" t="s">
        <v>58</v>
      </c>
      <c r="AW17" s="77" t="s">
        <v>57</v>
      </c>
      <c r="AX17" s="77" t="s">
        <v>58</v>
      </c>
      <c r="AY17" s="77" t="s">
        <v>58</v>
      </c>
      <c r="AZ17" s="77" t="s">
        <v>58</v>
      </c>
      <c r="BA17" s="77" t="s">
        <v>58</v>
      </c>
      <c r="BB17" s="77" t="s">
        <v>59</v>
      </c>
      <c r="BC17" s="77" t="s">
        <v>58</v>
      </c>
    </row>
    <row r="18" spans="1:55">
      <c r="A18" s="137" t="s">
        <v>142</v>
      </c>
      <c r="B18" s="91" t="str">
        <f t="shared" si="0"/>
        <v>ERN17213</v>
      </c>
      <c r="C18" s="92" t="str">
        <f t="shared" si="4"/>
        <v>Ewals Cargo Care B.V.</v>
      </c>
      <c r="D18" s="93" t="str">
        <f t="shared" si="1"/>
        <v>ENB17866</v>
      </c>
      <c r="E18" s="94">
        <f t="shared" si="5"/>
        <v>45317.239583333336</v>
      </c>
      <c r="F18" s="95" t="s">
        <v>61</v>
      </c>
      <c r="G18" s="95"/>
      <c r="H18" s="91" t="e">
        <f>IF(VLOOKUP(A18,#REF!,10,FALSE)=0,VLOOKUP(A18,AJ:BJ,11,FALSE),VLOOKUP(A18,#REF!,10,FALSE))</f>
        <v>#REF!</v>
      </c>
      <c r="I18" s="96" t="str">
        <f t="shared" si="2"/>
        <v>QAR</v>
      </c>
      <c r="J18" s="118" t="str">
        <f>IFERROR(IF(VLOOKUP($A18,#REF!,14,FALSE)="","","Y"),"")</f>
        <v/>
      </c>
      <c r="K18" s="97"/>
      <c r="L18" s="97"/>
      <c r="M18" s="98" t="str">
        <f t="shared" si="3"/>
        <v>QAR 1</v>
      </c>
      <c r="N18" s="99"/>
      <c r="O18" s="100"/>
      <c r="P18" s="100"/>
      <c r="Q18" s="100" t="str">
        <f>IFERROR(IF(VLOOKUP($A18,#REF!,30,FALSE)="","","Y"),"")</f>
        <v/>
      </c>
      <c r="R18" s="100" t="str">
        <f>IFERROR(IF(VLOOKUP($A18,#REF!,37,FALSE)="","","Y"),"")</f>
        <v/>
      </c>
      <c r="S18" s="116"/>
      <c r="T18" s="165"/>
      <c r="U18" s="117"/>
      <c r="V18" s="117" t="str">
        <f>IFERROR(IF(VLOOKUP($A18,#REF!,11,FALSE)="VARIATA","NEW TRAILER",""),"")</f>
        <v/>
      </c>
      <c r="W18" s="117" t="str">
        <f>IFERROR(IF(VLOOKUP(A18,#REF!,18,FALSE)&lt;&gt;"",VLOOKUP(A18,#REF!,18,FALSE),VLOOKUP(A18,#REF!,16,FALSE)),"")</f>
        <v/>
      </c>
      <c r="X18" s="117" t="str">
        <f>IFERROR(CONCATENATE(VLOOKUP($A18,#REF!,33,FALSE)," - ",VLOOKUP($A18,#REF!,13,FALSE)," - "),"")</f>
        <v/>
      </c>
      <c r="Y18" s="185" t="str">
        <f>IFERROR(IF(VLOOKUP($A18,#REF!,36,FALSE)&lt;&gt;0,VLOOKUP($A18,#REF!,36,FALSE),""),"")</f>
        <v/>
      </c>
      <c r="AJ18" s="114" t="s">
        <v>124</v>
      </c>
      <c r="AK18" s="77" t="s">
        <v>143</v>
      </c>
      <c r="AL18" s="77" t="s">
        <v>0</v>
      </c>
      <c r="AM18" s="77" t="s">
        <v>124</v>
      </c>
      <c r="AN18" s="77" t="s">
        <v>51</v>
      </c>
      <c r="AO18" s="90">
        <v>45317.260416666664</v>
      </c>
      <c r="AP18" s="90"/>
      <c r="AQ18" s="90" t="s">
        <v>144</v>
      </c>
      <c r="AR18" s="77" t="s">
        <v>145</v>
      </c>
      <c r="AS18" s="90" t="s">
        <v>146</v>
      </c>
      <c r="AT18" s="77" t="s">
        <v>147</v>
      </c>
      <c r="AU18" s="77" t="s">
        <v>124</v>
      </c>
      <c r="AV18" s="77" t="s">
        <v>56</v>
      </c>
      <c r="AW18" s="77" t="s">
        <v>57</v>
      </c>
      <c r="AX18" s="77" t="s">
        <v>58</v>
      </c>
      <c r="AY18" s="77" t="s">
        <v>58</v>
      </c>
      <c r="AZ18" s="77" t="s">
        <v>58</v>
      </c>
      <c r="BA18" s="77" t="s">
        <v>58</v>
      </c>
      <c r="BB18" s="77" t="s">
        <v>59</v>
      </c>
      <c r="BC18" s="77" t="s">
        <v>58</v>
      </c>
    </row>
    <row r="19" spans="1:55">
      <c r="A19" s="137" t="s">
        <v>148</v>
      </c>
      <c r="B19" s="91" t="str">
        <f t="shared" si="0"/>
        <v>ERN17143</v>
      </c>
      <c r="C19" s="92" t="str">
        <f t="shared" si="4"/>
        <v>Rayden N.V.</v>
      </c>
      <c r="D19" s="93" t="str">
        <f t="shared" si="1"/>
        <v>ENB17836</v>
      </c>
      <c r="E19" s="94">
        <f t="shared" si="5"/>
        <v>45317.28125</v>
      </c>
      <c r="F19" s="95" t="s">
        <v>61</v>
      </c>
      <c r="G19" s="95"/>
      <c r="H19" s="91" t="e">
        <f>IF(VLOOKUP(A19,#REF!,10,FALSE)=0,VLOOKUP(A19,AJ:BJ,11,FALSE),VLOOKUP(A19,#REF!,10,FALSE))</f>
        <v>#REF!</v>
      </c>
      <c r="I19" s="96" t="str">
        <f t="shared" si="2"/>
        <v>QAR</v>
      </c>
      <c r="J19" s="118" t="str">
        <f>IFERROR(IF(VLOOKUP($A19,#REF!,14,FALSE)="","","Y"),"")</f>
        <v/>
      </c>
      <c r="K19" s="97"/>
      <c r="L19" s="97"/>
      <c r="M19" s="98" t="str">
        <f t="shared" si="3"/>
        <v>QAR 2</v>
      </c>
      <c r="N19" s="99"/>
      <c r="O19" s="100"/>
      <c r="P19" s="100"/>
      <c r="Q19" s="100" t="str">
        <f>IFERROR(IF(VLOOKUP($A19,#REF!,30,FALSE)="","","Y"),"")</f>
        <v/>
      </c>
      <c r="R19" s="100" t="str">
        <f>IFERROR(IF(VLOOKUP($A19,#REF!,37,FALSE)="","","Y"),"")</f>
        <v/>
      </c>
      <c r="S19" s="116"/>
      <c r="T19" s="165"/>
      <c r="U19" s="117"/>
      <c r="V19" s="117" t="str">
        <f>IFERROR(IF(VLOOKUP($A19,#REF!,11,FALSE)="VARIATA","NEW TRAILER",""),"")</f>
        <v/>
      </c>
      <c r="W19" s="117" t="str">
        <f>IFERROR(IF(VLOOKUP(A19,#REF!,18,FALSE)&lt;&gt;"",VLOOKUP(A19,#REF!,18,FALSE),VLOOKUP(A19,#REF!,16,FALSE)),"")</f>
        <v/>
      </c>
      <c r="X19" s="117" t="str">
        <f>IFERROR(CONCATENATE(VLOOKUP($A19,#REF!,33,FALSE)," - ",VLOOKUP($A19,#REF!,13,FALSE)," - "),"")</f>
        <v/>
      </c>
      <c r="Y19" s="185" t="str">
        <f>IFERROR(IF(VLOOKUP($A19,#REF!,36,FALSE)&lt;&gt;0,VLOOKUP($A19,#REF!,36,FALSE),""),"")</f>
        <v/>
      </c>
      <c r="AJ19" s="114" t="s">
        <v>60</v>
      </c>
      <c r="AK19" s="77" t="s">
        <v>149</v>
      </c>
      <c r="AL19" s="77" t="s">
        <v>0</v>
      </c>
      <c r="AM19" s="77" t="s">
        <v>150</v>
      </c>
      <c r="AN19" s="77" t="s">
        <v>51</v>
      </c>
      <c r="AO19" s="90">
        <v>45344.020833333336</v>
      </c>
      <c r="AP19" s="90"/>
      <c r="AQ19" s="90" t="s">
        <v>151</v>
      </c>
      <c r="AR19" s="77" t="s">
        <v>152</v>
      </c>
      <c r="AS19" s="77" t="s">
        <v>153</v>
      </c>
      <c r="AT19" s="77" t="s">
        <v>154</v>
      </c>
      <c r="AU19" s="77" t="s">
        <v>150</v>
      </c>
      <c r="AV19" s="77" t="s">
        <v>56</v>
      </c>
      <c r="AW19" s="77" t="s">
        <v>57</v>
      </c>
      <c r="AX19" s="77" t="s">
        <v>58</v>
      </c>
      <c r="AY19" s="77" t="s">
        <v>58</v>
      </c>
      <c r="AZ19" s="77" t="s">
        <v>58</v>
      </c>
      <c r="BA19" s="77" t="s">
        <v>58</v>
      </c>
      <c r="BB19" s="77" t="s">
        <v>59</v>
      </c>
      <c r="BC19" s="77" t="s">
        <v>58</v>
      </c>
    </row>
    <row r="20" spans="1:55">
      <c r="A20" s="137" t="s">
        <v>155</v>
      </c>
      <c r="B20" s="91" t="str">
        <f t="shared" si="0"/>
        <v>ERN14443</v>
      </c>
      <c r="C20" s="92" t="str">
        <f t="shared" si="4"/>
        <v>T Service Spa</v>
      </c>
      <c r="D20" s="93">
        <f t="shared" si="1"/>
        <v>0</v>
      </c>
      <c r="E20" s="94">
        <f t="shared" si="5"/>
        <v>45317.28125</v>
      </c>
      <c r="F20" s="95" t="s">
        <v>61</v>
      </c>
      <c r="G20" s="95"/>
      <c r="H20" s="91" t="e">
        <f>IF(VLOOKUP(A20,#REF!,10,FALSE)=0,VLOOKUP(A20,AJ:BJ,11,FALSE),VLOOKUP(A20,#REF!,10,FALSE))</f>
        <v>#REF!</v>
      </c>
      <c r="I20" s="96" t="str">
        <f t="shared" si="2"/>
        <v>QAR</v>
      </c>
      <c r="J20" s="118" t="str">
        <f>IFERROR(IF(VLOOKUP($A20,#REF!,14,FALSE)="","","Y"),"")</f>
        <v/>
      </c>
      <c r="K20" s="97"/>
      <c r="L20" s="97"/>
      <c r="M20" s="98" t="str">
        <f t="shared" si="3"/>
        <v>QAR 3</v>
      </c>
      <c r="N20" s="99"/>
      <c r="O20" s="100"/>
      <c r="P20" s="100"/>
      <c r="Q20" s="100" t="str">
        <f>IFERROR(IF(VLOOKUP($A20,#REF!,30,FALSE)="","","Y"),"")</f>
        <v/>
      </c>
      <c r="R20" s="100" t="str">
        <f>IFERROR(IF(VLOOKUP($A20,#REF!,37,FALSE)="","","Y"),"")</f>
        <v/>
      </c>
      <c r="S20" s="116"/>
      <c r="T20" s="165"/>
      <c r="U20" s="117"/>
      <c r="V20" s="117" t="str">
        <f>IFERROR(IF(VLOOKUP($A20,#REF!,11,FALSE)="VARIATA","NEW TRAILER",""),"")</f>
        <v/>
      </c>
      <c r="W20" s="117" t="str">
        <f>IFERROR(IF(VLOOKUP(A20,#REF!,18,FALSE)&lt;&gt;"",VLOOKUP(A20,#REF!,18,FALSE),VLOOKUP(A20,#REF!,16,FALSE)),"")</f>
        <v/>
      </c>
      <c r="X20" s="117" t="str">
        <f>IFERROR(CONCATENATE(VLOOKUP($A20,#REF!,33,FALSE)," - ",VLOOKUP($A20,#REF!,13,FALSE)," - "),"")</f>
        <v/>
      </c>
      <c r="Y20" s="185" t="str">
        <f>IFERROR(IF(VLOOKUP($A20,#REF!,36,FALSE)&lt;&gt;0,VLOOKUP($A20,#REF!,36,FALSE),""),"")</f>
        <v/>
      </c>
      <c r="AJ20" s="114" t="s">
        <v>93</v>
      </c>
      <c r="AK20" s="77" t="s">
        <v>156</v>
      </c>
      <c r="AL20" s="77" t="s">
        <v>0</v>
      </c>
      <c r="AM20" s="77" t="s">
        <v>150</v>
      </c>
      <c r="AN20" s="77" t="s">
        <v>66</v>
      </c>
      <c r="AO20" s="90">
        <v>45317.020833333336</v>
      </c>
      <c r="AP20" s="90"/>
      <c r="AQ20" s="77" t="s">
        <v>128</v>
      </c>
      <c r="AU20" s="77" t="s">
        <v>150</v>
      </c>
      <c r="AV20" s="77" t="s">
        <v>58</v>
      </c>
      <c r="AW20" s="77" t="s">
        <v>57</v>
      </c>
      <c r="AX20" s="77" t="s">
        <v>58</v>
      </c>
      <c r="AY20" s="77" t="s">
        <v>58</v>
      </c>
      <c r="AZ20" s="77" t="s">
        <v>58</v>
      </c>
      <c r="BA20" s="77" t="s">
        <v>58</v>
      </c>
      <c r="BB20" s="77" t="s">
        <v>59</v>
      </c>
      <c r="BC20" s="77" t="s">
        <v>58</v>
      </c>
    </row>
    <row r="21" spans="1:55">
      <c r="A21" s="137" t="s">
        <v>157</v>
      </c>
      <c r="B21" s="91" t="str">
        <f t="shared" si="0"/>
        <v>ERN17079</v>
      </c>
      <c r="C21" s="92" t="str">
        <f t="shared" si="4"/>
        <v>Fedex Express Netherlands Bv Rno Own Nl</v>
      </c>
      <c r="D21" s="93" t="str">
        <f t="shared" si="1"/>
        <v>ENBD20365</v>
      </c>
      <c r="E21" s="94">
        <f t="shared" si="5"/>
        <v>45317.28125</v>
      </c>
      <c r="F21" s="95" t="s">
        <v>61</v>
      </c>
      <c r="G21" s="95"/>
      <c r="H21" s="91" t="e">
        <f>IF(VLOOKUP(A21,#REF!,10,FALSE)=0,VLOOKUP(A21,AJ:BJ,11,FALSE),VLOOKUP(A21,#REF!,10,FALSE))</f>
        <v>#REF!</v>
      </c>
      <c r="I21" s="96" t="str">
        <f t="shared" si="2"/>
        <v>DZ5</v>
      </c>
      <c r="J21" s="118" t="str">
        <f>IFERROR(IF(VLOOKUP($A21,#REF!,14,FALSE)="","","Y"),"")</f>
        <v/>
      </c>
      <c r="K21" s="97"/>
      <c r="L21" s="97"/>
      <c r="M21" s="98" t="str">
        <f t="shared" si="3"/>
        <v>DZ5 1</v>
      </c>
      <c r="N21" s="99"/>
      <c r="O21" s="100"/>
      <c r="P21" s="100"/>
      <c r="Q21" s="100" t="str">
        <f>IFERROR(IF(VLOOKUP($A21,#REF!,30,FALSE)="","","Y"),"")</f>
        <v/>
      </c>
      <c r="R21" s="100" t="str">
        <f>IFERROR(IF(VLOOKUP($A21,#REF!,37,FALSE)="","","Y"),"")</f>
        <v/>
      </c>
      <c r="S21" s="116"/>
      <c r="T21" s="165"/>
      <c r="U21" s="117"/>
      <c r="V21" s="117" t="str">
        <f>IFERROR(IF(VLOOKUP($A21,#REF!,11,FALSE)="VARIATA","NEW TRAILER",""),"")</f>
        <v/>
      </c>
      <c r="W21" s="117" t="str">
        <f>IFERROR(IF(VLOOKUP(A21,#REF!,18,FALSE)&lt;&gt;"",VLOOKUP(A21,#REF!,18,FALSE),VLOOKUP(A21,#REF!,16,FALSE)),"")</f>
        <v/>
      </c>
      <c r="X21" s="117" t="str">
        <f>IFERROR(CONCATENATE(VLOOKUP($A21,#REF!,33,FALSE)," - ",VLOOKUP($A21,#REF!,13,FALSE)," - "),"")</f>
        <v/>
      </c>
      <c r="Y21" s="185" t="str">
        <f>IFERROR(IF(VLOOKUP($A21,#REF!,36,FALSE)&lt;&gt;0,VLOOKUP($A21,#REF!,36,FALSE),""),"")</f>
        <v/>
      </c>
      <c r="AJ21" s="114" t="s">
        <v>69</v>
      </c>
      <c r="AK21" s="77" t="s">
        <v>158</v>
      </c>
      <c r="AL21" s="77" t="s">
        <v>0</v>
      </c>
      <c r="AM21" s="77" t="s">
        <v>150</v>
      </c>
      <c r="AN21" s="77" t="s">
        <v>66</v>
      </c>
      <c r="AO21" s="90">
        <v>45317.020833333336</v>
      </c>
      <c r="AP21" s="90"/>
      <c r="AQ21" s="90" t="s">
        <v>151</v>
      </c>
      <c r="AR21" s="77" t="s">
        <v>159</v>
      </c>
      <c r="AS21" s="90" t="s">
        <v>160</v>
      </c>
      <c r="AU21" s="77" t="s">
        <v>150</v>
      </c>
      <c r="AV21" s="77" t="s">
        <v>58</v>
      </c>
      <c r="AW21" s="77" t="s">
        <v>57</v>
      </c>
      <c r="AX21" s="77" t="s">
        <v>58</v>
      </c>
      <c r="AY21" s="77" t="s">
        <v>58</v>
      </c>
      <c r="AZ21" s="77" t="s">
        <v>58</v>
      </c>
      <c r="BA21" s="77" t="s">
        <v>58</v>
      </c>
      <c r="BB21" s="77" t="s">
        <v>59</v>
      </c>
      <c r="BC21" s="77" t="s">
        <v>58</v>
      </c>
    </row>
    <row r="22" spans="1:55">
      <c r="A22" s="137" t="s">
        <v>161</v>
      </c>
      <c r="B22" s="91" t="str">
        <f t="shared" si="0"/>
        <v>ERN17137</v>
      </c>
      <c r="C22" s="92" t="str">
        <f t="shared" si="4"/>
        <v>Ewals Cargo Care B.V.</v>
      </c>
      <c r="D22" s="93" t="str">
        <f t="shared" si="1"/>
        <v>ENB17269</v>
      </c>
      <c r="E22" s="94">
        <f t="shared" si="5"/>
        <v>45317.28125</v>
      </c>
      <c r="F22" s="95" t="s">
        <v>61</v>
      </c>
      <c r="G22" s="95"/>
      <c r="H22" s="91" t="e">
        <f>IF(VLOOKUP(A22,#REF!,10,FALSE)=0,VLOOKUP(A22,AJ:BJ,11,FALSE),VLOOKUP(A22,#REF!,10,FALSE))</f>
        <v>#REF!</v>
      </c>
      <c r="I22" s="96" t="str">
        <f t="shared" si="2"/>
        <v>DZ5</v>
      </c>
      <c r="J22" s="118" t="str">
        <f>IFERROR(IF(VLOOKUP($A22,#REF!,14,FALSE)="","","Y"),"")</f>
        <v/>
      </c>
      <c r="K22" s="97"/>
      <c r="L22" s="97"/>
      <c r="M22" s="98" t="str">
        <f t="shared" si="3"/>
        <v>DZ5 2</v>
      </c>
      <c r="N22" s="99"/>
      <c r="O22" s="100"/>
      <c r="P22" s="100"/>
      <c r="Q22" s="100" t="str">
        <f>IFERROR(IF(VLOOKUP($A22,#REF!,30,FALSE)="","","Y"),"")</f>
        <v/>
      </c>
      <c r="R22" s="100" t="str">
        <f>IFERROR(IF(VLOOKUP($A22,#REF!,37,FALSE)="","","Y"),"")</f>
        <v/>
      </c>
      <c r="S22" s="116"/>
      <c r="T22" s="165"/>
      <c r="U22" s="117"/>
      <c r="V22" s="117" t="str">
        <f>IFERROR(IF(VLOOKUP($A22,#REF!,11,FALSE)="VARIATA","NEW TRAILER",""),"")</f>
        <v/>
      </c>
      <c r="W22" s="117" t="str">
        <f>IFERROR(IF(VLOOKUP(A22,#REF!,18,FALSE)&lt;&gt;"",VLOOKUP(A22,#REF!,18,FALSE),VLOOKUP(A22,#REF!,16,FALSE)),"")</f>
        <v/>
      </c>
      <c r="X22" s="117" t="str">
        <f>IFERROR(CONCATENATE(VLOOKUP($A22,#REF!,33,FALSE)," - ",VLOOKUP($A22,#REF!,13,FALSE)," - "),"")</f>
        <v/>
      </c>
      <c r="Y22" s="185" t="str">
        <f>IFERROR(IF(VLOOKUP($A22,#REF!,36,FALSE)&lt;&gt;0,VLOOKUP($A22,#REF!,36,FALSE),""),"")</f>
        <v/>
      </c>
      <c r="AJ22" s="114" t="s">
        <v>73</v>
      </c>
      <c r="AK22" s="77" t="s">
        <v>162</v>
      </c>
      <c r="AL22" s="77" t="s">
        <v>0</v>
      </c>
      <c r="AM22" s="77" t="s">
        <v>150</v>
      </c>
      <c r="AN22" s="77" t="s">
        <v>51</v>
      </c>
      <c r="AO22" s="90">
        <v>45317.020833333336</v>
      </c>
      <c r="AP22" s="90"/>
      <c r="AQ22" s="90" t="s">
        <v>144</v>
      </c>
      <c r="AR22" s="77" t="s">
        <v>163</v>
      </c>
      <c r="AS22" s="90" t="s">
        <v>164</v>
      </c>
      <c r="AT22" s="77" t="s">
        <v>165</v>
      </c>
      <c r="AU22" s="77" t="s">
        <v>150</v>
      </c>
      <c r="AV22" s="77" t="s">
        <v>58</v>
      </c>
      <c r="AW22" s="77" t="s">
        <v>57</v>
      </c>
      <c r="AX22" s="77" t="s">
        <v>58</v>
      </c>
      <c r="AY22" s="77" t="s">
        <v>58</v>
      </c>
      <c r="AZ22" s="77" t="s">
        <v>58</v>
      </c>
      <c r="BA22" s="77" t="s">
        <v>58</v>
      </c>
      <c r="BB22" s="77" t="s">
        <v>59</v>
      </c>
      <c r="BC22" s="77" t="s">
        <v>58</v>
      </c>
    </row>
    <row r="23" spans="1:55">
      <c r="A23" s="137" t="s">
        <v>166</v>
      </c>
      <c r="B23" s="91" t="str">
        <f t="shared" si="0"/>
        <v>ERN17133</v>
      </c>
      <c r="C23" s="92" t="str">
        <f t="shared" si="4"/>
        <v>Ewals Cargo Care B.V.</v>
      </c>
      <c r="D23" s="93" t="str">
        <f t="shared" si="1"/>
        <v>ENBD20148</v>
      </c>
      <c r="E23" s="94">
        <f t="shared" si="5"/>
        <v>45317.28125</v>
      </c>
      <c r="F23" s="95" t="s">
        <v>61</v>
      </c>
      <c r="G23" s="95"/>
      <c r="H23" s="91" t="e">
        <f>IF(VLOOKUP(A23,#REF!,10,FALSE)=0,VLOOKUP(A23,AJ:BJ,11,FALSE),VLOOKUP(A23,#REF!,10,FALSE))</f>
        <v>#REF!</v>
      </c>
      <c r="I23" s="96" t="str">
        <f t="shared" si="2"/>
        <v>UDE</v>
      </c>
      <c r="J23" s="118" t="str">
        <f>IFERROR(IF(VLOOKUP($A23,#REF!,14,FALSE)="","","Y"),"")</f>
        <v/>
      </c>
      <c r="K23" s="97"/>
      <c r="L23" s="97"/>
      <c r="M23" s="98" t="str">
        <f t="shared" si="3"/>
        <v>UDE 1</v>
      </c>
      <c r="N23" s="99"/>
      <c r="O23" s="100"/>
      <c r="P23" s="100"/>
      <c r="Q23" s="100" t="str">
        <f>IFERROR(IF(VLOOKUP($A23,#REF!,30,FALSE)="","","Y"),"")</f>
        <v/>
      </c>
      <c r="R23" s="100" t="str">
        <f>IFERROR(IF(VLOOKUP($A23,#REF!,37,FALSE)="","","Y"),"")</f>
        <v/>
      </c>
      <c r="S23" s="116"/>
      <c r="T23" s="165"/>
      <c r="U23" s="117"/>
      <c r="V23" s="117" t="str">
        <f>IFERROR(IF(VLOOKUP($A23,#REF!,11,FALSE)="VARIATA","NEW TRAILER",""),"")</f>
        <v/>
      </c>
      <c r="W23" s="117" t="str">
        <f>IFERROR(IF(VLOOKUP(A23,#REF!,18,FALSE)&lt;&gt;"",VLOOKUP(A23,#REF!,18,FALSE),VLOOKUP(A23,#REF!,16,FALSE)),"")</f>
        <v/>
      </c>
      <c r="X23" s="117" t="str">
        <f>IFERROR(CONCATENATE(VLOOKUP($A23,#REF!,33,FALSE)," - ",VLOOKUP($A23,#REF!,13,FALSE)," - "),"")</f>
        <v/>
      </c>
      <c r="Y23" s="185" t="str">
        <f>IFERROR(IF(VLOOKUP($A23,#REF!,36,FALSE)&lt;&gt;0,VLOOKUP($A23,#REF!,36,FALSE),""),"")</f>
        <v/>
      </c>
      <c r="AJ23" s="114" t="s">
        <v>77</v>
      </c>
      <c r="AK23" s="77" t="s">
        <v>167</v>
      </c>
      <c r="AL23" s="77" t="s">
        <v>0</v>
      </c>
      <c r="AM23" s="77" t="s">
        <v>150</v>
      </c>
      <c r="AN23" s="77" t="s">
        <v>66</v>
      </c>
      <c r="AO23" s="90">
        <v>45317.020833333336</v>
      </c>
      <c r="AP23" s="90"/>
      <c r="AQ23" s="90" t="s">
        <v>168</v>
      </c>
      <c r="AU23" s="77" t="s">
        <v>150</v>
      </c>
      <c r="AV23" s="77" t="s">
        <v>58</v>
      </c>
      <c r="AW23" s="77" t="s">
        <v>57</v>
      </c>
      <c r="AX23" s="77" t="s">
        <v>58</v>
      </c>
      <c r="AY23" s="77" t="s">
        <v>58</v>
      </c>
      <c r="AZ23" s="77" t="s">
        <v>58</v>
      </c>
      <c r="BA23" s="77" t="s">
        <v>58</v>
      </c>
      <c r="BB23" s="77" t="s">
        <v>59</v>
      </c>
      <c r="BC23" s="77" t="s">
        <v>58</v>
      </c>
    </row>
    <row r="24" spans="1:55">
      <c r="A24" s="137" t="s">
        <v>169</v>
      </c>
      <c r="B24" s="91" t="str">
        <f t="shared" si="0"/>
        <v>ERN17060</v>
      </c>
      <c r="C24" s="92" t="str">
        <f t="shared" si="4"/>
        <v>Etb Freight International Kft.</v>
      </c>
      <c r="D24" s="93" t="str">
        <f t="shared" si="1"/>
        <v>ENBD20253</v>
      </c>
      <c r="E24" s="94">
        <f t="shared" si="5"/>
        <v>45317.28125</v>
      </c>
      <c r="F24" s="95" t="s">
        <v>61</v>
      </c>
      <c r="G24" s="95"/>
      <c r="H24" s="91" t="e">
        <f>IF(VLOOKUP(A24,#REF!,10,FALSE)=0,VLOOKUP(A24,AJ:BJ,11,FALSE),VLOOKUP(A24,#REF!,10,FALSE))</f>
        <v>#REF!</v>
      </c>
      <c r="I24" s="96" t="str">
        <f t="shared" si="2"/>
        <v>UDE</v>
      </c>
      <c r="J24" s="118" t="str">
        <f>IFERROR(IF(VLOOKUP($A24,#REF!,14,FALSE)="","","Y"),"")</f>
        <v/>
      </c>
      <c r="K24" s="97"/>
      <c r="L24" s="97"/>
      <c r="M24" s="98" t="str">
        <f t="shared" si="3"/>
        <v>UDE 2</v>
      </c>
      <c r="N24" s="99"/>
      <c r="O24" s="100"/>
      <c r="P24" s="100"/>
      <c r="Q24" s="100" t="str">
        <f>IFERROR(IF(VLOOKUP($A24,#REF!,30,FALSE)="","","Y"),"")</f>
        <v/>
      </c>
      <c r="R24" s="100" t="str">
        <f>IFERROR(IF(VLOOKUP($A24,#REF!,37,FALSE)="","","Y"),"")</f>
        <v/>
      </c>
      <c r="S24" s="116"/>
      <c r="T24" s="165"/>
      <c r="U24" s="117"/>
      <c r="V24" s="117" t="str">
        <f>IFERROR(IF(VLOOKUP($A24,#REF!,11,FALSE)="VARIATA","NEW TRAILER",""),"")</f>
        <v/>
      </c>
      <c r="W24" s="117" t="str">
        <f>IFERROR(IF(VLOOKUP(A24,#REF!,18,FALSE)&lt;&gt;"",VLOOKUP(A24,#REF!,18,FALSE),VLOOKUP(A24,#REF!,16,FALSE)),"")</f>
        <v/>
      </c>
      <c r="X24" s="117" t="str">
        <f>IFERROR(CONCATENATE(VLOOKUP($A24,#REF!,33,FALSE)," - ",VLOOKUP($A24,#REF!,13,FALSE)," - "),"")</f>
        <v/>
      </c>
      <c r="Y24" s="185" t="str">
        <f>IFERROR(IF(VLOOKUP($A24,#REF!,36,FALSE)&lt;&gt;0,VLOOKUP($A24,#REF!,36,FALSE),""),"")</f>
        <v/>
      </c>
      <c r="AJ24" s="114" t="s">
        <v>86</v>
      </c>
      <c r="AK24" s="77" t="s">
        <v>170</v>
      </c>
      <c r="AL24" s="77" t="s">
        <v>0</v>
      </c>
      <c r="AM24" s="77" t="s">
        <v>150</v>
      </c>
      <c r="AN24" s="77" t="s">
        <v>66</v>
      </c>
      <c r="AO24" s="90">
        <v>45317.020833333336</v>
      </c>
      <c r="AP24" s="90"/>
      <c r="AQ24" s="77" t="s">
        <v>171</v>
      </c>
      <c r="AU24" s="77" t="s">
        <v>150</v>
      </c>
      <c r="AV24" s="77" t="s">
        <v>58</v>
      </c>
      <c r="AW24" s="77" t="s">
        <v>57</v>
      </c>
      <c r="AX24" s="77" t="s">
        <v>58</v>
      </c>
      <c r="AY24" s="77" t="s">
        <v>58</v>
      </c>
      <c r="AZ24" s="77" t="s">
        <v>58</v>
      </c>
      <c r="BA24" s="77" t="s">
        <v>58</v>
      </c>
      <c r="BB24" s="77" t="s">
        <v>59</v>
      </c>
      <c r="BC24" s="77" t="s">
        <v>58</v>
      </c>
    </row>
    <row r="25" spans="1:55">
      <c r="A25" s="137" t="s">
        <v>172</v>
      </c>
      <c r="B25" s="91" t="str">
        <f t="shared" si="0"/>
        <v>ERN05729</v>
      </c>
      <c r="C25" s="92" t="str">
        <f t="shared" si="4"/>
        <v>Matelda Srl</v>
      </c>
      <c r="D25" s="93">
        <f t="shared" si="1"/>
        <v>0</v>
      </c>
      <c r="E25" s="94">
        <f t="shared" si="5"/>
        <v>45317.28125</v>
      </c>
      <c r="F25" s="95" t="s">
        <v>61</v>
      </c>
      <c r="G25" s="95"/>
      <c r="H25" s="91" t="e">
        <f>IF(VLOOKUP(A25,#REF!,10,FALSE)=0,VLOOKUP(A25,AJ:BJ,11,FALSE),VLOOKUP(A25,#REF!,10,FALSE))</f>
        <v>#REF!</v>
      </c>
      <c r="I25" s="96" t="str">
        <f t="shared" si="2"/>
        <v>UDE</v>
      </c>
      <c r="J25" s="118" t="str">
        <f>IFERROR(IF(VLOOKUP($A25,#REF!,14,FALSE)="","","Y"),"")</f>
        <v/>
      </c>
      <c r="K25" s="97"/>
      <c r="L25" s="97"/>
      <c r="M25" s="98" t="str">
        <f t="shared" si="3"/>
        <v>UDE 3</v>
      </c>
      <c r="N25" s="99"/>
      <c r="O25" s="100"/>
      <c r="P25" s="100"/>
      <c r="Q25" s="100" t="str">
        <f>IFERROR(IF(VLOOKUP($A25,#REF!,30,FALSE)="","","Y"),"")</f>
        <v/>
      </c>
      <c r="R25" s="100" t="str">
        <f>IFERROR(IF(VLOOKUP($A25,#REF!,37,FALSE)="","","Y"),"")</f>
        <v/>
      </c>
      <c r="S25" s="116"/>
      <c r="T25" s="165"/>
      <c r="U25" s="117"/>
      <c r="V25" s="117" t="str">
        <f>IFERROR(IF(VLOOKUP($A25,#REF!,11,FALSE)="VARIATA","NEW TRAILER",""),"")</f>
        <v/>
      </c>
      <c r="W25" s="117" t="str">
        <f>IFERROR(IF(VLOOKUP(A25,#REF!,18,FALSE)&lt;&gt;"",VLOOKUP(A25,#REF!,18,FALSE),VLOOKUP(A25,#REF!,16,FALSE)),"")</f>
        <v/>
      </c>
      <c r="X25" s="117" t="str">
        <f>IFERROR(CONCATENATE(VLOOKUP($A25,#REF!,33,FALSE)," - ",VLOOKUP($A25,#REF!,13,FALSE)," - "),"")</f>
        <v/>
      </c>
      <c r="Y25" s="185" t="str">
        <f>IFERROR(IF(VLOOKUP($A25,#REF!,36,FALSE)&lt;&gt;0,VLOOKUP($A25,#REF!,36,FALSE),""),"")</f>
        <v/>
      </c>
      <c r="AJ25" s="114" t="s">
        <v>173</v>
      </c>
      <c r="AK25" s="77" t="s">
        <v>174</v>
      </c>
      <c r="AL25" s="77" t="s">
        <v>0</v>
      </c>
      <c r="AM25" s="77" t="s">
        <v>150</v>
      </c>
      <c r="AN25" s="77" t="s">
        <v>66</v>
      </c>
      <c r="AO25" s="90">
        <v>45317.239583333336</v>
      </c>
      <c r="AP25" s="90"/>
      <c r="AQ25" s="90" t="s">
        <v>171</v>
      </c>
      <c r="AS25" s="90"/>
      <c r="AU25" s="77" t="s">
        <v>150</v>
      </c>
      <c r="AV25" s="77" t="s">
        <v>58</v>
      </c>
      <c r="AW25" s="77" t="s">
        <v>57</v>
      </c>
      <c r="AX25" s="77" t="s">
        <v>58</v>
      </c>
      <c r="AY25" s="77" t="s">
        <v>58</v>
      </c>
      <c r="AZ25" s="77" t="s">
        <v>58</v>
      </c>
      <c r="BA25" s="77" t="s">
        <v>58</v>
      </c>
      <c r="BB25" s="77" t="s">
        <v>59</v>
      </c>
      <c r="BC25" s="77" t="s">
        <v>58</v>
      </c>
    </row>
    <row r="26" spans="1:55">
      <c r="A26" s="137" t="s">
        <v>175</v>
      </c>
      <c r="B26" s="91" t="str">
        <f t="shared" si="0"/>
        <v>ERN01518</v>
      </c>
      <c r="C26" s="92" t="str">
        <f t="shared" si="4"/>
        <v>Ern Own Fr</v>
      </c>
      <c r="D26" s="93">
        <f t="shared" si="1"/>
        <v>0</v>
      </c>
      <c r="E26" s="94">
        <f t="shared" si="5"/>
        <v>45316.993055555555</v>
      </c>
      <c r="F26" s="95" t="s">
        <v>61</v>
      </c>
      <c r="G26" s="95"/>
      <c r="H26" s="91" t="e">
        <f>IF(VLOOKUP(A26,#REF!,10,FALSE)=0,VLOOKUP(A26,AJ:BJ,11,FALSE),VLOOKUP(A26,#REF!,10,FALSE))</f>
        <v>#REF!</v>
      </c>
      <c r="I26" s="96" t="str">
        <f t="shared" si="2"/>
        <v>MV9</v>
      </c>
      <c r="J26" s="118" t="str">
        <f>IFERROR(IF(VLOOKUP($A26,#REF!,14,FALSE)="","","Y"),"")</f>
        <v/>
      </c>
      <c r="K26" s="97"/>
      <c r="L26" s="97"/>
      <c r="M26" s="98" t="str">
        <f t="shared" si="3"/>
        <v>MV9 1</v>
      </c>
      <c r="N26" s="99"/>
      <c r="O26" s="100"/>
      <c r="P26" s="100"/>
      <c r="Q26" s="100" t="str">
        <f>IFERROR(IF(VLOOKUP($A26,#REF!,30,FALSE)="","","Y"),"")</f>
        <v/>
      </c>
      <c r="R26" s="100" t="str">
        <f>IFERROR(IF(VLOOKUP($A26,#REF!,37,FALSE)="","","Y"),"")</f>
        <v/>
      </c>
      <c r="S26" s="116"/>
      <c r="T26" s="165"/>
      <c r="U26" s="117"/>
      <c r="V26" s="117" t="str">
        <f>IFERROR(IF(VLOOKUP($A26,#REF!,11,FALSE)="VARIATA","NEW TRAILER",""),"")</f>
        <v/>
      </c>
      <c r="W26" s="117" t="str">
        <f>IFERROR(IF(VLOOKUP(A26,#REF!,18,FALSE)&lt;&gt;"",VLOOKUP(A26,#REF!,18,FALSE),VLOOKUP(A26,#REF!,16,FALSE)),"")</f>
        <v/>
      </c>
      <c r="X26" s="117" t="str">
        <f>IFERROR(CONCATENATE(VLOOKUP($A26,#REF!,33,FALSE)," - ",VLOOKUP($A26,#REF!,13,FALSE)," - "),"")</f>
        <v/>
      </c>
      <c r="Y26" s="185" t="str">
        <f>IFERROR(IF(VLOOKUP($A26,#REF!,36,FALSE)&lt;&gt;0,VLOOKUP($A26,#REF!,36,FALSE),""),"")</f>
        <v/>
      </c>
      <c r="AJ26" s="114" t="s">
        <v>176</v>
      </c>
      <c r="AK26" s="77" t="s">
        <v>177</v>
      </c>
      <c r="AL26" s="77" t="s">
        <v>0</v>
      </c>
      <c r="AM26" s="77" t="s">
        <v>150</v>
      </c>
      <c r="AN26" s="77" t="s">
        <v>66</v>
      </c>
      <c r="AO26" s="90">
        <v>45317.239583333336</v>
      </c>
      <c r="AP26" s="90"/>
      <c r="AQ26" s="77" t="s">
        <v>178</v>
      </c>
      <c r="AR26" s="77" t="s">
        <v>179</v>
      </c>
      <c r="AS26" s="77" t="s">
        <v>180</v>
      </c>
      <c r="AU26" s="77" t="s">
        <v>150</v>
      </c>
      <c r="AV26" s="77" t="s">
        <v>58</v>
      </c>
      <c r="AW26" s="77" t="s">
        <v>57</v>
      </c>
      <c r="AX26" s="77" t="s">
        <v>58</v>
      </c>
      <c r="AY26" s="77" t="s">
        <v>58</v>
      </c>
      <c r="AZ26" s="77" t="s">
        <v>58</v>
      </c>
      <c r="BA26" s="77" t="s">
        <v>58</v>
      </c>
      <c r="BB26" s="77" t="s">
        <v>59</v>
      </c>
      <c r="BC26" s="77" t="s">
        <v>58</v>
      </c>
    </row>
    <row r="27" spans="1:55">
      <c r="A27" s="137" t="s">
        <v>181</v>
      </c>
      <c r="B27" s="91" t="str">
        <f t="shared" si="0"/>
        <v>ERN14441</v>
      </c>
      <c r="C27" s="92" t="str">
        <f t="shared" si="4"/>
        <v>T Service Spa</v>
      </c>
      <c r="D27" s="93" t="str">
        <f t="shared" si="1"/>
        <v>ENB15526</v>
      </c>
      <c r="E27" s="94">
        <f t="shared" si="5"/>
        <v>45317.034722222219</v>
      </c>
      <c r="F27" s="95" t="s">
        <v>61</v>
      </c>
      <c r="G27" s="95"/>
      <c r="H27" s="91" t="e">
        <f>IF(VLOOKUP(A27,#REF!,10,FALSE)=0,VLOOKUP(A27,AJ:BJ,11,FALSE),VLOOKUP(A27,#REF!,10,FALSE))</f>
        <v>#REF!</v>
      </c>
      <c r="I27" s="96" t="str">
        <f t="shared" si="2"/>
        <v>MV9</v>
      </c>
      <c r="J27" s="118" t="str">
        <f>IFERROR(IF(VLOOKUP($A27,#REF!,14,FALSE)="","","Y"),"")</f>
        <v/>
      </c>
      <c r="K27" s="97"/>
      <c r="L27" s="97"/>
      <c r="M27" s="98" t="str">
        <f t="shared" si="3"/>
        <v>MV9 2</v>
      </c>
      <c r="N27" s="99"/>
      <c r="O27" s="100"/>
      <c r="P27" s="100"/>
      <c r="Q27" s="100" t="str">
        <f>IFERROR(IF(VLOOKUP($A27,#REF!,30,FALSE)="","","Y"),"")</f>
        <v/>
      </c>
      <c r="R27" s="100" t="str">
        <f>IFERROR(IF(VLOOKUP($A27,#REF!,37,FALSE)="","","Y"),"")</f>
        <v/>
      </c>
      <c r="S27" s="116"/>
      <c r="T27" s="165"/>
      <c r="U27" s="117"/>
      <c r="V27" s="117" t="str">
        <f>IFERROR(IF(VLOOKUP($A27,#REF!,11,FALSE)="VARIATA","NEW TRAILER",""),"")</f>
        <v/>
      </c>
      <c r="W27" s="117" t="str">
        <f>IFERROR(IF(VLOOKUP(A27,#REF!,18,FALSE)&lt;&gt;"",VLOOKUP(A27,#REF!,18,FALSE),VLOOKUP(A27,#REF!,16,FALSE)),"")</f>
        <v/>
      </c>
      <c r="X27" s="117" t="str">
        <f>IFERROR(CONCATENATE(VLOOKUP($A27,#REF!,33,FALSE)," - ",VLOOKUP($A27,#REF!,13,FALSE)," - "),"")</f>
        <v/>
      </c>
      <c r="Y27" s="185" t="str">
        <f>IFERROR(IF(VLOOKUP($A27,#REF!,36,FALSE)&lt;&gt;0,VLOOKUP($A27,#REF!,36,FALSE),""),"")</f>
        <v/>
      </c>
      <c r="AJ27" s="114" t="s">
        <v>111</v>
      </c>
      <c r="AK27" s="77" t="s">
        <v>182</v>
      </c>
      <c r="AL27" s="77" t="s">
        <v>0</v>
      </c>
      <c r="AM27" s="77" t="s">
        <v>150</v>
      </c>
      <c r="AN27" s="77" t="s">
        <v>66</v>
      </c>
      <c r="AO27" s="90">
        <v>45317.260416666664</v>
      </c>
      <c r="AP27" s="90"/>
      <c r="AQ27" s="90" t="s">
        <v>171</v>
      </c>
      <c r="AS27" s="90"/>
      <c r="AU27" s="77" t="s">
        <v>150</v>
      </c>
      <c r="AV27" s="77" t="s">
        <v>58</v>
      </c>
      <c r="AW27" s="77" t="s">
        <v>57</v>
      </c>
      <c r="AX27" s="77" t="s">
        <v>58</v>
      </c>
      <c r="AY27" s="77" t="s">
        <v>58</v>
      </c>
      <c r="AZ27" s="77" t="s">
        <v>58</v>
      </c>
      <c r="BA27" s="77" t="s">
        <v>58</v>
      </c>
      <c r="BB27" s="77" t="s">
        <v>59</v>
      </c>
      <c r="BC27" s="77" t="s">
        <v>58</v>
      </c>
    </row>
    <row r="28" spans="1:55">
      <c r="A28" s="137" t="s">
        <v>183</v>
      </c>
      <c r="B28" s="91" t="str">
        <f t="shared" si="0"/>
        <v>ERN08176</v>
      </c>
      <c r="C28" s="92" t="str">
        <f t="shared" si="4"/>
        <v>Dunca Expeditii S.A.</v>
      </c>
      <c r="D28" s="93">
        <f t="shared" si="1"/>
        <v>0</v>
      </c>
      <c r="E28" s="94">
        <f t="shared" si="5"/>
        <v>45317.034722222219</v>
      </c>
      <c r="F28" s="95" t="s">
        <v>61</v>
      </c>
      <c r="G28" s="95"/>
      <c r="H28" s="91" t="e">
        <f>IF(VLOOKUP(A28,#REF!,10,FALSE)=0,VLOOKUP(A28,AJ:BJ,11,FALSE),VLOOKUP(A28,#REF!,10,FALSE))</f>
        <v>#REF!</v>
      </c>
      <c r="I28" s="96" t="str">
        <f t="shared" si="2"/>
        <v>MV9</v>
      </c>
      <c r="J28" s="118" t="str">
        <f>IFERROR(IF(VLOOKUP($A28,#REF!,14,FALSE)="","","Y"),"")</f>
        <v/>
      </c>
      <c r="K28" s="97"/>
      <c r="L28" s="97"/>
      <c r="M28" s="98" t="str">
        <f t="shared" si="3"/>
        <v>MV9 3</v>
      </c>
      <c r="N28" s="99"/>
      <c r="O28" s="100"/>
      <c r="P28" s="100"/>
      <c r="Q28" s="100" t="str">
        <f>IFERROR(IF(VLOOKUP($A28,#REF!,30,FALSE)="","","Y"),"")</f>
        <v/>
      </c>
      <c r="R28" s="100" t="str">
        <f>IFERROR(IF(VLOOKUP($A28,#REF!,37,FALSE)="","","Y"),"")</f>
        <v/>
      </c>
      <c r="S28" s="116"/>
      <c r="T28" s="165"/>
      <c r="U28" s="117"/>
      <c r="V28" s="117" t="str">
        <f>IFERROR(IF(VLOOKUP($A28,#REF!,11,FALSE)="VARIATA","NEW TRAILER",""),"")</f>
        <v/>
      </c>
      <c r="W28" s="117" t="str">
        <f>IFERROR(IF(VLOOKUP(A28,#REF!,18,FALSE)&lt;&gt;"",VLOOKUP(A28,#REF!,18,FALSE),VLOOKUP(A28,#REF!,16,FALSE)),"")</f>
        <v/>
      </c>
      <c r="X28" s="117" t="str">
        <f>IFERROR(CONCATENATE(VLOOKUP($A28,#REF!,33,FALSE)," - ",VLOOKUP($A28,#REF!,13,FALSE)," - "),"")</f>
        <v/>
      </c>
      <c r="Y28" s="185" t="str">
        <f>IFERROR(IF(VLOOKUP($A28,#REF!,36,FALSE)&lt;&gt;0,VLOOKUP($A28,#REF!,36,FALSE),""),"")</f>
        <v/>
      </c>
      <c r="AJ28" s="114" t="s">
        <v>118</v>
      </c>
      <c r="AK28" s="77" t="s">
        <v>184</v>
      </c>
      <c r="AL28" s="77" t="s">
        <v>0</v>
      </c>
      <c r="AM28" s="77" t="s">
        <v>150</v>
      </c>
      <c r="AN28" s="77" t="s">
        <v>66</v>
      </c>
      <c r="AO28" s="90">
        <v>45317.260416666664</v>
      </c>
      <c r="AP28" s="90"/>
      <c r="AQ28" s="90" t="s">
        <v>185</v>
      </c>
      <c r="AS28" s="90"/>
      <c r="AU28" s="77" t="s">
        <v>150</v>
      </c>
      <c r="AV28" s="77" t="s">
        <v>58</v>
      </c>
      <c r="AW28" s="77" t="s">
        <v>76</v>
      </c>
      <c r="AX28" s="77" t="s">
        <v>58</v>
      </c>
      <c r="AY28" s="77" t="s">
        <v>58</v>
      </c>
      <c r="AZ28" s="77" t="s">
        <v>58</v>
      </c>
      <c r="BA28" s="77" t="s">
        <v>58</v>
      </c>
      <c r="BB28" s="77" t="s">
        <v>59</v>
      </c>
      <c r="BC28" s="77" t="s">
        <v>58</v>
      </c>
    </row>
    <row r="29" spans="1:55">
      <c r="A29" s="137" t="s">
        <v>186</v>
      </c>
      <c r="B29" s="91" t="str">
        <f t="shared" si="0"/>
        <v>ERN10257</v>
      </c>
      <c r="C29" s="92" t="str">
        <f t="shared" si="4"/>
        <v>Vvv Logistics Automobil Srl</v>
      </c>
      <c r="D29" s="93">
        <f t="shared" si="1"/>
        <v>0</v>
      </c>
      <c r="E29" s="94">
        <f t="shared" si="5"/>
        <v>45317.034722222219</v>
      </c>
      <c r="F29" s="95" t="s">
        <v>61</v>
      </c>
      <c r="G29" s="95"/>
      <c r="H29" s="91" t="e">
        <f>IF(VLOOKUP(A29,#REF!,10,FALSE)=0,VLOOKUP(A29,AJ:BJ,11,FALSE),VLOOKUP(A29,#REF!,10,FALSE))</f>
        <v>#REF!</v>
      </c>
      <c r="I29" s="96" t="str">
        <f t="shared" si="2"/>
        <v>MV9</v>
      </c>
      <c r="J29" s="118" t="str">
        <f>IFERROR(IF(VLOOKUP($A29,#REF!,14,FALSE)="","","Y"),"")</f>
        <v/>
      </c>
      <c r="K29" s="97"/>
      <c r="L29" s="97"/>
      <c r="M29" s="98" t="str">
        <f t="shared" si="3"/>
        <v>MV9 4</v>
      </c>
      <c r="N29" s="99"/>
      <c r="O29" s="100"/>
      <c r="P29" s="100"/>
      <c r="Q29" s="100" t="str">
        <f>IFERROR(IF(VLOOKUP($A29,#REF!,30,FALSE)="","","Y"),"")</f>
        <v/>
      </c>
      <c r="R29" s="100" t="str">
        <f>IFERROR(IF(VLOOKUP($A29,#REF!,37,FALSE)="","","Y"),"")</f>
        <v/>
      </c>
      <c r="S29" s="116"/>
      <c r="T29" s="165" t="s">
        <v>62</v>
      </c>
      <c r="U29" s="117"/>
      <c r="V29" s="117" t="str">
        <f>IFERROR(IF(VLOOKUP($A29,#REF!,11,FALSE)="VARIATA","NEW TRAILER",""),"")</f>
        <v/>
      </c>
      <c r="W29" s="117" t="str">
        <f>IFERROR(IF(VLOOKUP(A29,#REF!,18,FALSE)&lt;&gt;"",VLOOKUP(A29,#REF!,18,FALSE),VLOOKUP(A29,#REF!,16,FALSE)),"")</f>
        <v/>
      </c>
      <c r="X29" s="117" t="str">
        <f>IFERROR(CONCATENATE(VLOOKUP($A29,#REF!,33,FALSE)," - ",VLOOKUP($A29,#REF!,13,FALSE)," - "),"")</f>
        <v/>
      </c>
      <c r="Y29" s="185" t="str">
        <f>IFERROR(IF(VLOOKUP($A29,#REF!,36,FALSE)&lt;&gt;0,VLOOKUP($A29,#REF!,36,FALSE),""),"")</f>
        <v/>
      </c>
      <c r="AJ29" s="114" t="s">
        <v>187</v>
      </c>
      <c r="AK29" s="77" t="s">
        <v>188</v>
      </c>
      <c r="AL29" s="77" t="s">
        <v>0</v>
      </c>
      <c r="AM29" s="77" t="s">
        <v>187</v>
      </c>
      <c r="AN29" s="77" t="s">
        <v>66</v>
      </c>
      <c r="AO29" s="90">
        <v>45317.263888888891</v>
      </c>
      <c r="AP29" s="90"/>
      <c r="AQ29" s="90" t="s">
        <v>67</v>
      </c>
      <c r="AS29" s="90"/>
      <c r="AT29" s="77" t="s">
        <v>189</v>
      </c>
      <c r="AU29" s="77" t="s">
        <v>65</v>
      </c>
      <c r="AV29" s="77" t="s">
        <v>56</v>
      </c>
      <c r="AW29" s="77" t="s">
        <v>57</v>
      </c>
      <c r="AX29" s="77" t="s">
        <v>58</v>
      </c>
      <c r="AY29" s="77" t="s">
        <v>58</v>
      </c>
      <c r="AZ29" s="77" t="s">
        <v>58</v>
      </c>
      <c r="BA29" s="77" t="s">
        <v>58</v>
      </c>
      <c r="BB29" s="77" t="s">
        <v>59</v>
      </c>
      <c r="BC29" s="77" t="s">
        <v>58</v>
      </c>
    </row>
    <row r="30" spans="1:55">
      <c r="A30" s="137" t="s">
        <v>190</v>
      </c>
      <c r="B30" s="91" t="str">
        <f t="shared" si="0"/>
        <v>ERN91506</v>
      </c>
      <c r="C30" s="92" t="str">
        <f t="shared" si="4"/>
        <v>Etb Freight International Kft.</v>
      </c>
      <c r="D30" s="93">
        <f t="shared" si="1"/>
        <v>0</v>
      </c>
      <c r="E30" s="94">
        <f t="shared" si="5"/>
        <v>45317.399305555555</v>
      </c>
      <c r="F30" s="95"/>
      <c r="G30" s="95" t="s">
        <v>61</v>
      </c>
      <c r="H30" s="91" t="e">
        <f>IF(VLOOKUP(A30,#REF!,10,FALSE)=0,VLOOKUP(A30,AJ:BJ,11,FALSE),VLOOKUP(A30,#REF!,10,FALSE))</f>
        <v>#REF!</v>
      </c>
      <c r="I30" s="96" t="str">
        <f t="shared" si="2"/>
        <v>MV9</v>
      </c>
      <c r="J30" s="118" t="str">
        <f>IFERROR(IF(VLOOKUP($A30,#REF!,14,FALSE)="","","Y"),"")</f>
        <v/>
      </c>
      <c r="K30" s="97"/>
      <c r="L30" s="97"/>
      <c r="M30" s="98" t="str">
        <f t="shared" si="3"/>
        <v>MV9 5</v>
      </c>
      <c r="N30" s="99"/>
      <c r="O30" s="100"/>
      <c r="P30" s="100"/>
      <c r="Q30" s="100" t="str">
        <f>IFERROR(IF(VLOOKUP($A30,#REF!,30,FALSE)="","","Y"),"")</f>
        <v/>
      </c>
      <c r="R30" s="100" t="str">
        <f>IFERROR(IF(VLOOKUP($A30,#REF!,37,FALSE)="","","Y"),"")</f>
        <v/>
      </c>
      <c r="S30" s="116"/>
      <c r="T30" s="165"/>
      <c r="U30" s="117"/>
      <c r="V30" s="117" t="str">
        <f>IFERROR(IF(VLOOKUP($A30,#REF!,11,FALSE)="VARIATA","NEW TRAILER",""),"")</f>
        <v/>
      </c>
      <c r="W30" s="117" t="str">
        <f>IFERROR(IF(VLOOKUP(A30,#REF!,18,FALSE)&lt;&gt;"",VLOOKUP(A30,#REF!,18,FALSE),VLOOKUP(A30,#REF!,16,FALSE)),"")</f>
        <v/>
      </c>
      <c r="X30" s="117" t="str">
        <f>IFERROR(CONCATENATE(VLOOKUP($A30,#REF!,33,FALSE)," - ",VLOOKUP($A30,#REF!,13,FALSE)," - "),"")</f>
        <v/>
      </c>
      <c r="Y30" s="185" t="str">
        <f>IFERROR(IF(VLOOKUP($A30,#REF!,36,FALSE)&lt;&gt;0,VLOOKUP($A30,#REF!,36,FALSE),""),"")</f>
        <v/>
      </c>
      <c r="AJ30" s="114" t="s">
        <v>191</v>
      </c>
      <c r="AK30" s="77" t="s">
        <v>192</v>
      </c>
      <c r="AL30" s="102" t="s">
        <v>0</v>
      </c>
      <c r="AM30" s="77" t="s">
        <v>191</v>
      </c>
      <c r="AN30" s="77" t="s">
        <v>66</v>
      </c>
      <c r="AO30" s="90">
        <v>45317.1875</v>
      </c>
      <c r="AP30" s="90"/>
      <c r="AQ30" s="90" t="s">
        <v>135</v>
      </c>
      <c r="AT30" s="77" t="s">
        <v>193</v>
      </c>
      <c r="AU30" s="77" t="s">
        <v>191</v>
      </c>
      <c r="AV30" s="77" t="s">
        <v>56</v>
      </c>
      <c r="AW30" s="77" t="s">
        <v>57</v>
      </c>
      <c r="AX30" s="77" t="s">
        <v>58</v>
      </c>
      <c r="AY30" s="77" t="s">
        <v>58</v>
      </c>
      <c r="AZ30" s="77" t="s">
        <v>58</v>
      </c>
      <c r="BA30" s="77" t="s">
        <v>58</v>
      </c>
      <c r="BB30" s="77" t="s">
        <v>59</v>
      </c>
      <c r="BC30" s="77" t="s">
        <v>58</v>
      </c>
    </row>
    <row r="31" spans="1:55">
      <c r="A31" s="137" t="s">
        <v>194</v>
      </c>
      <c r="B31" s="91" t="str">
        <f t="shared" si="0"/>
        <v>ERN16616</v>
      </c>
      <c r="C31" s="92" t="str">
        <f t="shared" si="4"/>
        <v>Matelda Srl</v>
      </c>
      <c r="D31" s="93">
        <f t="shared" si="1"/>
        <v>0</v>
      </c>
      <c r="E31" s="94">
        <f t="shared" si="5"/>
        <v>45317.399305555555</v>
      </c>
      <c r="F31" s="95"/>
      <c r="G31" s="95" t="s">
        <v>61</v>
      </c>
      <c r="H31" s="91" t="e">
        <f>IF(VLOOKUP(A31,#REF!,10,FALSE)=0,VLOOKUP(A31,AJ:BJ,11,FALSE),VLOOKUP(A31,#REF!,10,FALSE))</f>
        <v>#REF!</v>
      </c>
      <c r="I31" s="96" t="str">
        <f t="shared" si="2"/>
        <v>MV9</v>
      </c>
      <c r="J31" s="118" t="str">
        <f>IFERROR(IF(VLOOKUP($A31,#REF!,14,FALSE)="","","Y"),"")</f>
        <v/>
      </c>
      <c r="K31" s="97"/>
      <c r="L31" s="97"/>
      <c r="M31" s="98" t="str">
        <f t="shared" si="3"/>
        <v>MV9 6</v>
      </c>
      <c r="N31" s="99"/>
      <c r="O31" s="100"/>
      <c r="P31" s="100"/>
      <c r="Q31" s="100" t="str">
        <f>IFERROR(IF(VLOOKUP($A31,#REF!,30,FALSE)="","","Y"),"")</f>
        <v/>
      </c>
      <c r="R31" s="100" t="str">
        <f>IFERROR(IF(VLOOKUP($A31,#REF!,37,FALSE)="","","Y"),"")</f>
        <v/>
      </c>
      <c r="S31" s="116"/>
      <c r="T31" s="165"/>
      <c r="U31" s="117"/>
      <c r="V31" s="117" t="str">
        <f>IFERROR(IF(VLOOKUP($A31,#REF!,11,FALSE)="VARIATA","NEW TRAILER",""),"")</f>
        <v/>
      </c>
      <c r="W31" s="117" t="str">
        <f>IFERROR(IF(VLOOKUP(A31,#REF!,18,FALSE)&lt;&gt;"",VLOOKUP(A31,#REF!,18,FALSE),VLOOKUP(A31,#REF!,16,FALSE)),"")</f>
        <v/>
      </c>
      <c r="X31" s="117" t="str">
        <f>IFERROR(CONCATENATE(VLOOKUP($A31,#REF!,33,FALSE)," - ",VLOOKUP($A31,#REF!,13,FALSE)," - "),"")</f>
        <v/>
      </c>
      <c r="Y31" s="185" t="str">
        <f>IFERROR(IF(VLOOKUP($A31,#REF!,36,FALSE)&lt;&gt;0,VLOOKUP($A31,#REF!,36,FALSE),""),"")</f>
        <v/>
      </c>
      <c r="AJ31" s="114" t="s">
        <v>195</v>
      </c>
      <c r="AK31" s="77" t="s">
        <v>196</v>
      </c>
      <c r="AL31" s="77" t="s">
        <v>0</v>
      </c>
      <c r="AM31" s="77" t="s">
        <v>197</v>
      </c>
      <c r="AN31" s="77" t="s">
        <v>66</v>
      </c>
      <c r="AO31" s="90">
        <v>45316.958333333336</v>
      </c>
      <c r="AP31" s="90"/>
      <c r="AQ31" s="90" t="s">
        <v>168</v>
      </c>
      <c r="AS31" s="90"/>
      <c r="AT31" s="77" t="s">
        <v>198</v>
      </c>
      <c r="AU31" s="77" t="s">
        <v>197</v>
      </c>
      <c r="AV31" s="77" t="s">
        <v>58</v>
      </c>
      <c r="AW31" s="77" t="s">
        <v>57</v>
      </c>
      <c r="AX31" s="77" t="s">
        <v>58</v>
      </c>
      <c r="AY31" s="77" t="s">
        <v>58</v>
      </c>
      <c r="AZ31" s="77" t="s">
        <v>58</v>
      </c>
      <c r="BA31" s="77" t="s">
        <v>58</v>
      </c>
      <c r="BB31" s="77" t="s">
        <v>59</v>
      </c>
      <c r="BC31" s="77" t="s">
        <v>58</v>
      </c>
    </row>
    <row r="32" spans="1:55">
      <c r="A32" s="137" t="s">
        <v>199</v>
      </c>
      <c r="B32" s="91" t="str">
        <f t="shared" si="0"/>
        <v>ERN14512</v>
      </c>
      <c r="C32" s="92" t="str">
        <f t="shared" si="4"/>
        <v>Rayden N.V.</v>
      </c>
      <c r="D32" s="93">
        <f t="shared" si="1"/>
        <v>0</v>
      </c>
      <c r="E32" s="94">
        <f t="shared" si="5"/>
        <v>45317.427083333336</v>
      </c>
      <c r="F32" s="95"/>
      <c r="G32" s="95" t="s">
        <v>61</v>
      </c>
      <c r="H32" s="91" t="e">
        <f>IF(VLOOKUP(A32,#REF!,10,FALSE)=0,VLOOKUP(A32,AJ:BJ,11,FALSE),VLOOKUP(A32,#REF!,10,FALSE))</f>
        <v>#REF!</v>
      </c>
      <c r="I32" s="96" t="str">
        <f t="shared" si="2"/>
        <v>MV9</v>
      </c>
      <c r="J32" s="118" t="str">
        <f>IFERROR(IF(VLOOKUP($A32,#REF!,14,FALSE)="","","Y"),"")</f>
        <v/>
      </c>
      <c r="K32" s="97"/>
      <c r="L32" s="97"/>
      <c r="M32" s="98" t="str">
        <f t="shared" si="3"/>
        <v>MV9 7</v>
      </c>
      <c r="N32" s="99"/>
      <c r="O32" s="100"/>
      <c r="P32" s="100"/>
      <c r="Q32" s="100" t="str">
        <f>IFERROR(IF(VLOOKUP($A32,#REF!,30,FALSE)="","","Y"),"")</f>
        <v/>
      </c>
      <c r="R32" s="100" t="str">
        <f>IFERROR(IF(VLOOKUP($A32,#REF!,37,FALSE)="","","Y"),"")</f>
        <v/>
      </c>
      <c r="S32" s="116"/>
      <c r="T32" s="165"/>
      <c r="U32" s="117"/>
      <c r="V32" s="117" t="str">
        <f>IFERROR(IF(VLOOKUP($A32,#REF!,11,FALSE)="VARIATA","NEW TRAILER",""),"")</f>
        <v/>
      </c>
      <c r="W32" s="117" t="str">
        <f>IFERROR(IF(VLOOKUP(A32,#REF!,18,FALSE)&lt;&gt;"",VLOOKUP(A32,#REF!,18,FALSE),VLOOKUP(A32,#REF!,16,FALSE)),"")</f>
        <v/>
      </c>
      <c r="X32" s="117" t="str">
        <f>IFERROR(CONCATENATE(VLOOKUP($A32,#REF!,33,FALSE)," - ",VLOOKUP($A32,#REF!,13,FALSE)," - "),"")</f>
        <v/>
      </c>
      <c r="Y32" s="185" t="str">
        <f>IFERROR(IF(VLOOKUP($A32,#REF!,36,FALSE)&lt;&gt;0,VLOOKUP($A32,#REF!,36,FALSE),""),"")</f>
        <v/>
      </c>
      <c r="AJ32" s="114" t="s">
        <v>200</v>
      </c>
      <c r="AK32" s="77" t="s">
        <v>201</v>
      </c>
      <c r="AL32" s="77" t="s">
        <v>0</v>
      </c>
      <c r="AM32" s="77" t="s">
        <v>197</v>
      </c>
      <c r="AN32" s="77" t="s">
        <v>51</v>
      </c>
      <c r="AO32" s="90">
        <v>45316.958333333336</v>
      </c>
      <c r="AQ32" s="77" t="s">
        <v>52</v>
      </c>
      <c r="AR32" s="77" t="s">
        <v>202</v>
      </c>
      <c r="AS32" s="77" t="s">
        <v>203</v>
      </c>
      <c r="AT32" s="77" t="s">
        <v>204</v>
      </c>
      <c r="AU32" s="77" t="s">
        <v>197</v>
      </c>
      <c r="AV32" s="77" t="s">
        <v>56</v>
      </c>
      <c r="AW32" s="77" t="s">
        <v>57</v>
      </c>
      <c r="AX32" s="77" t="s">
        <v>58</v>
      </c>
      <c r="AY32" s="77" t="s">
        <v>58</v>
      </c>
      <c r="AZ32" s="77" t="s">
        <v>58</v>
      </c>
      <c r="BA32" s="77" t="s">
        <v>58</v>
      </c>
      <c r="BB32" s="77" t="s">
        <v>59</v>
      </c>
      <c r="BC32" s="77" t="s">
        <v>58</v>
      </c>
    </row>
    <row r="33" spans="1:65" ht="12.75">
      <c r="A33" s="137" t="s">
        <v>205</v>
      </c>
      <c r="B33" s="91" t="str">
        <f t="shared" si="0"/>
        <v>ERN91507</v>
      </c>
      <c r="C33" s="92" t="str">
        <f t="shared" si="4"/>
        <v>Galileo Transport Srl</v>
      </c>
      <c r="D33" s="93">
        <f t="shared" si="1"/>
        <v>0</v>
      </c>
      <c r="E33" s="94">
        <f t="shared" si="5"/>
        <v>45317.427083333336</v>
      </c>
      <c r="F33" s="95" t="s">
        <v>61</v>
      </c>
      <c r="G33" s="95"/>
      <c r="H33" s="91" t="e">
        <f>IF(VLOOKUP(A33,#REF!,10,FALSE)=0,VLOOKUP(A33,AJ:BJ,11,FALSE),VLOOKUP(A33,#REF!,10,FALSE))</f>
        <v>#REF!</v>
      </c>
      <c r="I33" s="96" t="str">
        <f t="shared" si="2"/>
        <v>MV9</v>
      </c>
      <c r="J33" s="118" t="str">
        <f>IFERROR(IF(VLOOKUP($A33,#REF!,14,FALSE)="","","Y"),"")</f>
        <v/>
      </c>
      <c r="K33" s="97"/>
      <c r="L33" s="97"/>
      <c r="M33" s="98" t="str">
        <f t="shared" si="3"/>
        <v>MV9 8</v>
      </c>
      <c r="N33" s="99"/>
      <c r="O33" s="100"/>
      <c r="P33" s="100"/>
      <c r="Q33" s="100" t="str">
        <f>IFERROR(IF(VLOOKUP($A33,#REF!,30,FALSE)="","","Y"),"")</f>
        <v/>
      </c>
      <c r="R33" s="100" t="str">
        <f>IFERROR(IF(VLOOKUP($A33,#REF!,37,FALSE)="","","Y"),"")</f>
        <v/>
      </c>
      <c r="S33" s="116"/>
      <c r="T33" s="165"/>
      <c r="U33" s="117"/>
      <c r="V33" s="117" t="str">
        <f>IFERROR(IF(VLOOKUP($A33,#REF!,11,FALSE)="VARIATA","NEW TRAILER",""),"")</f>
        <v/>
      </c>
      <c r="W33" s="117" t="str">
        <f>IFERROR(IF(VLOOKUP(A33,#REF!,18,FALSE)&lt;&gt;"",VLOOKUP(A33,#REF!,18,FALSE),VLOOKUP(A33,#REF!,16,FALSE)),"")</f>
        <v/>
      </c>
      <c r="X33" s="117" t="str">
        <f>IFERROR(CONCATENATE(VLOOKUP($A33,#REF!,33,FALSE)," - ",VLOOKUP($A33,#REF!,13,FALSE)," - "),"")</f>
        <v/>
      </c>
      <c r="Y33" s="185" t="str">
        <f>IFERROR(IF(VLOOKUP($A33,#REF!,36,FALSE)&lt;&gt;0,VLOOKUP($A33,#REF!,36,FALSE),""),"")</f>
        <v/>
      </c>
      <c r="AJ33" s="114" t="s">
        <v>206</v>
      </c>
      <c r="AK33" s="77" t="s">
        <v>207</v>
      </c>
      <c r="AL33" s="77" t="s">
        <v>0</v>
      </c>
      <c r="AM33" s="77" t="s">
        <v>85</v>
      </c>
      <c r="AN33" s="77" t="s">
        <v>51</v>
      </c>
      <c r="AO33" s="90">
        <v>45317.034722222219</v>
      </c>
      <c r="AP33" s="90"/>
      <c r="AQ33" s="77" t="s">
        <v>89</v>
      </c>
      <c r="AR33" s="77" t="s">
        <v>208</v>
      </c>
      <c r="AS33" s="77" t="s">
        <v>209</v>
      </c>
      <c r="AT33" s="77" t="s">
        <v>210</v>
      </c>
      <c r="AU33" s="77" t="s">
        <v>85</v>
      </c>
      <c r="AV33" s="77" t="s">
        <v>58</v>
      </c>
      <c r="AW33" s="77" t="s">
        <v>57</v>
      </c>
      <c r="AX33" s="77" t="s">
        <v>58</v>
      </c>
      <c r="AY33" s="77" t="s">
        <v>58</v>
      </c>
      <c r="AZ33" s="77" t="s">
        <v>58</v>
      </c>
      <c r="BA33" s="77" t="s">
        <v>58</v>
      </c>
      <c r="BB33" s="77" t="s">
        <v>59</v>
      </c>
      <c r="BC33" s="77" t="s">
        <v>58</v>
      </c>
      <c r="BK33" s="77"/>
      <c r="BL33" s="77"/>
      <c r="BM33" s="77"/>
    </row>
    <row r="34" spans="1:65" ht="12.75">
      <c r="A34" s="137" t="s">
        <v>200</v>
      </c>
      <c r="B34" s="91" t="str">
        <f t="shared" si="0"/>
        <v>ERN00921</v>
      </c>
      <c r="C34" s="92" t="str">
        <f t="shared" si="4"/>
        <v>Matelda Srl</v>
      </c>
      <c r="D34" s="93" t="str">
        <f t="shared" si="1"/>
        <v>ENBD20267</v>
      </c>
      <c r="E34" s="94">
        <f t="shared" si="5"/>
        <v>45316.958333333336</v>
      </c>
      <c r="F34" s="95" t="s">
        <v>61</v>
      </c>
      <c r="G34" s="95"/>
      <c r="H34" s="91" t="e">
        <f>IF(VLOOKUP(A34,#REF!,10,FALSE)=0,VLOOKUP(A34,AJ:BJ,11,FALSE),VLOOKUP(A34,#REF!,10,FALSE))</f>
        <v>#REF!</v>
      </c>
      <c r="I34" s="96" t="str">
        <f t="shared" si="2"/>
        <v>LYS</v>
      </c>
      <c r="J34" s="118" t="str">
        <f>IFERROR(IF(VLOOKUP($A34,#REF!,14,FALSE)="","","Y"),"")</f>
        <v/>
      </c>
      <c r="K34" s="97"/>
      <c r="L34" s="97"/>
      <c r="M34" s="98" t="str">
        <f t="shared" si="3"/>
        <v>LYS 1</v>
      </c>
      <c r="N34" s="99"/>
      <c r="O34" s="100"/>
      <c r="P34" s="100"/>
      <c r="Q34" s="100" t="str">
        <f>IFERROR(IF(VLOOKUP($A34,#REF!,30,FALSE)="","","Y"),"")</f>
        <v/>
      </c>
      <c r="R34" s="100" t="str">
        <f>IFERROR(IF(VLOOKUP($A34,#REF!,37,FALSE)="","","Y"),"")</f>
        <v/>
      </c>
      <c r="S34" s="116"/>
      <c r="T34" s="165"/>
      <c r="U34" s="117"/>
      <c r="V34" s="117" t="str">
        <f>IFERROR(IF(VLOOKUP($A34,#REF!,11,FALSE)="VARIATA","NEW TRAILER",""),"")</f>
        <v/>
      </c>
      <c r="W34" s="117" t="str">
        <f>IFERROR(IF(VLOOKUP(A34,#REF!,18,FALSE)&lt;&gt;"",VLOOKUP(A34,#REF!,18,FALSE),VLOOKUP(A34,#REF!,16,FALSE)),"")</f>
        <v/>
      </c>
      <c r="X34" s="117" t="str">
        <f>IFERROR(CONCATENATE(VLOOKUP($A34,#REF!,33,FALSE)," - ",VLOOKUP($A34,#REF!,13,FALSE)," - "),"")</f>
        <v/>
      </c>
      <c r="Y34" s="185" t="str">
        <f>IFERROR(IF(VLOOKUP($A34,#REF!,36,FALSE)&lt;&gt;0,VLOOKUP($A34,#REF!,36,FALSE),""),"")</f>
        <v/>
      </c>
      <c r="AJ34" s="114" t="s">
        <v>211</v>
      </c>
      <c r="AK34" s="77" t="s">
        <v>212</v>
      </c>
      <c r="AL34" s="77" t="s">
        <v>0</v>
      </c>
      <c r="AM34" s="77" t="s">
        <v>211</v>
      </c>
      <c r="AN34" s="77" t="s">
        <v>66</v>
      </c>
      <c r="AO34" s="90">
        <v>45317.791666666664</v>
      </c>
      <c r="AQ34" s="77" t="s">
        <v>171</v>
      </c>
      <c r="AU34" s="77" t="s">
        <v>211</v>
      </c>
      <c r="AV34" s="77" t="s">
        <v>58</v>
      </c>
      <c r="AW34" s="77" t="s">
        <v>76</v>
      </c>
      <c r="AX34" s="77" t="s">
        <v>58</v>
      </c>
      <c r="AY34" s="77" t="s">
        <v>58</v>
      </c>
      <c r="AZ34" s="77" t="s">
        <v>58</v>
      </c>
      <c r="BA34" s="77" t="s">
        <v>58</v>
      </c>
      <c r="BB34" s="77" t="s">
        <v>59</v>
      </c>
      <c r="BC34" s="77" t="s">
        <v>58</v>
      </c>
      <c r="BK34" s="77"/>
      <c r="BL34" s="77"/>
      <c r="BM34" s="77"/>
    </row>
    <row r="35" spans="1:65" ht="13.5" thickBot="1">
      <c r="A35" s="137" t="s">
        <v>195</v>
      </c>
      <c r="B35" s="91" t="str">
        <f t="shared" si="0"/>
        <v>ERN15398</v>
      </c>
      <c r="C35" s="92" t="str">
        <f t="shared" si="4"/>
        <v>Cornali Autotrasporti Srl</v>
      </c>
      <c r="D35" s="93" t="str">
        <f t="shared" si="1"/>
        <v>XA418SC</v>
      </c>
      <c r="E35" s="94">
        <f t="shared" si="5"/>
        <v>45316.958333333336</v>
      </c>
      <c r="F35" s="95"/>
      <c r="G35" s="95" t="s">
        <v>61</v>
      </c>
      <c r="H35" s="91" t="e">
        <f>IF(VLOOKUP(A35,#REF!,10,FALSE)=0,VLOOKUP(A35,AJ:BJ,11,FALSE),VLOOKUP(A35,#REF!,10,FALSE))</f>
        <v>#REF!</v>
      </c>
      <c r="I35" s="96" t="str">
        <f t="shared" si="2"/>
        <v>LYS</v>
      </c>
      <c r="J35" s="118" t="str">
        <f>IFERROR(IF(VLOOKUP($A35,#REF!,14,FALSE)="","","Y"),"")</f>
        <v/>
      </c>
      <c r="K35" s="97"/>
      <c r="L35" s="97"/>
      <c r="M35" s="98" t="str">
        <f t="shared" si="3"/>
        <v>LYS 2</v>
      </c>
      <c r="N35" s="175"/>
      <c r="O35" s="176"/>
      <c r="P35" s="176"/>
      <c r="Q35" s="176" t="str">
        <f>IFERROR(IF(VLOOKUP($A35,#REF!,30,FALSE)="","","Y"),"")</f>
        <v/>
      </c>
      <c r="R35" s="176" t="str">
        <f>IFERROR(IF(VLOOKUP($A35,#REF!,37,FALSE)="","","Y"),"")</f>
        <v/>
      </c>
      <c r="S35" s="116"/>
      <c r="T35" s="165"/>
      <c r="U35" s="117"/>
      <c r="V35" s="117" t="str">
        <f>IFERROR(IF(VLOOKUP($A35,#REF!,11,FALSE)="VARIATA","NEW TRAILER",""),"")</f>
        <v/>
      </c>
      <c r="W35" s="117" t="str">
        <f>IFERROR(IF(VLOOKUP(A35,#REF!,18,FALSE)&lt;&gt;"",VLOOKUP(A35,#REF!,18,FALSE),VLOOKUP(A35,#REF!,16,FALSE)),"")</f>
        <v/>
      </c>
      <c r="X35" s="117" t="str">
        <f>IFERROR(CONCATENATE(VLOOKUP($A35,#REF!,33,FALSE)," - ",VLOOKUP($A35,#REF!,13,FALSE)," - "),"")</f>
        <v/>
      </c>
      <c r="Y35" s="185" t="str">
        <f>IFERROR(IF(VLOOKUP($A35,#REF!,36,FALSE)&lt;&gt;0,VLOOKUP($A35,#REF!,36,FALSE),""),"")</f>
        <v/>
      </c>
      <c r="AJ35" s="114" t="s">
        <v>175</v>
      </c>
      <c r="AK35" s="77" t="s">
        <v>213</v>
      </c>
      <c r="AL35" s="77" t="s">
        <v>0</v>
      </c>
      <c r="AM35" s="77" t="s">
        <v>214</v>
      </c>
      <c r="AN35" s="77" t="s">
        <v>66</v>
      </c>
      <c r="AO35" s="90">
        <v>45316.993055555555</v>
      </c>
      <c r="AP35" s="90"/>
      <c r="AQ35" s="90" t="s">
        <v>215</v>
      </c>
      <c r="AS35" s="77" t="s">
        <v>216</v>
      </c>
      <c r="AU35" s="77" t="s">
        <v>214</v>
      </c>
      <c r="AV35" s="77" t="s">
        <v>58</v>
      </c>
      <c r="AW35" s="77" t="s">
        <v>57</v>
      </c>
      <c r="AX35" s="77" t="s">
        <v>58</v>
      </c>
      <c r="AY35" s="77" t="s">
        <v>58</v>
      </c>
      <c r="AZ35" s="77" t="s">
        <v>58</v>
      </c>
      <c r="BA35" s="77" t="s">
        <v>58</v>
      </c>
      <c r="BB35" s="77" t="s">
        <v>59</v>
      </c>
      <c r="BC35" s="77" t="s">
        <v>58</v>
      </c>
      <c r="BK35" s="77"/>
      <c r="BL35" s="77"/>
      <c r="BM35" s="77"/>
    </row>
    <row r="36" spans="1:65" ht="12.75">
      <c r="A36" s="137" t="s">
        <v>49</v>
      </c>
      <c r="B36" s="91" t="str">
        <f t="shared" si="0"/>
        <v>ERN17430</v>
      </c>
      <c r="C36" s="92" t="str">
        <f t="shared" si="4"/>
        <v>Matelda Srl</v>
      </c>
      <c r="D36" s="93" t="str">
        <f t="shared" si="1"/>
        <v>XA294JN</v>
      </c>
      <c r="E36" s="94">
        <f t="shared" si="5"/>
        <v>45317.020833333336</v>
      </c>
      <c r="F36" s="95"/>
      <c r="G36" s="95" t="s">
        <v>61</v>
      </c>
      <c r="H36" s="91" t="e">
        <f>IF(VLOOKUP(A36,#REF!,10,FALSE)=0,VLOOKUP(A36,AJ:BJ,11,FALSE),VLOOKUP(A36,#REF!,10,FALSE))</f>
        <v>#REF!</v>
      </c>
      <c r="I36" s="96" t="str">
        <f t="shared" si="2"/>
        <v>06A</v>
      </c>
      <c r="J36" s="118" t="str">
        <f>IFERROR(IF(VLOOKUP($A36,#REF!,14,FALSE)="","","Y"),"")</f>
        <v/>
      </c>
      <c r="K36" s="97"/>
      <c r="L36" s="97"/>
      <c r="M36" s="98" t="str">
        <f t="shared" si="3"/>
        <v>06A</v>
      </c>
      <c r="N36" s="160"/>
      <c r="O36" s="161"/>
      <c r="P36" s="161"/>
      <c r="Q36" s="161" t="str">
        <f>IFERROR(IF(VLOOKUP($A36,#REF!,30,FALSE)="","","Y"),"")</f>
        <v/>
      </c>
      <c r="R36" s="177" t="str">
        <f>IFERROR(IF(VLOOKUP($A36,#REF!,37,FALSE)="","","Y"),"")</f>
        <v/>
      </c>
      <c r="S36" s="173"/>
      <c r="T36" s="165"/>
      <c r="U36" s="117"/>
      <c r="V36" s="117" t="str">
        <f>IFERROR(IF(VLOOKUP($A36,#REF!,11,FALSE)="VARIATA","NEW TRAILER",""),"")</f>
        <v/>
      </c>
      <c r="W36" s="117" t="str">
        <f>IFERROR(IF(VLOOKUP(A36,#REF!,18,FALSE)&lt;&gt;"",VLOOKUP(A36,#REF!,18,FALSE),VLOOKUP(A36,#REF!,16,FALSE)),"")</f>
        <v/>
      </c>
      <c r="X36" s="117" t="str">
        <f>IFERROR(CONCATENATE(VLOOKUP($A36,#REF!,33,FALSE)," - ",VLOOKUP($A36,#REF!,13,FALSE)," - "),"")</f>
        <v/>
      </c>
      <c r="Y36" s="185" t="str">
        <f>IFERROR(IF(VLOOKUP($A36,#REF!,36,FALSE)&lt;&gt;0,VLOOKUP($A36,#REF!,36,FALSE),""),"")</f>
        <v/>
      </c>
      <c r="AJ36" s="114" t="s">
        <v>181</v>
      </c>
      <c r="AK36" s="77" t="s">
        <v>217</v>
      </c>
      <c r="AL36" s="77" t="s">
        <v>0</v>
      </c>
      <c r="AM36" s="77" t="s">
        <v>214</v>
      </c>
      <c r="AN36" s="77" t="s">
        <v>66</v>
      </c>
      <c r="AO36" s="90">
        <v>45317.034722222219</v>
      </c>
      <c r="AP36" s="90"/>
      <c r="AQ36" s="90" t="s">
        <v>171</v>
      </c>
      <c r="AS36" s="90"/>
      <c r="AT36" s="77" t="s">
        <v>218</v>
      </c>
      <c r="AU36" s="77" t="s">
        <v>214</v>
      </c>
      <c r="AV36" s="77" t="s">
        <v>56</v>
      </c>
      <c r="AW36" s="77" t="s">
        <v>57</v>
      </c>
      <c r="AX36" s="77" t="s">
        <v>58</v>
      </c>
      <c r="AY36" s="77" t="s">
        <v>58</v>
      </c>
      <c r="AZ36" s="77" t="s">
        <v>58</v>
      </c>
      <c r="BA36" s="77" t="s">
        <v>58</v>
      </c>
      <c r="BB36" s="77" t="s">
        <v>59</v>
      </c>
      <c r="BC36" s="77" t="s">
        <v>58</v>
      </c>
      <c r="BK36" s="77"/>
      <c r="BL36" s="77"/>
      <c r="BM36" s="77"/>
    </row>
    <row r="37" spans="1:65" ht="12.75">
      <c r="A37" s="137" t="s">
        <v>211</v>
      </c>
      <c r="B37" s="91" t="str">
        <f t="shared" ref="B37:B68" si="6">VLOOKUP(A37,AJ:BJ,2,FALSE)</f>
        <v>ERN16946</v>
      </c>
      <c r="C37" s="92" t="str">
        <f t="shared" si="4"/>
        <v>T Service Spa</v>
      </c>
      <c r="D37" s="93">
        <f t="shared" ref="D37:D68" si="7">VLOOKUP(A37,AJ:BJ,11,FALSE)</f>
        <v>0</v>
      </c>
      <c r="E37" s="94">
        <f t="shared" si="5"/>
        <v>45317.791666666664</v>
      </c>
      <c r="F37" s="95"/>
      <c r="G37" s="95" t="s">
        <v>61</v>
      </c>
      <c r="H37" s="91" t="e">
        <f>IF(VLOOKUP(A37,#REF!,10,FALSE)=0,VLOOKUP(A37,AJ:BJ,11,FALSE),VLOOKUP(A37,#REF!,10,FALSE))</f>
        <v>#REF!</v>
      </c>
      <c r="I37" s="96" t="str">
        <f t="shared" ref="I37:I68" si="8">VLOOKUP(A37,AJ:BJ,12,FALSE)</f>
        <v>MRS</v>
      </c>
      <c r="J37" s="118" t="str">
        <f>IFERROR(IF(VLOOKUP($A37,#REF!,14,FALSE)="","","Y"),"")</f>
        <v/>
      </c>
      <c r="K37" s="97"/>
      <c r="L37" s="97"/>
      <c r="M37" s="98" t="str">
        <f t="shared" si="3"/>
        <v>MRS</v>
      </c>
      <c r="N37" s="99"/>
      <c r="O37" s="100"/>
      <c r="P37" s="100"/>
      <c r="Q37" s="100" t="str">
        <f>IFERROR(IF(VLOOKUP($A37,#REF!,30,FALSE)="","","Y"),"")</f>
        <v/>
      </c>
      <c r="R37" s="178" t="str">
        <f>IFERROR(IF(VLOOKUP($A37,#REF!,37,FALSE)="","","Y"),"")</f>
        <v/>
      </c>
      <c r="S37" s="173"/>
      <c r="T37" s="165"/>
      <c r="U37" s="117"/>
      <c r="V37" s="117" t="str">
        <f>IFERROR(IF(VLOOKUP($A37,#REF!,11,FALSE)="VARIATA","NEW TRAILER",""),"")</f>
        <v/>
      </c>
      <c r="W37" s="117" t="str">
        <f>IFERROR(IF(VLOOKUP(A37,#REF!,18,FALSE)&lt;&gt;"",VLOOKUP(A37,#REF!,18,FALSE),VLOOKUP(A37,#REF!,16,FALSE)),"")</f>
        <v/>
      </c>
      <c r="X37" s="117" t="str">
        <f>IFERROR(CONCATENATE(VLOOKUP($A37,#REF!,33,FALSE)," - ",VLOOKUP($A37,#REF!,13,FALSE)," - "),"")</f>
        <v/>
      </c>
      <c r="Y37" s="185" t="str">
        <f>IFERROR(IF(VLOOKUP($A37,#REF!,36,FALSE)&lt;&gt;0,VLOOKUP($A37,#REF!,36,FALSE),""),"")</f>
        <v/>
      </c>
      <c r="AJ37" s="114" t="s">
        <v>186</v>
      </c>
      <c r="AK37" s="77" t="s">
        <v>219</v>
      </c>
      <c r="AL37" s="77" t="s">
        <v>0</v>
      </c>
      <c r="AM37" s="77" t="s">
        <v>214</v>
      </c>
      <c r="AN37" s="77" t="s">
        <v>66</v>
      </c>
      <c r="AO37" s="90">
        <v>45317.034722222219</v>
      </c>
      <c r="AP37" s="90"/>
      <c r="AQ37" s="90" t="s">
        <v>220</v>
      </c>
      <c r="AR37" s="77" t="s">
        <v>221</v>
      </c>
      <c r="AS37" s="77" t="s">
        <v>222</v>
      </c>
      <c r="AU37" s="77" t="s">
        <v>214</v>
      </c>
      <c r="AV37" s="77" t="s">
        <v>58</v>
      </c>
      <c r="AW37" s="77" t="s">
        <v>57</v>
      </c>
      <c r="AX37" s="77" t="s">
        <v>58</v>
      </c>
      <c r="AY37" s="77" t="s">
        <v>58</v>
      </c>
      <c r="AZ37" s="77" t="s">
        <v>58</v>
      </c>
      <c r="BA37" s="77" t="s">
        <v>58</v>
      </c>
      <c r="BB37" s="77" t="s">
        <v>59</v>
      </c>
      <c r="BC37" s="77" t="s">
        <v>58</v>
      </c>
      <c r="BK37" s="77"/>
      <c r="BL37" s="77"/>
      <c r="BM37" s="77"/>
    </row>
    <row r="38" spans="1:65" ht="12.75">
      <c r="A38" s="137" t="s">
        <v>223</v>
      </c>
      <c r="B38" s="91" t="str">
        <f t="shared" si="6"/>
        <v>ERN11076</v>
      </c>
      <c r="C38" s="92" t="str">
        <f t="shared" si="4"/>
        <v>Fedex Express Romania Transportation Srl</v>
      </c>
      <c r="D38" s="93">
        <f t="shared" si="7"/>
        <v>0</v>
      </c>
      <c r="E38" s="94">
        <f t="shared" si="5"/>
        <v>45316.979166666664</v>
      </c>
      <c r="F38" s="95" t="s">
        <v>61</v>
      </c>
      <c r="G38" s="95"/>
      <c r="H38" s="91" t="e">
        <f>IF(VLOOKUP(A38,#REF!,10,FALSE)=0,VLOOKUP(A38,AJ:BJ,11,FALSE),VLOOKUP(A38,#REF!,10,FALSE))</f>
        <v>#REF!</v>
      </c>
      <c r="I38" s="96" t="str">
        <f t="shared" si="8"/>
        <v>XWT</v>
      </c>
      <c r="J38" s="118" t="str">
        <f>IFERROR(IF(VLOOKUP($A38,#REF!,14,FALSE)="","","Y"),"")</f>
        <v/>
      </c>
      <c r="K38" s="97"/>
      <c r="L38" s="97"/>
      <c r="M38" s="98" t="str">
        <f t="shared" si="3"/>
        <v>XWT 1</v>
      </c>
      <c r="N38" s="99"/>
      <c r="O38" s="100"/>
      <c r="P38" s="100"/>
      <c r="Q38" s="100" t="str">
        <f>IFERROR(IF(VLOOKUP($A38,#REF!,30,FALSE)="","","Y"),"")</f>
        <v/>
      </c>
      <c r="R38" s="178" t="str">
        <f>IFERROR(IF(VLOOKUP($A38,#REF!,37,FALSE)="","","Y"),"")</f>
        <v/>
      </c>
      <c r="S38" s="173"/>
      <c r="T38" s="165"/>
      <c r="U38" s="117"/>
      <c r="V38" s="117" t="str">
        <f>IFERROR(IF(VLOOKUP($A38,#REF!,11,FALSE)="VARIATA","NEW TRAILER",""),"")</f>
        <v/>
      </c>
      <c r="W38" s="117" t="str">
        <f>IFERROR(IF(VLOOKUP(A38,#REF!,18,FALSE)&lt;&gt;"",VLOOKUP(A38,#REF!,18,FALSE),VLOOKUP(A38,#REF!,16,FALSE)),"")</f>
        <v/>
      </c>
      <c r="X38" s="117" t="str">
        <f>IFERROR(CONCATENATE(VLOOKUP($A38,#REF!,33,FALSE)," - ",VLOOKUP($A38,#REF!,13,FALSE)," - "),"")</f>
        <v/>
      </c>
      <c r="Y38" s="185" t="str">
        <f>IFERROR(IF(VLOOKUP($A38,#REF!,36,FALSE)&lt;&gt;0,VLOOKUP($A38,#REF!,36,FALSE),""),"")</f>
        <v/>
      </c>
      <c r="AJ38" s="114" t="s">
        <v>183</v>
      </c>
      <c r="AK38" s="77" t="s">
        <v>224</v>
      </c>
      <c r="AL38" s="77" t="s">
        <v>0</v>
      </c>
      <c r="AM38" s="77" t="s">
        <v>214</v>
      </c>
      <c r="AN38" s="77" t="s">
        <v>66</v>
      </c>
      <c r="AO38" s="90">
        <v>45317.034722222219</v>
      </c>
      <c r="AP38" s="90"/>
      <c r="AQ38" s="77" t="s">
        <v>225</v>
      </c>
      <c r="AR38" s="77" t="s">
        <v>226</v>
      </c>
      <c r="AS38" s="90" t="s">
        <v>227</v>
      </c>
      <c r="AU38" s="77" t="s">
        <v>214</v>
      </c>
      <c r="AV38" s="77" t="s">
        <v>58</v>
      </c>
      <c r="AW38" s="77" t="s">
        <v>57</v>
      </c>
      <c r="AX38" s="77" t="s">
        <v>58</v>
      </c>
      <c r="AY38" s="77" t="s">
        <v>58</v>
      </c>
      <c r="AZ38" s="77" t="s">
        <v>58</v>
      </c>
      <c r="BA38" s="77" t="s">
        <v>58</v>
      </c>
      <c r="BB38" s="77" t="s">
        <v>59</v>
      </c>
      <c r="BC38" s="77" t="s">
        <v>58</v>
      </c>
      <c r="BK38" s="77"/>
      <c r="BL38" s="77"/>
      <c r="BM38" s="77"/>
    </row>
    <row r="39" spans="1:65" ht="12.75">
      <c r="A39" s="137" t="s">
        <v>228</v>
      </c>
      <c r="B39" s="91" t="str">
        <f t="shared" si="6"/>
        <v>ERN11944</v>
      </c>
      <c r="C39" s="92" t="str">
        <f t="shared" si="4"/>
        <v>Müller Transporte S.R.O.</v>
      </c>
      <c r="D39" s="93">
        <f t="shared" si="7"/>
        <v>0</v>
      </c>
      <c r="E39" s="94">
        <f t="shared" si="5"/>
        <v>45317.020833333336</v>
      </c>
      <c r="F39" s="95" t="s">
        <v>61</v>
      </c>
      <c r="G39" s="95"/>
      <c r="H39" s="91" t="e">
        <f>IF(VLOOKUP(A39,#REF!,10,FALSE)=0,VLOOKUP(A39,AJ:BJ,11,FALSE),VLOOKUP(A39,#REF!,10,FALSE))</f>
        <v>#REF!</v>
      </c>
      <c r="I39" s="96" t="str">
        <f t="shared" si="8"/>
        <v>XWT</v>
      </c>
      <c r="J39" s="118" t="str">
        <f>IFERROR(IF(VLOOKUP($A39,#REF!,14,FALSE)="","","Y"),"")</f>
        <v/>
      </c>
      <c r="K39" s="97"/>
      <c r="L39" s="97"/>
      <c r="M39" s="98" t="str">
        <f>A39</f>
        <v>XWT 2</v>
      </c>
      <c r="N39" s="99"/>
      <c r="O39" s="100"/>
      <c r="P39" s="100"/>
      <c r="Q39" s="100" t="str">
        <f>IFERROR(IF(VLOOKUP($A39,#REF!,30,FALSE)="","","Y"),"")</f>
        <v/>
      </c>
      <c r="R39" s="178" t="str">
        <f>IFERROR(IF(VLOOKUP($A39,#REF!,37,FALSE)="","","Y"),"")</f>
        <v/>
      </c>
      <c r="S39" s="173"/>
      <c r="T39" s="165"/>
      <c r="U39" s="117"/>
      <c r="V39" s="117" t="str">
        <f>IFERROR(IF(VLOOKUP($A39,#REF!,11,FALSE)="VARIATA","NEW TRAILER",""),"")</f>
        <v/>
      </c>
      <c r="W39" s="117" t="str">
        <f>IFERROR(IF(VLOOKUP(A39,#REF!,18,FALSE)&lt;&gt;"",VLOOKUP(A39,#REF!,18,FALSE),VLOOKUP(A39,#REF!,16,FALSE)),"")</f>
        <v/>
      </c>
      <c r="X39" s="117" t="str">
        <f>IFERROR(CONCATENATE(VLOOKUP($A39,#REF!,33,FALSE)," - ",VLOOKUP($A39,#REF!,13,FALSE)," - "),"")</f>
        <v/>
      </c>
      <c r="Y39" s="185" t="str">
        <f>IFERROR(IF(VLOOKUP($A39,#REF!,36,FALSE)&lt;&gt;0,VLOOKUP($A39,#REF!,36,FALSE),""),"")</f>
        <v/>
      </c>
      <c r="AJ39" s="114" t="s">
        <v>190</v>
      </c>
      <c r="AK39" s="77" t="s">
        <v>229</v>
      </c>
      <c r="AL39" s="77" t="s">
        <v>0</v>
      </c>
      <c r="AM39" s="77" t="s">
        <v>214</v>
      </c>
      <c r="AN39" s="77" t="s">
        <v>66</v>
      </c>
      <c r="AO39" s="90">
        <v>45317.399305555555</v>
      </c>
      <c r="AP39" s="90"/>
      <c r="AQ39" s="90" t="s">
        <v>185</v>
      </c>
      <c r="AS39" s="90"/>
      <c r="AU39" s="77" t="s">
        <v>214</v>
      </c>
      <c r="AV39" s="77" t="s">
        <v>58</v>
      </c>
      <c r="AW39" s="77" t="s">
        <v>76</v>
      </c>
      <c r="AX39" s="77" t="s">
        <v>58</v>
      </c>
      <c r="AY39" s="77" t="s">
        <v>58</v>
      </c>
      <c r="AZ39" s="77" t="s">
        <v>58</v>
      </c>
      <c r="BA39" s="77" t="s">
        <v>58</v>
      </c>
      <c r="BB39" s="77" t="s">
        <v>59</v>
      </c>
      <c r="BC39" s="77" t="s">
        <v>58</v>
      </c>
      <c r="BK39" s="77"/>
      <c r="BL39" s="77"/>
      <c r="BM39" s="77"/>
    </row>
    <row r="40" spans="1:65" ht="12.75">
      <c r="A40" s="137" t="s">
        <v>230</v>
      </c>
      <c r="B40" s="91" t="str">
        <f t="shared" si="6"/>
        <v>ERN11078</v>
      </c>
      <c r="C40" s="92" t="str">
        <f t="shared" si="4"/>
        <v>Fedex Express Romania Transportation Srl</v>
      </c>
      <c r="D40" s="93">
        <f t="shared" si="7"/>
        <v>0</v>
      </c>
      <c r="E40" s="94">
        <f t="shared" si="5"/>
        <v>45317.020833333336</v>
      </c>
      <c r="F40" s="95" t="s">
        <v>61</v>
      </c>
      <c r="G40" s="95"/>
      <c r="H40" s="91" t="e">
        <f>IF(VLOOKUP(A40,#REF!,10,FALSE)=0,VLOOKUP(A40,AJ:BJ,11,FALSE),VLOOKUP(A40,#REF!,10,FALSE))</f>
        <v>#REF!</v>
      </c>
      <c r="I40" s="96" t="str">
        <f t="shared" si="8"/>
        <v>XWT</v>
      </c>
      <c r="J40" s="118" t="str">
        <f>IFERROR(IF(VLOOKUP($A40,#REF!,14,FALSE)="","","Y"),"")</f>
        <v/>
      </c>
      <c r="K40" s="97"/>
      <c r="L40" s="97"/>
      <c r="M40" s="98" t="str">
        <f>A40</f>
        <v>XWT 3</v>
      </c>
      <c r="N40" s="99"/>
      <c r="O40" s="100"/>
      <c r="P40" s="100"/>
      <c r="Q40" s="100" t="str">
        <f>IFERROR(IF(VLOOKUP($A40,#REF!,30,FALSE)="","","Y"),"")</f>
        <v/>
      </c>
      <c r="R40" s="178" t="str">
        <f>IFERROR(IF(VLOOKUP($A40,#REF!,37,FALSE)="","","Y"),"")</f>
        <v/>
      </c>
      <c r="S40" s="173"/>
      <c r="T40" s="165"/>
      <c r="U40" s="117"/>
      <c r="V40" s="117" t="str">
        <f>IFERROR(IF(VLOOKUP($A40,#REF!,11,FALSE)="VARIATA","NEW TRAILER",""),"")</f>
        <v/>
      </c>
      <c r="W40" s="117" t="str">
        <f>IFERROR(IF(VLOOKUP(A40,#REF!,18,FALSE)&lt;&gt;"",VLOOKUP(A40,#REF!,18,FALSE),VLOOKUP(A40,#REF!,16,FALSE)),"")</f>
        <v/>
      </c>
      <c r="X40" s="117" t="str">
        <f>IFERROR(CONCATENATE(VLOOKUP($A40,#REF!,33,FALSE)," - ",VLOOKUP($A40,#REF!,13,FALSE)," - "),"")</f>
        <v/>
      </c>
      <c r="Y40" s="185" t="str">
        <f>IFERROR(IF(VLOOKUP($A40,#REF!,36,FALSE)&lt;&gt;0,VLOOKUP($A40,#REF!,36,FALSE),""),"")</f>
        <v/>
      </c>
      <c r="AJ40" s="114" t="s">
        <v>194</v>
      </c>
      <c r="AK40" s="77" t="s">
        <v>231</v>
      </c>
      <c r="AL40" s="77" t="s">
        <v>0</v>
      </c>
      <c r="AM40" s="77" t="s">
        <v>214</v>
      </c>
      <c r="AN40" s="77" t="s">
        <v>66</v>
      </c>
      <c r="AO40" s="90">
        <v>45317.399305555555</v>
      </c>
      <c r="AP40" s="90"/>
      <c r="AQ40" s="77" t="s">
        <v>52</v>
      </c>
      <c r="AS40" s="90"/>
      <c r="AU40" s="77" t="s">
        <v>214</v>
      </c>
      <c r="AV40" s="77" t="s">
        <v>58</v>
      </c>
      <c r="AW40" s="77" t="s">
        <v>76</v>
      </c>
      <c r="AX40" s="77" t="s">
        <v>58</v>
      </c>
      <c r="AY40" s="77" t="s">
        <v>58</v>
      </c>
      <c r="AZ40" s="77" t="s">
        <v>58</v>
      </c>
      <c r="BA40" s="77" t="s">
        <v>58</v>
      </c>
      <c r="BB40" s="77" t="s">
        <v>59</v>
      </c>
      <c r="BC40" s="77" t="s">
        <v>58</v>
      </c>
      <c r="BK40" s="77"/>
      <c r="BL40" s="77"/>
      <c r="BM40" s="77"/>
    </row>
    <row r="41" spans="1:65" ht="12.75">
      <c r="A41" s="137" t="s">
        <v>232</v>
      </c>
      <c r="B41" s="91" t="str">
        <f t="shared" si="6"/>
        <v>ERN06793</v>
      </c>
      <c r="C41" s="92" t="str">
        <f t="shared" ref="C41:C64" si="9">VLOOKUP(A41,AJ:BJ,8,FALSE)</f>
        <v>Dunca Expeditii S.A.</v>
      </c>
      <c r="D41" s="93">
        <f t="shared" si="7"/>
        <v>0</v>
      </c>
      <c r="E41" s="94">
        <f t="shared" si="5"/>
        <v>45317.541666666664</v>
      </c>
      <c r="F41" s="95" t="s">
        <v>61</v>
      </c>
      <c r="G41" s="95"/>
      <c r="H41" s="91" t="e">
        <f>IF(VLOOKUP(A41,#REF!,10,FALSE)=0,VLOOKUP(A41,AJ:BJ,11,FALSE),VLOOKUP(A41,#REF!,10,FALSE))</f>
        <v>#REF!</v>
      </c>
      <c r="I41" s="96" t="str">
        <f t="shared" si="8"/>
        <v>XWT</v>
      </c>
      <c r="J41" s="118" t="str">
        <f>IFERROR(IF(VLOOKUP($A41,#REF!,14,FALSE)="","","Y"),"")</f>
        <v/>
      </c>
      <c r="K41" s="97"/>
      <c r="L41" s="97"/>
      <c r="M41" s="98" t="str">
        <f t="shared" si="3"/>
        <v>XWT 4</v>
      </c>
      <c r="N41" s="99"/>
      <c r="O41" s="100"/>
      <c r="P41" s="100"/>
      <c r="Q41" s="100" t="str">
        <f>IFERROR(IF(VLOOKUP($A41,#REF!,30,FALSE)="","","Y"),"")</f>
        <v/>
      </c>
      <c r="R41" s="178" t="str">
        <f>IFERROR(IF(VLOOKUP($A41,#REF!,37,FALSE)="","","Y"),"")</f>
        <v/>
      </c>
      <c r="S41" s="173"/>
      <c r="T41" s="165"/>
      <c r="U41" s="117"/>
      <c r="V41" s="117" t="str">
        <f>IFERROR(IF(VLOOKUP($A41,#REF!,11,FALSE)="VARIATA","NEW TRAILER",""),"")</f>
        <v/>
      </c>
      <c r="W41" s="117" t="str">
        <f>IFERROR(IF(VLOOKUP(A41,#REF!,18,FALSE)&lt;&gt;"",VLOOKUP(A41,#REF!,18,FALSE),VLOOKUP(A41,#REF!,16,FALSE)),"")</f>
        <v/>
      </c>
      <c r="X41" s="117" t="str">
        <f>IFERROR(CONCATENATE(VLOOKUP($A41,#REF!,33,FALSE)," - ",VLOOKUP($A41,#REF!,13,FALSE)," - "),"")</f>
        <v/>
      </c>
      <c r="Y41" s="185" t="str">
        <f>IFERROR(IF(VLOOKUP($A41,#REF!,36,FALSE)&lt;&gt;0,VLOOKUP($A41,#REF!,36,FALSE),""),"")</f>
        <v/>
      </c>
      <c r="AJ41" s="114" t="s">
        <v>205</v>
      </c>
      <c r="AK41" s="77" t="s">
        <v>233</v>
      </c>
      <c r="AL41" s="77" t="s">
        <v>0</v>
      </c>
      <c r="AM41" s="77" t="s">
        <v>214</v>
      </c>
      <c r="AN41" s="77" t="s">
        <v>66</v>
      </c>
      <c r="AO41" s="90">
        <v>45317.427083333336</v>
      </c>
      <c r="AP41" s="90"/>
      <c r="AQ41" s="90" t="s">
        <v>128</v>
      </c>
      <c r="AU41" s="77" t="s">
        <v>214</v>
      </c>
      <c r="AV41" s="77" t="s">
        <v>58</v>
      </c>
      <c r="AW41" s="77" t="s">
        <v>57</v>
      </c>
      <c r="AX41" s="77" t="s">
        <v>58</v>
      </c>
      <c r="AY41" s="77" t="s">
        <v>58</v>
      </c>
      <c r="AZ41" s="77" t="s">
        <v>58</v>
      </c>
      <c r="BA41" s="77" t="s">
        <v>58</v>
      </c>
      <c r="BB41" s="77" t="s">
        <v>59</v>
      </c>
      <c r="BC41" s="77" t="s">
        <v>58</v>
      </c>
      <c r="BK41" s="77"/>
      <c r="BL41" s="77"/>
      <c r="BM41" s="77"/>
    </row>
    <row r="42" spans="1:65" ht="12.75">
      <c r="A42" s="137" t="s">
        <v>234</v>
      </c>
      <c r="B42" s="91" t="str">
        <f t="shared" si="6"/>
        <v>ERN16607</v>
      </c>
      <c r="C42" s="92" t="str">
        <f t="shared" si="9"/>
        <v>Maracana Srl</v>
      </c>
      <c r="D42" s="93">
        <f t="shared" si="7"/>
        <v>0</v>
      </c>
      <c r="E42" s="94">
        <f t="shared" si="5"/>
        <v>45317.541666666664</v>
      </c>
      <c r="F42" s="95" t="s">
        <v>61</v>
      </c>
      <c r="G42" s="95"/>
      <c r="H42" s="91" t="e">
        <f>IF(VLOOKUP(A42,#REF!,10,FALSE)=0,VLOOKUP(A42,AJ:BJ,11,FALSE),VLOOKUP(A42,#REF!,10,FALSE))</f>
        <v>#REF!</v>
      </c>
      <c r="I42" s="96" t="str">
        <f t="shared" si="8"/>
        <v>XWT</v>
      </c>
      <c r="J42" s="118" t="str">
        <f>IFERROR(IF(VLOOKUP($A42,#REF!,14,FALSE)="","","Y"),"")</f>
        <v/>
      </c>
      <c r="K42" s="97"/>
      <c r="L42" s="97"/>
      <c r="M42" s="98" t="str">
        <f t="shared" si="3"/>
        <v>XWT 5</v>
      </c>
      <c r="N42" s="99"/>
      <c r="O42" s="100"/>
      <c r="P42" s="100"/>
      <c r="Q42" s="100" t="str">
        <f>IFERROR(IF(VLOOKUP($A42,#REF!,30,FALSE)="","","Y"),"")</f>
        <v/>
      </c>
      <c r="R42" s="178" t="str">
        <f>IFERROR(IF(VLOOKUP($A42,#REF!,37,FALSE)="","","Y"),"")</f>
        <v/>
      </c>
      <c r="S42" s="173"/>
      <c r="T42" s="165"/>
      <c r="U42" s="117"/>
      <c r="V42" s="117" t="str">
        <f>IFERROR(IF(VLOOKUP($A42,#REF!,11,FALSE)="VARIATA","NEW TRAILER",""),"")</f>
        <v/>
      </c>
      <c r="W42" s="117" t="str">
        <f>IFERROR(IF(VLOOKUP(A42,#REF!,18,FALSE)&lt;&gt;"",VLOOKUP(A42,#REF!,18,FALSE),VLOOKUP(A42,#REF!,16,FALSE)),"")</f>
        <v/>
      </c>
      <c r="X42" s="117" t="str">
        <f>IFERROR(CONCATENATE(VLOOKUP($A42,#REF!,33,FALSE)," - ",VLOOKUP($A42,#REF!,13,FALSE)," - "),"")</f>
        <v/>
      </c>
      <c r="Y42" s="185" t="str">
        <f>IFERROR(IF(VLOOKUP($A42,#REF!,36,FALSE)&lt;&gt;0,VLOOKUP($A42,#REF!,36,FALSE),""),"")</f>
        <v/>
      </c>
      <c r="AJ42" s="114" t="s">
        <v>199</v>
      </c>
      <c r="AK42" s="77" t="s">
        <v>235</v>
      </c>
      <c r="AL42" s="77" t="s">
        <v>0</v>
      </c>
      <c r="AM42" s="77" t="s">
        <v>214</v>
      </c>
      <c r="AN42" s="77" t="s">
        <v>66</v>
      </c>
      <c r="AO42" s="90">
        <v>45317.427083333336</v>
      </c>
      <c r="AP42" s="90"/>
      <c r="AQ42" s="77" t="s">
        <v>135</v>
      </c>
      <c r="AU42" s="77" t="s">
        <v>214</v>
      </c>
      <c r="AV42" s="77" t="s">
        <v>58</v>
      </c>
      <c r="AW42" s="77" t="s">
        <v>76</v>
      </c>
      <c r="AX42" s="77" t="s">
        <v>58</v>
      </c>
      <c r="AY42" s="77" t="s">
        <v>58</v>
      </c>
      <c r="AZ42" s="77" t="s">
        <v>58</v>
      </c>
      <c r="BA42" s="77" t="s">
        <v>58</v>
      </c>
      <c r="BB42" s="77" t="s">
        <v>59</v>
      </c>
      <c r="BC42" s="77" t="s">
        <v>58</v>
      </c>
      <c r="BK42" s="77"/>
      <c r="BL42" s="77"/>
      <c r="BM42" s="77"/>
    </row>
    <row r="43" spans="1:65" ht="16.350000000000001" customHeight="1">
      <c r="A43" s="137" t="s">
        <v>236</v>
      </c>
      <c r="B43" s="91" t="str">
        <f t="shared" si="6"/>
        <v>ERN91508</v>
      </c>
      <c r="C43" s="92" t="str">
        <f t="shared" si="9"/>
        <v>Galileo Transport Srl</v>
      </c>
      <c r="D43" s="93">
        <f t="shared" si="7"/>
        <v>0</v>
      </c>
      <c r="E43" s="94">
        <f t="shared" ref="E43:E74" si="10">VLOOKUP(A43,AJ:BJ,6,FALSE)</f>
        <v>45317.541666666664</v>
      </c>
      <c r="F43" s="95" t="s">
        <v>61</v>
      </c>
      <c r="G43" s="95"/>
      <c r="H43" s="91" t="e">
        <f>IF(VLOOKUP(A43,#REF!,10,FALSE)=0,VLOOKUP(A43,AJ:BJ,11,FALSE),VLOOKUP(A43,#REF!,10,FALSE))</f>
        <v>#REF!</v>
      </c>
      <c r="I43" s="96" t="str">
        <f t="shared" si="8"/>
        <v>XWT</v>
      </c>
      <c r="J43" s="118" t="str">
        <f>IFERROR(IF(VLOOKUP($A43,#REF!,14,FALSE)="","","Y"),"")</f>
        <v/>
      </c>
      <c r="K43" s="97"/>
      <c r="L43" s="97"/>
      <c r="M43" s="98" t="str">
        <f t="shared" si="3"/>
        <v>XWT 6</v>
      </c>
      <c r="N43" s="99"/>
      <c r="O43" s="100"/>
      <c r="P43" s="100"/>
      <c r="Q43" s="100" t="str">
        <f>IFERROR(IF(VLOOKUP($A43,#REF!,30,FALSE)="","","Y"),"")</f>
        <v/>
      </c>
      <c r="R43" s="178" t="str">
        <f>IFERROR(IF(VLOOKUP($A43,#REF!,37,FALSE)="","","Y"),"")</f>
        <v/>
      </c>
      <c r="S43" s="173"/>
      <c r="T43" s="165"/>
      <c r="U43" s="117"/>
      <c r="V43" s="117" t="str">
        <f>IFERROR(IF(VLOOKUP($A43,#REF!,11,FALSE)="VARIATA","NEW TRAILER",""),"")</f>
        <v/>
      </c>
      <c r="W43" s="117" t="str">
        <f>IFERROR(IF(VLOOKUP(A43,#REF!,18,FALSE)&lt;&gt;"",VLOOKUP(A43,#REF!,18,FALSE),VLOOKUP(A43,#REF!,16,FALSE)),"")</f>
        <v/>
      </c>
      <c r="X43" s="117" t="str">
        <f>IFERROR(CONCATENATE(VLOOKUP($A43,#REF!,33,FALSE)," - ",VLOOKUP($A43,#REF!,13,FALSE)," - "),"")</f>
        <v/>
      </c>
      <c r="Y43" s="185" t="str">
        <f>IFERROR(IF(VLOOKUP($A43,#REF!,36,FALSE)&lt;&gt;0,VLOOKUP($A43,#REF!,36,FALSE),""),"")</f>
        <v/>
      </c>
      <c r="AK43" s="77" t="s">
        <v>237</v>
      </c>
      <c r="AL43" s="77" t="s">
        <v>0</v>
      </c>
      <c r="AM43" s="77" t="s">
        <v>238</v>
      </c>
      <c r="AN43" s="77" t="s">
        <v>66</v>
      </c>
      <c r="AO43" s="90">
        <v>45317.458333333336</v>
      </c>
      <c r="AP43" s="90"/>
      <c r="AQ43" s="77" t="s">
        <v>171</v>
      </c>
      <c r="AU43" s="77" t="s">
        <v>238</v>
      </c>
      <c r="AV43" s="77" t="s">
        <v>58</v>
      </c>
      <c r="AW43" s="77" t="s">
        <v>57</v>
      </c>
      <c r="AX43" s="77" t="s">
        <v>58</v>
      </c>
      <c r="AY43" s="77" t="s">
        <v>58</v>
      </c>
      <c r="AZ43" s="77" t="s">
        <v>58</v>
      </c>
      <c r="BA43" s="77" t="s">
        <v>58</v>
      </c>
      <c r="BB43" s="77" t="s">
        <v>59</v>
      </c>
      <c r="BC43" s="77" t="s">
        <v>58</v>
      </c>
      <c r="BK43" s="77"/>
      <c r="BL43" s="77"/>
      <c r="BM43" s="77"/>
    </row>
    <row r="44" spans="1:65" ht="12.75">
      <c r="A44" s="137" t="s">
        <v>239</v>
      </c>
      <c r="B44" s="91" t="str">
        <f t="shared" si="6"/>
        <v>ERN15952</v>
      </c>
      <c r="C44" s="92" t="str">
        <f t="shared" si="9"/>
        <v>Dunca Expeditii S.A.</v>
      </c>
      <c r="D44" s="93">
        <f t="shared" si="7"/>
        <v>0</v>
      </c>
      <c r="E44" s="94">
        <f t="shared" si="10"/>
        <v>45317.541666666664</v>
      </c>
      <c r="F44" s="95" t="s">
        <v>61</v>
      </c>
      <c r="G44" s="95"/>
      <c r="H44" s="91" t="e">
        <f>IF(VLOOKUP(A44,#REF!,10,FALSE)=0,VLOOKUP(A44,AJ:BJ,11,FALSE),VLOOKUP(A44,#REF!,10,FALSE))</f>
        <v>#REF!</v>
      </c>
      <c r="I44" s="96" t="str">
        <f t="shared" si="8"/>
        <v>XWT</v>
      </c>
      <c r="J44" s="118" t="str">
        <f>IFERROR(IF(VLOOKUP($A44,#REF!,14,FALSE)="","","Y"),"")</f>
        <v/>
      </c>
      <c r="K44" s="97"/>
      <c r="L44" s="97"/>
      <c r="M44" s="98" t="str">
        <f t="shared" si="3"/>
        <v>XWT 7</v>
      </c>
      <c r="N44" s="99"/>
      <c r="O44" s="100"/>
      <c r="P44" s="100"/>
      <c r="Q44" s="100" t="str">
        <f>IFERROR(IF(VLOOKUP($A44,#REF!,30,FALSE)="","","Y"),"")</f>
        <v/>
      </c>
      <c r="R44" s="178" t="str">
        <f>IFERROR(IF(VLOOKUP($A44,#REF!,37,FALSE)="","","Y"),"")</f>
        <v/>
      </c>
      <c r="S44" s="173"/>
      <c r="T44" s="165"/>
      <c r="U44" s="117"/>
      <c r="V44" s="117" t="str">
        <f>IFERROR(IF(VLOOKUP($A44,#REF!,11,FALSE)="VARIATA","NEW TRAILER",""),"")</f>
        <v/>
      </c>
      <c r="W44" s="117" t="str">
        <f>IFERROR(IF(VLOOKUP(A44,#REF!,18,FALSE)&lt;&gt;"",VLOOKUP(A44,#REF!,18,FALSE),VLOOKUP(A44,#REF!,16,FALSE)),"")</f>
        <v/>
      </c>
      <c r="X44" s="117" t="str">
        <f>IFERROR(CONCATENATE(VLOOKUP($A44,#REF!,33,FALSE)," - ",VLOOKUP($A44,#REF!,13,FALSE)," - "),"")</f>
        <v/>
      </c>
      <c r="Y44" s="185" t="str">
        <f>IFERROR(IF(VLOOKUP($A44,#REF!,36,FALSE)&lt;&gt;0,VLOOKUP($A44,#REF!,36,FALSE),""),"")</f>
        <v/>
      </c>
      <c r="AJ44" s="114" t="s">
        <v>161</v>
      </c>
      <c r="AK44" s="77" t="s">
        <v>240</v>
      </c>
      <c r="AL44" s="77" t="s">
        <v>0</v>
      </c>
      <c r="AM44" s="77" t="s">
        <v>241</v>
      </c>
      <c r="AN44" s="77" t="s">
        <v>51</v>
      </c>
      <c r="AO44" s="90">
        <v>45317.28125</v>
      </c>
      <c r="AP44" s="90"/>
      <c r="AQ44" s="77" t="s">
        <v>242</v>
      </c>
      <c r="AR44" s="90" t="s">
        <v>243</v>
      </c>
      <c r="AS44" s="77" t="s">
        <v>244</v>
      </c>
      <c r="AT44" s="77" t="s">
        <v>245</v>
      </c>
      <c r="AU44" s="77" t="s">
        <v>246</v>
      </c>
      <c r="AV44" s="77" t="s">
        <v>56</v>
      </c>
      <c r="AW44" s="77" t="s">
        <v>57</v>
      </c>
      <c r="AX44" s="77" t="s">
        <v>58</v>
      </c>
      <c r="AY44" s="77" t="s">
        <v>58</v>
      </c>
      <c r="AZ44" s="77" t="s">
        <v>58</v>
      </c>
      <c r="BA44" s="77" t="s">
        <v>58</v>
      </c>
      <c r="BB44" s="77" t="s">
        <v>59</v>
      </c>
      <c r="BC44" s="77" t="s">
        <v>58</v>
      </c>
      <c r="BK44" s="77"/>
      <c r="BL44" s="77"/>
      <c r="BM44" s="77"/>
    </row>
    <row r="45" spans="1:65" ht="12.75">
      <c r="A45" s="137" t="s">
        <v>247</v>
      </c>
      <c r="B45" s="91" t="str">
        <f t="shared" si="6"/>
        <v>ERN17075</v>
      </c>
      <c r="C45" s="92" t="str">
        <f t="shared" si="9"/>
        <v>P.H.U Transbed Grzegorz Bednarek</v>
      </c>
      <c r="D45" s="93" t="str">
        <f t="shared" si="7"/>
        <v>ENBC19036</v>
      </c>
      <c r="E45" s="94">
        <f t="shared" si="10"/>
        <v>45317.020833333336</v>
      </c>
      <c r="F45" s="95" t="s">
        <v>61</v>
      </c>
      <c r="G45" s="95"/>
      <c r="H45" s="91" t="e">
        <f>IF(VLOOKUP(A45,#REF!,10,FALSE)=0,VLOOKUP(A45,AJ:BJ,11,FALSE),VLOOKUP(A45,#REF!,10,FALSE))</f>
        <v>#REF!</v>
      </c>
      <c r="I45" s="96" t="str">
        <f t="shared" si="8"/>
        <v>WA1</v>
      </c>
      <c r="J45" s="118" t="str">
        <f>IFERROR(IF(VLOOKUP($A45,#REF!,14,FALSE)="","","Y"),"")</f>
        <v/>
      </c>
      <c r="K45" s="97"/>
      <c r="L45" s="97"/>
      <c r="M45" s="98" t="str">
        <f t="shared" si="3"/>
        <v>WA1</v>
      </c>
      <c r="N45" s="99"/>
      <c r="O45" s="100"/>
      <c r="P45" s="100"/>
      <c r="Q45" s="100" t="str">
        <f>IFERROR(IF(VLOOKUP($A45,#REF!,30,FALSE)="","","Y"),"")</f>
        <v/>
      </c>
      <c r="R45" s="178" t="str">
        <f>IFERROR(IF(VLOOKUP($A45,#REF!,37,FALSE)="","","Y"),"")</f>
        <v/>
      </c>
      <c r="S45" s="173"/>
      <c r="T45" s="165"/>
      <c r="U45" s="117"/>
      <c r="V45" s="117" t="str">
        <f>IFERROR(IF(VLOOKUP($A45,#REF!,11,FALSE)="VARIATA","NEW TRAILER",""),"")</f>
        <v/>
      </c>
      <c r="W45" s="117" t="str">
        <f>IFERROR(IF(VLOOKUP(A45,#REF!,18,FALSE)&lt;&gt;"",VLOOKUP(A45,#REF!,18,FALSE),VLOOKUP(A45,#REF!,16,FALSE)),"")</f>
        <v/>
      </c>
      <c r="X45" s="117" t="str">
        <f>IFERROR(CONCATENATE(VLOOKUP($A45,#REF!,33,FALSE)," - ",VLOOKUP($A45,#REF!,13,FALSE)," - "),"")</f>
        <v/>
      </c>
      <c r="Y45" s="185" t="str">
        <f>IFERROR(IF(VLOOKUP($A45,#REF!,36,FALSE)&lt;&gt;0,VLOOKUP($A45,#REF!,36,FALSE),""),"")</f>
        <v/>
      </c>
      <c r="AJ45" s="114" t="s">
        <v>157</v>
      </c>
      <c r="AK45" s="77" t="s">
        <v>248</v>
      </c>
      <c r="AL45" s="77" t="s">
        <v>0</v>
      </c>
      <c r="AM45" s="77" t="s">
        <v>241</v>
      </c>
      <c r="AN45" s="77" t="s">
        <v>51</v>
      </c>
      <c r="AO45" s="90">
        <v>45317.28125</v>
      </c>
      <c r="AP45" s="90"/>
      <c r="AQ45" s="77" t="s">
        <v>249</v>
      </c>
      <c r="AR45" s="90" t="s">
        <v>250</v>
      </c>
      <c r="AS45" s="77" t="s">
        <v>251</v>
      </c>
      <c r="AT45" s="77" t="s">
        <v>252</v>
      </c>
      <c r="AU45" s="77" t="s">
        <v>246</v>
      </c>
      <c r="AV45" s="77" t="s">
        <v>58</v>
      </c>
      <c r="AW45" s="77" t="s">
        <v>57</v>
      </c>
      <c r="AX45" s="77" t="s">
        <v>58</v>
      </c>
      <c r="AY45" s="77" t="s">
        <v>58</v>
      </c>
      <c r="AZ45" s="77" t="s">
        <v>58</v>
      </c>
      <c r="BA45" s="77" t="s">
        <v>58</v>
      </c>
      <c r="BB45" s="77" t="s">
        <v>59</v>
      </c>
      <c r="BC45" s="77" t="s">
        <v>58</v>
      </c>
      <c r="BK45" s="77"/>
      <c r="BL45" s="77"/>
      <c r="BM45" s="77"/>
    </row>
    <row r="46" spans="1:65" ht="12.75">
      <c r="A46" s="137" t="s">
        <v>94</v>
      </c>
      <c r="B46" s="91" t="str">
        <f t="shared" si="6"/>
        <v>ERN16914</v>
      </c>
      <c r="C46" s="92" t="str">
        <f t="shared" si="9"/>
        <v>Furgo-trayler</v>
      </c>
      <c r="D46" s="93">
        <f t="shared" si="7"/>
        <v>0</v>
      </c>
      <c r="E46" s="94">
        <f t="shared" si="10"/>
        <v>45317.034722222219</v>
      </c>
      <c r="F46" s="95" t="s">
        <v>61</v>
      </c>
      <c r="G46" s="95"/>
      <c r="H46" s="91" t="e">
        <f>IF(VLOOKUP(A46,#REF!,10,FALSE)=0,VLOOKUP(A46,AJ:BJ,11,FALSE),VLOOKUP(A46,#REF!,10,FALSE))</f>
        <v>#REF!</v>
      </c>
      <c r="I46" s="96" t="str">
        <f t="shared" si="8"/>
        <v>BCN</v>
      </c>
      <c r="J46" s="118" t="str">
        <f>IFERROR(IF(VLOOKUP($A46,#REF!,14,FALSE)="","","Y"),"")</f>
        <v/>
      </c>
      <c r="K46" s="97"/>
      <c r="L46" s="97"/>
      <c r="M46" s="98" t="str">
        <f t="shared" si="3"/>
        <v>BCN 1</v>
      </c>
      <c r="N46" s="99"/>
      <c r="O46" s="100"/>
      <c r="P46" s="100"/>
      <c r="Q46" s="100" t="str">
        <f>IFERROR(IF(VLOOKUP($A46,#REF!,30,FALSE)="","","Y"),"")</f>
        <v/>
      </c>
      <c r="R46" s="178" t="str">
        <f>IFERROR(IF(VLOOKUP($A46,#REF!,37,FALSE)="","","Y"),"")</f>
        <v/>
      </c>
      <c r="S46" s="173"/>
      <c r="T46" s="165"/>
      <c r="U46" s="117"/>
      <c r="V46" s="117" t="str">
        <f>IFERROR(IF(VLOOKUP($A46,#REF!,11,FALSE)="VARIATA","NEW TRAILER",""),"")</f>
        <v/>
      </c>
      <c r="W46" s="117" t="str">
        <f>IFERROR(IF(VLOOKUP(A46,#REF!,18,FALSE)&lt;&gt;"",VLOOKUP(A46,#REF!,18,FALSE),VLOOKUP(A46,#REF!,16,FALSE)),"")</f>
        <v/>
      </c>
      <c r="X46" s="117" t="str">
        <f>IFERROR(CONCATENATE(VLOOKUP($A46,#REF!,33,FALSE)," - ",VLOOKUP($A46,#REF!,13,FALSE)," - "),"")</f>
        <v/>
      </c>
      <c r="Y46" s="185" t="str">
        <f>IFERROR(IF(VLOOKUP($A46,#REF!,36,FALSE)&lt;&gt;0,VLOOKUP($A46,#REF!,36,FALSE),""),"")</f>
        <v/>
      </c>
      <c r="AJ46" s="114" t="s">
        <v>142</v>
      </c>
      <c r="AK46" s="77" t="s">
        <v>253</v>
      </c>
      <c r="AL46" s="77" t="s">
        <v>0</v>
      </c>
      <c r="AM46" s="77" t="s">
        <v>241</v>
      </c>
      <c r="AN46" s="77" t="s">
        <v>51</v>
      </c>
      <c r="AO46" s="90">
        <v>45317.239583333336</v>
      </c>
      <c r="AP46" s="90"/>
      <c r="AQ46" s="90" t="s">
        <v>242</v>
      </c>
      <c r="AR46" s="77" t="s">
        <v>254</v>
      </c>
      <c r="AS46" s="90" t="s">
        <v>255</v>
      </c>
      <c r="AT46" s="77" t="s">
        <v>256</v>
      </c>
      <c r="AU46" s="77" t="s">
        <v>241</v>
      </c>
      <c r="AV46" s="77" t="s">
        <v>56</v>
      </c>
      <c r="AW46" s="77" t="s">
        <v>57</v>
      </c>
      <c r="AX46" s="77" t="s">
        <v>58</v>
      </c>
      <c r="AY46" s="77" t="s">
        <v>58</v>
      </c>
      <c r="AZ46" s="77" t="s">
        <v>58</v>
      </c>
      <c r="BA46" s="77" t="s">
        <v>58</v>
      </c>
      <c r="BB46" s="77" t="s">
        <v>59</v>
      </c>
      <c r="BC46" s="77" t="s">
        <v>58</v>
      </c>
      <c r="BK46" s="77"/>
      <c r="BL46" s="77"/>
      <c r="BM46" s="77"/>
    </row>
    <row r="47" spans="1:65" ht="12.75">
      <c r="A47" s="137" t="s">
        <v>87</v>
      </c>
      <c r="B47" s="91" t="str">
        <f t="shared" si="6"/>
        <v>ERN14392</v>
      </c>
      <c r="C47" s="92" t="str">
        <f t="shared" si="9"/>
        <v>Logistica Grillo, S.L.</v>
      </c>
      <c r="D47" s="93" t="str">
        <f t="shared" si="7"/>
        <v>R7951BCB</v>
      </c>
      <c r="E47" s="94">
        <f t="shared" si="10"/>
        <v>45317.034722222219</v>
      </c>
      <c r="F47" s="95"/>
      <c r="G47" s="95" t="s">
        <v>61</v>
      </c>
      <c r="H47" s="91" t="e">
        <f>IF(VLOOKUP(A47,#REF!,10,FALSE)=0,VLOOKUP(A47,AJ:BJ,11,FALSE),VLOOKUP(A47,#REF!,10,FALSE))</f>
        <v>#REF!</v>
      </c>
      <c r="I47" s="96" t="str">
        <f t="shared" si="8"/>
        <v>BCN</v>
      </c>
      <c r="J47" s="118" t="str">
        <f>IFERROR(IF(VLOOKUP($A47,#REF!,14,FALSE)="","","Y"),"")</f>
        <v/>
      </c>
      <c r="K47" s="97"/>
      <c r="L47" s="97"/>
      <c r="M47" s="98" t="str">
        <f t="shared" si="3"/>
        <v>BCN 2</v>
      </c>
      <c r="N47" s="99"/>
      <c r="O47" s="100"/>
      <c r="P47" s="100"/>
      <c r="Q47" s="100" t="str">
        <f>IFERROR(IF(VLOOKUP($A47,#REF!,30,FALSE)="","","Y"),"")</f>
        <v/>
      </c>
      <c r="R47" s="178" t="str">
        <f>IFERROR(IF(VLOOKUP($A47,#REF!,37,FALSE)="","","Y"),"")</f>
        <v/>
      </c>
      <c r="S47" s="173"/>
      <c r="T47" s="165"/>
      <c r="U47" s="117"/>
      <c r="V47" s="117" t="str">
        <f>IFERROR(IF(VLOOKUP($A47,#REF!,11,FALSE)="VARIATA","NEW TRAILER",""),"")</f>
        <v/>
      </c>
      <c r="W47" s="117" t="str">
        <f>IFERROR(IF(VLOOKUP(A47,#REF!,18,FALSE)&lt;&gt;"",VLOOKUP(A47,#REF!,18,FALSE),VLOOKUP(A47,#REF!,16,FALSE)),"")</f>
        <v/>
      </c>
      <c r="X47" s="117" t="str">
        <f>IFERROR(CONCATENATE(VLOOKUP($A47,#REF!,33,FALSE)," - ",VLOOKUP($A47,#REF!,13,FALSE)," - "),"")</f>
        <v/>
      </c>
      <c r="Y47" s="185" t="str">
        <f>IFERROR(IF(VLOOKUP($A47,#REF!,36,FALSE)&lt;&gt;0,VLOOKUP($A47,#REF!,36,FALSE),""),"")</f>
        <v/>
      </c>
      <c r="AJ47" s="114" t="s">
        <v>148</v>
      </c>
      <c r="AK47" s="77" t="s">
        <v>257</v>
      </c>
      <c r="AL47" s="77" t="s">
        <v>0</v>
      </c>
      <c r="AM47" s="77" t="s">
        <v>241</v>
      </c>
      <c r="AN47" s="77" t="s">
        <v>51</v>
      </c>
      <c r="AO47" s="90">
        <v>45317.28125</v>
      </c>
      <c r="AP47" s="90"/>
      <c r="AQ47" s="77" t="s">
        <v>135</v>
      </c>
      <c r="AR47" s="77" t="s">
        <v>258</v>
      </c>
      <c r="AS47" s="77" t="s">
        <v>259</v>
      </c>
      <c r="AT47" s="77" t="s">
        <v>260</v>
      </c>
      <c r="AU47" s="77" t="s">
        <v>241</v>
      </c>
      <c r="AV47" s="77" t="s">
        <v>56</v>
      </c>
      <c r="AW47" s="77" t="s">
        <v>57</v>
      </c>
      <c r="AX47" s="77" t="s">
        <v>58</v>
      </c>
      <c r="AY47" s="77" t="s">
        <v>58</v>
      </c>
      <c r="AZ47" s="77" t="s">
        <v>58</v>
      </c>
      <c r="BA47" s="77" t="s">
        <v>58</v>
      </c>
      <c r="BB47" s="77" t="s">
        <v>59</v>
      </c>
      <c r="BC47" s="77" t="s">
        <v>58</v>
      </c>
      <c r="BK47" s="77"/>
      <c r="BL47" s="77"/>
      <c r="BM47" s="77"/>
    </row>
    <row r="48" spans="1:65" ht="12.75">
      <c r="A48" s="137" t="s">
        <v>99</v>
      </c>
      <c r="B48" s="91" t="str">
        <f t="shared" si="6"/>
        <v>ERN15902</v>
      </c>
      <c r="C48" s="92" t="str">
        <f t="shared" si="9"/>
        <v>Logistica Grillo, S.L.</v>
      </c>
      <c r="D48" s="93" t="str">
        <f t="shared" si="7"/>
        <v>R1938BCR</v>
      </c>
      <c r="E48" s="94">
        <f t="shared" si="10"/>
        <v>45317.034722222219</v>
      </c>
      <c r="F48" s="95"/>
      <c r="G48" s="95" t="s">
        <v>61</v>
      </c>
      <c r="H48" s="91" t="e">
        <f>IF(VLOOKUP(A48,#REF!,10,FALSE)=0,VLOOKUP(A48,AJ:BJ,11,FALSE),VLOOKUP(A48,#REF!,10,FALSE))</f>
        <v>#REF!</v>
      </c>
      <c r="I48" s="96" t="str">
        <f t="shared" si="8"/>
        <v>BCN</v>
      </c>
      <c r="J48" s="118" t="str">
        <f>IFERROR(IF(VLOOKUP($A48,#REF!,14,FALSE)="","","Y"),"")</f>
        <v/>
      </c>
      <c r="K48" s="97"/>
      <c r="L48" s="97"/>
      <c r="M48" s="98" t="str">
        <f>A48</f>
        <v>BCN 3</v>
      </c>
      <c r="N48" s="99"/>
      <c r="O48" s="100"/>
      <c r="P48" s="100"/>
      <c r="Q48" s="100" t="str">
        <f>IFERROR(IF(VLOOKUP($A48,#REF!,30,FALSE)="","","Y"),"")</f>
        <v/>
      </c>
      <c r="R48" s="178" t="str">
        <f>IFERROR(IF(VLOOKUP($A48,#REF!,37,FALSE)="","","Y"),"")</f>
        <v/>
      </c>
      <c r="S48" s="173"/>
      <c r="T48" s="165"/>
      <c r="U48" s="117"/>
      <c r="V48" s="117" t="str">
        <f>IFERROR(IF(VLOOKUP($A48,#REF!,11,FALSE)="VARIATA","NEW TRAILER",""),"")</f>
        <v/>
      </c>
      <c r="W48" s="117" t="str">
        <f>IFERROR(IF(VLOOKUP(A48,#REF!,18,FALSE)&lt;&gt;"",VLOOKUP(A48,#REF!,18,FALSE),VLOOKUP(A48,#REF!,16,FALSE)),"")</f>
        <v/>
      </c>
      <c r="X48" s="117" t="str">
        <f>IFERROR(CONCATENATE(VLOOKUP($A48,#REF!,33,FALSE)," - ",VLOOKUP($A48,#REF!,13,FALSE)," - "),"")</f>
        <v/>
      </c>
      <c r="Y48" s="185" t="str">
        <f>IFERROR(IF(VLOOKUP($A48,#REF!,36,FALSE)&lt;&gt;0,VLOOKUP($A48,#REF!,36,FALSE),""),"")</f>
        <v/>
      </c>
      <c r="AJ48" s="114" t="s">
        <v>155</v>
      </c>
      <c r="AK48" s="77" t="s">
        <v>261</v>
      </c>
      <c r="AL48" s="77" t="s">
        <v>0</v>
      </c>
      <c r="AM48" s="77" t="s">
        <v>241</v>
      </c>
      <c r="AN48" s="77" t="s">
        <v>66</v>
      </c>
      <c r="AO48" s="90">
        <v>45317.28125</v>
      </c>
      <c r="AP48" s="90"/>
      <c r="AQ48" s="77" t="s">
        <v>171</v>
      </c>
      <c r="AU48" s="77" t="s">
        <v>241</v>
      </c>
      <c r="AV48" s="77" t="s">
        <v>58</v>
      </c>
      <c r="AW48" s="77" t="s">
        <v>57</v>
      </c>
      <c r="AX48" s="77" t="s">
        <v>58</v>
      </c>
      <c r="AY48" s="77" t="s">
        <v>58</v>
      </c>
      <c r="AZ48" s="77" t="s">
        <v>58</v>
      </c>
      <c r="BA48" s="77" t="s">
        <v>58</v>
      </c>
      <c r="BB48" s="77" t="s">
        <v>59</v>
      </c>
      <c r="BC48" s="77" t="s">
        <v>58</v>
      </c>
      <c r="BK48" s="77"/>
      <c r="BL48" s="77"/>
      <c r="BM48" s="77"/>
    </row>
    <row r="49" spans="1:65" ht="12.75">
      <c r="A49" s="137" t="s">
        <v>112</v>
      </c>
      <c r="B49" s="91" t="str">
        <f t="shared" si="6"/>
        <v>ERN13137</v>
      </c>
      <c r="C49" s="92" t="str">
        <f t="shared" si="9"/>
        <v>J.V.,Sl Central De Servicios Y Seleccion</v>
      </c>
      <c r="D49" s="93" t="str">
        <f t="shared" si="7"/>
        <v>R9073BDF</v>
      </c>
      <c r="E49" s="94">
        <f t="shared" si="10"/>
        <v>45317.479166666664</v>
      </c>
      <c r="F49" s="95"/>
      <c r="G49" s="95" t="s">
        <v>61</v>
      </c>
      <c r="H49" s="91" t="e">
        <f>IF(VLOOKUP(A49,#REF!,10,FALSE)=0,VLOOKUP(A49,AJ:BJ,11,FALSE),VLOOKUP(A49,#REF!,10,FALSE))</f>
        <v>#REF!</v>
      </c>
      <c r="I49" s="96" t="str">
        <f t="shared" si="8"/>
        <v>BCN</v>
      </c>
      <c r="J49" s="118" t="str">
        <f>IFERROR(IF(VLOOKUP($A49,#REF!,14,FALSE)="","","Y"),"")</f>
        <v/>
      </c>
      <c r="K49" s="97"/>
      <c r="L49" s="97"/>
      <c r="M49" s="98" t="str">
        <f>A49</f>
        <v>BCN 4</v>
      </c>
      <c r="N49" s="99"/>
      <c r="O49" s="100"/>
      <c r="P49" s="100"/>
      <c r="Q49" s="100" t="str">
        <f>IFERROR(IF(VLOOKUP($A49,#REF!,30,FALSE)="","","Y"),"")</f>
        <v/>
      </c>
      <c r="R49" s="178" t="str">
        <f>IFERROR(IF(VLOOKUP($A49,#REF!,37,FALSE)="","","Y"),"")</f>
        <v/>
      </c>
      <c r="S49" s="173"/>
      <c r="T49" s="165"/>
      <c r="U49" s="117"/>
      <c r="V49" s="117" t="str">
        <f>IFERROR(IF(VLOOKUP($A49,#REF!,11,FALSE)="VARIATA","NEW TRAILER",""),"")</f>
        <v/>
      </c>
      <c r="W49" s="117" t="str">
        <f>IFERROR(IF(VLOOKUP(A49,#REF!,18,FALSE)&lt;&gt;"",VLOOKUP(A49,#REF!,18,FALSE),VLOOKUP(A49,#REF!,16,FALSE)),"")</f>
        <v/>
      </c>
      <c r="X49" s="117" t="str">
        <f>IFERROR(CONCATENATE(VLOOKUP($A49,#REF!,33,FALSE)," - ",VLOOKUP($A49,#REF!,13,FALSE)," - "),"")</f>
        <v/>
      </c>
      <c r="Y49" s="185" t="str">
        <f>IFERROR(IF(VLOOKUP($A49,#REF!,36,FALSE)&lt;&gt;0,VLOOKUP($A49,#REF!,36,FALSE),""),"")</f>
        <v/>
      </c>
      <c r="AJ49" s="114" t="s">
        <v>262</v>
      </c>
      <c r="AK49" s="77" t="s">
        <v>263</v>
      </c>
      <c r="AL49" s="77" t="s">
        <v>0</v>
      </c>
      <c r="AM49" s="77" t="s">
        <v>264</v>
      </c>
      <c r="AN49" s="77" t="s">
        <v>66</v>
      </c>
      <c r="AO49" s="90">
        <v>45317.270833333336</v>
      </c>
      <c r="AP49" s="90"/>
      <c r="AQ49" s="77" t="s">
        <v>67</v>
      </c>
      <c r="AT49" s="77" t="s">
        <v>265</v>
      </c>
      <c r="AU49" s="77" t="s">
        <v>264</v>
      </c>
      <c r="AV49" s="77" t="s">
        <v>56</v>
      </c>
      <c r="AW49" s="77" t="s">
        <v>57</v>
      </c>
      <c r="AX49" s="77" t="s">
        <v>58</v>
      </c>
      <c r="AY49" s="77" t="s">
        <v>58</v>
      </c>
      <c r="AZ49" s="77" t="s">
        <v>58</v>
      </c>
      <c r="BA49" s="77" t="s">
        <v>58</v>
      </c>
      <c r="BB49" s="77" t="s">
        <v>59</v>
      </c>
      <c r="BC49" s="77" t="s">
        <v>58</v>
      </c>
      <c r="BK49" s="77"/>
      <c r="BL49" s="77"/>
      <c r="BM49" s="77"/>
    </row>
    <row r="50" spans="1:65" ht="12.75">
      <c r="A50" s="137" t="s">
        <v>119</v>
      </c>
      <c r="B50" s="91" t="str">
        <f t="shared" si="6"/>
        <v>ERN13502</v>
      </c>
      <c r="C50" s="92" t="str">
        <f t="shared" si="9"/>
        <v>J.V.,Sl Central De Servicios Y Seleccion</v>
      </c>
      <c r="D50" s="93" t="str">
        <f t="shared" si="7"/>
        <v>R2407BDD</v>
      </c>
      <c r="E50" s="94">
        <f t="shared" si="10"/>
        <v>45317.479166666664</v>
      </c>
      <c r="F50" s="95"/>
      <c r="G50" s="95" t="s">
        <v>61</v>
      </c>
      <c r="H50" s="91" t="e">
        <f>IF(VLOOKUP(A50,#REF!,10,FALSE)=0,VLOOKUP(A50,AJ:BJ,11,FALSE),VLOOKUP(A50,#REF!,10,FALSE))</f>
        <v>#REF!</v>
      </c>
      <c r="I50" s="96" t="str">
        <f t="shared" si="8"/>
        <v>BCN</v>
      </c>
      <c r="J50" s="118" t="str">
        <f>IFERROR(IF(VLOOKUP($A50,#REF!,14,FALSE)="","","Y"),"")</f>
        <v/>
      </c>
      <c r="K50" s="97"/>
      <c r="L50" s="97"/>
      <c r="M50" s="98" t="str">
        <f t="shared" si="3"/>
        <v>BCN 5</v>
      </c>
      <c r="N50" s="99"/>
      <c r="O50" s="100"/>
      <c r="P50" s="100"/>
      <c r="Q50" s="100" t="str">
        <f>IFERROR(IF(VLOOKUP($A50,#REF!,30,FALSE)="","","Y"),"")</f>
        <v/>
      </c>
      <c r="R50" s="178" t="str">
        <f>IFERROR(IF(VLOOKUP($A50,#REF!,37,FALSE)="","","Y"),"")</f>
        <v/>
      </c>
      <c r="S50" s="173"/>
      <c r="T50" s="165"/>
      <c r="U50" s="117"/>
      <c r="V50" s="117" t="str">
        <f>IFERROR(IF(VLOOKUP($A50,#REF!,11,FALSE)="VARIATA","NEW TRAILER",""),"")</f>
        <v/>
      </c>
      <c r="W50" s="117" t="str">
        <f>IFERROR(IF(VLOOKUP(A50,#REF!,18,FALSE)&lt;&gt;"",VLOOKUP(A50,#REF!,18,FALSE),VLOOKUP(A50,#REF!,16,FALSE)),"")</f>
        <v/>
      </c>
      <c r="X50" s="117" t="str">
        <f>IFERROR(CONCATENATE(VLOOKUP($A50,#REF!,33,FALSE)," - ",VLOOKUP($A50,#REF!,13,FALSE)," - "),"")</f>
        <v/>
      </c>
      <c r="Y50" s="185" t="str">
        <f>IFERROR(IF(VLOOKUP($A50,#REF!,36,FALSE)&lt;&gt;0,VLOOKUP($A50,#REF!,36,FALSE),""),"")</f>
        <v/>
      </c>
      <c r="AJ50" s="114" t="s">
        <v>266</v>
      </c>
      <c r="AK50" s="77" t="s">
        <v>267</v>
      </c>
      <c r="AL50" s="77" t="s">
        <v>0</v>
      </c>
      <c r="AM50" s="77" t="s">
        <v>264</v>
      </c>
      <c r="AN50" s="77" t="s">
        <v>66</v>
      </c>
      <c r="AO50" s="90">
        <v>45317.270833333336</v>
      </c>
      <c r="AP50" s="90"/>
      <c r="AQ50" s="77" t="s">
        <v>67</v>
      </c>
      <c r="AU50" s="77" t="s">
        <v>264</v>
      </c>
      <c r="AV50" s="77" t="s">
        <v>58</v>
      </c>
      <c r="AW50" s="77" t="s">
        <v>76</v>
      </c>
      <c r="AX50" s="77" t="s">
        <v>58</v>
      </c>
      <c r="AY50" s="77" t="s">
        <v>58</v>
      </c>
      <c r="AZ50" s="77" t="s">
        <v>58</v>
      </c>
      <c r="BA50" s="77" t="s">
        <v>58</v>
      </c>
      <c r="BB50" s="77" t="s">
        <v>59</v>
      </c>
      <c r="BC50" s="77" t="s">
        <v>58</v>
      </c>
      <c r="BK50" s="77"/>
      <c r="BL50" s="77"/>
      <c r="BM50" s="77"/>
    </row>
    <row r="51" spans="1:65" ht="12.75">
      <c r="A51" s="137" t="s">
        <v>79</v>
      </c>
      <c r="B51" s="91" t="str">
        <f t="shared" si="6"/>
        <v>ERN12476</v>
      </c>
      <c r="C51" s="92" t="str">
        <f t="shared" si="9"/>
        <v>Furgo-trayler</v>
      </c>
      <c r="D51" s="93">
        <f t="shared" si="7"/>
        <v>0</v>
      </c>
      <c r="E51" s="94">
        <f t="shared" si="10"/>
        <v>45317.034722222219</v>
      </c>
      <c r="F51" s="95" t="s">
        <v>61</v>
      </c>
      <c r="G51" s="95"/>
      <c r="H51" s="91" t="e">
        <f>IF(VLOOKUP(A51,#REF!,10,FALSE)=0,VLOOKUP(A51,AJ:BJ,11,FALSE),VLOOKUP(A51,#REF!,10,FALSE))</f>
        <v>#REF!</v>
      </c>
      <c r="I51" s="96" t="str">
        <f t="shared" si="8"/>
        <v>MAD</v>
      </c>
      <c r="J51" s="118" t="str">
        <f>IFERROR(IF(VLOOKUP($A51,#REF!,14,FALSE)="","","Y"),"")</f>
        <v/>
      </c>
      <c r="K51" s="97"/>
      <c r="L51" s="97"/>
      <c r="M51" s="98" t="str">
        <f t="shared" si="3"/>
        <v>MAD 1</v>
      </c>
      <c r="N51" s="99"/>
      <c r="O51" s="100"/>
      <c r="P51" s="100"/>
      <c r="Q51" s="100" t="str">
        <f>IFERROR(IF(VLOOKUP($A51,#REF!,30,FALSE)="","","Y"),"")</f>
        <v/>
      </c>
      <c r="R51" s="178" t="str">
        <f>IFERROR(IF(VLOOKUP($A51,#REF!,37,FALSE)="","","Y"),"")</f>
        <v/>
      </c>
      <c r="S51" s="173"/>
      <c r="T51" s="165"/>
      <c r="U51" s="117"/>
      <c r="V51" s="117" t="str">
        <f>IFERROR(IF(VLOOKUP($A51,#REF!,11,FALSE)="VARIATA","NEW TRAILER",""),"")</f>
        <v/>
      </c>
      <c r="W51" s="117" t="str">
        <f>IFERROR(IF(VLOOKUP(A51,#REF!,18,FALSE)&lt;&gt;"",VLOOKUP(A51,#REF!,18,FALSE),VLOOKUP(A51,#REF!,16,FALSE)),"")</f>
        <v/>
      </c>
      <c r="X51" s="117" t="str">
        <f>IFERROR(CONCATENATE(VLOOKUP($A51,#REF!,33,FALSE)," - ",VLOOKUP($A51,#REF!,13,FALSE)," - "),"")</f>
        <v/>
      </c>
      <c r="Y51" s="185" t="str">
        <f>IFERROR(IF(VLOOKUP($A51,#REF!,36,FALSE)&lt;&gt;0,VLOOKUP($A51,#REF!,36,FALSE),""),"")</f>
        <v/>
      </c>
      <c r="AJ51" s="114" t="s">
        <v>172</v>
      </c>
      <c r="AK51" s="77" t="s">
        <v>268</v>
      </c>
      <c r="AL51" s="77" t="s">
        <v>0</v>
      </c>
      <c r="AM51" s="77" t="s">
        <v>269</v>
      </c>
      <c r="AN51" s="77" t="s">
        <v>66</v>
      </c>
      <c r="AO51" s="90">
        <v>45317.28125</v>
      </c>
      <c r="AP51" s="90"/>
      <c r="AQ51" s="77" t="s">
        <v>52</v>
      </c>
      <c r="AU51" s="77" t="s">
        <v>269</v>
      </c>
      <c r="AV51" s="77" t="s">
        <v>58</v>
      </c>
      <c r="AW51" s="77" t="s">
        <v>57</v>
      </c>
      <c r="AX51" s="77" t="s">
        <v>58</v>
      </c>
      <c r="AY51" s="77" t="s">
        <v>58</v>
      </c>
      <c r="AZ51" s="77" t="s">
        <v>58</v>
      </c>
      <c r="BA51" s="77" t="s">
        <v>58</v>
      </c>
      <c r="BB51" s="77" t="s">
        <v>59</v>
      </c>
      <c r="BC51" s="77" t="s">
        <v>58</v>
      </c>
      <c r="BK51" s="77"/>
      <c r="BL51" s="77"/>
      <c r="BM51" s="77"/>
    </row>
    <row r="52" spans="1:65" ht="15" customHeight="1">
      <c r="A52" s="137" t="s">
        <v>206</v>
      </c>
      <c r="B52" s="91" t="str">
        <f t="shared" si="6"/>
        <v>ERN90769</v>
      </c>
      <c r="C52" s="92" t="str">
        <f t="shared" si="9"/>
        <v>Logistica Grillo, S.L.</v>
      </c>
      <c r="D52" s="93" t="str">
        <f t="shared" si="7"/>
        <v>R8489BCK</v>
      </c>
      <c r="E52" s="94">
        <f t="shared" si="10"/>
        <v>45317.034722222219</v>
      </c>
      <c r="F52" s="95"/>
      <c r="G52" s="95" t="s">
        <v>61</v>
      </c>
      <c r="H52" s="91" t="e">
        <f>IF(VLOOKUP(A52,#REF!,10,FALSE)=0,VLOOKUP(A52,AJ:BJ,11,FALSE),VLOOKUP(A52,#REF!,10,FALSE))</f>
        <v>#REF!</v>
      </c>
      <c r="I52" s="96" t="str">
        <f t="shared" si="8"/>
        <v>MAD</v>
      </c>
      <c r="J52" s="118" t="str">
        <f>IFERROR(IF(VLOOKUP($A52,#REF!,14,FALSE)="","","Y"),"")</f>
        <v/>
      </c>
      <c r="K52" s="97"/>
      <c r="L52" s="97"/>
      <c r="M52" s="98" t="str">
        <f t="shared" si="3"/>
        <v>MAD 2</v>
      </c>
      <c r="N52" s="99"/>
      <c r="O52" s="100"/>
      <c r="P52" s="100"/>
      <c r="Q52" s="100" t="str">
        <f>IFERROR(IF(VLOOKUP($A52,#REF!,30,FALSE)="","","Y"),"")</f>
        <v/>
      </c>
      <c r="R52" s="178" t="str">
        <f>IFERROR(IF(VLOOKUP($A52,#REF!,37,FALSE)="","","Y"),"")</f>
        <v/>
      </c>
      <c r="S52" s="173"/>
      <c r="T52" s="165"/>
      <c r="U52" s="117"/>
      <c r="V52" s="117" t="str">
        <f>IFERROR(IF(VLOOKUP($A52,#REF!,11,FALSE)="VARIATA","NEW TRAILER",""),"")</f>
        <v/>
      </c>
      <c r="W52" s="117" t="str">
        <f>IFERROR(IF(VLOOKUP(A52,#REF!,18,FALSE)&lt;&gt;"",VLOOKUP(A52,#REF!,18,FALSE),VLOOKUP(A52,#REF!,16,FALSE)),"")</f>
        <v/>
      </c>
      <c r="X52" s="117" t="str">
        <f>IFERROR(CONCATENATE(VLOOKUP($A52,#REF!,33,FALSE)," - ",VLOOKUP($A52,#REF!,13,FALSE)," - "),"")</f>
        <v/>
      </c>
      <c r="Y52" s="185" t="str">
        <f>IFERROR(IF(VLOOKUP($A52,#REF!,36,FALSE)&lt;&gt;0,VLOOKUP($A52,#REF!,36,FALSE),""),"")</f>
        <v/>
      </c>
      <c r="AJ52" s="114" t="s">
        <v>166</v>
      </c>
      <c r="AK52" s="77" t="s">
        <v>270</v>
      </c>
      <c r="AL52" s="77" t="s">
        <v>0</v>
      </c>
      <c r="AM52" s="77" t="s">
        <v>269</v>
      </c>
      <c r="AN52" s="77" t="s">
        <v>51</v>
      </c>
      <c r="AO52" s="90">
        <v>45317.28125</v>
      </c>
      <c r="AP52" s="90"/>
      <c r="AQ52" s="77" t="s">
        <v>242</v>
      </c>
      <c r="AR52" s="77" t="s">
        <v>271</v>
      </c>
      <c r="AS52" s="77" t="s">
        <v>272</v>
      </c>
      <c r="AT52" s="77" t="s">
        <v>273</v>
      </c>
      <c r="AU52" s="77" t="s">
        <v>269</v>
      </c>
      <c r="AV52" s="77" t="s">
        <v>58</v>
      </c>
      <c r="AW52" s="77" t="s">
        <v>57</v>
      </c>
      <c r="AX52" s="77" t="s">
        <v>58</v>
      </c>
      <c r="AY52" s="77" t="s">
        <v>58</v>
      </c>
      <c r="AZ52" s="77" t="s">
        <v>58</v>
      </c>
      <c r="BA52" s="77" t="s">
        <v>58</v>
      </c>
      <c r="BB52" s="77" t="s">
        <v>59</v>
      </c>
      <c r="BC52" s="77" t="s">
        <v>58</v>
      </c>
      <c r="BK52" s="77"/>
      <c r="BL52" s="77"/>
      <c r="BM52" s="77"/>
    </row>
    <row r="53" spans="1:65" ht="12.75">
      <c r="A53" s="137" t="s">
        <v>106</v>
      </c>
      <c r="B53" s="91" t="str">
        <f t="shared" si="6"/>
        <v>ERN91509</v>
      </c>
      <c r="C53" s="92" t="str">
        <f t="shared" si="9"/>
        <v>Transalex Srl</v>
      </c>
      <c r="D53" s="93">
        <f t="shared" si="7"/>
        <v>0</v>
      </c>
      <c r="E53" s="94">
        <f t="shared" si="10"/>
        <v>45317.479166666664</v>
      </c>
      <c r="F53" s="95" t="s">
        <v>61</v>
      </c>
      <c r="G53" s="95"/>
      <c r="H53" s="91" t="e">
        <f>IF(VLOOKUP(A53,#REF!,10,FALSE)=0,VLOOKUP(A53,AJ:BJ,11,FALSE),VLOOKUP(A53,#REF!,10,FALSE))</f>
        <v>#REF!</v>
      </c>
      <c r="I53" s="96" t="str">
        <f t="shared" si="8"/>
        <v>MAD</v>
      </c>
      <c r="J53" s="118" t="str">
        <f>IFERROR(IF(VLOOKUP($A53,#REF!,14,FALSE)="","","Y"),"")</f>
        <v/>
      </c>
      <c r="K53" s="97"/>
      <c r="L53" s="97"/>
      <c r="M53" s="98" t="str">
        <f t="shared" si="3"/>
        <v>MAD 3</v>
      </c>
      <c r="N53" s="99"/>
      <c r="O53" s="100"/>
      <c r="P53" s="100"/>
      <c r="Q53" s="100" t="str">
        <f>IFERROR(IF(VLOOKUP($A53,#REF!,30,FALSE)="","","Y"),"")</f>
        <v/>
      </c>
      <c r="R53" s="178" t="str">
        <f>IFERROR(IF(VLOOKUP($A53,#REF!,37,FALSE)="","","Y"),"")</f>
        <v/>
      </c>
      <c r="S53" s="173"/>
      <c r="T53" s="165"/>
      <c r="U53" s="117"/>
      <c r="V53" s="117" t="str">
        <f>IFERROR(IF(VLOOKUP($A53,#REF!,11,FALSE)="VARIATA","NEW TRAILER",""),"")</f>
        <v/>
      </c>
      <c r="W53" s="117" t="str">
        <f>IFERROR(IF(VLOOKUP(A53,#REF!,18,FALSE)&lt;&gt;"",VLOOKUP(A53,#REF!,18,FALSE),VLOOKUP(A53,#REF!,16,FALSE)),"")</f>
        <v/>
      </c>
      <c r="X53" s="117" t="str">
        <f>IFERROR(CONCATENATE(VLOOKUP($A53,#REF!,33,FALSE)," - ",VLOOKUP($A53,#REF!,13,FALSE)," - "),"")</f>
        <v/>
      </c>
      <c r="Y53" s="185" t="str">
        <f>IFERROR(IF(VLOOKUP($A53,#REF!,36,FALSE)&lt;&gt;0,VLOOKUP($A53,#REF!,36,FALSE),""),"")</f>
        <v/>
      </c>
      <c r="AJ53" s="114" t="s">
        <v>169</v>
      </c>
      <c r="AK53" s="77" t="s">
        <v>274</v>
      </c>
      <c r="AL53" s="77" t="s">
        <v>0</v>
      </c>
      <c r="AM53" s="77" t="s">
        <v>269</v>
      </c>
      <c r="AN53" s="77" t="s">
        <v>51</v>
      </c>
      <c r="AO53" s="90">
        <v>45317.28125</v>
      </c>
      <c r="AP53" s="90"/>
      <c r="AQ53" s="90" t="s">
        <v>185</v>
      </c>
      <c r="AR53" s="77" t="s">
        <v>275</v>
      </c>
      <c r="AS53" s="90" t="s">
        <v>276</v>
      </c>
      <c r="AT53" s="77" t="s">
        <v>277</v>
      </c>
      <c r="AU53" s="77" t="s">
        <v>269</v>
      </c>
      <c r="AV53" s="77" t="s">
        <v>58</v>
      </c>
      <c r="AW53" s="77" t="s">
        <v>57</v>
      </c>
      <c r="AX53" s="77" t="s">
        <v>58</v>
      </c>
      <c r="AY53" s="77" t="s">
        <v>58</v>
      </c>
      <c r="AZ53" s="77" t="s">
        <v>58</v>
      </c>
      <c r="BA53" s="77" t="s">
        <v>58</v>
      </c>
      <c r="BB53" s="77" t="s">
        <v>59</v>
      </c>
      <c r="BC53" s="77" t="s">
        <v>58</v>
      </c>
      <c r="BK53" s="77"/>
      <c r="BL53" s="77"/>
      <c r="BM53" s="77"/>
    </row>
    <row r="54" spans="1:65" ht="12.75">
      <c r="A54" s="137" t="s">
        <v>191</v>
      </c>
      <c r="B54" s="91" t="str">
        <f t="shared" si="6"/>
        <v>ERN04125</v>
      </c>
      <c r="C54" s="92" t="str">
        <f t="shared" si="9"/>
        <v>Rayden N.V.</v>
      </c>
      <c r="D54" s="93" t="str">
        <f t="shared" si="7"/>
        <v>ENBR21111</v>
      </c>
      <c r="E54" s="94">
        <f t="shared" si="10"/>
        <v>45317.1875</v>
      </c>
      <c r="F54" s="95" t="s">
        <v>61</v>
      </c>
      <c r="G54" s="95"/>
      <c r="H54" s="91" t="e">
        <f>IF(VLOOKUP(A54,#REF!,10,FALSE)=0,VLOOKUP(A54,AJ:BJ,11,FALSE),VLOOKUP(A54,#REF!,10,FALSE))</f>
        <v>#REF!</v>
      </c>
      <c r="I54" s="96" t="str">
        <f t="shared" si="8"/>
        <v>LUG</v>
      </c>
      <c r="J54" s="118" t="str">
        <f>IFERROR(IF(VLOOKUP($A54,#REF!,14,FALSE)="","","Y"),"")</f>
        <v/>
      </c>
      <c r="K54" s="97"/>
      <c r="L54" s="97"/>
      <c r="M54" s="98" t="str">
        <f t="shared" si="3"/>
        <v>LUG</v>
      </c>
      <c r="N54" s="99"/>
      <c r="O54" s="100"/>
      <c r="P54" s="100"/>
      <c r="Q54" s="100" t="str">
        <f>IFERROR(IF(VLOOKUP($A54,#REF!,30,FALSE)="","","Y"),"")</f>
        <v/>
      </c>
      <c r="R54" s="178" t="str">
        <f>IFERROR(IF(VLOOKUP($A54,#REF!,37,FALSE)="","","Y"),"")</f>
        <v/>
      </c>
      <c r="S54" s="173"/>
      <c r="T54" s="165"/>
      <c r="U54" s="117"/>
      <c r="V54" s="117" t="str">
        <f>IFERROR(IF(VLOOKUP($A54,#REF!,11,FALSE)="VARIATA","NEW TRAILER",""),"")</f>
        <v/>
      </c>
      <c r="W54" s="117" t="str">
        <f>IFERROR(IF(VLOOKUP(A54,#REF!,18,FALSE)&lt;&gt;"",VLOOKUP(A54,#REF!,18,FALSE),VLOOKUP(A54,#REF!,16,FALSE)),"")</f>
        <v/>
      </c>
      <c r="X54" s="117" t="str">
        <f>IFERROR(CONCATENATE(VLOOKUP($A54,#REF!,33,FALSE)," - ",VLOOKUP($A54,#REF!,13,FALSE)," - "),"")</f>
        <v/>
      </c>
      <c r="Y54" s="185" t="str">
        <f>IFERROR(IF(VLOOKUP($A54,#REF!,36,FALSE)&lt;&gt;0,VLOOKUP($A54,#REF!,36,FALSE),""),"")</f>
        <v/>
      </c>
      <c r="AJ54" s="114" t="s">
        <v>247</v>
      </c>
      <c r="AK54" s="77" t="s">
        <v>278</v>
      </c>
      <c r="AL54" s="77" t="s">
        <v>0</v>
      </c>
      <c r="AM54" s="77" t="s">
        <v>247</v>
      </c>
      <c r="AN54" s="77" t="s">
        <v>51</v>
      </c>
      <c r="AO54" s="90">
        <v>45317.020833333336</v>
      </c>
      <c r="AP54" s="90"/>
      <c r="AQ54" s="77" t="s">
        <v>279</v>
      </c>
      <c r="AR54" s="77" t="s">
        <v>280</v>
      </c>
      <c r="AS54" s="77" t="s">
        <v>281</v>
      </c>
      <c r="AT54" s="77" t="s">
        <v>282</v>
      </c>
      <c r="AU54" s="77" t="s">
        <v>247</v>
      </c>
      <c r="AV54" s="77" t="s">
        <v>56</v>
      </c>
      <c r="AW54" s="77" t="s">
        <v>57</v>
      </c>
      <c r="AX54" s="77" t="s">
        <v>58</v>
      </c>
      <c r="AY54" s="77" t="s">
        <v>58</v>
      </c>
      <c r="AZ54" s="77" t="s">
        <v>58</v>
      </c>
      <c r="BA54" s="77" t="s">
        <v>58</v>
      </c>
      <c r="BB54" s="77" t="s">
        <v>59</v>
      </c>
      <c r="BC54" s="77" t="s">
        <v>58</v>
      </c>
      <c r="BK54" s="77"/>
      <c r="BL54" s="77"/>
      <c r="BM54" s="77"/>
    </row>
    <row r="55" spans="1:65" ht="12.75">
      <c r="A55" s="137" t="s">
        <v>283</v>
      </c>
      <c r="B55" s="91" t="str">
        <f t="shared" si="6"/>
        <v>ERN03542</v>
      </c>
      <c r="C55" s="92" t="str">
        <f t="shared" si="9"/>
        <v>Galileo Transport Srl</v>
      </c>
      <c r="D55" s="93" t="str">
        <f t="shared" si="7"/>
        <v>ENBR22013</v>
      </c>
      <c r="E55" s="94">
        <f t="shared" si="10"/>
        <v>45317.166666666664</v>
      </c>
      <c r="F55" s="95" t="s">
        <v>61</v>
      </c>
      <c r="G55" s="95"/>
      <c r="H55" s="91" t="e">
        <f>IF(VLOOKUP(A55,#REF!,10,FALSE)=0,VLOOKUP(A55,AJ:BJ,11,FALSE),VLOOKUP(A55,#REF!,10,FALSE))</f>
        <v>#REF!</v>
      </c>
      <c r="I55" s="96" t="str">
        <f t="shared" si="8"/>
        <v>ZRH</v>
      </c>
      <c r="J55" s="118" t="str">
        <f>IFERROR(IF(VLOOKUP($A55,#REF!,14,FALSE)="","","Y"),"")</f>
        <v/>
      </c>
      <c r="K55" s="97"/>
      <c r="L55" s="97"/>
      <c r="M55" s="98" t="str">
        <f>A55</f>
        <v>ZRH 1</v>
      </c>
      <c r="N55" s="99"/>
      <c r="O55" s="100"/>
      <c r="P55" s="100"/>
      <c r="Q55" s="100" t="str">
        <f>IFERROR(IF(VLOOKUP($A55,#REF!,30,FALSE)="","","Y"),"")</f>
        <v/>
      </c>
      <c r="R55" s="178" t="str">
        <f>IFERROR(IF(VLOOKUP($A55,#REF!,37,FALSE)="","","Y"),"")</f>
        <v/>
      </c>
      <c r="S55" s="173"/>
      <c r="T55" s="165"/>
      <c r="U55" s="117"/>
      <c r="V55" s="117" t="str">
        <f>IFERROR(IF(VLOOKUP($A55,#REF!,11,FALSE)="VARIATA","NEW TRAILER",""),"")</f>
        <v/>
      </c>
      <c r="W55" s="117" t="str">
        <f>IFERROR(IF(VLOOKUP(A55,#REF!,18,FALSE)&lt;&gt;"",VLOOKUP(A55,#REF!,18,FALSE),VLOOKUP(A55,#REF!,16,FALSE)),"")</f>
        <v/>
      </c>
      <c r="X55" s="117" t="str">
        <f>IFERROR(CONCATENATE(VLOOKUP($A55,#REF!,33,FALSE)," - ",VLOOKUP($A55,#REF!,13,FALSE)," - "),"")</f>
        <v/>
      </c>
      <c r="Y55" s="185" t="str">
        <f>IFERROR(IF(VLOOKUP($A55,#REF!,36,FALSE)&lt;&gt;0,VLOOKUP($A55,#REF!,36,FALSE),""),"")</f>
        <v/>
      </c>
      <c r="AJ55" s="114" t="s">
        <v>223</v>
      </c>
      <c r="AK55" s="77" t="s">
        <v>284</v>
      </c>
      <c r="AL55" s="77" t="s">
        <v>0</v>
      </c>
      <c r="AM55" s="77" t="s">
        <v>285</v>
      </c>
      <c r="AN55" s="77" t="s">
        <v>66</v>
      </c>
      <c r="AO55" s="90">
        <v>45316.979166666664</v>
      </c>
      <c r="AP55" s="90"/>
      <c r="AQ55" s="77" t="s">
        <v>286</v>
      </c>
      <c r="AR55" s="77" t="s">
        <v>287</v>
      </c>
      <c r="AS55" s="77" t="s">
        <v>288</v>
      </c>
      <c r="AU55" s="77" t="s">
        <v>285</v>
      </c>
      <c r="AV55" s="77" t="s">
        <v>58</v>
      </c>
      <c r="AW55" s="77" t="s">
        <v>57</v>
      </c>
      <c r="AX55" s="77" t="s">
        <v>58</v>
      </c>
      <c r="AY55" s="77" t="s">
        <v>58</v>
      </c>
      <c r="AZ55" s="77" t="s">
        <v>58</v>
      </c>
      <c r="BA55" s="77" t="s">
        <v>58</v>
      </c>
      <c r="BB55" s="77" t="s">
        <v>59</v>
      </c>
      <c r="BC55" s="77" t="s">
        <v>58</v>
      </c>
      <c r="BK55" s="77"/>
      <c r="BL55" s="77"/>
      <c r="BM55" s="77"/>
    </row>
    <row r="56" spans="1:65" ht="12.75">
      <c r="A56" s="137" t="s">
        <v>289</v>
      </c>
      <c r="B56" s="91" t="str">
        <f t="shared" si="6"/>
        <v>ERN07482</v>
      </c>
      <c r="C56" s="92" t="str">
        <f t="shared" si="9"/>
        <v>Mov.Ing Srl</v>
      </c>
      <c r="D56" s="93" t="str">
        <f t="shared" si="7"/>
        <v>ENBR21349</v>
      </c>
      <c r="E56" s="94">
        <f t="shared" si="10"/>
        <v>45317.166666666664</v>
      </c>
      <c r="F56" s="95" t="s">
        <v>61</v>
      </c>
      <c r="G56" s="95"/>
      <c r="H56" s="91" t="e">
        <f>IF(VLOOKUP(A56,#REF!,10,FALSE)=0,VLOOKUP(A56,AJ:BJ,11,FALSE),VLOOKUP(A56,#REF!,10,FALSE))</f>
        <v>#REF!</v>
      </c>
      <c r="I56" s="96" t="str">
        <f t="shared" si="8"/>
        <v>ZRH</v>
      </c>
      <c r="J56" s="118" t="str">
        <f>IFERROR(IF(VLOOKUP($A56,#REF!,14,FALSE)="","","Y"),"")</f>
        <v/>
      </c>
      <c r="K56" s="97"/>
      <c r="L56" s="97"/>
      <c r="M56" s="98" t="str">
        <f>A56</f>
        <v>ZRH 2</v>
      </c>
      <c r="N56" s="99"/>
      <c r="O56" s="100"/>
      <c r="P56" s="100"/>
      <c r="Q56" s="100" t="str">
        <f>IFERROR(IF(VLOOKUP($A56,#REF!,30,FALSE)="","","Y"),"")</f>
        <v/>
      </c>
      <c r="R56" s="178" t="str">
        <f>IFERROR(IF(VLOOKUP($A56,#REF!,37,FALSE)="","","Y"),"")</f>
        <v/>
      </c>
      <c r="S56" s="173"/>
      <c r="T56" s="165"/>
      <c r="U56" s="117"/>
      <c r="V56" s="117" t="str">
        <f>IFERROR(IF(VLOOKUP($A56,#REF!,11,FALSE)="VARIATA","NEW TRAILER",""),"")</f>
        <v/>
      </c>
      <c r="W56" s="117" t="str">
        <f>IFERROR(IF(VLOOKUP(A56,#REF!,18,FALSE)&lt;&gt;"",VLOOKUP(A56,#REF!,18,FALSE),VLOOKUP(A56,#REF!,16,FALSE)),"")</f>
        <v/>
      </c>
      <c r="X56" s="117" t="str">
        <f>IFERROR(CONCATENATE(VLOOKUP($A56,#REF!,33,FALSE)," - ",VLOOKUP($A56,#REF!,13,FALSE)," - "),"")</f>
        <v/>
      </c>
      <c r="Y56" s="185" t="str">
        <f>IFERROR(IF(VLOOKUP($A56,#REF!,36,FALSE)&lt;&gt;0,VLOOKUP($A56,#REF!,36,FALSE),""),"")</f>
        <v/>
      </c>
      <c r="AJ56" s="114" t="s">
        <v>230</v>
      </c>
      <c r="AK56" s="82" t="s">
        <v>290</v>
      </c>
      <c r="AL56" s="77" t="s">
        <v>0</v>
      </c>
      <c r="AM56" s="77" t="s">
        <v>285</v>
      </c>
      <c r="AN56" s="77" t="s">
        <v>66</v>
      </c>
      <c r="AO56" s="90">
        <v>45317.020833333336</v>
      </c>
      <c r="AP56" s="90"/>
      <c r="AQ56" s="77" t="s">
        <v>286</v>
      </c>
      <c r="AR56" s="77" t="s">
        <v>291</v>
      </c>
      <c r="AS56" s="77" t="s">
        <v>292</v>
      </c>
      <c r="AU56" s="77" t="s">
        <v>285</v>
      </c>
      <c r="AV56" s="77" t="s">
        <v>58</v>
      </c>
      <c r="AW56" s="77" t="s">
        <v>57</v>
      </c>
      <c r="AX56" s="77" t="s">
        <v>58</v>
      </c>
      <c r="AY56" s="77" t="s">
        <v>58</v>
      </c>
      <c r="AZ56" s="77" t="s">
        <v>58</v>
      </c>
      <c r="BA56" s="77" t="s">
        <v>58</v>
      </c>
      <c r="BB56" s="77" t="s">
        <v>59</v>
      </c>
      <c r="BC56" s="77" t="s">
        <v>58</v>
      </c>
      <c r="BK56" s="77"/>
      <c r="BL56" s="77"/>
      <c r="BM56" s="77"/>
    </row>
    <row r="57" spans="1:65" ht="12.75">
      <c r="A57" s="137" t="s">
        <v>70</v>
      </c>
      <c r="B57" s="91" t="str">
        <f t="shared" si="6"/>
        <v>ERN01043</v>
      </c>
      <c r="C57" s="92" t="str">
        <f t="shared" si="9"/>
        <v>Interferries Lines S.A.</v>
      </c>
      <c r="D57" s="93" t="str">
        <f t="shared" si="7"/>
        <v>ENB17212</v>
      </c>
      <c r="E57" s="94">
        <f t="shared" si="10"/>
        <v>45317.263888888891</v>
      </c>
      <c r="F57" s="95" t="s">
        <v>61</v>
      </c>
      <c r="G57" s="95"/>
      <c r="H57" s="91" t="e">
        <f>IF(VLOOKUP(A57,#REF!,10,FALSE)=0,VLOOKUP(A57,AJ:BJ,11,FALSE),VLOOKUP(A57,#REF!,10,FALSE))</f>
        <v>#REF!</v>
      </c>
      <c r="I57" s="96" t="str">
        <f t="shared" si="8"/>
        <v>ATH</v>
      </c>
      <c r="J57" s="118" t="str">
        <f>IFERROR(IF(VLOOKUP($A57,#REF!,14,FALSE)="","","Y"),"")</f>
        <v/>
      </c>
      <c r="K57" s="97"/>
      <c r="L57" s="97"/>
      <c r="M57" s="98" t="str">
        <f>A57</f>
        <v>ATH 1</v>
      </c>
      <c r="N57" s="99"/>
      <c r="O57" s="100"/>
      <c r="P57" s="100"/>
      <c r="Q57" s="100" t="str">
        <f>IFERROR(IF(VLOOKUP($A57,#REF!,30,FALSE)="","","Y"),"")</f>
        <v/>
      </c>
      <c r="R57" s="178" t="str">
        <f>IFERROR(IF(VLOOKUP($A57,#REF!,37,FALSE)="","","Y"),"")</f>
        <v/>
      </c>
      <c r="S57" s="173"/>
      <c r="T57" s="165"/>
      <c r="U57" s="117"/>
      <c r="V57" s="117" t="str">
        <f>IFERROR(IF(VLOOKUP($A57,#REF!,11,FALSE)="VARIATA","NEW TRAILER",""),"")</f>
        <v/>
      </c>
      <c r="W57" s="117" t="str">
        <f>IFERROR(IF(VLOOKUP(A57,#REF!,18,FALSE)&lt;&gt;"",VLOOKUP(A57,#REF!,18,FALSE),VLOOKUP(A57,#REF!,16,FALSE)),"")</f>
        <v/>
      </c>
      <c r="X57" s="117" t="str">
        <f>IFERROR(CONCATENATE(VLOOKUP($A57,#REF!,33,FALSE)," - ",VLOOKUP($A57,#REF!,13,FALSE)," - "),"")</f>
        <v/>
      </c>
      <c r="Y57" s="185" t="str">
        <f>IFERROR(IF(VLOOKUP($A57,#REF!,36,FALSE)&lt;&gt;0,VLOOKUP($A57,#REF!,36,FALSE),""),"")</f>
        <v/>
      </c>
      <c r="AJ57" s="114" t="s">
        <v>228</v>
      </c>
      <c r="AK57" s="77" t="s">
        <v>293</v>
      </c>
      <c r="AL57" s="77" t="s">
        <v>0</v>
      </c>
      <c r="AM57" s="77" t="s">
        <v>285</v>
      </c>
      <c r="AN57" s="77" t="s">
        <v>66</v>
      </c>
      <c r="AO57" s="90">
        <v>45317.020833333336</v>
      </c>
      <c r="AP57" s="90"/>
      <c r="AQ57" s="90" t="s">
        <v>294</v>
      </c>
      <c r="AR57" s="77" t="s">
        <v>295</v>
      </c>
      <c r="AS57" s="77" t="s">
        <v>296</v>
      </c>
      <c r="AU57" s="77" t="s">
        <v>285</v>
      </c>
      <c r="AV57" s="77" t="s">
        <v>58</v>
      </c>
      <c r="AW57" s="77" t="s">
        <v>57</v>
      </c>
      <c r="AX57" s="77" t="s">
        <v>58</v>
      </c>
      <c r="AY57" s="77" t="s">
        <v>58</v>
      </c>
      <c r="AZ57" s="77" t="s">
        <v>58</v>
      </c>
      <c r="BA57" s="77" t="s">
        <v>58</v>
      </c>
      <c r="BB57" s="77" t="s">
        <v>59</v>
      </c>
      <c r="BC57" s="77" t="s">
        <v>58</v>
      </c>
      <c r="BK57" s="77"/>
      <c r="BL57" s="77"/>
      <c r="BM57" s="77"/>
    </row>
    <row r="58" spans="1:65" ht="12.75">
      <c r="A58" s="137" t="s">
        <v>63</v>
      </c>
      <c r="B58" s="91" t="str">
        <f t="shared" si="6"/>
        <v>ERN09969</v>
      </c>
      <c r="C58" s="92" t="str">
        <f t="shared" si="9"/>
        <v>Interferries Lines S.A.</v>
      </c>
      <c r="D58" s="93" t="str">
        <f t="shared" si="7"/>
        <v>ENBR21218</v>
      </c>
      <c r="E58" s="94">
        <f t="shared" si="10"/>
        <v>45317.263888888891</v>
      </c>
      <c r="F58" s="95" t="s">
        <v>61</v>
      </c>
      <c r="G58" s="95"/>
      <c r="H58" s="91" t="e">
        <f>IF(VLOOKUP(A58,#REF!,10,FALSE)=0,VLOOKUP(A58,AJ:BJ,11,FALSE),VLOOKUP(A58,#REF!,10,FALSE))</f>
        <v>#REF!</v>
      </c>
      <c r="I58" s="96" t="str">
        <f t="shared" si="8"/>
        <v>ATH</v>
      </c>
      <c r="J58" s="118" t="str">
        <f>IFERROR(IF(VLOOKUP($A58,#REF!,14,FALSE)="","","Y"),"")</f>
        <v/>
      </c>
      <c r="K58" s="97"/>
      <c r="L58" s="97"/>
      <c r="M58" s="98" t="str">
        <f t="shared" si="3"/>
        <v>ATH 2</v>
      </c>
      <c r="N58" s="99"/>
      <c r="O58" s="100"/>
      <c r="P58" s="100"/>
      <c r="Q58" s="100" t="str">
        <f>IFERROR(IF(VLOOKUP($A58,#REF!,30,FALSE)="","","Y"),"")</f>
        <v/>
      </c>
      <c r="R58" s="178" t="str">
        <f>IFERROR(IF(VLOOKUP($A58,#REF!,37,FALSE)="","","Y"),"")</f>
        <v/>
      </c>
      <c r="S58" s="173"/>
      <c r="T58" s="165"/>
      <c r="U58" s="117"/>
      <c r="V58" s="117" t="str">
        <f>IFERROR(IF(VLOOKUP($A58,#REF!,11,FALSE)="VARIATA","NEW TRAILER",""),"")</f>
        <v/>
      </c>
      <c r="W58" s="117" t="str">
        <f>IFERROR(IF(VLOOKUP(A58,#REF!,18,FALSE)&lt;&gt;"",VLOOKUP(A58,#REF!,18,FALSE),VLOOKUP(A58,#REF!,16,FALSE)),"")</f>
        <v/>
      </c>
      <c r="X58" s="117" t="str">
        <f>IFERROR(CONCATENATE(VLOOKUP($A58,#REF!,33,FALSE)," - ",VLOOKUP($A58,#REF!,13,FALSE)," - "),"")</f>
        <v/>
      </c>
      <c r="Y58" s="185" t="str">
        <f>IFERROR(IF(VLOOKUP($A58,#REF!,36,FALSE)&lt;&gt;0,VLOOKUP($A58,#REF!,36,FALSE),""),"")</f>
        <v/>
      </c>
      <c r="AJ58" s="114" t="s">
        <v>236</v>
      </c>
      <c r="AK58" s="77" t="s">
        <v>297</v>
      </c>
      <c r="AL58" s="77" t="s">
        <v>0</v>
      </c>
      <c r="AM58" s="77" t="s">
        <v>285</v>
      </c>
      <c r="AN58" s="77" t="s">
        <v>66</v>
      </c>
      <c r="AO58" s="90">
        <v>45317.541666666664</v>
      </c>
      <c r="AP58" s="90"/>
      <c r="AQ58" s="90" t="s">
        <v>128</v>
      </c>
      <c r="AU58" s="77" t="s">
        <v>285</v>
      </c>
      <c r="AV58" s="77" t="s">
        <v>58</v>
      </c>
      <c r="AW58" s="77" t="s">
        <v>57</v>
      </c>
      <c r="AX58" s="77" t="s">
        <v>58</v>
      </c>
      <c r="AY58" s="77" t="s">
        <v>58</v>
      </c>
      <c r="AZ58" s="77" t="s">
        <v>58</v>
      </c>
      <c r="BA58" s="77" t="s">
        <v>58</v>
      </c>
      <c r="BB58" s="77" t="s">
        <v>59</v>
      </c>
      <c r="BC58" s="77" t="s">
        <v>58</v>
      </c>
      <c r="BK58" s="77"/>
      <c r="BL58" s="77"/>
      <c r="BM58" s="77"/>
    </row>
    <row r="59" spans="1:65" ht="12.75">
      <c r="A59" s="137" t="s">
        <v>74</v>
      </c>
      <c r="B59" s="91" t="str">
        <f t="shared" si="6"/>
        <v>ERN02218</v>
      </c>
      <c r="C59" s="92" t="str">
        <f t="shared" si="9"/>
        <v>Interferries Lines S.A.</v>
      </c>
      <c r="D59" s="93">
        <f t="shared" si="7"/>
        <v>0</v>
      </c>
      <c r="E59" s="94">
        <f t="shared" si="10"/>
        <v>45317.263888888891</v>
      </c>
      <c r="F59" s="95"/>
      <c r="G59" s="95" t="s">
        <v>61</v>
      </c>
      <c r="H59" s="91" t="e">
        <f>IF(VLOOKUP(A59,#REF!,10,FALSE)=0,VLOOKUP(A59,AJ:BJ,11,FALSE),VLOOKUP(A59,#REF!,10,FALSE))</f>
        <v>#REF!</v>
      </c>
      <c r="I59" s="96" t="str">
        <f t="shared" si="8"/>
        <v>ATH</v>
      </c>
      <c r="J59" s="118" t="str">
        <f>IFERROR(IF(VLOOKUP($A59,#REF!,14,FALSE)="","","Y"),"")</f>
        <v/>
      </c>
      <c r="K59" s="97"/>
      <c r="L59" s="97"/>
      <c r="M59" s="98" t="str">
        <f t="shared" si="3"/>
        <v>ATH 3</v>
      </c>
      <c r="N59" s="99"/>
      <c r="O59" s="100"/>
      <c r="P59" s="100"/>
      <c r="Q59" s="100" t="str">
        <f>IFERROR(IF(VLOOKUP($A59,#REF!,30,FALSE)="","","Y"),"")</f>
        <v/>
      </c>
      <c r="R59" s="178" t="str">
        <f>IFERROR(IF(VLOOKUP($A59,#REF!,37,FALSE)="","","Y"),"")</f>
        <v/>
      </c>
      <c r="S59" s="173"/>
      <c r="T59" s="165"/>
      <c r="U59" s="117"/>
      <c r="V59" s="117" t="str">
        <f>IFERROR(IF(VLOOKUP($A59,#REF!,11,FALSE)="VARIATA","NEW TRAILER",""),"")</f>
        <v/>
      </c>
      <c r="W59" s="117" t="str">
        <f>IFERROR(IF(VLOOKUP(A59,#REF!,18,FALSE)&lt;&gt;"",VLOOKUP(A59,#REF!,18,FALSE),VLOOKUP(A59,#REF!,16,FALSE)),"")</f>
        <v/>
      </c>
      <c r="X59" s="117" t="str">
        <f>IFERROR(CONCATENATE(VLOOKUP($A59,#REF!,33,FALSE)," - ",VLOOKUP($A59,#REF!,13,FALSE)," - "),"")</f>
        <v/>
      </c>
      <c r="Y59" s="185" t="str">
        <f>IFERROR(IF(VLOOKUP($A59,#REF!,36,FALSE)&lt;&gt;0,VLOOKUP($A59,#REF!,36,FALSE),""),"")</f>
        <v/>
      </c>
      <c r="AJ59" s="114" t="s">
        <v>232</v>
      </c>
      <c r="AK59" s="77" t="s">
        <v>298</v>
      </c>
      <c r="AL59" s="77" t="s">
        <v>0</v>
      </c>
      <c r="AM59" s="77" t="s">
        <v>285</v>
      </c>
      <c r="AN59" s="77" t="s">
        <v>66</v>
      </c>
      <c r="AO59" s="90">
        <v>45317.541666666664</v>
      </c>
      <c r="AP59" s="90"/>
      <c r="AQ59" s="77" t="s">
        <v>225</v>
      </c>
      <c r="AR59" s="77" t="s">
        <v>299</v>
      </c>
      <c r="AS59" s="77" t="s">
        <v>300</v>
      </c>
      <c r="AU59" s="77" t="s">
        <v>285</v>
      </c>
      <c r="AV59" s="77" t="s">
        <v>58</v>
      </c>
      <c r="AW59" s="77" t="s">
        <v>57</v>
      </c>
      <c r="AX59" s="77" t="s">
        <v>58</v>
      </c>
      <c r="AY59" s="77" t="s">
        <v>58</v>
      </c>
      <c r="AZ59" s="77" t="s">
        <v>58</v>
      </c>
      <c r="BA59" s="77" t="s">
        <v>58</v>
      </c>
      <c r="BB59" s="77" t="s">
        <v>59</v>
      </c>
      <c r="BC59" s="77" t="s">
        <v>58</v>
      </c>
      <c r="BK59" s="77"/>
      <c r="BL59" s="77"/>
      <c r="BM59" s="77"/>
    </row>
    <row r="60" spans="1:65" ht="12.75">
      <c r="A60" s="137" t="s">
        <v>187</v>
      </c>
      <c r="B60" s="91" t="str">
        <f t="shared" si="6"/>
        <v>ERN14393</v>
      </c>
      <c r="C60" s="92" t="str">
        <f t="shared" si="9"/>
        <v>Interferries Lines S.A.</v>
      </c>
      <c r="D60" s="93" t="str">
        <f t="shared" si="7"/>
        <v>P42163</v>
      </c>
      <c r="E60" s="94">
        <f t="shared" si="10"/>
        <v>45317.263888888891</v>
      </c>
      <c r="F60" s="95"/>
      <c r="G60" s="95" t="s">
        <v>61</v>
      </c>
      <c r="H60" s="91" t="e">
        <f>IF(VLOOKUP(A60,#REF!,10,FALSE)=0,VLOOKUP(A60,AJ:BJ,11,FALSE),VLOOKUP(A60,#REF!,10,FALSE))</f>
        <v>#REF!</v>
      </c>
      <c r="I60" s="96" t="str">
        <f t="shared" si="8"/>
        <v>ATH</v>
      </c>
      <c r="J60" s="118" t="str">
        <f>IFERROR(IF(VLOOKUP($A60,#REF!,14,FALSE)="","","Y"),"")</f>
        <v/>
      </c>
      <c r="K60" s="97"/>
      <c r="L60" s="97"/>
      <c r="M60" s="98" t="str">
        <f t="shared" si="3"/>
        <v>KR9</v>
      </c>
      <c r="N60" s="99"/>
      <c r="O60" s="100"/>
      <c r="P60" s="100"/>
      <c r="Q60" s="100" t="str">
        <f>IFERROR(IF(VLOOKUP($A60,#REF!,30,FALSE)="","","Y"),"")</f>
        <v/>
      </c>
      <c r="R60" s="178" t="str">
        <f>IFERROR(IF(VLOOKUP($A60,#REF!,37,FALSE)="","","Y"),"")</f>
        <v/>
      </c>
      <c r="S60" s="173"/>
      <c r="T60" s="165"/>
      <c r="U60" s="117"/>
      <c r="V60" s="117" t="str">
        <f>IFERROR(IF(VLOOKUP($A60,#REF!,11,FALSE)="VARIATA","NEW TRAILER",""),"")</f>
        <v/>
      </c>
      <c r="W60" s="117" t="str">
        <f>IFERROR(IF(VLOOKUP(A60,#REF!,18,FALSE)&lt;&gt;"",VLOOKUP(A60,#REF!,18,FALSE),VLOOKUP(A60,#REF!,16,FALSE)),"")</f>
        <v/>
      </c>
      <c r="X60" s="117" t="str">
        <f>IFERROR(CONCATENATE(VLOOKUP($A60,#REF!,33,FALSE)," - ",VLOOKUP($A60,#REF!,13,FALSE)," - "),"")</f>
        <v/>
      </c>
      <c r="Y60" s="185" t="str">
        <f>IFERROR(IF(VLOOKUP($A60,#REF!,36,FALSE)&lt;&gt;0,VLOOKUP($A60,#REF!,36,FALSE),""),"")</f>
        <v/>
      </c>
      <c r="AJ60" s="114" t="s">
        <v>239</v>
      </c>
      <c r="AK60" s="77" t="s">
        <v>301</v>
      </c>
      <c r="AL60" s="77" t="s">
        <v>0</v>
      </c>
      <c r="AM60" s="77" t="s">
        <v>285</v>
      </c>
      <c r="AN60" s="77" t="s">
        <v>66</v>
      </c>
      <c r="AO60" s="90">
        <v>45317.541666666664</v>
      </c>
      <c r="AQ60" s="77" t="s">
        <v>225</v>
      </c>
      <c r="AR60" s="77" t="s">
        <v>302</v>
      </c>
      <c r="AS60" s="77" t="s">
        <v>303</v>
      </c>
      <c r="AU60" s="77" t="s">
        <v>285</v>
      </c>
      <c r="AV60" s="77" t="s">
        <v>58</v>
      </c>
      <c r="AW60" s="77" t="s">
        <v>57</v>
      </c>
      <c r="AX60" s="77" t="s">
        <v>58</v>
      </c>
      <c r="AY60" s="77" t="s">
        <v>58</v>
      </c>
      <c r="AZ60" s="77" t="s">
        <v>58</v>
      </c>
      <c r="BA60" s="77" t="s">
        <v>58</v>
      </c>
      <c r="BB60" s="77" t="s">
        <v>59</v>
      </c>
      <c r="BC60" s="77" t="s">
        <v>58</v>
      </c>
      <c r="BK60" s="77"/>
      <c r="BL60" s="77"/>
      <c r="BM60" s="77"/>
    </row>
    <row r="61" spans="1:65" ht="12.75">
      <c r="A61" s="137" t="s">
        <v>262</v>
      </c>
      <c r="B61" s="91" t="str">
        <f t="shared" si="6"/>
        <v>ERN17420</v>
      </c>
      <c r="C61" s="92" t="str">
        <f t="shared" si="9"/>
        <v>Interferries Lines S.A.</v>
      </c>
      <c r="D61" s="93" t="str">
        <f t="shared" si="7"/>
        <v>P42177</v>
      </c>
      <c r="E61" s="94">
        <f t="shared" si="10"/>
        <v>45317.270833333336</v>
      </c>
      <c r="F61" s="95"/>
      <c r="G61" s="95" t="s">
        <v>61</v>
      </c>
      <c r="H61" s="91" t="e">
        <f>IF(VLOOKUP(A61,#REF!,10,FALSE)=0,VLOOKUP(A61,AJ:BJ,11,FALSE),VLOOKUP(A61,#REF!,10,FALSE))</f>
        <v>#REF!</v>
      </c>
      <c r="I61" s="96" t="str">
        <f t="shared" si="8"/>
        <v>SKG</v>
      </c>
      <c r="J61" s="118" t="str">
        <f>IFERROR(IF(VLOOKUP($A61,#REF!,14,FALSE)="","","Y"),"")</f>
        <v/>
      </c>
      <c r="K61" s="97"/>
      <c r="L61" s="97"/>
      <c r="M61" s="98" t="str">
        <f t="shared" si="3"/>
        <v>SKG 1</v>
      </c>
      <c r="N61" s="99"/>
      <c r="O61" s="100"/>
      <c r="P61" s="100"/>
      <c r="Q61" s="100" t="str">
        <f>IFERROR(IF(VLOOKUP($A61,#REF!,30,FALSE)="","","Y"),"")</f>
        <v/>
      </c>
      <c r="R61" s="178" t="str">
        <f>IFERROR(IF(VLOOKUP($A61,#REF!,37,FALSE)="","","Y"),"")</f>
        <v/>
      </c>
      <c r="S61" s="173"/>
      <c r="T61" s="165"/>
      <c r="U61" s="117"/>
      <c r="V61" s="117" t="str">
        <f>IFERROR(IF(VLOOKUP($A61,#REF!,11,FALSE)="VARIATA","NEW TRAILER",""),"")</f>
        <v/>
      </c>
      <c r="W61" s="117" t="str">
        <f>IFERROR(IF(VLOOKUP(A61,#REF!,18,FALSE)&lt;&gt;"",VLOOKUP(A61,#REF!,18,FALSE),VLOOKUP(A61,#REF!,16,FALSE)),"")</f>
        <v/>
      </c>
      <c r="X61" s="117" t="str">
        <f>IFERROR(CONCATENATE(VLOOKUP($A61,#REF!,33,FALSE)," - ",VLOOKUP($A61,#REF!,13,FALSE)," - "),"")</f>
        <v/>
      </c>
      <c r="Y61" s="185" t="str">
        <f>IFERROR(IF(VLOOKUP($A61,#REF!,36,FALSE)&lt;&gt;0,VLOOKUP($A61,#REF!,36,FALSE),""),"")</f>
        <v/>
      </c>
      <c r="AJ61" s="114" t="s">
        <v>234</v>
      </c>
      <c r="AK61" s="77" t="s">
        <v>304</v>
      </c>
      <c r="AL61" s="77" t="s">
        <v>0</v>
      </c>
      <c r="AM61" s="77" t="s">
        <v>285</v>
      </c>
      <c r="AN61" s="77" t="s">
        <v>66</v>
      </c>
      <c r="AO61" s="90">
        <v>45317.541666666664</v>
      </c>
      <c r="AQ61" s="77" t="s">
        <v>178</v>
      </c>
      <c r="AR61" s="77" t="s">
        <v>305</v>
      </c>
      <c r="AS61" s="77" t="s">
        <v>306</v>
      </c>
      <c r="AU61" s="77" t="s">
        <v>285</v>
      </c>
      <c r="AV61" s="77" t="s">
        <v>58</v>
      </c>
      <c r="AW61" s="77" t="s">
        <v>57</v>
      </c>
      <c r="AX61" s="77" t="s">
        <v>58</v>
      </c>
      <c r="AY61" s="77" t="s">
        <v>58</v>
      </c>
      <c r="AZ61" s="77" t="s">
        <v>58</v>
      </c>
      <c r="BA61" s="77" t="s">
        <v>58</v>
      </c>
      <c r="BB61" s="77" t="s">
        <v>59</v>
      </c>
      <c r="BC61" s="77" t="s">
        <v>58</v>
      </c>
      <c r="BK61" s="77"/>
      <c r="BL61" s="77"/>
      <c r="BM61" s="77"/>
    </row>
    <row r="62" spans="1:65" ht="12.75">
      <c r="A62" s="137" t="s">
        <v>266</v>
      </c>
      <c r="B62" s="91" t="str">
        <f t="shared" si="6"/>
        <v>ERN02712</v>
      </c>
      <c r="C62" s="92" t="str">
        <f t="shared" si="9"/>
        <v>Interferries Lines S.A.</v>
      </c>
      <c r="D62" s="93">
        <f t="shared" si="7"/>
        <v>0</v>
      </c>
      <c r="E62" s="94">
        <f t="shared" si="10"/>
        <v>45317.270833333336</v>
      </c>
      <c r="F62" s="95"/>
      <c r="G62" s="95" t="s">
        <v>61</v>
      </c>
      <c r="H62" s="91" t="e">
        <f>IF(VLOOKUP(A62,#REF!,10,FALSE)=0,VLOOKUP(A62,AJ:BJ,11,FALSE),VLOOKUP(A62,#REF!,10,FALSE))</f>
        <v>#REF!</v>
      </c>
      <c r="I62" s="96" t="str">
        <f t="shared" si="8"/>
        <v>SKG</v>
      </c>
      <c r="J62" s="118" t="str">
        <f>IFERROR(IF(VLOOKUP($A62,#REF!,14,FALSE)="","","Y"),"")</f>
        <v/>
      </c>
      <c r="K62" s="97"/>
      <c r="L62" s="97"/>
      <c r="M62" s="98" t="str">
        <f>A62</f>
        <v>SKG 2</v>
      </c>
      <c r="N62" s="99"/>
      <c r="O62" s="100"/>
      <c r="P62" s="100"/>
      <c r="Q62" s="100" t="str">
        <f>IFERROR(IF(VLOOKUP($A62,#REF!,30,FALSE)="","","Y"),"")</f>
        <v/>
      </c>
      <c r="R62" s="178" t="str">
        <f>IFERROR(IF(VLOOKUP($A62,#REF!,37,FALSE)="","","Y"),"")</f>
        <v/>
      </c>
      <c r="S62" s="173"/>
      <c r="T62" s="165"/>
      <c r="U62" s="117"/>
      <c r="V62" s="117" t="str">
        <f>IFERROR(IF(VLOOKUP($A62,#REF!,11,FALSE)="VARIATA","NEW TRAILER",""),"")</f>
        <v/>
      </c>
      <c r="W62" s="117" t="str">
        <f>IFERROR(IF(VLOOKUP(A62,#REF!,18,FALSE)&lt;&gt;"",VLOOKUP(A62,#REF!,18,FALSE),VLOOKUP(A62,#REF!,16,FALSE)),"")</f>
        <v/>
      </c>
      <c r="X62" s="117" t="str">
        <f>IFERROR(CONCATENATE(VLOOKUP($A62,#REF!,33,FALSE)," - ",VLOOKUP($A62,#REF!,13,FALSE)," - "),"")</f>
        <v/>
      </c>
      <c r="Y62" s="185" t="str">
        <f>IFERROR(IF(VLOOKUP($A62,#REF!,36,FALSE)&lt;&gt;0,VLOOKUP($A62,#REF!,36,FALSE),""),"")</f>
        <v/>
      </c>
      <c r="AJ62" s="114" t="s">
        <v>289</v>
      </c>
      <c r="AK62" s="77" t="s">
        <v>307</v>
      </c>
      <c r="AL62" s="77" t="s">
        <v>0</v>
      </c>
      <c r="AM62" s="77" t="s">
        <v>308</v>
      </c>
      <c r="AN62" s="77" t="s">
        <v>51</v>
      </c>
      <c r="AO62" s="90">
        <v>45317.166666666664</v>
      </c>
      <c r="AP62" s="90"/>
      <c r="AQ62" s="90" t="s">
        <v>309</v>
      </c>
      <c r="AR62" s="77" t="s">
        <v>310</v>
      </c>
      <c r="AS62" s="90" t="s">
        <v>311</v>
      </c>
      <c r="AT62" s="77" t="s">
        <v>312</v>
      </c>
      <c r="AU62" s="77" t="s">
        <v>308</v>
      </c>
      <c r="AV62" s="77" t="s">
        <v>58</v>
      </c>
      <c r="AW62" s="77" t="s">
        <v>57</v>
      </c>
      <c r="AX62" s="77" t="s">
        <v>58</v>
      </c>
      <c r="AY62" s="77" t="s">
        <v>58</v>
      </c>
      <c r="AZ62" s="77" t="s">
        <v>58</v>
      </c>
      <c r="BA62" s="77" t="s">
        <v>58</v>
      </c>
      <c r="BB62" s="77" t="s">
        <v>59</v>
      </c>
      <c r="BC62" s="77" t="s">
        <v>58</v>
      </c>
      <c r="BK62" s="77"/>
      <c r="BL62" s="77"/>
      <c r="BM62" s="77"/>
    </row>
    <row r="63" spans="1:65" ht="12.75">
      <c r="A63" s="137"/>
      <c r="B63" s="91" t="e">
        <f t="shared" si="6"/>
        <v>#N/A</v>
      </c>
      <c r="C63" s="92" t="e">
        <f t="shared" si="9"/>
        <v>#N/A</v>
      </c>
      <c r="D63" s="93" t="e">
        <f t="shared" si="7"/>
        <v>#N/A</v>
      </c>
      <c r="E63" s="94" t="e">
        <f t="shared" si="10"/>
        <v>#N/A</v>
      </c>
      <c r="F63" s="95"/>
      <c r="G63" s="95"/>
      <c r="H63" s="91" t="e">
        <f>IF(VLOOKUP(A63,#REF!,10,FALSE)=0,VLOOKUP(A63,AJ:BJ,11,FALSE),VLOOKUP(A63,#REF!,10,FALSE))</f>
        <v>#REF!</v>
      </c>
      <c r="I63" s="96" t="e">
        <f t="shared" si="8"/>
        <v>#N/A</v>
      </c>
      <c r="J63" s="118" t="str">
        <f>IFERROR(IF(VLOOKUP($A63,#REF!,14,FALSE)="","","Y"),"")</f>
        <v/>
      </c>
      <c r="K63" s="97"/>
      <c r="L63" s="97"/>
      <c r="M63" s="98">
        <f>A63</f>
        <v>0</v>
      </c>
      <c r="N63" s="99"/>
      <c r="O63" s="100"/>
      <c r="P63" s="100"/>
      <c r="Q63" s="100" t="str">
        <f>IFERROR(IF(VLOOKUP($A63,#REF!,30,FALSE)="","","Y"),"")</f>
        <v/>
      </c>
      <c r="R63" s="178" t="str">
        <f>IFERROR(IF(VLOOKUP($A63,#REF!,37,FALSE)="","","Y"),"")</f>
        <v/>
      </c>
      <c r="S63" s="173"/>
      <c r="T63" s="165"/>
      <c r="U63" s="117"/>
      <c r="V63" s="117" t="str">
        <f>IFERROR(IF(VLOOKUP($A63,#REF!,11,FALSE)="VARIATA","NEW TRAILER",""),"")</f>
        <v/>
      </c>
      <c r="W63" s="117" t="str">
        <f>IFERROR(IF(VLOOKUP(A63,#REF!,18,FALSE)&lt;&gt;"",VLOOKUP(A63,#REF!,18,FALSE),VLOOKUP(A63,#REF!,16,FALSE)),"")</f>
        <v/>
      </c>
      <c r="X63" s="117" t="str">
        <f>IFERROR(CONCATENATE(VLOOKUP($A63,#REF!,33,FALSE)," - ",VLOOKUP($A63,#REF!,13,FALSE)," - "),"")</f>
        <v/>
      </c>
      <c r="Y63" s="185" t="str">
        <f>IFERROR(IF(VLOOKUP($A63,#REF!,36,FALSE)&lt;&gt;0,VLOOKUP($A63,#REF!,36,FALSE),""),"")</f>
        <v/>
      </c>
      <c r="AJ63" s="114" t="s">
        <v>283</v>
      </c>
      <c r="AK63" s="77" t="s">
        <v>313</v>
      </c>
      <c r="AL63" s="77" t="s">
        <v>0</v>
      </c>
      <c r="AM63" s="77" t="s">
        <v>308</v>
      </c>
      <c r="AN63" s="77" t="s">
        <v>66</v>
      </c>
      <c r="AO63" s="90">
        <v>45317.166666666664</v>
      </c>
      <c r="AP63" s="90"/>
      <c r="AQ63" s="77" t="s">
        <v>128</v>
      </c>
      <c r="AT63" s="77" t="s">
        <v>314</v>
      </c>
      <c r="AU63" s="77" t="s">
        <v>308</v>
      </c>
      <c r="AV63" s="77" t="s">
        <v>56</v>
      </c>
      <c r="AW63" s="77" t="s">
        <v>57</v>
      </c>
      <c r="AX63" s="77" t="s">
        <v>58</v>
      </c>
      <c r="AY63" s="77" t="s">
        <v>58</v>
      </c>
      <c r="AZ63" s="77" t="s">
        <v>58</v>
      </c>
      <c r="BA63" s="77" t="s">
        <v>58</v>
      </c>
      <c r="BB63" s="77" t="s">
        <v>59</v>
      </c>
      <c r="BC63" s="77" t="s">
        <v>58</v>
      </c>
      <c r="BK63" s="77"/>
      <c r="BL63" s="77"/>
      <c r="BM63" s="77"/>
    </row>
    <row r="64" spans="1:65" ht="12.75">
      <c r="A64" s="137"/>
      <c r="B64" s="91" t="e">
        <f t="shared" si="6"/>
        <v>#N/A</v>
      </c>
      <c r="C64" s="92" t="e">
        <f t="shared" si="9"/>
        <v>#N/A</v>
      </c>
      <c r="D64" s="93" t="e">
        <f t="shared" si="7"/>
        <v>#N/A</v>
      </c>
      <c r="E64" s="94" t="e">
        <f t="shared" si="10"/>
        <v>#N/A</v>
      </c>
      <c r="F64" s="95"/>
      <c r="G64" s="95"/>
      <c r="H64" s="91" t="e">
        <f>IF(VLOOKUP(A64,#REF!,10,FALSE)=0,VLOOKUP(A64,AJ:BJ,11,FALSE),VLOOKUP(A64,#REF!,10,FALSE))</f>
        <v>#REF!</v>
      </c>
      <c r="I64" s="96" t="e">
        <f t="shared" si="8"/>
        <v>#N/A</v>
      </c>
      <c r="J64" s="118" t="str">
        <f>IFERROR(IF(VLOOKUP($A64,#REF!,14,FALSE)="","","Y"),"")</f>
        <v/>
      </c>
      <c r="K64" s="97"/>
      <c r="L64" s="97"/>
      <c r="M64" s="98">
        <f t="shared" si="3"/>
        <v>0</v>
      </c>
      <c r="N64" s="99"/>
      <c r="O64" s="100"/>
      <c r="P64" s="100"/>
      <c r="Q64" s="100" t="str">
        <f>IFERROR(IF(VLOOKUP($A64,#REF!,30,FALSE)="","","Y"),"")</f>
        <v/>
      </c>
      <c r="R64" s="178" t="str">
        <f>IFERROR(IF(VLOOKUP($A64,#REF!,37,FALSE)="","","Y"),"")</f>
        <v/>
      </c>
      <c r="S64" s="173"/>
      <c r="T64" s="165"/>
      <c r="U64" s="117"/>
      <c r="V64" s="117" t="str">
        <f>IFERROR(IF(VLOOKUP($A64,#REF!,11,FALSE)="VARIATA","NEW TRAILER",""),"")</f>
        <v/>
      </c>
      <c r="W64" s="117" t="str">
        <f>IFERROR(IF(VLOOKUP(A64,#REF!,18,FALSE)&lt;&gt;"",VLOOKUP(A64,#REF!,18,FALSE),VLOOKUP(A64,#REF!,16,FALSE)),"")</f>
        <v/>
      </c>
      <c r="X64" s="117" t="str">
        <f>IFERROR(CONCATENATE(VLOOKUP($A64,#REF!,33,FALSE)," - ",VLOOKUP($A64,#REF!,13,FALSE)," - "),"")</f>
        <v/>
      </c>
      <c r="Y64" s="185" t="str">
        <f>IFERROR(IF(VLOOKUP($A64,#REF!,36,FALSE)&lt;&gt;0,VLOOKUP($A64,#REF!,36,FALSE),""),"")</f>
        <v/>
      </c>
      <c r="AO64" s="90"/>
      <c r="AP64" s="90"/>
      <c r="BK64" s="77"/>
      <c r="BL64" s="77"/>
      <c r="BM64" s="77"/>
    </row>
    <row r="65" spans="1:65" ht="12.75">
      <c r="A65" s="137" t="s">
        <v>315</v>
      </c>
      <c r="B65" s="91" t="e">
        <f t="shared" si="6"/>
        <v>#N/A</v>
      </c>
      <c r="C65" s="92" t="s">
        <v>108</v>
      </c>
      <c r="D65" s="93" t="e">
        <f t="shared" si="7"/>
        <v>#N/A</v>
      </c>
      <c r="E65" s="94" t="e">
        <f t="shared" si="10"/>
        <v>#N/A</v>
      </c>
      <c r="F65" s="95"/>
      <c r="G65" s="95"/>
      <c r="H65" s="91" t="e">
        <f>IF(VLOOKUP(A65,#REF!,10,FALSE)=0,VLOOKUP(A65,AJ:BJ,11,FALSE),VLOOKUP(A65,#REF!,10,FALSE))</f>
        <v>#REF!</v>
      </c>
      <c r="I65" s="96" t="e">
        <f t="shared" si="8"/>
        <v>#N/A</v>
      </c>
      <c r="J65" s="118" t="str">
        <f>IFERROR(IF(VLOOKUP($A65,#REF!,14,FALSE)="","","Y"),"")</f>
        <v/>
      </c>
      <c r="K65" s="97"/>
      <c r="L65" s="97" t="e">
        <f t="shared" ref="L65:L81" si="11">VLOOKUP(A65,AJ:BJ,25,FALSE)</f>
        <v>#N/A</v>
      </c>
      <c r="M65" s="98" t="str">
        <f t="shared" si="3"/>
        <v xml:space="preserve">LYS EXTRA </v>
      </c>
      <c r="N65" s="99"/>
      <c r="O65" s="100"/>
      <c r="P65" s="100"/>
      <c r="Q65" s="100" t="str">
        <f>IFERROR(IF(VLOOKUP($A65,#REF!,30,FALSE)="","","Y"),"")</f>
        <v/>
      </c>
      <c r="R65" s="178" t="str">
        <f>IFERROR(IF(VLOOKUP($A65,#REF!,37,FALSE)="","","Y"),"")</f>
        <v/>
      </c>
      <c r="S65" s="173"/>
      <c r="T65" s="165"/>
      <c r="U65" s="117"/>
      <c r="V65" s="117" t="str">
        <f>IFERROR(IF(VLOOKUP($A65,#REF!,11,FALSE)="VARIATA","NEW TRAILER",""),"")</f>
        <v/>
      </c>
      <c r="W65" s="117" t="str">
        <f>IFERROR(IF(VLOOKUP(A65,#REF!,18,FALSE)&lt;&gt;"",VLOOKUP(A65,#REF!,18,FALSE),VLOOKUP(A65,#REF!,16,FALSE)),"")</f>
        <v/>
      </c>
      <c r="X65" s="117" t="str">
        <f>IFERROR(CONCATENATE(VLOOKUP($A65,#REF!,33,FALSE)," - ",VLOOKUP($A65,#REF!,13,FALSE)," - "),"")</f>
        <v/>
      </c>
      <c r="Y65" s="185" t="str">
        <f>IFERROR(IF(VLOOKUP($A65,#REF!,36,FALSE)&lt;&gt;0,VLOOKUP($A65,#REF!,36,FALSE),""),"")</f>
        <v/>
      </c>
      <c r="AO65" s="90"/>
      <c r="AP65" s="90"/>
      <c r="AQ65" s="90"/>
      <c r="AS65" s="90"/>
      <c r="BK65" s="77"/>
      <c r="BL65" s="77"/>
      <c r="BM65" s="77"/>
    </row>
    <row r="66" spans="1:65" ht="12.75">
      <c r="A66" s="137"/>
      <c r="B66" s="91" t="e">
        <f t="shared" si="6"/>
        <v>#N/A</v>
      </c>
      <c r="C66" s="92" t="e">
        <f t="shared" ref="C66:C81" si="12">VLOOKUP(A66,AJ:BJ,8,FALSE)</f>
        <v>#N/A</v>
      </c>
      <c r="D66" s="93" t="e">
        <f t="shared" si="7"/>
        <v>#N/A</v>
      </c>
      <c r="E66" s="94" t="e">
        <f t="shared" si="10"/>
        <v>#N/A</v>
      </c>
      <c r="F66" s="95"/>
      <c r="G66" s="95"/>
      <c r="H66" s="91" t="e">
        <f>IF(VLOOKUP(A66,#REF!,10,FALSE)=0,VLOOKUP(A66,AJ:BJ,11,FALSE),VLOOKUP(A66,#REF!,10,FALSE))</f>
        <v>#REF!</v>
      </c>
      <c r="I66" s="96" t="e">
        <f t="shared" si="8"/>
        <v>#N/A</v>
      </c>
      <c r="J66" s="118" t="str">
        <f>IFERROR(IF(VLOOKUP($A66,#REF!,14,FALSE)="","","Y"),"")</f>
        <v/>
      </c>
      <c r="K66" s="97" t="e">
        <f t="shared" ref="K66:K81" si="13">VLOOKUP(A66,AJ:BJ,24,FALSE)</f>
        <v>#N/A</v>
      </c>
      <c r="L66" s="97" t="e">
        <f t="shared" si="11"/>
        <v>#N/A</v>
      </c>
      <c r="M66" s="98">
        <f>A66</f>
        <v>0</v>
      </c>
      <c r="N66" s="99"/>
      <c r="O66" s="100"/>
      <c r="P66" s="100"/>
      <c r="Q66" s="100" t="str">
        <f>IFERROR(IF(VLOOKUP($A66,#REF!,30,FALSE)="","","Y"),"")</f>
        <v/>
      </c>
      <c r="R66" s="178" t="str">
        <f>IFERROR(IF(VLOOKUP($A66,#REF!,37,FALSE)="","","Y"),"")</f>
        <v/>
      </c>
      <c r="S66" s="173"/>
      <c r="T66" s="165"/>
      <c r="U66" s="117"/>
      <c r="V66" s="117" t="str">
        <f>IFERROR(IF(VLOOKUP($A66,#REF!,11,FALSE)="VARIATA","NEW TRAILER",""),"")</f>
        <v/>
      </c>
      <c r="W66" s="117" t="str">
        <f>IFERROR(IF(VLOOKUP(A66,#REF!,18,FALSE)&lt;&gt;"",VLOOKUP(A66,#REF!,18,FALSE),VLOOKUP(A66,#REF!,16,FALSE)),"")</f>
        <v/>
      </c>
      <c r="X66" s="117" t="str">
        <f>IFERROR(CONCATENATE(VLOOKUP($A66,#REF!,33,FALSE)," - ",VLOOKUP($A66,#REF!,13,FALSE)," - "),"")</f>
        <v/>
      </c>
      <c r="Y66" s="185" t="str">
        <f>IFERROR(IF(VLOOKUP($A66,#REF!,36,FALSE)&lt;&gt;0,VLOOKUP($A66,#REF!,36,FALSE),""),"")</f>
        <v/>
      </c>
      <c r="AO66" s="90"/>
      <c r="AP66" s="90"/>
      <c r="BK66" s="77"/>
      <c r="BL66" s="77"/>
      <c r="BM66" s="77"/>
    </row>
    <row r="67" spans="1:65" ht="12.75">
      <c r="A67" s="137"/>
      <c r="B67" s="91" t="e">
        <f t="shared" si="6"/>
        <v>#N/A</v>
      </c>
      <c r="C67" s="92" t="e">
        <f t="shared" si="12"/>
        <v>#N/A</v>
      </c>
      <c r="D67" s="93" t="e">
        <f t="shared" si="7"/>
        <v>#N/A</v>
      </c>
      <c r="E67" s="94" t="e">
        <f t="shared" si="10"/>
        <v>#N/A</v>
      </c>
      <c r="F67" s="95"/>
      <c r="G67" s="95"/>
      <c r="H67" s="91" t="e">
        <f>IF(VLOOKUP(A67,#REF!,10,FALSE)=0,VLOOKUP(A67,AJ:BJ,11,FALSE),VLOOKUP(A67,#REF!,10,FALSE))</f>
        <v>#REF!</v>
      </c>
      <c r="I67" s="96" t="e">
        <f t="shared" si="8"/>
        <v>#N/A</v>
      </c>
      <c r="J67" s="118" t="str">
        <f>IFERROR(IF(VLOOKUP($A67,#REF!,14,FALSE)="","","Y"),"")</f>
        <v/>
      </c>
      <c r="K67" s="97" t="e">
        <f t="shared" si="13"/>
        <v>#N/A</v>
      </c>
      <c r="L67" s="97" t="e">
        <f t="shared" si="11"/>
        <v>#N/A</v>
      </c>
      <c r="M67" s="98">
        <f>A67</f>
        <v>0</v>
      </c>
      <c r="N67" s="99"/>
      <c r="O67" s="100"/>
      <c r="P67" s="100"/>
      <c r="Q67" s="100" t="str">
        <f>IFERROR(IF(VLOOKUP($A67,#REF!,30,FALSE)="","","Y"),"")</f>
        <v/>
      </c>
      <c r="R67" s="178" t="str">
        <f>IFERROR(IF(VLOOKUP($A67,#REF!,37,FALSE)="","","Y"),"")</f>
        <v/>
      </c>
      <c r="S67" s="173"/>
      <c r="T67" s="165"/>
      <c r="U67" s="117"/>
      <c r="V67" s="117" t="str">
        <f>IFERROR(IF(VLOOKUP($A67,#REF!,11,FALSE)="VARIATA","NEW TRAILER",""),"")</f>
        <v/>
      </c>
      <c r="W67" s="117" t="str">
        <f>IFERROR(IF(VLOOKUP(A67,#REF!,18,FALSE)&lt;&gt;"",VLOOKUP(A67,#REF!,18,FALSE),VLOOKUP(A67,#REF!,16,FALSE)),"")</f>
        <v/>
      </c>
      <c r="X67" s="117" t="str">
        <f>IFERROR(CONCATENATE(VLOOKUP($A67,#REF!,33,FALSE)," - ",VLOOKUP($A67,#REF!,13,FALSE)," - "),"")</f>
        <v/>
      </c>
      <c r="Y67" s="185" t="str">
        <f>IFERROR(IF(VLOOKUP($A67,#REF!,36,FALSE)&lt;&gt;0,VLOOKUP($A67,#REF!,36,FALSE),""),"")</f>
        <v/>
      </c>
      <c r="AO67" s="90"/>
      <c r="AP67" s="90"/>
      <c r="AQ67" s="90"/>
      <c r="AS67" s="90"/>
      <c r="BK67" s="77"/>
      <c r="BL67" s="77"/>
      <c r="BM67" s="77"/>
    </row>
    <row r="68" spans="1:65" ht="12.75">
      <c r="A68" s="137"/>
      <c r="B68" s="91" t="e">
        <f t="shared" si="6"/>
        <v>#N/A</v>
      </c>
      <c r="C68" s="92" t="e">
        <f t="shared" si="12"/>
        <v>#N/A</v>
      </c>
      <c r="D68" s="93" t="e">
        <f t="shared" si="7"/>
        <v>#N/A</v>
      </c>
      <c r="E68" s="94" t="e">
        <f t="shared" si="10"/>
        <v>#N/A</v>
      </c>
      <c r="F68" s="95"/>
      <c r="G68" s="95"/>
      <c r="H68" s="91" t="e">
        <f>IF(VLOOKUP(A68,#REF!,10,FALSE)=0,VLOOKUP(A68,AJ:BJ,11,FALSE),VLOOKUP(A68,#REF!,10,FALSE))</f>
        <v>#REF!</v>
      </c>
      <c r="I68" s="96" t="e">
        <f t="shared" si="8"/>
        <v>#N/A</v>
      </c>
      <c r="J68" s="118" t="str">
        <f>IFERROR(IF(VLOOKUP($A68,#REF!,14,FALSE)="","","Y"),"")</f>
        <v/>
      </c>
      <c r="K68" s="97" t="e">
        <f t="shared" si="13"/>
        <v>#N/A</v>
      </c>
      <c r="L68" s="97" t="e">
        <f t="shared" si="11"/>
        <v>#N/A</v>
      </c>
      <c r="M68" s="98">
        <f t="shared" si="3"/>
        <v>0</v>
      </c>
      <c r="N68" s="99"/>
      <c r="O68" s="100"/>
      <c r="P68" s="100"/>
      <c r="Q68" s="100" t="str">
        <f>IFERROR(IF(VLOOKUP($A68,#REF!,30,FALSE)="","","Y"),"")</f>
        <v/>
      </c>
      <c r="R68" s="178" t="str">
        <f>IFERROR(IF(VLOOKUP($A68,#REF!,37,FALSE)="","","Y"),"")</f>
        <v/>
      </c>
      <c r="S68" s="173"/>
      <c r="T68" s="165"/>
      <c r="U68" s="117"/>
      <c r="V68" s="117" t="str">
        <f>IFERROR(IF(VLOOKUP($A68,#REF!,11,FALSE)="VARIATA","NEW TRAILER",""),"")</f>
        <v/>
      </c>
      <c r="W68" s="117" t="str">
        <f>IFERROR(IF(VLOOKUP(A68,#REF!,18,FALSE)&lt;&gt;"",VLOOKUP(A68,#REF!,18,FALSE),VLOOKUP(A68,#REF!,16,FALSE)),"")</f>
        <v/>
      </c>
      <c r="X68" s="117" t="str">
        <f>IFERROR(CONCATENATE(VLOOKUP($A68,#REF!,33,FALSE)," - ",VLOOKUP($A68,#REF!,13,FALSE)," - "),"")</f>
        <v/>
      </c>
      <c r="Y68" s="185" t="str">
        <f>IFERROR(IF(VLOOKUP($A68,#REF!,36,FALSE)&lt;&gt;0,VLOOKUP($A68,#REF!,36,FALSE),""),"")</f>
        <v/>
      </c>
      <c r="AO68" s="90"/>
      <c r="AP68" s="90"/>
      <c r="AQ68" s="90"/>
      <c r="AS68" s="90"/>
      <c r="BK68" s="77"/>
      <c r="BL68" s="77"/>
      <c r="BM68" s="77"/>
    </row>
    <row r="69" spans="1:65" ht="12.75">
      <c r="A69" s="137"/>
      <c r="B69" s="91" t="e">
        <f t="shared" ref="B69:B81" si="14">VLOOKUP(A69,AJ:BJ,2,FALSE)</f>
        <v>#N/A</v>
      </c>
      <c r="C69" s="92" t="e">
        <f t="shared" si="12"/>
        <v>#N/A</v>
      </c>
      <c r="D69" s="93" t="e">
        <f t="shared" ref="D69:D77" si="15">VLOOKUP(A69,AJ:BJ,11,FALSE)</f>
        <v>#N/A</v>
      </c>
      <c r="E69" s="94" t="e">
        <f t="shared" si="10"/>
        <v>#N/A</v>
      </c>
      <c r="F69" s="95"/>
      <c r="G69" s="95"/>
      <c r="H69" s="91" t="e">
        <f>IF(VLOOKUP(A69,#REF!,10,FALSE)=0,VLOOKUP(A69,AJ:BJ,11,FALSE),VLOOKUP(A69,#REF!,10,FALSE))</f>
        <v>#REF!</v>
      </c>
      <c r="I69" s="96" t="e">
        <f t="shared" ref="I69:I77" si="16">VLOOKUP(A69,AJ:BJ,12,FALSE)</f>
        <v>#N/A</v>
      </c>
      <c r="J69" s="118" t="str">
        <f>IFERROR(IF(VLOOKUP($A69,#REF!,14,FALSE)="","","Y"),"")</f>
        <v/>
      </c>
      <c r="K69" s="97" t="e">
        <f t="shared" si="13"/>
        <v>#N/A</v>
      </c>
      <c r="L69" s="97" t="e">
        <f t="shared" si="11"/>
        <v>#N/A</v>
      </c>
      <c r="M69" s="98">
        <f t="shared" si="3"/>
        <v>0</v>
      </c>
      <c r="N69" s="99"/>
      <c r="O69" s="100"/>
      <c r="P69" s="100"/>
      <c r="Q69" s="100" t="str">
        <f>IFERROR(IF(VLOOKUP($A69,#REF!,30,FALSE)="","","Y"),"")</f>
        <v/>
      </c>
      <c r="R69" s="178" t="str">
        <f>IFERROR(IF(VLOOKUP($A69,#REF!,37,FALSE)="","","Y"),"")</f>
        <v/>
      </c>
      <c r="S69" s="173"/>
      <c r="T69" s="165"/>
      <c r="U69" s="117"/>
      <c r="V69" s="117" t="str">
        <f>IFERROR(IF(VLOOKUP($A69,#REF!,11,FALSE)="VARIATA","NEW TRAILER",""),"")</f>
        <v/>
      </c>
      <c r="W69" s="117" t="str">
        <f>IFERROR(IF(VLOOKUP(A69,#REF!,18,FALSE)&lt;&gt;"",VLOOKUP(A69,#REF!,18,FALSE),VLOOKUP(A69,#REF!,16,FALSE)),"")</f>
        <v/>
      </c>
      <c r="X69" s="117" t="str">
        <f>IFERROR(CONCATENATE(VLOOKUP($A69,#REF!,33,FALSE)," - ",VLOOKUP($A69,#REF!,13,FALSE)," - "),"")</f>
        <v/>
      </c>
      <c r="Y69" s="185" t="str">
        <f>IFERROR(IF(VLOOKUP($A69,#REF!,36,FALSE)&lt;&gt;0,VLOOKUP($A69,#REF!,36,FALSE),""),"")</f>
        <v/>
      </c>
      <c r="AO69" s="90"/>
      <c r="AP69" s="90"/>
      <c r="AQ69" s="90"/>
      <c r="BK69" s="77"/>
      <c r="BL69" s="77"/>
      <c r="BM69" s="77"/>
    </row>
    <row r="70" spans="1:65" ht="12.75">
      <c r="A70" s="137"/>
      <c r="B70" s="91" t="e">
        <f t="shared" si="14"/>
        <v>#N/A</v>
      </c>
      <c r="C70" s="92" t="e">
        <f t="shared" si="12"/>
        <v>#N/A</v>
      </c>
      <c r="D70" s="93" t="e">
        <f t="shared" si="15"/>
        <v>#N/A</v>
      </c>
      <c r="E70" s="94" t="e">
        <f t="shared" si="10"/>
        <v>#N/A</v>
      </c>
      <c r="F70" s="95"/>
      <c r="G70" s="95"/>
      <c r="H70" s="91" t="e">
        <f>IF(VLOOKUP(A70,#REF!,10,FALSE)=0,VLOOKUP(A70,AJ:BJ,11,FALSE),VLOOKUP(A70,#REF!,10,FALSE))</f>
        <v>#REF!</v>
      </c>
      <c r="I70" s="96" t="e">
        <f t="shared" si="16"/>
        <v>#N/A</v>
      </c>
      <c r="J70" s="118" t="str">
        <f>IFERROR(IF(VLOOKUP($A70,#REF!,14,FALSE)="","","Y"),"")</f>
        <v/>
      </c>
      <c r="K70" s="97" t="e">
        <f t="shared" si="13"/>
        <v>#N/A</v>
      </c>
      <c r="L70" s="97" t="e">
        <f t="shared" si="11"/>
        <v>#N/A</v>
      </c>
      <c r="M70" s="98">
        <f t="shared" ref="M70:M81" si="17">A70</f>
        <v>0</v>
      </c>
      <c r="N70" s="99"/>
      <c r="O70" s="100"/>
      <c r="P70" s="100"/>
      <c r="Q70" s="100" t="str">
        <f>IFERROR(IF(VLOOKUP($A70,#REF!,30,FALSE)="","","Y"),"")</f>
        <v/>
      </c>
      <c r="R70" s="178" t="str">
        <f>IFERROR(IF(VLOOKUP($A70,#REF!,37,FALSE)="","","Y"),"")</f>
        <v/>
      </c>
      <c r="S70" s="173"/>
      <c r="T70" s="165"/>
      <c r="U70" s="117"/>
      <c r="V70" s="117" t="str">
        <f>IFERROR(IF(VLOOKUP($A70,#REF!,11,FALSE)="VARIATA","NEW TRAILER",""),"")</f>
        <v/>
      </c>
      <c r="W70" s="117" t="str">
        <f>IFERROR(IF(VLOOKUP(A70,#REF!,18,FALSE)&lt;&gt;"",VLOOKUP(A70,#REF!,18,FALSE),VLOOKUP(A70,#REF!,16,FALSE)),"")</f>
        <v/>
      </c>
      <c r="X70" s="117" t="str">
        <f>IFERROR(CONCATENATE(VLOOKUP($A70,#REF!,33,FALSE)," - ",VLOOKUP($A70,#REF!,13,FALSE)," - "),"")</f>
        <v/>
      </c>
      <c r="Y70" s="185" t="str">
        <f>IFERROR(IF(VLOOKUP($A70,#REF!,36,FALSE)&lt;&gt;0,VLOOKUP($A70,#REF!,36,FALSE),""),"")</f>
        <v/>
      </c>
      <c r="AO70" s="90"/>
      <c r="AP70" s="90"/>
      <c r="BK70" s="77"/>
      <c r="BL70" s="77"/>
      <c r="BM70" s="77"/>
    </row>
    <row r="71" spans="1:65" ht="12.75">
      <c r="A71" s="137"/>
      <c r="B71" s="91" t="e">
        <f t="shared" si="14"/>
        <v>#N/A</v>
      </c>
      <c r="C71" s="92" t="e">
        <f t="shared" si="12"/>
        <v>#N/A</v>
      </c>
      <c r="D71" s="93" t="e">
        <f t="shared" si="15"/>
        <v>#N/A</v>
      </c>
      <c r="E71" s="94" t="e">
        <f t="shared" si="10"/>
        <v>#N/A</v>
      </c>
      <c r="F71" s="95"/>
      <c r="G71" s="95"/>
      <c r="H71" s="91" t="e">
        <f>IF(VLOOKUP(A71,#REF!,10,FALSE)=0,VLOOKUP(A71,AJ:BJ,11,FALSE),VLOOKUP(A71,#REF!,10,FALSE))</f>
        <v>#REF!</v>
      </c>
      <c r="I71" s="96" t="e">
        <f t="shared" si="16"/>
        <v>#N/A</v>
      </c>
      <c r="J71" s="118" t="str">
        <f>IFERROR(IF(VLOOKUP($A71,#REF!,14,FALSE)="","","Y"),"")</f>
        <v/>
      </c>
      <c r="K71" s="97" t="e">
        <f t="shared" si="13"/>
        <v>#N/A</v>
      </c>
      <c r="L71" s="97" t="e">
        <f t="shared" si="11"/>
        <v>#N/A</v>
      </c>
      <c r="M71" s="98">
        <f t="shared" si="17"/>
        <v>0</v>
      </c>
      <c r="N71" s="99"/>
      <c r="O71" s="100"/>
      <c r="P71" s="100"/>
      <c r="Q71" s="100" t="str">
        <f>IFERROR(IF(VLOOKUP($A71,#REF!,30,FALSE)="","","Y"),"")</f>
        <v/>
      </c>
      <c r="R71" s="178" t="str">
        <f>IFERROR(IF(VLOOKUP($A71,#REF!,37,FALSE)="","","Y"),"")</f>
        <v/>
      </c>
      <c r="S71" s="173"/>
      <c r="T71" s="165"/>
      <c r="U71" s="117"/>
      <c r="V71" s="117" t="str">
        <f>IFERROR(IF(VLOOKUP($A71,#REF!,11,FALSE)="VARIATA","NEW TRAILER",""),"")</f>
        <v/>
      </c>
      <c r="W71" s="117" t="str">
        <f>IFERROR(IF(VLOOKUP(A71,#REF!,18,FALSE)&lt;&gt;"",VLOOKUP(A71,#REF!,18,FALSE),VLOOKUP(A71,#REF!,16,FALSE)),"")</f>
        <v/>
      </c>
      <c r="X71" s="117" t="str">
        <f>IFERROR(CONCATENATE(VLOOKUP($A71,#REF!,33,FALSE)," - ",VLOOKUP($A71,#REF!,13,FALSE)," - "),"")</f>
        <v/>
      </c>
      <c r="Y71" s="185" t="str">
        <f>IFERROR(IF(VLOOKUP($A71,#REF!,36,FALSE)&lt;&gt;0,VLOOKUP($A71,#REF!,36,FALSE),""),"")</f>
        <v/>
      </c>
      <c r="AO71" s="90"/>
      <c r="AP71" s="90"/>
      <c r="AQ71" s="90"/>
      <c r="BK71" s="77"/>
      <c r="BL71" s="77"/>
      <c r="BM71" s="77"/>
    </row>
    <row r="72" spans="1:65" ht="12.75">
      <c r="A72" s="137"/>
      <c r="B72" s="91" t="e">
        <f t="shared" si="14"/>
        <v>#N/A</v>
      </c>
      <c r="C72" s="92" t="e">
        <f t="shared" si="12"/>
        <v>#N/A</v>
      </c>
      <c r="D72" s="93" t="e">
        <f t="shared" si="15"/>
        <v>#N/A</v>
      </c>
      <c r="E72" s="94" t="e">
        <f t="shared" si="10"/>
        <v>#N/A</v>
      </c>
      <c r="F72" s="95"/>
      <c r="G72" s="95"/>
      <c r="H72" s="91" t="e">
        <f>IF(VLOOKUP(A72,#REF!,10,FALSE)=0,VLOOKUP(A72,AJ:BJ,11,FALSE),VLOOKUP(A72,#REF!,10,FALSE))</f>
        <v>#REF!</v>
      </c>
      <c r="I72" s="96" t="e">
        <f t="shared" si="16"/>
        <v>#N/A</v>
      </c>
      <c r="J72" s="118" t="str">
        <f>IFERROR(IF(VLOOKUP($A72,#REF!,14,FALSE)="","","Y"),"")</f>
        <v/>
      </c>
      <c r="K72" s="97" t="e">
        <f t="shared" si="13"/>
        <v>#N/A</v>
      </c>
      <c r="L72" s="97" t="e">
        <f t="shared" si="11"/>
        <v>#N/A</v>
      </c>
      <c r="M72" s="98">
        <f t="shared" si="17"/>
        <v>0</v>
      </c>
      <c r="N72" s="99"/>
      <c r="O72" s="100"/>
      <c r="P72" s="100"/>
      <c r="Q72" s="100" t="str">
        <f>IFERROR(IF(VLOOKUP($A72,#REF!,30,FALSE)="","","Y"),"")</f>
        <v/>
      </c>
      <c r="R72" s="178" t="str">
        <f>IFERROR(IF(VLOOKUP($A72,#REF!,37,FALSE)="","","Y"),"")</f>
        <v/>
      </c>
      <c r="S72" s="173"/>
      <c r="T72" s="165"/>
      <c r="U72" s="117"/>
      <c r="V72" s="117" t="str">
        <f>IFERROR(IF(VLOOKUP($A72,#REF!,11,FALSE)="VARIATA","NEW TRAILER",""),"")</f>
        <v/>
      </c>
      <c r="W72" s="117" t="str">
        <f>IFERROR(IF(VLOOKUP(A72,#REF!,18,FALSE)&lt;&gt;"",VLOOKUP(A72,#REF!,18,FALSE),VLOOKUP(A72,#REF!,16,FALSE)),"")</f>
        <v/>
      </c>
      <c r="X72" s="117" t="str">
        <f>IFERROR(CONCATENATE(VLOOKUP($A72,#REF!,33,FALSE)," - ",VLOOKUP($A72,#REF!,13,FALSE)," - "),"")</f>
        <v/>
      </c>
      <c r="Y72" s="185" t="str">
        <f>IFERROR(IF(VLOOKUP($A72,#REF!,36,FALSE)&lt;&gt;0,VLOOKUP($A72,#REF!,36,FALSE),""),"")</f>
        <v/>
      </c>
      <c r="AO72" s="90"/>
      <c r="AP72" s="90"/>
      <c r="BK72" s="77"/>
      <c r="BL72" s="77"/>
      <c r="BM72" s="77"/>
    </row>
    <row r="73" spans="1:65" ht="12.75">
      <c r="A73" s="137"/>
      <c r="B73" s="91" t="e">
        <f t="shared" si="14"/>
        <v>#N/A</v>
      </c>
      <c r="C73" s="92" t="e">
        <f t="shared" si="12"/>
        <v>#N/A</v>
      </c>
      <c r="D73" s="93" t="e">
        <f t="shared" si="15"/>
        <v>#N/A</v>
      </c>
      <c r="E73" s="94" t="e">
        <f t="shared" si="10"/>
        <v>#N/A</v>
      </c>
      <c r="F73" s="95"/>
      <c r="G73" s="95"/>
      <c r="H73" s="91" t="e">
        <f>IF(VLOOKUP(A73,#REF!,10,FALSE)=0,VLOOKUP(A73,AJ:BJ,11,FALSE),VLOOKUP(A73,#REF!,10,FALSE))</f>
        <v>#REF!</v>
      </c>
      <c r="I73" s="96" t="e">
        <f t="shared" si="16"/>
        <v>#N/A</v>
      </c>
      <c r="J73" s="118" t="str">
        <f>IFERROR(IF(VLOOKUP($A73,#REF!,14,FALSE)="","","Y"),"")</f>
        <v/>
      </c>
      <c r="K73" s="97" t="e">
        <f t="shared" si="13"/>
        <v>#N/A</v>
      </c>
      <c r="L73" s="97" t="e">
        <f t="shared" si="11"/>
        <v>#N/A</v>
      </c>
      <c r="M73" s="98">
        <f t="shared" si="17"/>
        <v>0</v>
      </c>
      <c r="N73" s="99"/>
      <c r="O73" s="100"/>
      <c r="P73" s="100"/>
      <c r="Q73" s="100" t="str">
        <f>IFERROR(IF(VLOOKUP($A73,#REF!,30,FALSE)="","","Y"),"")</f>
        <v/>
      </c>
      <c r="R73" s="178" t="str">
        <f>IFERROR(IF(VLOOKUP($A73,#REF!,37,FALSE)="","","Y"),"")</f>
        <v/>
      </c>
      <c r="S73" s="173"/>
      <c r="T73" s="165"/>
      <c r="U73" s="117"/>
      <c r="V73" s="117" t="str">
        <f>IFERROR(IF(VLOOKUP($A73,#REF!,11,FALSE)="VARIATA","NEW TRAILER",""),"")</f>
        <v/>
      </c>
      <c r="W73" s="117" t="str">
        <f>IFERROR(IF(VLOOKUP(A73,#REF!,18,FALSE)&lt;&gt;"",VLOOKUP(A73,#REF!,18,FALSE),VLOOKUP(A73,#REF!,16,FALSE)),"")</f>
        <v/>
      </c>
      <c r="X73" s="117" t="str">
        <f>IFERROR(CONCATENATE(VLOOKUP($A73,#REF!,33,FALSE)," - ",VLOOKUP($A73,#REF!,13,FALSE)," - "),"")</f>
        <v/>
      </c>
      <c r="Y73" s="185" t="str">
        <f>IFERROR(IF(VLOOKUP($A73,#REF!,36,FALSE)&lt;&gt;0,VLOOKUP($A73,#REF!,36,FALSE),""),"")</f>
        <v/>
      </c>
      <c r="AO73" s="90"/>
      <c r="AP73" s="90"/>
      <c r="AQ73" s="90"/>
      <c r="AS73" s="90"/>
      <c r="BK73" s="77"/>
      <c r="BL73" s="77"/>
      <c r="BM73" s="77"/>
    </row>
    <row r="74" spans="1:65" ht="12.75">
      <c r="A74" s="137"/>
      <c r="B74" s="91" t="e">
        <f t="shared" si="14"/>
        <v>#N/A</v>
      </c>
      <c r="C74" s="92" t="e">
        <f t="shared" si="12"/>
        <v>#N/A</v>
      </c>
      <c r="D74" s="93" t="e">
        <f t="shared" si="15"/>
        <v>#N/A</v>
      </c>
      <c r="E74" s="94" t="e">
        <f t="shared" si="10"/>
        <v>#N/A</v>
      </c>
      <c r="F74" s="95"/>
      <c r="G74" s="95"/>
      <c r="H74" s="91" t="e">
        <f>IF(VLOOKUP(A74,#REF!,10,FALSE)=0,VLOOKUP(A74,AJ:BJ,11,FALSE),VLOOKUP(A74,#REF!,10,FALSE))</f>
        <v>#REF!</v>
      </c>
      <c r="I74" s="96" t="e">
        <f t="shared" si="16"/>
        <v>#N/A</v>
      </c>
      <c r="J74" s="118" t="str">
        <f>IFERROR(IF(VLOOKUP($A74,#REF!,14,FALSE)="","","Y"),"")</f>
        <v/>
      </c>
      <c r="K74" s="97" t="e">
        <f t="shared" si="13"/>
        <v>#N/A</v>
      </c>
      <c r="L74" s="97" t="e">
        <f t="shared" si="11"/>
        <v>#N/A</v>
      </c>
      <c r="M74" s="98">
        <f t="shared" si="17"/>
        <v>0</v>
      </c>
      <c r="N74" s="99"/>
      <c r="O74" s="100"/>
      <c r="P74" s="100"/>
      <c r="Q74" s="100" t="str">
        <f>IFERROR(IF(VLOOKUP($A74,#REF!,30,FALSE)="","","Y"),"")</f>
        <v/>
      </c>
      <c r="R74" s="178" t="str">
        <f>IFERROR(IF(VLOOKUP($A74,#REF!,37,FALSE)="","","Y"),"")</f>
        <v/>
      </c>
      <c r="S74" s="173"/>
      <c r="T74" s="165"/>
      <c r="U74" s="117"/>
      <c r="V74" s="117" t="str">
        <f>IFERROR(IF(VLOOKUP($A74,#REF!,11,FALSE)="VARIATA","NEW TRAILER",""),"")</f>
        <v/>
      </c>
      <c r="W74" s="117" t="str">
        <f>IFERROR(IF(VLOOKUP(A74,#REF!,18,FALSE)&lt;&gt;"",VLOOKUP(A74,#REF!,18,FALSE),VLOOKUP(A74,#REF!,16,FALSE)),"")</f>
        <v/>
      </c>
      <c r="X74" s="117" t="str">
        <f>IFERROR(CONCATENATE(VLOOKUP($A74,#REF!,33,FALSE)," - ",VLOOKUP($A74,#REF!,13,FALSE)," - "),"")</f>
        <v/>
      </c>
      <c r="Y74" s="185" t="str">
        <f>IFERROR(IF(VLOOKUP($A74,#REF!,36,FALSE)&lt;&gt;0,VLOOKUP($A74,#REF!,36,FALSE),""),"")</f>
        <v/>
      </c>
      <c r="Z74" s="101" t="s">
        <v>316</v>
      </c>
      <c r="AO74" s="90"/>
      <c r="AP74" s="90"/>
      <c r="AS74" s="90"/>
      <c r="BK74" s="77"/>
      <c r="BL74" s="77"/>
      <c r="BM74" s="77"/>
    </row>
    <row r="75" spans="1:65" ht="12.75">
      <c r="A75" s="137"/>
      <c r="B75" s="91" t="e">
        <f t="shared" si="14"/>
        <v>#N/A</v>
      </c>
      <c r="C75" s="92" t="e">
        <f t="shared" si="12"/>
        <v>#N/A</v>
      </c>
      <c r="D75" s="93" t="e">
        <f t="shared" si="15"/>
        <v>#N/A</v>
      </c>
      <c r="E75" s="94" t="e">
        <f t="shared" ref="E75:E81" si="18">VLOOKUP(A75,AJ:BJ,6,FALSE)</f>
        <v>#N/A</v>
      </c>
      <c r="F75" s="95"/>
      <c r="G75" s="95"/>
      <c r="H75" s="91" t="e">
        <f>IF(VLOOKUP(A75,#REF!,10,FALSE)=0,VLOOKUP(A75,AJ:BJ,11,FALSE),VLOOKUP(A75,#REF!,10,FALSE))</f>
        <v>#REF!</v>
      </c>
      <c r="I75" s="96" t="e">
        <f t="shared" si="16"/>
        <v>#N/A</v>
      </c>
      <c r="J75" s="118" t="str">
        <f>IFERROR(IF(VLOOKUP($A75,#REF!,14,FALSE)="","","Y"),"")</f>
        <v/>
      </c>
      <c r="K75" s="97" t="e">
        <f t="shared" si="13"/>
        <v>#N/A</v>
      </c>
      <c r="L75" s="97" t="e">
        <f t="shared" si="11"/>
        <v>#N/A</v>
      </c>
      <c r="M75" s="98">
        <f t="shared" si="17"/>
        <v>0</v>
      </c>
      <c r="N75" s="99"/>
      <c r="O75" s="100"/>
      <c r="P75" s="100"/>
      <c r="Q75" s="100" t="str">
        <f>IFERROR(IF(VLOOKUP($A75,#REF!,30,FALSE)="","","Y"),"")</f>
        <v/>
      </c>
      <c r="R75" s="178" t="str">
        <f>IFERROR(IF(VLOOKUP($A75,#REF!,37,FALSE)="","","Y"),"")</f>
        <v/>
      </c>
      <c r="S75" s="173"/>
      <c r="T75" s="165"/>
      <c r="U75" s="117"/>
      <c r="V75" s="117" t="str">
        <f>IFERROR(IF(VLOOKUP($A75,#REF!,11,FALSE)="VARIATA","NEW TRAILER",""),"")</f>
        <v/>
      </c>
      <c r="W75" s="117" t="str">
        <f>IFERROR(IF(VLOOKUP(A75,#REF!,18,FALSE)&lt;&gt;"",VLOOKUP(A75,#REF!,18,FALSE),VLOOKUP(A75,#REF!,16,FALSE)),"")</f>
        <v/>
      </c>
      <c r="X75" s="117" t="str">
        <f>IFERROR(CONCATENATE(VLOOKUP($A75,#REF!,33,FALSE)," - ",VLOOKUP($A75,#REF!,13,FALSE)," - "),"")</f>
        <v/>
      </c>
      <c r="Y75" s="185" t="str">
        <f>IFERROR(IF(VLOOKUP($A75,#REF!,36,FALSE)&lt;&gt;0,VLOOKUP($A75,#REF!,36,FALSE),""),"")</f>
        <v/>
      </c>
      <c r="AO75" s="90"/>
      <c r="AP75" s="90"/>
      <c r="BK75" s="77"/>
      <c r="BL75" s="77"/>
      <c r="BM75" s="77"/>
    </row>
    <row r="76" spans="1:65" ht="12.75">
      <c r="A76" s="137"/>
      <c r="B76" s="91" t="e">
        <f t="shared" si="14"/>
        <v>#N/A</v>
      </c>
      <c r="C76" s="92" t="e">
        <f t="shared" si="12"/>
        <v>#N/A</v>
      </c>
      <c r="D76" s="93" t="e">
        <f t="shared" si="15"/>
        <v>#N/A</v>
      </c>
      <c r="E76" s="94" t="e">
        <f t="shared" si="18"/>
        <v>#N/A</v>
      </c>
      <c r="F76" s="95"/>
      <c r="G76" s="95"/>
      <c r="H76" s="91" t="e">
        <f>IF(VLOOKUP(A76,#REF!,10,FALSE)=0,VLOOKUP(A76,AJ:BJ,11,FALSE),VLOOKUP(A76,#REF!,10,FALSE))</f>
        <v>#REF!</v>
      </c>
      <c r="I76" s="96" t="e">
        <f t="shared" si="16"/>
        <v>#N/A</v>
      </c>
      <c r="J76" s="118" t="str">
        <f>IFERROR(IF(VLOOKUP($A76,#REF!,14,FALSE)="","","Y"),"")</f>
        <v/>
      </c>
      <c r="K76" s="97" t="e">
        <f t="shared" si="13"/>
        <v>#N/A</v>
      </c>
      <c r="L76" s="97" t="e">
        <f t="shared" si="11"/>
        <v>#N/A</v>
      </c>
      <c r="M76" s="98">
        <f t="shared" si="17"/>
        <v>0</v>
      </c>
      <c r="N76" s="99"/>
      <c r="O76" s="100"/>
      <c r="P76" s="100"/>
      <c r="Q76" s="100" t="str">
        <f>IFERROR(IF(VLOOKUP($A76,#REF!,30,FALSE)="","","Y"),"")</f>
        <v/>
      </c>
      <c r="R76" s="178" t="str">
        <f>IFERROR(IF(VLOOKUP($A76,#REF!,37,FALSE)="","","Y"),"")</f>
        <v/>
      </c>
      <c r="S76" s="173"/>
      <c r="T76" s="165"/>
      <c r="U76" s="117"/>
      <c r="V76" s="117" t="str">
        <f>IFERROR(IF(VLOOKUP($A76,#REF!,11,FALSE)="VARIATA","NEW TRAILER",""),"")</f>
        <v/>
      </c>
      <c r="W76" s="117" t="str">
        <f>IFERROR(IF(VLOOKUP(A76,#REF!,18,FALSE)&lt;&gt;"",VLOOKUP(A76,#REF!,18,FALSE),VLOOKUP(A76,#REF!,16,FALSE)),"")</f>
        <v/>
      </c>
      <c r="X76" s="117" t="str">
        <f>IFERROR(CONCATENATE(VLOOKUP($A76,#REF!,33,FALSE)," - ",VLOOKUP($A76,#REF!,13,FALSE)," - "),"")</f>
        <v/>
      </c>
      <c r="Y76" s="185" t="str">
        <f>IFERROR(IF(VLOOKUP($A76,#REF!,36,FALSE)&lt;&gt;0,VLOOKUP($A76,#REF!,36,FALSE),""),"")</f>
        <v/>
      </c>
      <c r="AO76" s="90"/>
      <c r="AP76" s="90"/>
      <c r="AS76" s="90"/>
      <c r="BK76" s="77"/>
      <c r="BL76" s="77"/>
      <c r="BM76" s="77"/>
    </row>
    <row r="77" spans="1:65" ht="12.75">
      <c r="A77" s="137"/>
      <c r="B77" s="91" t="e">
        <f t="shared" si="14"/>
        <v>#N/A</v>
      </c>
      <c r="C77" s="92" t="e">
        <f t="shared" si="12"/>
        <v>#N/A</v>
      </c>
      <c r="D77" s="93" t="e">
        <f t="shared" si="15"/>
        <v>#N/A</v>
      </c>
      <c r="E77" s="94" t="e">
        <f t="shared" si="18"/>
        <v>#N/A</v>
      </c>
      <c r="F77" s="95"/>
      <c r="G77" s="95"/>
      <c r="H77" s="91" t="e">
        <f>IF(VLOOKUP(A77,#REF!,10,FALSE)=0,VLOOKUP(A77,AJ:BJ,11,FALSE),VLOOKUP(A77,#REF!,10,FALSE))</f>
        <v>#REF!</v>
      </c>
      <c r="I77" s="96" t="e">
        <f t="shared" si="16"/>
        <v>#N/A</v>
      </c>
      <c r="J77" s="118" t="str">
        <f>IFERROR(IF(VLOOKUP($A77,#REF!,14,FALSE)="","","Y"),"")</f>
        <v/>
      </c>
      <c r="K77" s="97" t="e">
        <f t="shared" si="13"/>
        <v>#N/A</v>
      </c>
      <c r="L77" s="97" t="e">
        <f t="shared" si="11"/>
        <v>#N/A</v>
      </c>
      <c r="M77" s="98">
        <f t="shared" si="17"/>
        <v>0</v>
      </c>
      <c r="N77" s="99"/>
      <c r="O77" s="100"/>
      <c r="P77" s="100"/>
      <c r="Q77" s="100" t="str">
        <f>IFERROR(IF(VLOOKUP($A77,#REF!,30,FALSE)="","","Y"),"")</f>
        <v/>
      </c>
      <c r="R77" s="178" t="str">
        <f>IFERROR(IF(VLOOKUP($A77,#REF!,37,FALSE)="","","Y"),"")</f>
        <v/>
      </c>
      <c r="S77" s="173"/>
      <c r="T77" s="165"/>
      <c r="U77" s="117"/>
      <c r="V77" s="117" t="str">
        <f>IFERROR(IF(VLOOKUP($A77,#REF!,11,FALSE)="VARIATA","NEW TRAILER",""),"")</f>
        <v/>
      </c>
      <c r="W77" s="117" t="str">
        <f>IFERROR(IF(VLOOKUP(A77,#REF!,18,FALSE)&lt;&gt;"",VLOOKUP(A77,#REF!,18,FALSE),VLOOKUP(A77,#REF!,16,FALSE)),"")</f>
        <v/>
      </c>
      <c r="X77" s="117" t="str">
        <f>IFERROR(CONCATENATE(VLOOKUP($A77,#REF!,33,FALSE)," - ",VLOOKUP($A77,#REF!,13,FALSE)," - "),"")</f>
        <v/>
      </c>
      <c r="Y77" s="185" t="str">
        <f>IFERROR(IF(VLOOKUP($A77,#REF!,36,FALSE)&lt;&gt;0,VLOOKUP($A77,#REF!,36,FALSE),""),"")</f>
        <v/>
      </c>
      <c r="AO77" s="90"/>
      <c r="AP77" s="90"/>
      <c r="AS77" s="90"/>
      <c r="BK77" s="77"/>
      <c r="BL77" s="77"/>
      <c r="BM77" s="77"/>
    </row>
    <row r="78" spans="1:65" ht="12.75">
      <c r="A78" s="137"/>
      <c r="B78" s="91" t="e">
        <f t="shared" si="14"/>
        <v>#N/A</v>
      </c>
      <c r="C78" s="92" t="e">
        <f t="shared" si="12"/>
        <v>#N/A</v>
      </c>
      <c r="D78" s="93" t="e">
        <f>VLOOKUP(A78,AJ:BJ,10,FALSE)</f>
        <v>#N/A</v>
      </c>
      <c r="E78" s="94" t="e">
        <f t="shared" si="18"/>
        <v>#N/A</v>
      </c>
      <c r="F78" s="95"/>
      <c r="G78" s="95"/>
      <c r="H78" s="91" t="e">
        <f>IF(VLOOKUP(A78,#REF!,10,FALSE)=0,VLOOKUP(A78,AJ:BJ,11,FALSE),VLOOKUP(A78,#REF!,10,FALSE))</f>
        <v>#REF!</v>
      </c>
      <c r="I78" s="96" t="e">
        <f>VLOOKUP(A78,AJ:BJ,16,FALSE)</f>
        <v>#N/A</v>
      </c>
      <c r="J78" s="118" t="str">
        <f>IFERROR(IF(VLOOKUP($A78,#REF!,14,FALSE)="","","Y"),"")</f>
        <v/>
      </c>
      <c r="K78" s="97" t="e">
        <f t="shared" si="13"/>
        <v>#N/A</v>
      </c>
      <c r="L78" s="97" t="e">
        <f t="shared" si="11"/>
        <v>#N/A</v>
      </c>
      <c r="M78" s="98">
        <f t="shared" si="17"/>
        <v>0</v>
      </c>
      <c r="N78" s="99"/>
      <c r="O78" s="100"/>
      <c r="P78" s="100"/>
      <c r="Q78" s="100" t="str">
        <f>IFERROR(IF(VLOOKUP($A78,#REF!,30,FALSE)="","","Y"),"")</f>
        <v/>
      </c>
      <c r="R78" s="178" t="str">
        <f>IFERROR(IF(VLOOKUP($A78,#REF!,37,FALSE)="","","Y"),"")</f>
        <v/>
      </c>
      <c r="S78" s="173"/>
      <c r="T78" s="165"/>
      <c r="U78" s="117"/>
      <c r="V78" s="117" t="str">
        <f>IFERROR(IF(VLOOKUP($A78,#REF!,11,FALSE)="VARIATA","NEW TRAILER",""),"")</f>
        <v/>
      </c>
      <c r="W78" s="117" t="str">
        <f>IFERROR(IF(VLOOKUP(A78,#REF!,18,FALSE)&lt;&gt;"",VLOOKUP(A78,#REF!,18,FALSE),VLOOKUP(A78,#REF!,16,FALSE)),"")</f>
        <v/>
      </c>
      <c r="X78" s="117" t="str">
        <f>IFERROR(CONCATENATE(VLOOKUP($A78,#REF!,33,FALSE)," - ",VLOOKUP($A78,#REF!,13,FALSE)," - "),"")</f>
        <v/>
      </c>
      <c r="Y78" s="185" t="str">
        <f>IFERROR(IF(VLOOKUP($A78,#REF!,36,FALSE)&lt;&gt;0,VLOOKUP($A78,#REF!,36,FALSE),""),"")</f>
        <v/>
      </c>
      <c r="AO78" s="90"/>
      <c r="AP78" s="90"/>
      <c r="AQ78" s="90"/>
      <c r="AS78" s="90"/>
      <c r="BK78" s="77"/>
      <c r="BL78" s="77"/>
      <c r="BM78" s="77"/>
    </row>
    <row r="79" spans="1:65" ht="12.75">
      <c r="A79" s="137"/>
      <c r="B79" s="91" t="e">
        <f t="shared" si="14"/>
        <v>#N/A</v>
      </c>
      <c r="C79" s="92" t="e">
        <f t="shared" si="12"/>
        <v>#N/A</v>
      </c>
      <c r="D79" s="93" t="e">
        <f>VLOOKUP(A79,AJ:BJ,10,FALSE)</f>
        <v>#N/A</v>
      </c>
      <c r="E79" s="94" t="e">
        <f t="shared" si="18"/>
        <v>#N/A</v>
      </c>
      <c r="F79" s="95"/>
      <c r="G79" s="95"/>
      <c r="H79" s="91" t="e">
        <f>IF(VLOOKUP(A79,#REF!,10,FALSE)=0,VLOOKUP(A79,AJ:BJ,11,FALSE),VLOOKUP(A79,#REF!,10,FALSE))</f>
        <v>#REF!</v>
      </c>
      <c r="I79" s="96" t="e">
        <f>VLOOKUP(A79,AJ:BJ,16,FALSE)</f>
        <v>#N/A</v>
      </c>
      <c r="J79" s="118" t="str">
        <f>IFERROR(IF(VLOOKUP($A79,#REF!,14,FALSE)="","","Y"),"")</f>
        <v/>
      </c>
      <c r="K79" s="97" t="e">
        <f t="shared" si="13"/>
        <v>#N/A</v>
      </c>
      <c r="L79" s="97" t="e">
        <f t="shared" si="11"/>
        <v>#N/A</v>
      </c>
      <c r="M79" s="98">
        <f t="shared" si="17"/>
        <v>0</v>
      </c>
      <c r="N79" s="99"/>
      <c r="O79" s="100"/>
      <c r="P79" s="100"/>
      <c r="Q79" s="100" t="str">
        <f>IFERROR(IF(VLOOKUP($A79,#REF!,30,FALSE)="","","Y"),"")</f>
        <v/>
      </c>
      <c r="R79" s="178" t="str">
        <f>IFERROR(IF(VLOOKUP($A79,#REF!,37,FALSE)="","","Y"),"")</f>
        <v/>
      </c>
      <c r="S79" s="173"/>
      <c r="T79" s="165"/>
      <c r="U79" s="117"/>
      <c r="V79" s="117" t="str">
        <f>IFERROR(IF(VLOOKUP($A79,#REF!,11,FALSE)="VARIATA","NEW TRAILER",""),"")</f>
        <v/>
      </c>
      <c r="W79" s="117" t="str">
        <f>IFERROR(IF(VLOOKUP(A79,#REF!,18,FALSE)&lt;&gt;"",VLOOKUP(A79,#REF!,18,FALSE),VLOOKUP(A79,#REF!,16,FALSE)),"")</f>
        <v/>
      </c>
      <c r="X79" s="117" t="str">
        <f>IFERROR(CONCATENATE(VLOOKUP($A79,#REF!,33,FALSE)," - ",VLOOKUP($A79,#REF!,13,FALSE)," - "),"")</f>
        <v/>
      </c>
      <c r="Y79" s="185" t="str">
        <f>IFERROR(IF(VLOOKUP($A79,#REF!,36,FALSE)&lt;&gt;0,VLOOKUP($A79,#REF!,36,FALSE),""),"")</f>
        <v/>
      </c>
      <c r="AO79" s="90"/>
      <c r="AP79" s="90"/>
      <c r="BK79" s="77"/>
      <c r="BL79" s="77"/>
      <c r="BM79" s="77"/>
    </row>
    <row r="80" spans="1:65" ht="12.75">
      <c r="A80" s="137"/>
      <c r="B80" s="91" t="e">
        <f t="shared" si="14"/>
        <v>#N/A</v>
      </c>
      <c r="C80" s="92" t="e">
        <f t="shared" si="12"/>
        <v>#N/A</v>
      </c>
      <c r="D80" s="93" t="e">
        <f>VLOOKUP(A80,AJ:BJ,10,FALSE)</f>
        <v>#N/A</v>
      </c>
      <c r="E80" s="94" t="e">
        <f t="shared" si="18"/>
        <v>#N/A</v>
      </c>
      <c r="F80" s="95"/>
      <c r="G80" s="95"/>
      <c r="H80" s="91" t="e">
        <f>IF(VLOOKUP(A80,#REF!,10,FALSE)=0,VLOOKUP(A80,AJ:BJ,11,FALSE),VLOOKUP(A80,#REF!,10,FALSE))</f>
        <v>#REF!</v>
      </c>
      <c r="I80" s="96" t="e">
        <f>VLOOKUP(A80,AJ:BJ,16,FALSE)</f>
        <v>#N/A</v>
      </c>
      <c r="J80" s="118" t="str">
        <f>IFERROR(IF(VLOOKUP($A80,#REF!,14,FALSE)="","","Y"),"")</f>
        <v/>
      </c>
      <c r="K80" s="97" t="e">
        <f t="shared" si="13"/>
        <v>#N/A</v>
      </c>
      <c r="L80" s="97" t="e">
        <f t="shared" si="11"/>
        <v>#N/A</v>
      </c>
      <c r="M80" s="98">
        <f t="shared" si="17"/>
        <v>0</v>
      </c>
      <c r="N80" s="99"/>
      <c r="O80" s="100"/>
      <c r="P80" s="100"/>
      <c r="Q80" s="100" t="str">
        <f>IFERROR(IF(VLOOKUP($A80,#REF!,30,FALSE)="","","Y"),"")</f>
        <v/>
      </c>
      <c r="R80" s="178" t="str">
        <f>IFERROR(IF(VLOOKUP($A80,#REF!,37,FALSE)="","","Y"),"")</f>
        <v/>
      </c>
      <c r="S80" s="173"/>
      <c r="T80" s="165"/>
      <c r="U80" s="117"/>
      <c r="V80" s="117" t="str">
        <f>IFERROR(IF(VLOOKUP($A80,#REF!,11,FALSE)="VARIATA","NEW TRAILER",""),"")</f>
        <v/>
      </c>
      <c r="W80" s="117" t="str">
        <f>IFERROR(IF(VLOOKUP(A80,#REF!,18,FALSE)&lt;&gt;"",VLOOKUP(A80,#REF!,18,FALSE),VLOOKUP(A80,#REF!,16,FALSE)),"")</f>
        <v/>
      </c>
      <c r="X80" s="117" t="str">
        <f>IFERROR(CONCATENATE(VLOOKUP($A80,#REF!,33,FALSE)," - ",VLOOKUP($A80,#REF!,13,FALSE)," - "),"")</f>
        <v/>
      </c>
      <c r="Y80" s="185" t="str">
        <f>IFERROR(IF(VLOOKUP($A80,#REF!,36,FALSE)&lt;&gt;0,VLOOKUP($A80,#REF!,36,FALSE),""),"")</f>
        <v/>
      </c>
      <c r="AO80" s="90"/>
      <c r="AP80" s="90"/>
      <c r="BK80" s="77"/>
      <c r="BL80" s="77"/>
      <c r="BM80" s="77"/>
    </row>
    <row r="81" spans="1:65" ht="13.5" thickBot="1">
      <c r="A81" s="138"/>
      <c r="B81" s="139" t="e">
        <f t="shared" si="14"/>
        <v>#N/A</v>
      </c>
      <c r="C81" s="140" t="e">
        <f t="shared" si="12"/>
        <v>#N/A</v>
      </c>
      <c r="D81" s="141" t="e">
        <f>VLOOKUP(A81,AJ:BJ,10,FALSE)</f>
        <v>#N/A</v>
      </c>
      <c r="E81" s="142" t="e">
        <f t="shared" si="18"/>
        <v>#N/A</v>
      </c>
      <c r="F81" s="143"/>
      <c r="G81" s="143"/>
      <c r="H81" s="139" t="e">
        <f>IF(VLOOKUP(A81,#REF!,10,FALSE)=0,VLOOKUP(A81,AJ:BJ,11,FALSE),VLOOKUP(A81,#REF!,10,FALSE))</f>
        <v>#REF!</v>
      </c>
      <c r="I81" s="144" t="e">
        <f>VLOOKUP(A81,AJ:BJ,16,FALSE)</f>
        <v>#N/A</v>
      </c>
      <c r="J81" s="145" t="str">
        <f>IFERROR(IF(VLOOKUP($A81,#REF!,14,FALSE)="","","Y"),"")</f>
        <v/>
      </c>
      <c r="K81" s="146" t="e">
        <f t="shared" si="13"/>
        <v>#N/A</v>
      </c>
      <c r="L81" s="146" t="e">
        <f t="shared" si="11"/>
        <v>#N/A</v>
      </c>
      <c r="M81" s="115">
        <f t="shared" si="17"/>
        <v>0</v>
      </c>
      <c r="N81" s="147"/>
      <c r="O81" s="148"/>
      <c r="P81" s="148"/>
      <c r="Q81" s="148" t="str">
        <f>IFERROR(IF(VLOOKUP($A81,#REF!,30,FALSE)="","","Y"),"")</f>
        <v/>
      </c>
      <c r="R81" s="179" t="str">
        <f>IFERROR(IF(VLOOKUP($A81,#REF!,37,FALSE)="","","Y"),"")</f>
        <v/>
      </c>
      <c r="S81" s="174"/>
      <c r="T81" s="166"/>
      <c r="U81" s="149"/>
      <c r="V81" s="149" t="str">
        <f>IFERROR(IF(VLOOKUP($A81,#REF!,11,FALSE)="VARIATA","NEW TRAILER",""),"")</f>
        <v/>
      </c>
      <c r="W81" s="149" t="str">
        <f>IFERROR(IF(VLOOKUP(A81,#REF!,18,FALSE)&lt;&gt;"",VLOOKUP(A81,#REF!,18,FALSE),VLOOKUP(A81,#REF!,16,FALSE)),"")</f>
        <v/>
      </c>
      <c r="X81" s="149" t="str">
        <f>IFERROR(CONCATENATE(VLOOKUP($A81,#REF!,33,FALSE)," - ",VLOOKUP($A81,#REF!,13,FALSE)," - "),"")</f>
        <v/>
      </c>
      <c r="Y81" s="186" t="str">
        <f>IFERROR(IF(VLOOKUP($A81,#REF!,36,FALSE)&lt;&gt;0,VLOOKUP($A81,#REF!,36,FALSE),""),"")</f>
        <v/>
      </c>
      <c r="AO81" s="90"/>
      <c r="AP81" s="90"/>
      <c r="AR81" s="90"/>
      <c r="BK81" s="77"/>
      <c r="BL81" s="77"/>
      <c r="BM81" s="77"/>
    </row>
    <row r="82" spans="1:65" ht="12.75">
      <c r="AO82" s="90"/>
      <c r="AP82" s="90"/>
      <c r="BK82" s="77"/>
      <c r="BL82" s="77"/>
      <c r="BM82" s="77"/>
    </row>
    <row r="83" spans="1:65" ht="12.75">
      <c r="AO83" s="90"/>
      <c r="AP83" s="90"/>
      <c r="AQ83" s="90"/>
      <c r="AS83" s="90"/>
      <c r="BK83" s="77"/>
      <c r="BL83" s="77"/>
      <c r="BM83" s="77"/>
    </row>
    <row r="84" spans="1:65" ht="12.75">
      <c r="AO84" s="90"/>
      <c r="AP84" s="90"/>
      <c r="AQ84" s="90"/>
      <c r="AS84" s="90"/>
      <c r="BK84" s="77"/>
      <c r="BL84" s="77"/>
      <c r="BM84" s="77"/>
    </row>
    <row r="85" spans="1:65" ht="12.75">
      <c r="AO85" s="90"/>
      <c r="AP85" s="90"/>
      <c r="BK85" s="77"/>
      <c r="BL85" s="77"/>
      <c r="BM85" s="77"/>
    </row>
    <row r="86" spans="1:65" ht="12.75">
      <c r="AN86" s="90"/>
      <c r="AO86" s="90"/>
      <c r="AP86" s="90"/>
      <c r="AR86" s="90"/>
      <c r="BK86" s="77"/>
      <c r="BL86" s="77"/>
      <c r="BM86" s="77"/>
    </row>
    <row r="87" spans="1:65" ht="12.75">
      <c r="AO87" s="90"/>
      <c r="AP87" s="90"/>
      <c r="AQ87" s="90"/>
      <c r="AS87" s="90"/>
      <c r="BK87" s="77"/>
      <c r="BL87" s="77"/>
      <c r="BM87" s="77"/>
    </row>
    <row r="88" spans="1:65" ht="12.75">
      <c r="AO88" s="90"/>
      <c r="AP88" s="90"/>
      <c r="AQ88" s="90"/>
      <c r="AS88" s="90"/>
      <c r="BK88" s="77"/>
      <c r="BL88" s="77"/>
      <c r="BM88" s="77"/>
    </row>
    <row r="89" spans="1:65" ht="12.75">
      <c r="AO89" s="90"/>
      <c r="AP89" s="90"/>
      <c r="AQ89" s="90"/>
      <c r="AS89" s="90"/>
      <c r="BK89" s="77"/>
      <c r="BL89" s="77"/>
      <c r="BM89" s="77"/>
    </row>
    <row r="90" spans="1:65" ht="12.75">
      <c r="AO90" s="90"/>
      <c r="AP90" s="90"/>
      <c r="AQ90" s="90"/>
      <c r="BK90" s="77"/>
      <c r="BL90" s="77"/>
      <c r="BM90" s="77"/>
    </row>
    <row r="91" spans="1:65" ht="12.75">
      <c r="AO91" s="90"/>
      <c r="BK91" s="77"/>
      <c r="BL91" s="77"/>
      <c r="BM91" s="77"/>
    </row>
    <row r="92" spans="1:65" ht="12.75">
      <c r="AO92" s="90"/>
      <c r="BK92" s="77"/>
      <c r="BL92" s="77"/>
      <c r="BM92" s="77"/>
    </row>
    <row r="93" spans="1:65" ht="12.75">
      <c r="AO93" s="90"/>
      <c r="AP93" s="90"/>
      <c r="AQ93" s="90"/>
      <c r="AR93" s="90"/>
      <c r="BK93" s="77"/>
      <c r="BL93" s="77"/>
      <c r="BM93" s="77"/>
    </row>
    <row r="94" spans="1:65" ht="12.75">
      <c r="AO94" s="90"/>
      <c r="BK94" s="77"/>
      <c r="BL94" s="77"/>
      <c r="BM94" s="77"/>
    </row>
    <row r="95" spans="1:65">
      <c r="AO95" s="90"/>
    </row>
    <row r="96" spans="1:65">
      <c r="AO96" s="90"/>
      <c r="AS96" s="90"/>
    </row>
    <row r="97" spans="38:45">
      <c r="AO97" s="90"/>
      <c r="AP97" s="90"/>
      <c r="AQ97" s="90"/>
    </row>
    <row r="98" spans="38:45">
      <c r="AO98" s="90"/>
      <c r="AP98" s="90"/>
    </row>
    <row r="99" spans="38:45">
      <c r="AO99" s="90"/>
      <c r="AP99" s="90"/>
    </row>
    <row r="100" spans="38:45">
      <c r="AO100" s="90"/>
    </row>
    <row r="101" spans="38:45">
      <c r="AO101" s="90"/>
      <c r="AP101" s="90"/>
    </row>
    <row r="102" spans="38:45">
      <c r="AO102" s="90"/>
      <c r="AP102" s="90"/>
      <c r="AQ102" s="90"/>
      <c r="AS102" s="90"/>
    </row>
    <row r="103" spans="38:45">
      <c r="AO103" s="90"/>
    </row>
    <row r="104" spans="38:45">
      <c r="AL104" s="110"/>
      <c r="AO104" s="90"/>
      <c r="AP104" s="90"/>
      <c r="AQ104" s="90"/>
    </row>
    <row r="105" spans="38:45">
      <c r="AO105" s="90"/>
    </row>
    <row r="106" spans="38:45">
      <c r="AO106" s="90"/>
    </row>
    <row r="107" spans="38:45">
      <c r="AO107" s="90"/>
    </row>
    <row r="108" spans="38:45">
      <c r="AO108" s="90"/>
    </row>
    <row r="109" spans="38:45">
      <c r="AO109" s="90"/>
    </row>
    <row r="110" spans="38:45">
      <c r="AO110" s="90"/>
    </row>
    <row r="111" spans="38:45">
      <c r="AO111" s="90"/>
    </row>
    <row r="112" spans="38:45">
      <c r="AO112" s="90"/>
    </row>
    <row r="113" spans="41:43">
      <c r="AO113" s="90"/>
    </row>
    <row r="114" spans="41:43">
      <c r="AO114" s="90"/>
    </row>
    <row r="115" spans="41:43">
      <c r="AO115" s="90"/>
    </row>
    <row r="116" spans="41:43">
      <c r="AO116" s="90"/>
    </row>
    <row r="117" spans="41:43">
      <c r="AO117" s="90"/>
    </row>
    <row r="118" spans="41:43">
      <c r="AO118" s="90"/>
    </row>
    <row r="119" spans="41:43">
      <c r="AO119" s="90"/>
    </row>
    <row r="120" spans="41:43">
      <c r="AO120" s="90"/>
    </row>
    <row r="122" spans="41:43">
      <c r="AO122" s="90"/>
      <c r="AP122" s="90"/>
    </row>
    <row r="123" spans="41:43">
      <c r="AO123" s="90"/>
      <c r="AP123" s="90"/>
      <c r="AQ123" s="90"/>
    </row>
    <row r="124" spans="41:43">
      <c r="AO124" s="90"/>
      <c r="AQ124" s="90"/>
    </row>
    <row r="125" spans="41:43">
      <c r="AO125" s="90"/>
      <c r="AQ125" s="90"/>
    </row>
    <row r="126" spans="41:43">
      <c r="AO126" s="90"/>
    </row>
    <row r="127" spans="41:43">
      <c r="AO127" s="90"/>
      <c r="AQ127" s="90"/>
    </row>
    <row r="128" spans="41:43">
      <c r="AO128" s="90"/>
    </row>
    <row r="129" spans="41:56">
      <c r="AO129" s="90"/>
    </row>
    <row r="130" spans="41:56">
      <c r="AO130" s="90"/>
      <c r="AP130" s="90"/>
      <c r="AQ130" s="90"/>
      <c r="AS130" s="90"/>
      <c r="AW130" s="77" t="s">
        <v>58</v>
      </c>
      <c r="AX130" s="77" t="s">
        <v>76</v>
      </c>
      <c r="AY130" s="77" t="s">
        <v>58</v>
      </c>
      <c r="AZ130" s="77" t="s">
        <v>58</v>
      </c>
      <c r="BA130" s="77" t="s">
        <v>58</v>
      </c>
      <c r="BB130" s="77" t="s">
        <v>58</v>
      </c>
      <c r="BC130" s="77" t="s">
        <v>59</v>
      </c>
      <c r="BD130" s="77" t="s">
        <v>58</v>
      </c>
    </row>
  </sheetData>
  <mergeCells count="17">
    <mergeCell ref="I1:I3"/>
    <mergeCell ref="J1:J3"/>
    <mergeCell ref="K1:L2"/>
    <mergeCell ref="A1:B2"/>
    <mergeCell ref="C1:C2"/>
    <mergeCell ref="D1:D3"/>
    <mergeCell ref="E1:E3"/>
    <mergeCell ref="F1:H2"/>
    <mergeCell ref="M1:M3"/>
    <mergeCell ref="N1:S2"/>
    <mergeCell ref="X1:X3"/>
    <mergeCell ref="U1:U3"/>
    <mergeCell ref="AJ1:AJ2"/>
    <mergeCell ref="T1:T3"/>
    <mergeCell ref="Y1:Y3"/>
    <mergeCell ref="V1:V3"/>
    <mergeCell ref="W1:W3"/>
  </mergeCells>
  <conditionalFormatting sqref="N5:S81 J5:J81">
    <cfRule type="containsText" dxfId="405" priority="134" operator="containsText" text="Y">
      <formula>NOT(ISERROR(SEARCH("Y",J5)))</formula>
    </cfRule>
  </conditionalFormatting>
  <conditionalFormatting sqref="H3:H4 K5:L81 D5:D81">
    <cfRule type="cellIs" dxfId="404" priority="132" operator="equal">
      <formula>0</formula>
    </cfRule>
  </conditionalFormatting>
  <conditionalFormatting sqref="N1 N3:R3 N5:S81 N4:U4">
    <cfRule type="containsText" dxfId="403" priority="131" operator="containsText" text="X">
      <formula>NOT(ISERROR(SEARCH("X",N1)))</formula>
    </cfRule>
  </conditionalFormatting>
  <conditionalFormatting sqref="M1:M4">
    <cfRule type="containsErrors" dxfId="402" priority="130">
      <formula>ISERROR(M1)</formula>
    </cfRule>
  </conditionalFormatting>
  <conditionalFormatting sqref="M5:M81">
    <cfRule type="cellIs" dxfId="401" priority="129" operator="equal">
      <formula>0</formula>
    </cfRule>
    <cfRule type="containsErrors" dxfId="400" priority="135">
      <formula>ISERROR(M5)</formula>
    </cfRule>
  </conditionalFormatting>
  <conditionalFormatting sqref="AK2 AJ1:AK1">
    <cfRule type="containsErrors" dxfId="399" priority="128">
      <formula>ISERROR(AJ1)</formula>
    </cfRule>
  </conditionalFormatting>
  <conditionalFormatting sqref="F5:G81">
    <cfRule type="containsBlanks" dxfId="398" priority="127">
      <formula>LEN(TRIM(F5))=0</formula>
    </cfRule>
  </conditionalFormatting>
  <conditionalFormatting sqref="F5:G81 J5:J81">
    <cfRule type="notContainsBlanks" dxfId="397" priority="126">
      <formula>LEN(TRIM(F5))&gt;0</formula>
    </cfRule>
  </conditionalFormatting>
  <conditionalFormatting sqref="I5:L81">
    <cfRule type="containsErrors" dxfId="396" priority="125">
      <formula>ISERROR(I5)</formula>
    </cfRule>
  </conditionalFormatting>
  <conditionalFormatting sqref="BE3:BF3">
    <cfRule type="containsErrors" dxfId="395" priority="123">
      <formula>ISERROR(BE3)</formula>
    </cfRule>
  </conditionalFormatting>
  <conditionalFormatting sqref="AK3:BD3">
    <cfRule type="containsErrors" dxfId="394" priority="118">
      <formula>ISERROR(AK3)</formula>
    </cfRule>
  </conditionalFormatting>
  <conditionalFormatting sqref="AL125:AN125 AQ125">
    <cfRule type="containsErrors" dxfId="393" priority="112">
      <formula>ISERROR(AL125)</formula>
    </cfRule>
  </conditionalFormatting>
  <conditionalFormatting sqref="AO125">
    <cfRule type="containsErrors" dxfId="392" priority="111">
      <formula>ISERROR(AO125)</formula>
    </cfRule>
  </conditionalFormatting>
  <conditionalFormatting sqref="H5:H81">
    <cfRule type="containsErrors" dxfId="391" priority="108">
      <formula>ISERROR(H5)</formula>
    </cfRule>
  </conditionalFormatting>
  <conditionalFormatting sqref="H5:H81">
    <cfRule type="cellIs" dxfId="390" priority="107" operator="equal">
      <formula>0</formula>
    </cfRule>
  </conditionalFormatting>
  <conditionalFormatting sqref="A5:R81">
    <cfRule type="expression" dxfId="389" priority="106">
      <formula>$Q5="y"</formula>
    </cfRule>
  </conditionalFormatting>
  <conditionalFormatting sqref="A5:R81">
    <cfRule type="expression" dxfId="388" priority="31">
      <formula>$R5="x"</formula>
    </cfRule>
    <cfRule type="expression" dxfId="387" priority="35">
      <formula>$R5="y"</formula>
    </cfRule>
  </conditionalFormatting>
  <conditionalFormatting sqref="E5:E81">
    <cfRule type="containsErrors" dxfId="386" priority="103">
      <formula>ISERROR(E5)</formula>
    </cfRule>
  </conditionalFormatting>
  <conditionalFormatting sqref="H5:H81">
    <cfRule type="cellIs" dxfId="385" priority="93" operator="equal">
      <formula>0</formula>
    </cfRule>
  </conditionalFormatting>
  <conditionalFormatting sqref="H5:H81">
    <cfRule type="containsErrors" dxfId="384" priority="92">
      <formula>ISERROR(H5)</formula>
    </cfRule>
  </conditionalFormatting>
  <conditionalFormatting sqref="H5:H81">
    <cfRule type="containsErrors" dxfId="383" priority="91">
      <formula>ISERROR(H5)</formula>
    </cfRule>
  </conditionalFormatting>
  <conditionalFormatting sqref="AO126">
    <cfRule type="containsErrors" dxfId="382" priority="90">
      <formula>ISERROR(AO126)</formula>
    </cfRule>
  </conditionalFormatting>
  <conditionalFormatting sqref="AQ127">
    <cfRule type="containsErrors" dxfId="381" priority="89">
      <formula>ISERROR(AQ127)</formula>
    </cfRule>
  </conditionalFormatting>
  <conditionalFormatting sqref="BG64:BH77 BG58:BH58 AK31:AP31 AP10:AU10 BG4:BH51 BE4:BF41 AW31:BC31 AK4:BC9 AW10:BC10 AJ37 AK10:AN11 BD4:BD37 AL119:AN120 AL124:AO124 AQ119 AJ17:AJ31 AR31:AU31 AJ9:AJ15 AP34:BC36 AQ32:BC32 AO11:BC11 AJ35:AN36 AK34:AN34 AJ33:BC33 AK30:AN30 AP30:BC30 AN130 AK12:BC29">
    <cfRule type="containsErrors" dxfId="380" priority="88">
      <formula>ISERROR(AJ4)</formula>
    </cfRule>
  </conditionalFormatting>
  <conditionalFormatting sqref="BG59:BH62">
    <cfRule type="containsErrors" dxfId="379" priority="87">
      <formula>ISERROR(BG59)</formula>
    </cfRule>
  </conditionalFormatting>
  <conditionalFormatting sqref="BG52:BH52">
    <cfRule type="containsErrors" dxfId="378" priority="86">
      <formula>ISERROR(BG52)</formula>
    </cfRule>
  </conditionalFormatting>
  <conditionalFormatting sqref="AP72:AQ72">
    <cfRule type="containsErrors" dxfId="377" priority="85">
      <formula>ISERROR(AP72)</formula>
    </cfRule>
  </conditionalFormatting>
  <conditionalFormatting sqref="AK69 AP69:AQ69">
    <cfRule type="containsErrors" dxfId="376" priority="84">
      <formula>ISERROR(AK69)</formula>
    </cfRule>
  </conditionalFormatting>
  <conditionalFormatting sqref="AL79:AN79 AP79 AR79">
    <cfRule type="containsErrors" dxfId="375" priority="83">
      <formula>ISERROR(AL79)</formula>
    </cfRule>
  </conditionalFormatting>
  <conditionalFormatting sqref="AL80:AN80 AP80 AR80">
    <cfRule type="containsErrors" dxfId="374" priority="82">
      <formula>ISERROR(AL80)</formula>
    </cfRule>
  </conditionalFormatting>
  <conditionalFormatting sqref="AL81:AN81 AP81 AR81">
    <cfRule type="containsErrors" dxfId="373" priority="81">
      <formula>ISERROR(AL81)</formula>
    </cfRule>
  </conditionalFormatting>
  <conditionalFormatting sqref="AK79">
    <cfRule type="containsErrors" dxfId="372" priority="80">
      <formula>ISERROR(AK79)</formula>
    </cfRule>
  </conditionalFormatting>
  <conditionalFormatting sqref="AK81">
    <cfRule type="containsErrors" dxfId="371" priority="79">
      <formula>ISERROR(AK81)</formula>
    </cfRule>
  </conditionalFormatting>
  <conditionalFormatting sqref="AO79">
    <cfRule type="containsErrors" dxfId="370" priority="78">
      <formula>ISERROR(AO79)</formula>
    </cfRule>
  </conditionalFormatting>
  <conditionalFormatting sqref="AO80:AO81">
    <cfRule type="containsErrors" dxfId="369" priority="77">
      <formula>ISERROR(AO80)</formula>
    </cfRule>
  </conditionalFormatting>
  <conditionalFormatting sqref="AQ79">
    <cfRule type="containsErrors" dxfId="368" priority="76">
      <formula>ISERROR(AQ79)</formula>
    </cfRule>
  </conditionalFormatting>
  <conditionalFormatting sqref="AQ80">
    <cfRule type="containsErrors" dxfId="367" priority="75">
      <formula>ISERROR(AQ80)</formula>
    </cfRule>
  </conditionalFormatting>
  <conditionalFormatting sqref="AQ81">
    <cfRule type="containsErrors" dxfId="366" priority="74">
      <formula>ISERROR(AQ81)</formula>
    </cfRule>
  </conditionalFormatting>
  <conditionalFormatting sqref="BG63:BH63">
    <cfRule type="containsErrors" dxfId="365" priority="73">
      <formula>ISERROR(BG63)</formula>
    </cfRule>
  </conditionalFormatting>
  <conditionalFormatting sqref="BG53:BH57">
    <cfRule type="containsErrors" dxfId="364" priority="72">
      <formula>ISERROR(BG53)</formula>
    </cfRule>
  </conditionalFormatting>
  <conditionalFormatting sqref="AQ73">
    <cfRule type="containsErrors" dxfId="363" priority="71">
      <formula>ISERROR(AQ73)</formula>
    </cfRule>
  </conditionalFormatting>
  <conditionalFormatting sqref="AL74">
    <cfRule type="containsErrors" dxfId="362" priority="70">
      <formula>ISERROR(AL74)</formula>
    </cfRule>
  </conditionalFormatting>
  <conditionalFormatting sqref="AK32:AN32 AP32">
    <cfRule type="containsErrors" dxfId="361" priority="69">
      <formula>ISERROR(AK32)</formula>
    </cfRule>
  </conditionalFormatting>
  <conditionalFormatting sqref="AK37:AN37 AP37:AQ37">
    <cfRule type="containsErrors" dxfId="360" priority="68">
      <formula>ISERROR(AK37)</formula>
    </cfRule>
  </conditionalFormatting>
  <conditionalFormatting sqref="AJ32">
    <cfRule type="containsErrors" dxfId="359" priority="67">
      <formula>ISERROR(AJ32)</formula>
    </cfRule>
  </conditionalFormatting>
  <conditionalFormatting sqref="AO32">
    <cfRule type="containsErrors" dxfId="358" priority="66">
      <formula>ISERROR(AO32)</formula>
    </cfRule>
  </conditionalFormatting>
  <conditionalFormatting sqref="AO54">
    <cfRule type="containsErrors" dxfId="357" priority="65">
      <formula>ISERROR(AO54)</formula>
    </cfRule>
  </conditionalFormatting>
  <conditionalFormatting sqref="AO52">
    <cfRule type="containsErrors" dxfId="356" priority="64">
      <formula>ISERROR(AO52)</formula>
    </cfRule>
  </conditionalFormatting>
  <conditionalFormatting sqref="AO55">
    <cfRule type="containsErrors" dxfId="355" priority="63">
      <formula>ISERROR(AO55)</formula>
    </cfRule>
  </conditionalFormatting>
  <conditionalFormatting sqref="AO10">
    <cfRule type="containsErrors" dxfId="354" priority="62">
      <formula>ISERROR(AO10)</formula>
    </cfRule>
  </conditionalFormatting>
  <conditionalFormatting sqref="AO40">
    <cfRule type="containsErrors" dxfId="353" priority="61">
      <formula>ISERROR(AO40)</formula>
    </cfRule>
  </conditionalFormatting>
  <conditionalFormatting sqref="AO41">
    <cfRule type="containsErrors" dxfId="352" priority="60">
      <formula>ISERROR(AO41)</formula>
    </cfRule>
  </conditionalFormatting>
  <conditionalFormatting sqref="AO42">
    <cfRule type="containsErrors" dxfId="351" priority="59">
      <formula>ISERROR(AO42)</formula>
    </cfRule>
  </conditionalFormatting>
  <conditionalFormatting sqref="AO43:AO44">
    <cfRule type="containsErrors" dxfId="350" priority="58">
      <formula>ISERROR(AO43)</formula>
    </cfRule>
  </conditionalFormatting>
  <conditionalFormatting sqref="AW39">
    <cfRule type="containsErrors" dxfId="349" priority="57">
      <formula>ISERROR(AW39)</formula>
    </cfRule>
  </conditionalFormatting>
  <conditionalFormatting sqref="AW41">
    <cfRule type="containsErrors" dxfId="348" priority="56">
      <formula>ISERROR(AW41)</formula>
    </cfRule>
  </conditionalFormatting>
  <conditionalFormatting sqref="AW42">
    <cfRule type="containsErrors" dxfId="347" priority="55">
      <formula>ISERROR(AW42)</formula>
    </cfRule>
  </conditionalFormatting>
  <conditionalFormatting sqref="AW43">
    <cfRule type="containsErrors" dxfId="346" priority="54">
      <formula>ISERROR(AW43)</formula>
    </cfRule>
  </conditionalFormatting>
  <conditionalFormatting sqref="AO73">
    <cfRule type="containsErrors" dxfId="345" priority="53">
      <formula>ISERROR(AO73)</formula>
    </cfRule>
  </conditionalFormatting>
  <conditionalFormatting sqref="AW44">
    <cfRule type="containsErrors" dxfId="344" priority="52">
      <formula>ISERROR(AW44)</formula>
    </cfRule>
  </conditionalFormatting>
  <conditionalFormatting sqref="AW40">
    <cfRule type="containsErrors" dxfId="343" priority="51">
      <formula>ISERROR(AW40)</formula>
    </cfRule>
  </conditionalFormatting>
  <conditionalFormatting sqref="AW45">
    <cfRule type="containsErrors" dxfId="342" priority="50">
      <formula>ISERROR(AW45)</formula>
    </cfRule>
  </conditionalFormatting>
  <conditionalFormatting sqref="AL65:AQ65">
    <cfRule type="containsErrors" dxfId="341" priority="49">
      <formula>ISERROR(AL65)</formula>
    </cfRule>
  </conditionalFormatting>
  <conditionalFormatting sqref="AL69:AO69">
    <cfRule type="containsErrors" dxfId="340" priority="48">
      <formula>ISERROR(AL69)</formula>
    </cfRule>
  </conditionalFormatting>
  <conditionalFormatting sqref="AO112">
    <cfRule type="containsErrors" dxfId="339" priority="47">
      <formula>ISERROR(AO112)</formula>
    </cfRule>
  </conditionalFormatting>
  <conditionalFormatting sqref="AO39">
    <cfRule type="containsErrors" dxfId="338" priority="46">
      <formula>ISERROR(AO39)</formula>
    </cfRule>
  </conditionalFormatting>
  <conditionalFormatting sqref="AL113:AN113 AP113:AQ113">
    <cfRule type="containsErrors" dxfId="337" priority="45">
      <formula>ISERROR(AL113)</formula>
    </cfRule>
  </conditionalFormatting>
  <conditionalFormatting sqref="AO113">
    <cfRule type="containsErrors" dxfId="336" priority="44">
      <formula>ISERROR(AO113)</formula>
    </cfRule>
  </conditionalFormatting>
  <conditionalFormatting sqref="AL75:AM77">
    <cfRule type="containsErrors" dxfId="335" priority="43">
      <formula>ISERROR(AL75)</formula>
    </cfRule>
  </conditionalFormatting>
  <conditionalFormatting sqref="AL104:AQ104">
    <cfRule type="containsErrors" dxfId="334" priority="42">
      <formula>ISERROR(AL104)</formula>
    </cfRule>
  </conditionalFormatting>
  <conditionalFormatting sqref="AQ124">
    <cfRule type="containsErrors" dxfId="333" priority="41">
      <formula>ISERROR(AQ124)</formula>
    </cfRule>
  </conditionalFormatting>
  <conditionalFormatting sqref="AQ31">
    <cfRule type="containsErrors" dxfId="332" priority="40">
      <formula>ISERROR(AQ31)</formula>
    </cfRule>
  </conditionalFormatting>
  <conditionalFormatting sqref="AO77">
    <cfRule type="containsErrors" dxfId="331" priority="39">
      <formula>ISERROR(AO77)</formula>
    </cfRule>
  </conditionalFormatting>
  <conditionalFormatting sqref="AN72:AO72">
    <cfRule type="containsErrors" dxfId="330" priority="38">
      <formula>ISERROR(AN72)</formula>
    </cfRule>
  </conditionalFormatting>
  <conditionalFormatting sqref="AL71:AQ71">
    <cfRule type="containsErrors" dxfId="329" priority="37">
      <formula>ISERROR(AL71)</formula>
    </cfRule>
  </conditionalFormatting>
  <conditionalFormatting sqref="R5:R81">
    <cfRule type="expression" dxfId="328" priority="36">
      <formula>$Q5="y"</formula>
    </cfRule>
  </conditionalFormatting>
  <conditionalFormatting sqref="J5:J81">
    <cfRule type="containsText" dxfId="327" priority="34" operator="containsText" text="X">
      <formula>NOT(ISERROR(SEARCH("X",J5)))</formula>
    </cfRule>
  </conditionalFormatting>
  <conditionalFormatting sqref="J5:J81">
    <cfRule type="expression" dxfId="326" priority="105">
      <formula>$Q5="y"</formula>
    </cfRule>
  </conditionalFormatting>
  <conditionalFormatting sqref="R5:R81">
    <cfRule type="expression" dxfId="325" priority="104">
      <formula>$Q5="y"</formula>
    </cfRule>
  </conditionalFormatting>
  <conditionalFormatting sqref="V1:V3 V4:W1048576">
    <cfRule type="containsText" dxfId="324" priority="7" operator="containsText" text="NEW TRAILER">
      <formula>NOT(ISERROR(SEARCH("NEW TRAILER",V1)))</formula>
    </cfRule>
  </conditionalFormatting>
  <conditionalFormatting sqref="X4:X1048576">
    <cfRule type="containsText" dxfId="323" priority="5" operator="containsText" text="Apple">
      <formula>NOT(ISERROR(SEARCH("Apple",X4)))</formula>
    </cfRule>
    <cfRule type="containsText" dxfId="322" priority="6" operator="containsText" text="Status">
      <formula>NOT(ISERROR(SEARCH("Status",X4)))</formula>
    </cfRule>
  </conditionalFormatting>
  <conditionalFormatting sqref="W1:Y3">
    <cfRule type="containsText" dxfId="321" priority="4" operator="containsText" text="NEW TRAILER">
      <formula>NOT(ISERROR(SEARCH("NEW TRAILER",W1)))</formula>
    </cfRule>
  </conditionalFormatting>
  <conditionalFormatting sqref="U1:U3">
    <cfRule type="containsText" dxfId="320" priority="3" operator="containsText" text="NEW TRAILER">
      <formula>NOT(ISERROR(SEARCH("NEW TRAILER",U1)))</formula>
    </cfRule>
  </conditionalFormatting>
  <conditionalFormatting sqref="T1:T3">
    <cfRule type="containsText" dxfId="319" priority="2" operator="containsText" text="NEW TRAILER">
      <formula>NOT(ISERROR(SEARCH("NEW TRAILER",T1)))</formula>
    </cfRule>
  </conditionalFormatting>
  <dataValidations count="1">
    <dataValidation type="list" allowBlank="1" showInputMessage="1" showErrorMessage="1" sqref="T5:U81" xr:uid="{A2034039-7A43-4C1C-BE69-FBCB602DD5C9}">
      <formula1>$AA$11:$AA$12</formula1>
    </dataValidation>
  </dataValidations>
  <pageMargins left="0" right="0" top="0" bottom="0" header="0.31496062992125984" footer="0"/>
  <pageSetup paperSize="9" fitToWidth="0" orientation="landscape" r:id="rId1"/>
  <rowBreaks count="1" manualBreakCount="1">
    <brk id="63" max="19"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5E7F2-6944-4BC8-B4D5-54486FEBBAB4}">
  <sheetPr codeName="Sheet1">
    <tabColor rgb="FFFFC000"/>
  </sheetPr>
  <dimension ref="A1:CT1325"/>
  <sheetViews>
    <sheetView showZeros="0" tabSelected="1" zoomScale="80" zoomScaleNormal="80" workbookViewId="0">
      <pane xSplit="2" topLeftCell="C1" activePane="topRight" state="frozen"/>
      <selection pane="topRight" activeCell="I16" sqref="I16"/>
      <selection activeCell="I1" sqref="I1"/>
    </sheetView>
  </sheetViews>
  <sheetFormatPr defaultColWidth="9.140625" defaultRowHeight="54.75" customHeight="1"/>
  <cols>
    <col min="1" max="1" width="22.7109375" style="9" hidden="1" customWidth="1"/>
    <col min="2" max="2" width="9.140625" style="10" customWidth="1"/>
    <col min="3" max="3" width="9.85546875" style="10" customWidth="1"/>
    <col min="4" max="4" width="19.5703125" style="10" hidden="1" customWidth="1"/>
    <col min="5" max="6" width="9.140625" style="10" customWidth="1"/>
    <col min="7" max="7" width="9.140625" style="74" customWidth="1"/>
    <col min="8" max="8" width="11" style="291" customWidth="1"/>
    <col min="9" max="9" width="15.5703125" style="292" customWidth="1"/>
    <col min="10" max="11" width="9.140625" style="58" customWidth="1"/>
    <col min="12" max="13" width="9.140625" style="10" customWidth="1"/>
    <col min="14" max="14" width="4.85546875" style="10" customWidth="1"/>
    <col min="15" max="15" width="9.140625" style="10" customWidth="1"/>
    <col min="16" max="16" width="23.140625" style="10" customWidth="1"/>
    <col min="17" max="17" width="9.140625" style="358" customWidth="1"/>
    <col min="18" max="21" width="9.140625" style="10" customWidth="1"/>
    <col min="22" max="22" width="4.85546875" style="10" customWidth="1"/>
    <col min="23" max="23" width="5.140625" style="10" customWidth="1"/>
    <col min="24" max="24" width="7.5703125" style="58" customWidth="1"/>
    <col min="25" max="25" width="5.7109375" style="10" customWidth="1"/>
    <col min="26" max="31" width="5.42578125" style="10" customWidth="1"/>
    <col min="32" max="32" width="9.140625" style="10" customWidth="1"/>
    <col min="33" max="34" width="10.140625" style="10" customWidth="1"/>
    <col min="35" max="35" width="6.5703125" style="376" customWidth="1"/>
    <col min="36" max="36" width="6.5703125" style="10" customWidth="1"/>
    <col min="37" max="37" width="26" style="10" customWidth="1"/>
    <col min="38" max="38" width="4.7109375" style="10" customWidth="1"/>
    <col min="39" max="39" width="12.85546875" style="10" customWidth="1"/>
    <col min="40" max="40" width="11.42578125" style="10" customWidth="1"/>
    <col min="41" max="41" width="12.42578125" style="10" customWidth="1"/>
    <col min="42" max="42" width="54.85546875" style="358" customWidth="1"/>
    <col min="43" max="43" width="12.5703125" style="10" customWidth="1"/>
    <col min="44" max="45" width="12.5703125" style="9" customWidth="1"/>
    <col min="46" max="46" width="6.5703125" style="9" customWidth="1"/>
    <col min="47" max="47" width="9.140625" style="9" customWidth="1"/>
    <col min="48" max="48" width="21.42578125" style="9" customWidth="1"/>
    <col min="49" max="49" width="36.42578125" style="9" customWidth="1"/>
    <col min="50" max="50" width="12.5703125" style="9" customWidth="1"/>
    <col min="51" max="52" width="9.140625" style="9" customWidth="1"/>
    <col min="53" max="53" width="9.140625" style="8" customWidth="1"/>
    <col min="54" max="55" width="9.140625" style="9" customWidth="1"/>
    <col min="56" max="57" width="9.140625" style="289" customWidth="1"/>
    <col min="58" max="58" width="9.140625" style="70" customWidth="1"/>
    <col min="59" max="62" width="9.140625" style="10" customWidth="1"/>
    <col min="63" max="63" width="9.140625" style="9" customWidth="1"/>
    <col min="64" max="64" width="9.140625" style="71" customWidth="1"/>
    <col min="65" max="65" width="9.140625" style="289" customWidth="1"/>
    <col min="66" max="67" width="9.140625" style="10" customWidth="1"/>
    <col min="68" max="68" width="9.140625" style="74" customWidth="1"/>
    <col min="69" max="69" width="9.140625" style="75" customWidth="1"/>
    <col min="70" max="73" width="9.140625" style="73" customWidth="1"/>
    <col min="74" max="74" width="9.140625" style="10" customWidth="1"/>
    <col min="75" max="75" width="9.140625" style="289" customWidth="1"/>
    <col min="76" max="76" width="9.140625" style="10" customWidth="1"/>
    <col min="77" max="77" width="9.140625" style="289" customWidth="1"/>
    <col min="78" max="84" width="9.140625" style="10" customWidth="1"/>
    <col min="85" max="85" width="9.140625" style="289" customWidth="1"/>
    <col min="86" max="88" width="9.140625" style="10" customWidth="1"/>
    <col min="89" max="89" width="9.140625" style="58" customWidth="1"/>
    <col min="90" max="90" width="9.140625" style="289" customWidth="1"/>
    <col min="91" max="91" width="9.140625" style="58" customWidth="1"/>
    <col min="92" max="92" width="9.140625" style="289" customWidth="1"/>
    <col min="93" max="94" width="9.140625" style="58" customWidth="1"/>
    <col min="95" max="95" width="9.140625" style="289" customWidth="1"/>
    <col min="96" max="96" width="9.140625" style="58" customWidth="1"/>
    <col min="97" max="97" width="9.140625" style="289" customWidth="1"/>
    <col min="98" max="98" width="9.140625" style="58" customWidth="1"/>
    <col min="99" max="99" width="9.140625" style="9" customWidth="1"/>
    <col min="100" max="16384" width="9.140625" style="9"/>
  </cols>
  <sheetData>
    <row r="1" spans="1:98" s="283" customFormat="1" ht="54.75" customHeight="1" thickBot="1">
      <c r="A1" s="341" t="s">
        <v>317</v>
      </c>
      <c r="B1" s="271" t="s">
        <v>318</v>
      </c>
      <c r="C1" s="422" t="s">
        <v>319</v>
      </c>
      <c r="D1" s="61" t="s">
        <v>320</v>
      </c>
      <c r="E1" s="61" t="s">
        <v>321</v>
      </c>
      <c r="F1" s="273" t="s">
        <v>322</v>
      </c>
      <c r="G1" s="272" t="s">
        <v>323</v>
      </c>
      <c r="H1" s="273" t="s">
        <v>324</v>
      </c>
      <c r="I1" s="274" t="s">
        <v>325</v>
      </c>
      <c r="J1" s="274" t="s">
        <v>326</v>
      </c>
      <c r="K1" s="61" t="s">
        <v>327</v>
      </c>
      <c r="L1" s="61" t="s">
        <v>328</v>
      </c>
      <c r="M1" s="420" t="s">
        <v>329</v>
      </c>
      <c r="N1" s="274" t="s">
        <v>330</v>
      </c>
      <c r="O1" s="61" t="s">
        <v>331</v>
      </c>
      <c r="P1" s="274" t="s">
        <v>332</v>
      </c>
      <c r="Q1" s="349" t="s">
        <v>333</v>
      </c>
      <c r="R1" s="60" t="s">
        <v>334</v>
      </c>
      <c r="S1" s="61" t="s">
        <v>335</v>
      </c>
      <c r="T1" s="61" t="s">
        <v>336</v>
      </c>
      <c r="U1" s="274" t="s">
        <v>337</v>
      </c>
      <c r="V1" s="274" t="s">
        <v>338</v>
      </c>
      <c r="W1" s="59" t="s">
        <v>339</v>
      </c>
      <c r="X1" s="62" t="s">
        <v>340</v>
      </c>
      <c r="Y1" s="59" t="s">
        <v>341</v>
      </c>
      <c r="Z1" s="318" t="s">
        <v>342</v>
      </c>
      <c r="AA1" s="319" t="s">
        <v>343</v>
      </c>
      <c r="AB1" s="320" t="s">
        <v>344</v>
      </c>
      <c r="AC1" s="321" t="s">
        <v>345</v>
      </c>
      <c r="AD1" s="322" t="s">
        <v>346</v>
      </c>
      <c r="AE1" s="323" t="s">
        <v>347</v>
      </c>
      <c r="AF1" s="324" t="s">
        <v>348</v>
      </c>
      <c r="AG1" s="325" t="s">
        <v>349</v>
      </c>
      <c r="AH1" s="326" t="s">
        <v>350</v>
      </c>
      <c r="AI1" s="375" t="s">
        <v>351</v>
      </c>
      <c r="AJ1" s="327" t="s">
        <v>352</v>
      </c>
      <c r="AK1" s="328" t="s">
        <v>353</v>
      </c>
      <c r="AL1" s="61" t="s">
        <v>354</v>
      </c>
      <c r="AM1" s="374" t="s">
        <v>355</v>
      </c>
      <c r="AN1" s="374" t="s">
        <v>356</v>
      </c>
      <c r="AO1" s="374" t="s">
        <v>357</v>
      </c>
      <c r="AP1" s="340" t="s">
        <v>358</v>
      </c>
      <c r="AQ1" s="60" t="s">
        <v>359</v>
      </c>
      <c r="AR1" s="60" t="s">
        <v>360</v>
      </c>
      <c r="AS1" s="60" t="s">
        <v>361</v>
      </c>
      <c r="AT1" s="60" t="s">
        <v>362</v>
      </c>
      <c r="AU1" s="60" t="s">
        <v>363</v>
      </c>
      <c r="AV1" s="60" t="s">
        <v>364</v>
      </c>
      <c r="AW1" s="60" t="s">
        <v>365</v>
      </c>
      <c r="AX1" s="69" t="s">
        <v>366</v>
      </c>
      <c r="AY1" s="61" t="s">
        <v>367</v>
      </c>
      <c r="AZ1" s="63" t="s">
        <v>368</v>
      </c>
      <c r="BA1" s="63" t="s">
        <v>369</v>
      </c>
      <c r="BB1" s="61" t="s">
        <v>370</v>
      </c>
      <c r="BC1" s="61" t="s">
        <v>371</v>
      </c>
      <c r="BD1" s="275" t="s">
        <v>372</v>
      </c>
      <c r="BE1" s="275" t="s">
        <v>373</v>
      </c>
      <c r="BF1" s="276" t="s">
        <v>374</v>
      </c>
      <c r="BG1" s="277" t="s">
        <v>127</v>
      </c>
      <c r="BH1" s="277" t="s">
        <v>375</v>
      </c>
      <c r="BI1" s="277" t="s">
        <v>376</v>
      </c>
      <c r="BJ1" s="277" t="s">
        <v>377</v>
      </c>
      <c r="BK1" s="277" t="s">
        <v>378</v>
      </c>
      <c r="BL1" s="278" t="s">
        <v>379</v>
      </c>
      <c r="BM1" s="275" t="s">
        <v>380</v>
      </c>
      <c r="BN1" s="277" t="s">
        <v>381</v>
      </c>
      <c r="BO1" s="277" t="s">
        <v>382</v>
      </c>
      <c r="BP1" s="279" t="s">
        <v>383</v>
      </c>
      <c r="BQ1" s="280" t="s">
        <v>384</v>
      </c>
      <c r="BR1" s="281" t="s">
        <v>385</v>
      </c>
      <c r="BS1" s="281" t="s">
        <v>386</v>
      </c>
      <c r="BT1" s="281" t="s">
        <v>387</v>
      </c>
      <c r="BU1" s="281" t="s">
        <v>388</v>
      </c>
      <c r="BV1" s="277" t="s">
        <v>389</v>
      </c>
      <c r="BW1" s="275" t="s">
        <v>390</v>
      </c>
      <c r="BX1" s="277" t="s">
        <v>391</v>
      </c>
      <c r="BY1" s="275" t="s">
        <v>392</v>
      </c>
      <c r="BZ1" s="277" t="s">
        <v>393</v>
      </c>
      <c r="CA1" s="277" t="s">
        <v>394</v>
      </c>
      <c r="CB1" s="277" t="s">
        <v>395</v>
      </c>
      <c r="CC1" s="277" t="s">
        <v>396</v>
      </c>
      <c r="CD1" s="277" t="s">
        <v>397</v>
      </c>
      <c r="CE1" s="277" t="s">
        <v>398</v>
      </c>
      <c r="CF1" s="277" t="s">
        <v>399</v>
      </c>
      <c r="CG1" s="275" t="s">
        <v>400</v>
      </c>
      <c r="CH1" s="277" t="s">
        <v>401</v>
      </c>
      <c r="CI1" s="277" t="s">
        <v>402</v>
      </c>
      <c r="CJ1" s="277" t="s">
        <v>403</v>
      </c>
      <c r="CK1" s="282" t="s">
        <v>404</v>
      </c>
      <c r="CL1" s="275" t="s">
        <v>405</v>
      </c>
      <c r="CM1" s="282" t="s">
        <v>406</v>
      </c>
      <c r="CN1" s="275" t="s">
        <v>407</v>
      </c>
      <c r="CO1" s="282" t="s">
        <v>408</v>
      </c>
      <c r="CP1" s="282" t="s">
        <v>409</v>
      </c>
      <c r="CQ1" s="275" t="s">
        <v>410</v>
      </c>
      <c r="CR1" s="282" t="s">
        <v>411</v>
      </c>
      <c r="CS1" s="275" t="s">
        <v>412</v>
      </c>
      <c r="CT1" s="282" t="s">
        <v>413</v>
      </c>
    </row>
    <row r="2" spans="1:98" s="20" customFormat="1" ht="30.75">
      <c r="A2" s="305" t="str">
        <f>$CR2</f>
        <v>ITD12165OS30.204861111111111</v>
      </c>
      <c r="B2" s="284" t="s">
        <v>414</v>
      </c>
      <c r="C2" s="290" t="str">
        <f>IFERROR(IF(LEFT(B2,3)='STAT 77'!$X$2,_xlfn.XLOOKUP(B2,'STAT 77'!C:C,'STAT 77'!B:B),_xlfn.XLOOKUP(B2,'STAT 77'!B:B,'STAT 77'!C:C)),"NON TROVATO")</f>
        <v>ITD30974</v>
      </c>
      <c r="D2" s="25" t="s">
        <v>415</v>
      </c>
      <c r="E2" s="290" t="s">
        <v>416</v>
      </c>
      <c r="F2" s="290" t="str">
        <f>IFERROR(VLOOKUP(E2,'Cambio O2P'!C:E,2,FALSE),"")</f>
        <v>SUFA</v>
      </c>
      <c r="G2" s="285">
        <v>0.20486111111111113</v>
      </c>
      <c r="H2" s="293" t="str">
        <f ca="1">IFERROR(IF(AND('INformazioni per calcoli'!$AB$3&lt;(--"14:30"),'INformazioni per calcoli'!$AB$3&gt;(--"10:00")),"",IF($B2="","",IF($X2&lt;&gt;"","Mezzo Chiuso",IF($W2="","Non al Carico",IF($G2-'INformazioni per calcoli'!$AB$5-'INformazioni per calcoli'!$AB$3+$J2&lt;0,"LFLS",IF($K2&lt;&gt;"","Safe Parking",IF($W2&lt;&gt;"",IF($E2="MXP",$G2-'INformazioni per calcoli'!$AB$6-'INformazioni per calcoli'!$AB$3+$J2,$G2-'INformazioni per calcoli'!$AB$5-'INformazioni per calcoli'!$AB$3+$J2),"Non al carico"))))))),"")</f>
        <v>Mezzo Chiuso</v>
      </c>
      <c r="I2" s="17" t="str">
        <f ca="1">IFERROR(IF($H2&lt;&gt;"",IF($H2="Safe Parking","",IF($W2&lt;&gt;"",IF(AND($U2="X",$V2="X"),$H2-(--"00:30"),""),IF($X2&lt;&gt;"","Mezzo Chiuso","Non al carico"))),""),"")</f>
        <v/>
      </c>
      <c r="J2" s="306">
        <f ca="1">IFERROR(IF($B2&lt;&gt;"",IF(AND('INformazioni per calcoli'!$AB$3&lt;(--"15:00"),'INformazioni per calcoli'!$AB$3&gt;(--"00:00")),0,IF($G2&lt;(--"18:30"),"+1",0)),""),"")</f>
        <v>0</v>
      </c>
      <c r="K2" s="27"/>
      <c r="L2" s="25" t="s">
        <v>417</v>
      </c>
      <c r="M2" s="25" t="str">
        <f>IFERROR(_xlfn.XLOOKUP($Q2,'Elenco Casse'!$D:$D,'Elenco Casse'!$E:$E),"")</f>
        <v/>
      </c>
      <c r="N2" s="25" t="str">
        <f>IFERROR(_xlfn.XLOOKUP($Q2,'Elenco Casse'!$D:$D,'Elenco Casse'!$F:$F),"")</f>
        <v/>
      </c>
      <c r="O2" s="286" t="s">
        <v>418</v>
      </c>
      <c r="P2" s="295" t="str">
        <f>IFERROR(_xlfn.XLOOKUP($Q2,'Elenco Casse'!$D:$D,'Elenco Casse'!$G:$G),"")</f>
        <v/>
      </c>
      <c r="Q2" s="355" t="s">
        <v>419</v>
      </c>
      <c r="R2" s="23" t="s">
        <v>420</v>
      </c>
      <c r="S2" s="25" t="s">
        <v>421</v>
      </c>
      <c r="T2" s="25" t="s">
        <v>422</v>
      </c>
      <c r="U2" s="23" t="str">
        <f>IF(ISNUMBER(SEARCH("Parcel",$T2)),"X","")</f>
        <v>X</v>
      </c>
      <c r="V2" s="23" t="str">
        <f>IF(ISNUMBER(SEARCH("Freight",$T2)),"X","")</f>
        <v/>
      </c>
      <c r="W2" s="26">
        <v>302</v>
      </c>
      <c r="X2" s="27">
        <v>4.0972222222222222E-2</v>
      </c>
      <c r="Y2" s="25" t="s">
        <v>423</v>
      </c>
      <c r="Z2" s="25"/>
      <c r="AA2" s="25" t="s">
        <v>40</v>
      </c>
      <c r="AB2" s="57">
        <v>1</v>
      </c>
      <c r="AC2" s="25"/>
      <c r="AD2" s="25"/>
      <c r="AE2" s="57"/>
      <c r="AF2" s="57"/>
      <c r="AG2" s="25"/>
      <c r="AH2" s="57"/>
      <c r="AI2" s="339">
        <v>17</v>
      </c>
      <c r="AJ2" s="339"/>
      <c r="AK2" s="297" t="str">
        <f>IF(X2&lt;&gt;"",CONCATENATE(IF(AA2&lt;&gt;"",CONCATENATE(Z2," ",AA2," ",BI2),""),IF(AD2&lt;&gt;"",CONCATENATE(","," ",AC2," ",AD2," ",BJ2),""),IF(AG2&lt;&gt;"",CONCATENATE(","," ",AF2," ",AG2," ",BK2),""),IF(AJ2&lt;&gt;"",CONCATENATE(","," ","DD"," ",BL2),"")," ",IF(AI2&lt;&gt;"",CONCATENATE(" - ",AI2," Bag"),"")),"")</f>
        <v xml:space="preserve"> LL 14  - 17 Bag</v>
      </c>
      <c r="AL2" s="287" t="s">
        <v>421</v>
      </c>
      <c r="AM2" s="287"/>
      <c r="AN2" s="287"/>
      <c r="AO2" s="287"/>
      <c r="AP2" s="370" t="str">
        <f>IFERROR(VLOOKUP(#REF!,Outlist!$A$5:$V$120,20,FALSE),"")</f>
        <v/>
      </c>
      <c r="AQ2" s="288" t="s">
        <v>424</v>
      </c>
      <c r="AS2" s="24"/>
      <c r="AT2" s="24">
        <v>0.59930555555555554</v>
      </c>
      <c r="AU2" s="27">
        <v>0.13541666666666666</v>
      </c>
      <c r="AV2" s="27"/>
      <c r="AX2" s="20" t="str">
        <f>IFERROR(IF(Out_Table[[#This Row],[Cancellazione linea]]="Cancellata","yes",""),"")</f>
        <v/>
      </c>
      <c r="AY2" s="72" t="str">
        <f>IF(BA2="",BZ2,IF(AND(BA2&lt;(--"23:59:59"),BA2&gt;(--"15:00:00"),G2&lt;(--"14:00:00"),G2&gt;(--"00:00:01")),"",IF(BA2&gt;G2,BZ2,"")))</f>
        <v/>
      </c>
      <c r="AZ2" s="27">
        <v>0.13819444444444445</v>
      </c>
      <c r="BA2" s="32">
        <v>0.14374999999999999</v>
      </c>
      <c r="BB2" s="72"/>
      <c r="BC2" s="72" t="str">
        <f>IFERROR(VLOOKUP(Out_Table[[#This Row],[Aggiornamento STATUS]],'INformazioni per calcoli'!$Y$70:$AA$76,2,FALSE),"")</f>
        <v/>
      </c>
      <c r="BD2" s="289"/>
      <c r="BE2" s="289"/>
      <c r="BF2" s="47" t="str">
        <f>LEFT($E2,3)</f>
        <v>OS3</v>
      </c>
      <c r="BG2" s="298" t="str">
        <f>IF(Out_Table[[#This Row],[Ora Uscita    (GH)]]&lt;&gt;"","x","")</f>
        <v>x</v>
      </c>
      <c r="BH2" s="299">
        <f>VLOOKUP($O2,'INformazioni per calcoli'!$Y$20:$AA$23,3,FALSE)</f>
        <v>14</v>
      </c>
      <c r="BI2" s="299">
        <f>MROUND(Out_Table[[#This Row],[Mtr. Trailer]]*AB2,0.5)</f>
        <v>14</v>
      </c>
      <c r="BJ2" s="299">
        <f>MROUND(Out_Table[[#This Row],[Mtr. Trailer]]*AE2,0.5)</f>
        <v>0</v>
      </c>
      <c r="BK2" s="299">
        <f>MROUND(Out_Table[[#This Row],[Mtr. Trailer]]*AH2,0.5)</f>
        <v>0</v>
      </c>
      <c r="BL2" s="300">
        <f>Out_Table[[#This Row],[Double Deck trailer N° bumpers]]</f>
        <v>0</v>
      </c>
      <c r="BM2" s="301"/>
      <c r="BN2" s="299" t="str">
        <f>B2</f>
        <v>ITD12165</v>
      </c>
      <c r="BO2" s="299" t="str">
        <f>E2</f>
        <v>OS3</v>
      </c>
      <c r="BP2" s="302">
        <f>IF(AND(G2&gt;(--"00:00:01"),G2&lt;(--"15:00:00")),IF(AND(X2&gt;(--"00:00:01"),X2&lt;(--"15:00:00")),G2-X2,G2+1-X2),G2-X2)</f>
        <v>0.16388888888888892</v>
      </c>
      <c r="BQ2" s="303">
        <f>AE2+AF2+AH2+AJ2</f>
        <v>0</v>
      </c>
      <c r="BR2" s="304" t="str">
        <f>IF(OR(BP2&lt;=(--"00:20:00"),BQ2&gt;=100%),"OK","Not OK")</f>
        <v>Not OK</v>
      </c>
      <c r="BS2" s="302">
        <f>IF(AND(G2&gt;(--"00:00:01"),G2&lt;(--"15:00:00")),IF(AND(AU2&gt;(--"00:00:01"),AU2&lt;(--"15:00:00")),G2-AU2,G2+1-AU2),G2-AU2)</f>
        <v>6.9444444444444475E-2</v>
      </c>
      <c r="BT2" s="302">
        <f>IF(AND(AZ2&gt;(--"00:00:01"),AZ2&lt;(--"15:00:00")),IF(AND(AU2&gt;(--"00:00:01"),AU2&lt;(--"15:00:00")),AZ2-AU2,AZ2+1-AU2),AZ2-AU2)</f>
        <v>2.7777777777777957E-3</v>
      </c>
      <c r="BU2" s="302">
        <f>IF(AND(BA2&gt;(--"00:00:01"),BA2&lt;(--"15:00:00")),IF(AND(AZ2&gt;(--"00:00:01"),AZ2&lt;(--"15:00:00")),BA2-AZ2,BA2+1-AZ2),BA2-AZ2)</f>
        <v>5.5555555555555358E-3</v>
      </c>
      <c r="BV2" s="299">
        <f>AV2</f>
        <v>0</v>
      </c>
      <c r="BW2" s="301"/>
      <c r="BX2" s="299" t="str">
        <f>IF(AV2="T Status",IF(AV2&lt;&gt;T2,"X",""),"")</f>
        <v/>
      </c>
      <c r="BY2" s="301"/>
      <c r="BZ2" s="299" t="str">
        <f>IF(X2&lt;&gt;"",IF(CC2="X","Driver Delay",IF(CA2="X","Paperwork Delay",IF(CB2="X","Late freight late sort",IF(CD2="X","Chiamare Control Room",IF(CE2="X","Chiamare Control Room",IF(CF2="X","Chiamare Control Room","")))))),"")</f>
        <v>Chiamare Control Room</v>
      </c>
      <c r="CA2" s="302" t="str">
        <f>IF(K2="",IF(IF(AND(G2&gt;(--"00:00:01"),G2&lt;(--"15:00:00")),IF(AND(AT2&gt;(--"08:00:00"),AT2&lt;(--"23:59:59")),G2+1-AT2,G2-AT2),G2-AT2)&gt;(--"00:20:00"),"","X"),"")</f>
        <v/>
      </c>
      <c r="CB2" s="299" t="str">
        <f>IF(K2="",IF(BP2&gt;=(--"00:20:00"),"","X"),"")</f>
        <v/>
      </c>
      <c r="CC2" s="299" t="str">
        <f>IF(OR(AV2="Autista non presente",AV2="Dati driver non presenti"),"X","")</f>
        <v/>
      </c>
      <c r="CD2" s="299" t="str">
        <f>IF(K2="",IF(AND(CC2="",BS2&lt;(--"00:20:00")),"X",""),"")</f>
        <v/>
      </c>
      <c r="CE2" s="299" t="str">
        <f>IF(K2="",IF(BT2&gt;(--"00:15:00"),"X",""),IF(AZ2&lt;&gt;"",IF(G2-AZ2&gt;(--"00:30:00"),"X",""),""))</f>
        <v/>
      </c>
      <c r="CF2" s="299" t="str">
        <f>IF(AND(CA2="",CB2="",CC2="",CD2="",CE2=""),"X","")</f>
        <v>X</v>
      </c>
      <c r="CG2" s="301"/>
      <c r="CH2" s="299" t="str">
        <f>IF(BT2&gt;(--"00:15:00"),"X","")</f>
        <v/>
      </c>
      <c r="CI2" s="302" t="str">
        <f>AY2</f>
        <v/>
      </c>
      <c r="CJ2" s="299" t="str">
        <f>IF(AND(CH2&lt;&gt;"",CI2&lt;&gt;"",LEFT(B2,3)="ITD"),AP2,"")</f>
        <v/>
      </c>
      <c r="CK2" s="305" t="str">
        <f>IF(CJ2&lt;&gt;"",BT2,"")</f>
        <v/>
      </c>
      <c r="CL2" s="301"/>
      <c r="CM2" s="305" t="str">
        <f>IFERROR(VLOOKUP(Q2,'Elenco Casse'!$D$4:$F$292,3,FALSE),"")</f>
        <v/>
      </c>
      <c r="CN2" s="301"/>
      <c r="CO2" s="305" t="str">
        <f>IFERROR(VLOOKUP(S2,'Elenco Casse'!$D$4:$F$292,3,FALSE),"")</f>
        <v/>
      </c>
      <c r="CP2" s="305" t="str">
        <f>IFERROR(IF(VLOOKUP($E2,Outlist!$A$5:$S$120,19,FALSE)&lt;&gt;0,"Y",""),"")</f>
        <v/>
      </c>
      <c r="CQ2" s="301"/>
      <c r="CR2" s="305" t="str">
        <f>CONCATENATE($B2,$E2,$G2)</f>
        <v>ITD12165OS30.204861111111111</v>
      </c>
      <c r="CS2" s="301"/>
      <c r="CT2" s="305" t="e">
        <f>VLOOKUP(Out_Table[[#This Row],[Destination             ORANGE (From Planning)]],Outlist!$A$5:$W$120,22,FALSE)</f>
        <v>#N/A</v>
      </c>
    </row>
    <row r="3" spans="1:98" s="20" customFormat="1" ht="15">
      <c r="A3" s="305" t="str">
        <f>$CR3</f>
        <v>ITD12409OS30.291666666666667</v>
      </c>
      <c r="B3" s="284" t="s">
        <v>425</v>
      </c>
      <c r="C3" s="290" t="str">
        <f>IFERROR(IF(LEFT(B3,3)='STAT 77'!$X$2,_xlfn.XLOOKUP(B3,'STAT 77'!C:C,'STAT 77'!B:B),_xlfn.XLOOKUP(B3,'STAT 77'!B:B,'STAT 77'!C:C)),"NON TROVATO")</f>
        <v>ITD31572</v>
      </c>
      <c r="D3" s="25" t="s">
        <v>426</v>
      </c>
      <c r="E3" s="290" t="s">
        <v>416</v>
      </c>
      <c r="F3" s="290" t="str">
        <f>IFERROR(VLOOKUP(E3,'Cambio O2P'!C:E,2,FALSE),"")</f>
        <v>SUFA</v>
      </c>
      <c r="G3" s="285">
        <v>0.29166666666666669</v>
      </c>
      <c r="H3" s="293">
        <f ca="1">IFERROR(IF(AND('INformazioni per calcoli'!$AB$3&lt;(--"14:30"),'INformazioni per calcoli'!$AB$3&gt;(--"10:00")),"",IF($B3="","",IF($X3&lt;&gt;"","Mezzo Chiuso",IF($W3="","Non al Carico",IF($G3-'INformazioni per calcoli'!$AB$5-'INformazioni per calcoli'!$AB$3+$J3&lt;0,"LFLS",IF($K3&lt;&gt;"","Safe Parking",IF($W3&lt;&gt;"",IF($E3="MXP",$G3-'INformazioni per calcoli'!$AB$6-'INformazioni per calcoli'!$AB$3+$J3,$G3-'INformazioni per calcoli'!$AB$5-'INformazioni per calcoli'!$AB$3+$J3),"Non al carico"))))))),"")</f>
        <v>0.13231481481481483</v>
      </c>
      <c r="I3" s="17" t="str">
        <f ca="1">IFERROR(IF($H3&lt;&gt;"",IF($H3="Safe Parking","",IF($W3&lt;&gt;"",IF(AND($U3="X",$V3="X"),$H3-(--"00:30"),""),IF($X3&lt;&gt;"","Mezzo Chiuso","Non al carico"))),""),"")</f>
        <v/>
      </c>
      <c r="J3" s="306">
        <f ca="1">IFERROR(IF($B3&lt;&gt;"",IF(AND('INformazioni per calcoli'!$AB$3&lt;(--"15:00"),'INformazioni per calcoli'!$AB$3&gt;(--"00:00")),0,IF($G3&lt;(--"18:30"),"+1",0)),""),"")</f>
        <v>0</v>
      </c>
      <c r="K3" s="17"/>
      <c r="L3" s="25" t="s">
        <v>427</v>
      </c>
      <c r="M3" s="25" t="str">
        <f>IFERROR(_xlfn.XLOOKUP($Q3,'Elenco Casse'!$D:$D,'Elenco Casse'!$E:$E),"")</f>
        <v>Zampieri Holding S.R.L.</v>
      </c>
      <c r="N3" s="25">
        <f>IFERROR(_xlfn.XLOOKUP($Q3,'Elenco Casse'!$D:$D,'Elenco Casse'!$F:$F),"")</f>
        <v>0</v>
      </c>
      <c r="O3" s="286" t="s">
        <v>418</v>
      </c>
      <c r="P3" s="295" t="str">
        <f>IFERROR(_xlfn.XLOOKUP($Q3,'Elenco Casse'!$D:$D,'Elenco Casse'!$G:$G),"")</f>
        <v>trailer 80 m3 2/3 axles</v>
      </c>
      <c r="Q3" s="355" t="s">
        <v>428</v>
      </c>
      <c r="R3" s="23" t="s">
        <v>420</v>
      </c>
      <c r="S3" s="25" t="s">
        <v>421</v>
      </c>
      <c r="T3" s="25" t="s">
        <v>422</v>
      </c>
      <c r="U3" s="23" t="str">
        <f>IF(ISNUMBER(SEARCH("Parcel",$T3)),"X","")</f>
        <v>X</v>
      </c>
      <c r="V3" s="23" t="str">
        <f>IF(ISNUMBER(SEARCH("Freight",$T3)),"X","")</f>
        <v/>
      </c>
      <c r="W3" s="26">
        <v>302</v>
      </c>
      <c r="X3" s="27"/>
      <c r="Y3" s="25"/>
      <c r="Z3" s="25"/>
      <c r="AA3" s="25" t="s">
        <v>40</v>
      </c>
      <c r="AB3" s="57"/>
      <c r="AC3" s="25"/>
      <c r="AD3" s="25"/>
      <c r="AE3" s="57"/>
      <c r="AF3" s="57"/>
      <c r="AG3" s="25"/>
      <c r="AH3" s="57"/>
      <c r="AI3" s="339"/>
      <c r="AJ3" s="339"/>
      <c r="AK3" s="297" t="str">
        <f>IF(X3&lt;&gt;"",CONCATENATE(IF(AA3&lt;&gt;"",CONCATENATE(Z3," ",AA3," ",BI3),""),IF(AD3&lt;&gt;"",CONCATENATE(","," ",AC3," ",AD3," ",BJ3),""),IF(AG3&lt;&gt;"",CONCATENATE(","," ",AF3," ",AG3," ",BK3),""),IF(AJ3&lt;&gt;"",CONCATENATE(","," ","DD"," ",BL3),"")," ",IF(AI3&lt;&gt;"",CONCATENATE(" - ",AI3," Bag"),"")),"")</f>
        <v/>
      </c>
      <c r="AL3" s="287"/>
      <c r="AM3" s="287"/>
      <c r="AN3" s="287"/>
      <c r="AO3" s="287"/>
      <c r="AP3" s="370" t="str">
        <f>IFERROR(VLOOKUP(#REF!,Outlist!$A$5:$V$120,20,FALSE),"")</f>
        <v/>
      </c>
      <c r="AQ3" s="288" t="str">
        <f>IFERROR(IF(VLOOKUP($A3,#REF!,8,FALSE)&lt;&gt;"",VLOOKUP($A3,#REF!,8,FALSE),""),"")</f>
        <v/>
      </c>
      <c r="AS3" s="24"/>
      <c r="AT3" s="24">
        <v>8.7499999999999994E-2</v>
      </c>
      <c r="AU3" s="27"/>
      <c r="AV3" s="27"/>
      <c r="AX3" s="20" t="str">
        <f>IFERROR(IF(Out_Table[[#This Row],[Cancellazione linea]]="Cancellata","yes",""),"")</f>
        <v/>
      </c>
      <c r="AY3" s="72" t="str">
        <f>IF(BA3="",BZ3,IF(AND(BA3&lt;(--"23:59:59"),BA3&gt;(--"15:00:00"),G3&lt;(--"14:00:00"),G3&gt;(--"00:00:01")),"",IF(BA3&gt;G3,BZ3,"")))</f>
        <v/>
      </c>
      <c r="AZ3" s="27"/>
      <c r="BA3" s="32"/>
      <c r="BB3" s="72"/>
      <c r="BC3" s="72" t="str">
        <f>IFERROR(VLOOKUP(Out_Table[[#This Row],[Aggiornamento STATUS]],'INformazioni per calcoli'!$Y$70:$AA$76,2,FALSE),"")</f>
        <v/>
      </c>
      <c r="BD3" s="289"/>
      <c r="BE3" s="289"/>
      <c r="BF3" s="47" t="str">
        <f>LEFT($E3,3)</f>
        <v>OS3</v>
      </c>
      <c r="BG3" s="298" t="str">
        <f>IF(Out_Table[[#This Row],[Ora Uscita    (GH)]]&lt;&gt;"","x","")</f>
        <v/>
      </c>
      <c r="BH3" s="299">
        <f>VLOOKUP($O3,'INformazioni per calcoli'!$Y$20:$AA$23,3,FALSE)</f>
        <v>14</v>
      </c>
      <c r="BI3" s="299">
        <f>MROUND(Out_Table[[#This Row],[Mtr. Trailer]]*AB3,0.5)</f>
        <v>0</v>
      </c>
      <c r="BJ3" s="299">
        <f>MROUND(Out_Table[[#This Row],[Mtr. Trailer]]*AE3,0.5)</f>
        <v>0</v>
      </c>
      <c r="BK3" s="299">
        <f>MROUND(Out_Table[[#This Row],[Mtr. Trailer]]*AH3,0.5)</f>
        <v>0</v>
      </c>
      <c r="BL3" s="300">
        <f>Out_Table[[#This Row],[Double Deck trailer N° bumpers]]</f>
        <v>0</v>
      </c>
      <c r="BM3" s="301"/>
      <c r="BN3" s="299" t="str">
        <f>B3</f>
        <v>ITD12409</v>
      </c>
      <c r="BO3" s="299" t="str">
        <f>E3</f>
        <v>OS3</v>
      </c>
      <c r="BP3" s="302">
        <f>IF(AND(G3&gt;(--"00:00:01"),G3&lt;(--"15:00:00")),IF(AND(X3&gt;(--"00:00:01"),X3&lt;(--"15:00:00")),G3-X3,G3+1-X3),G3-X3)</f>
        <v>1.2916666666666667</v>
      </c>
      <c r="BQ3" s="303">
        <f>AE3+AF3+AH3+AJ3</f>
        <v>0</v>
      </c>
      <c r="BR3" s="304" t="str">
        <f>IF(OR(BP3&lt;=(--"00:20:00"),BQ3&gt;=100%),"OK","Not OK")</f>
        <v>Not OK</v>
      </c>
      <c r="BS3" s="302">
        <f>IF(AND(G3&gt;(--"00:00:01"),G3&lt;(--"15:00:00")),IF(AND(AU3&gt;(--"00:00:01"),AU3&lt;(--"15:00:00")),G3-AU3,G3+1-AU3),G3-AU3)</f>
        <v>1.2916666666666667</v>
      </c>
      <c r="BT3" s="302">
        <f>IF(AND(AZ3&gt;(--"00:00:01"),AZ3&lt;(--"15:00:00")),IF(AND(AU3&gt;(--"00:00:01"),AU3&lt;(--"15:00:00")),AZ3-AU3,AZ3+1-AU3),AZ3-AU3)</f>
        <v>0</v>
      </c>
      <c r="BU3" s="302">
        <f>IF(AND(BA3&gt;(--"00:00:01"),BA3&lt;(--"15:00:00")),IF(AND(AZ3&gt;(--"00:00:01"),AZ3&lt;(--"15:00:00")),BA3-AZ3,BA3+1-AZ3),BA3-AZ3)</f>
        <v>0</v>
      </c>
      <c r="BV3" s="299">
        <f>AV3</f>
        <v>0</v>
      </c>
      <c r="BW3" s="301"/>
      <c r="BX3" s="299" t="str">
        <f>IF(AV3="T Status",IF(AV3&lt;&gt;T3,"X",""),"")</f>
        <v/>
      </c>
      <c r="BY3" s="301"/>
      <c r="BZ3" s="299" t="str">
        <f>IF(X3&lt;&gt;"",IF(CC3="X","Driver Delay",IF(CA3="X","Paperwork Delay",IF(CB3="X","Late freight late sort",IF(CD3="X","Chiamare Control Room",IF(CE3="X","Chiamare Control Room",IF(CF3="X","Chiamare Control Room","")))))),"")</f>
        <v/>
      </c>
      <c r="CA3" s="302" t="str">
        <f>IF(K3="",IF(IF(AND(G3&gt;(--"00:00:01"),G3&lt;(--"15:00:00")),IF(AND(AT3&gt;(--"08:00:00"),AT3&lt;(--"23:59:59")),G3+1-AT3,G3-AT3),G3-AT3)&gt;(--"00:20:00"),"","X"),"")</f>
        <v/>
      </c>
      <c r="CB3" s="299" t="str">
        <f>IF(K3="",IF(BP3&gt;=(--"00:20:00"),"","X"),"")</f>
        <v/>
      </c>
      <c r="CC3" s="299" t="str">
        <f>IF(OR(AV3="Autista non presente",AV3="Dati driver non presenti"),"X","")</f>
        <v/>
      </c>
      <c r="CD3" s="299" t="str">
        <f>IF(K3="",IF(AND(CC3="",BS3&lt;(--"00:20:00")),"X",""),"")</f>
        <v/>
      </c>
      <c r="CE3" s="299" t="str">
        <f>IF(K3="",IF(BT3&gt;(--"00:15:00"),"X",""),IF(AZ3&lt;&gt;"",IF(G3-AZ3&gt;(--"00:30:00"),"X",""),""))</f>
        <v/>
      </c>
      <c r="CF3" s="299" t="str">
        <f>IF(AND(CA3="",CB3="",CC3="",CD3="",CE3=""),"X","")</f>
        <v>X</v>
      </c>
      <c r="CG3" s="301"/>
      <c r="CH3" s="299" t="str">
        <f>IF(BT3&gt;(--"00:15:00"),"X","")</f>
        <v/>
      </c>
      <c r="CI3" s="302" t="str">
        <f>AY3</f>
        <v/>
      </c>
      <c r="CJ3" s="299" t="str">
        <f>IF(AND(CH3&lt;&gt;"",CI3&lt;&gt;"",LEFT(B3,3)="ITD"),AP3,"")</f>
        <v/>
      </c>
      <c r="CK3" s="305" t="str">
        <f>IF(CJ3&lt;&gt;"",BT3,"")</f>
        <v/>
      </c>
      <c r="CL3" s="301"/>
      <c r="CM3" s="305" t="str">
        <f>IFERROR(VLOOKUP(Q3,'Elenco Casse'!$D$4:$F$292,3,FALSE),"")</f>
        <v/>
      </c>
      <c r="CN3" s="301"/>
      <c r="CO3" s="305" t="str">
        <f>IFERROR(VLOOKUP(S3,'Elenco Casse'!$D$4:$F$292,3,FALSE),"")</f>
        <v/>
      </c>
      <c r="CP3" s="305" t="str">
        <f>IFERROR(IF(VLOOKUP($E3,Outlist!$A$5:$S$120,19,FALSE)&lt;&gt;0,"Y",""),"")</f>
        <v/>
      </c>
      <c r="CQ3" s="301"/>
      <c r="CR3" s="305" t="str">
        <f>CONCATENATE($B3,$E3,$G3)</f>
        <v>ITD12409OS30.291666666666667</v>
      </c>
      <c r="CS3" s="301"/>
      <c r="CT3" s="305" t="e">
        <f>VLOOKUP(Out_Table[[#This Row],[Destination             ORANGE (From Planning)]],Outlist!$A$5:$W$120,22,FALSE)</f>
        <v>#N/A</v>
      </c>
    </row>
    <row r="4" spans="1:98" s="20" customFormat="1" ht="15">
      <c r="A4" s="305" t="str">
        <f>$CR4</f>
        <v>ITD11811OS30.25</v>
      </c>
      <c r="B4" s="284" t="s">
        <v>429</v>
      </c>
      <c r="C4" s="290" t="str">
        <f>IFERROR(IF(LEFT(B4,3)='STAT 77'!$X$2,_xlfn.XLOOKUP(B4,'STAT 77'!C:C,'STAT 77'!B:B),_xlfn.XLOOKUP(B4,'STAT 77'!B:B,'STAT 77'!C:C)),"NON TROVATO")</f>
        <v>ITD30236</v>
      </c>
      <c r="D4" s="25" t="s">
        <v>426</v>
      </c>
      <c r="E4" s="290" t="s">
        <v>416</v>
      </c>
      <c r="F4" s="290" t="str">
        <f>IFERROR(VLOOKUP(E4,'Cambio O2P'!C:E,2,FALSE),"")</f>
        <v>SUFA</v>
      </c>
      <c r="G4" s="285">
        <v>0.25</v>
      </c>
      <c r="H4" s="293">
        <f ca="1">IFERROR(IF(AND('INformazioni per calcoli'!$AB$3&lt;(--"14:30"),'INformazioni per calcoli'!$AB$3&gt;(--"10:00")),"",IF($B4="","",IF($X4&lt;&gt;"","Mezzo Chiuso",IF($W4="","Non al Carico",IF($G4-'INformazioni per calcoli'!$AB$5-'INformazioni per calcoli'!$AB$3+$J4&lt;0,"LFLS",IF($K4&lt;&gt;"","Safe Parking",IF($W4&lt;&gt;"",IF($E4="MXP",$G4-'INformazioni per calcoli'!$AB$6-'INformazioni per calcoli'!$AB$3+$J4,$G4-'INformazioni per calcoli'!$AB$5-'INformazioni per calcoli'!$AB$3+$J4),"Non al carico"))))))),"")</f>
        <v>9.0648148148148144E-2</v>
      </c>
      <c r="I4" s="17" t="str">
        <f ca="1">IFERROR(IF($H4&lt;&gt;"",IF($H4="Safe Parking","",IF($W4&lt;&gt;"",IF(AND($U4="X",$V4="X"),$H4-(--"00:30"),""),IF($X4&lt;&gt;"","Mezzo Chiuso","Non al carico"))),""),"")</f>
        <v/>
      </c>
      <c r="J4" s="306">
        <f ca="1">IFERROR(IF($B4&lt;&gt;"",IF(AND('INformazioni per calcoli'!$AB$3&lt;(--"15:00"),'INformazioni per calcoli'!$AB$3&gt;(--"00:00")),0,IF($G4&lt;(--"18:30"),"+1",0)),""),"")</f>
        <v>0</v>
      </c>
      <c r="K4" s="27"/>
      <c r="L4" s="25" t="s">
        <v>430</v>
      </c>
      <c r="M4" s="25" t="str">
        <f>IFERROR(_xlfn.XLOOKUP($Q4,'Elenco Casse'!$D:$D,'Elenco Casse'!$E:$E),"")</f>
        <v>Trans Speedy S.R.L</v>
      </c>
      <c r="N4" s="25">
        <f>IFERROR(_xlfn.XLOOKUP($Q4,'Elenco Casse'!$D:$D,'Elenco Casse'!$F:$F),"")</f>
        <v>0</v>
      </c>
      <c r="O4" s="286" t="s">
        <v>418</v>
      </c>
      <c r="P4" s="295" t="str">
        <f>IFERROR(_xlfn.XLOOKUP($Q4,'Elenco Casse'!$D:$D,'Elenco Casse'!$G:$G),"")</f>
        <v>trailer 80 m3 2/3 axles</v>
      </c>
      <c r="Q4" s="355" t="s">
        <v>431</v>
      </c>
      <c r="R4" s="23" t="s">
        <v>420</v>
      </c>
      <c r="S4" s="25" t="s">
        <v>421</v>
      </c>
      <c r="T4" s="25" t="s">
        <v>432</v>
      </c>
      <c r="U4" s="23" t="str">
        <f>IF(ISNUMBER(SEARCH("Parcel",$T4)),"X","")</f>
        <v>X</v>
      </c>
      <c r="V4" s="23" t="str">
        <f>IF(ISNUMBER(SEARCH("Freight",$T4)),"X","")</f>
        <v/>
      </c>
      <c r="W4" s="26">
        <v>303</v>
      </c>
      <c r="X4" s="27"/>
      <c r="Y4" s="25"/>
      <c r="Z4" s="25"/>
      <c r="AA4" s="25" t="s">
        <v>40</v>
      </c>
      <c r="AB4" s="57"/>
      <c r="AC4" s="25"/>
      <c r="AD4" s="25"/>
      <c r="AE4" s="57"/>
      <c r="AF4" s="57"/>
      <c r="AG4" s="25"/>
      <c r="AH4" s="57"/>
      <c r="AI4" s="339"/>
      <c r="AJ4" s="339"/>
      <c r="AK4" s="297" t="str">
        <f>IF(X4&lt;&gt;"",CONCATENATE(IF(AA4&lt;&gt;"",CONCATENATE(Z4," ",AA4," ",BI4),""),IF(AD4&lt;&gt;"",CONCATENATE(","," ",AC4," ",AD4," ",BJ4),""),IF(AG4&lt;&gt;"",CONCATENATE(","," ",AF4," ",AG4," ",BK4),""),IF(AJ4&lt;&gt;"",CONCATENATE(","," ","DD"," ",BL4),"")," ",IF(AI4&lt;&gt;"",CONCATENATE(" - ",AI4," Bag"),"")),"")</f>
        <v/>
      </c>
      <c r="AL4" s="287"/>
      <c r="AM4" s="287"/>
      <c r="AN4" s="287"/>
      <c r="AO4" s="287"/>
      <c r="AP4" s="370" t="str">
        <f>IFERROR(VLOOKUP(#REF!,Outlist!$A$5:$V$120,20,FALSE),"")</f>
        <v/>
      </c>
      <c r="AQ4" s="288" t="str">
        <f>IFERROR(IF(VLOOKUP($A4,#REF!,8,FALSE)&lt;&gt;"",VLOOKUP($A4,#REF!,8,FALSE),""),"")</f>
        <v/>
      </c>
      <c r="AS4" s="24"/>
      <c r="AT4" s="24">
        <v>7.6388888888888886E-3</v>
      </c>
      <c r="AU4" s="27"/>
      <c r="AV4" s="27"/>
      <c r="AX4" s="20" t="str">
        <f>IFERROR(IF(Out_Table[[#This Row],[Cancellazione linea]]="Cancellata","yes",""),"")</f>
        <v/>
      </c>
      <c r="AY4" s="72" t="str">
        <f>IF(BA4="",BZ4,IF(AND(BA4&lt;(--"23:59:59"),BA4&gt;(--"15:00:00"),G4&lt;(--"14:00:00"),G4&gt;(--"00:00:01")),"",IF(BA4&gt;G4,BZ4,"")))</f>
        <v/>
      </c>
      <c r="AZ4" s="27"/>
      <c r="BA4" s="32"/>
      <c r="BB4" s="72"/>
      <c r="BC4" s="72" t="str">
        <f>IFERROR(VLOOKUP(Out_Table[[#This Row],[Aggiornamento STATUS]],'INformazioni per calcoli'!$Y$70:$AA$76,2,FALSE),"")</f>
        <v/>
      </c>
      <c r="BD4" s="289"/>
      <c r="BE4" s="289"/>
      <c r="BF4" s="47" t="str">
        <f>LEFT($E4,3)</f>
        <v>OS3</v>
      </c>
      <c r="BG4" s="298" t="str">
        <f>IF(Out_Table[[#This Row],[Ora Uscita    (GH)]]&lt;&gt;"","x","")</f>
        <v/>
      </c>
      <c r="BH4" s="299">
        <f>VLOOKUP($O4,'INformazioni per calcoli'!$Y$20:$AA$23,3,FALSE)</f>
        <v>14</v>
      </c>
      <c r="BI4" s="299">
        <f>MROUND(Out_Table[[#This Row],[Mtr. Trailer]]*AB4,0.5)</f>
        <v>0</v>
      </c>
      <c r="BJ4" s="299">
        <f>MROUND(Out_Table[[#This Row],[Mtr. Trailer]]*AE4,0.5)</f>
        <v>0</v>
      </c>
      <c r="BK4" s="299">
        <f>MROUND(Out_Table[[#This Row],[Mtr. Trailer]]*AH4,0.5)</f>
        <v>0</v>
      </c>
      <c r="BL4" s="300">
        <f>Out_Table[[#This Row],[Double Deck trailer N° bumpers]]</f>
        <v>0</v>
      </c>
      <c r="BM4" s="301"/>
      <c r="BN4" s="299" t="str">
        <f>B4</f>
        <v>ITD11811</v>
      </c>
      <c r="BO4" s="299" t="str">
        <f>E4</f>
        <v>OS3</v>
      </c>
      <c r="BP4" s="302">
        <f>IF(AND(G4&gt;(--"00:00:01"),G4&lt;(--"15:00:00")),IF(AND(X4&gt;(--"00:00:01"),X4&lt;(--"15:00:00")),G4-X4,G4+1-X4),G4-X4)</f>
        <v>1.25</v>
      </c>
      <c r="BQ4" s="303">
        <f>AE4+AF4+AH4+AJ4</f>
        <v>0</v>
      </c>
      <c r="BR4" s="304" t="str">
        <f>IF(OR(BP4&lt;=(--"00:20:00"),BQ4&gt;=100%),"OK","Not OK")</f>
        <v>Not OK</v>
      </c>
      <c r="BS4" s="302">
        <f>IF(AND(G4&gt;(--"00:00:01"),G4&lt;(--"15:00:00")),IF(AND(AU4&gt;(--"00:00:01"),AU4&lt;(--"15:00:00")),G4-AU4,G4+1-AU4),G4-AU4)</f>
        <v>1.25</v>
      </c>
      <c r="BT4" s="302">
        <f>IF(AND(AZ4&gt;(--"00:00:01"),AZ4&lt;(--"15:00:00")),IF(AND(AU4&gt;(--"00:00:01"),AU4&lt;(--"15:00:00")),AZ4-AU4,AZ4+1-AU4),AZ4-AU4)</f>
        <v>0</v>
      </c>
      <c r="BU4" s="302">
        <f>IF(AND(BA4&gt;(--"00:00:01"),BA4&lt;(--"15:00:00")),IF(AND(AZ4&gt;(--"00:00:01"),AZ4&lt;(--"15:00:00")),BA4-AZ4,BA4+1-AZ4),BA4-AZ4)</f>
        <v>0</v>
      </c>
      <c r="BV4" s="299">
        <f>AV4</f>
        <v>0</v>
      </c>
      <c r="BW4" s="301"/>
      <c r="BX4" s="299" t="str">
        <f>IF(AV4="T Status",IF(AV4&lt;&gt;T4,"X",""),"")</f>
        <v/>
      </c>
      <c r="BY4" s="301"/>
      <c r="BZ4" s="299" t="str">
        <f>IF(X4&lt;&gt;"",IF(CC4="X","Driver Delay",IF(CA4="X","Paperwork Delay",IF(CB4="X","Late freight late sort",IF(CD4="X","Chiamare Control Room",IF(CE4="X","Chiamare Control Room",IF(CF4="X","Chiamare Control Room","")))))),"")</f>
        <v/>
      </c>
      <c r="CA4" s="302" t="str">
        <f>IF(K4="",IF(IF(AND(G4&gt;(--"00:00:01"),G4&lt;(--"15:00:00")),IF(AND(AT4&gt;(--"08:00:00"),AT4&lt;(--"23:59:59")),G4+1-AT4,G4-AT4),G4-AT4)&gt;(--"00:20:00"),"","X"),"")</f>
        <v/>
      </c>
      <c r="CB4" s="299" t="str">
        <f>IF(K4="",IF(BP4&gt;=(--"00:20:00"),"","X"),"")</f>
        <v/>
      </c>
      <c r="CC4" s="299" t="str">
        <f>IF(OR(AV4="Autista non presente",AV4="Dati driver non presenti"),"X","")</f>
        <v/>
      </c>
      <c r="CD4" s="299" t="str">
        <f>IF(K4="",IF(AND(CC4="",BS4&lt;(--"00:20:00")),"X",""),"")</f>
        <v/>
      </c>
      <c r="CE4" s="299" t="str">
        <f>IF(K4="",IF(BT4&gt;(--"00:15:00"),"X",""),IF(AZ4&lt;&gt;"",IF(G4-AZ4&gt;(--"00:30:00"),"X",""),""))</f>
        <v/>
      </c>
      <c r="CF4" s="299" t="str">
        <f>IF(AND(CA4="",CB4="",CC4="",CD4="",CE4=""),"X","")</f>
        <v>X</v>
      </c>
      <c r="CG4" s="301"/>
      <c r="CH4" s="299" t="str">
        <f>IF(BT4&gt;(--"00:15:00"),"X","")</f>
        <v/>
      </c>
      <c r="CI4" s="302" t="str">
        <f>AY4</f>
        <v/>
      </c>
      <c r="CJ4" s="299" t="str">
        <f>IF(AND(CH4&lt;&gt;"",CI4&lt;&gt;"",LEFT(B4,3)="ITD"),AP4,"")</f>
        <v/>
      </c>
      <c r="CK4" s="305" t="str">
        <f>IF(CJ4&lt;&gt;"",BT4,"")</f>
        <v/>
      </c>
      <c r="CL4" s="301"/>
      <c r="CM4" s="305" t="str">
        <f>IFERROR(VLOOKUP(Q4,'Elenco Casse'!$D$4:$F$292,3,FALSE),"")</f>
        <v/>
      </c>
      <c r="CN4" s="301"/>
      <c r="CO4" s="305" t="str">
        <f>IFERROR(VLOOKUP(S4,'Elenco Casse'!$D$4:$F$292,3,FALSE),"")</f>
        <v/>
      </c>
      <c r="CP4" s="305" t="str">
        <f>IFERROR(IF(VLOOKUP($E4,Outlist!$A$5:$S$120,19,FALSE)&lt;&gt;0,"Y",""),"")</f>
        <v/>
      </c>
      <c r="CQ4" s="301"/>
      <c r="CR4" s="305" t="str">
        <f>CONCATENATE($B4,$E4,$G4)</f>
        <v>ITD11811OS30.25</v>
      </c>
      <c r="CS4" s="301"/>
      <c r="CT4" s="305" t="e">
        <f>VLOOKUP(Out_Table[[#This Row],[Destination             ORANGE (From Planning)]],Outlist!$A$5:$W$120,22,FALSE)</f>
        <v>#N/A</v>
      </c>
    </row>
    <row r="5" spans="1:98" s="20" customFormat="1" ht="15">
      <c r="A5" s="305" t="str">
        <f>$CR5</f>
        <v>ITD12256BRG0.25</v>
      </c>
      <c r="B5" s="284" t="s">
        <v>433</v>
      </c>
      <c r="C5" s="290" t="str">
        <f>IFERROR(IF(LEFT(B5,3)='STAT 77'!$X$2,_xlfn.XLOOKUP(B5,'STAT 77'!C:C,'STAT 77'!B:B),_xlfn.XLOOKUP(B5,'STAT 77'!B:B,'STAT 77'!C:C)),"NON TROVATO")</f>
        <v>ITD32566</v>
      </c>
      <c r="D5" s="25" t="s">
        <v>434</v>
      </c>
      <c r="E5" s="290" t="s">
        <v>435</v>
      </c>
      <c r="F5" s="290" t="str">
        <f>IFERROR(VLOOKUP(E5,'Cambio O2P'!C:E,2,FALSE),"")</f>
        <v>BAUA</v>
      </c>
      <c r="G5" s="285">
        <v>0.25</v>
      </c>
      <c r="H5" s="293">
        <f ca="1">IFERROR(IF(AND('INformazioni per calcoli'!$AB$3&lt;(--"14:30"),'INformazioni per calcoli'!$AB$3&gt;(--"10:00")),"",IF($B5="","",IF($X5&lt;&gt;"","Mezzo Chiuso",IF($W5="","Non al Carico",IF($G5-'INformazioni per calcoli'!$AB$5-'INformazioni per calcoli'!$AB$3+$J5&lt;0,"LFLS",IF($K5&lt;&gt;"","Safe Parking",IF($W5&lt;&gt;"",IF($E5="MXP",$G5-'INformazioni per calcoli'!$AB$6-'INformazioni per calcoli'!$AB$3+$J5,$G5-'INformazioni per calcoli'!$AB$5-'INformazioni per calcoli'!$AB$3+$J5),"Non al carico"))))))),"")</f>
        <v>9.0648148148148144E-2</v>
      </c>
      <c r="I5" s="17" t="str">
        <f ca="1">IFERROR(IF($H5&lt;&gt;"",IF($H5="Safe Parking","",IF($W5&lt;&gt;"",IF(AND($U5="X",$V5="X"),$H5-(--"00:30"),""),IF($X5&lt;&gt;"","Mezzo Chiuso","Non al carico"))),""),"")</f>
        <v/>
      </c>
      <c r="J5" s="306">
        <f ca="1">IFERROR(IF($B5&lt;&gt;"",IF(AND('INformazioni per calcoli'!$AB$3&lt;(--"15:00"),'INformazioni per calcoli'!$AB$3&gt;(--"00:00")),0,IF($G5&lt;(--"18:30"),"+1",0)),""),"")</f>
        <v>0</v>
      </c>
      <c r="K5" s="17"/>
      <c r="L5" s="25" t="s">
        <v>436</v>
      </c>
      <c r="M5" s="25" t="str">
        <f>IFERROR(_xlfn.XLOOKUP($Q5,'Elenco Casse'!$D:$D,'Elenco Casse'!$E:$E),"")</f>
        <v/>
      </c>
      <c r="N5" s="25" t="str">
        <f>IFERROR(_xlfn.XLOOKUP($Q5,'Elenco Casse'!$D:$D,'Elenco Casse'!$F:$F),"")</f>
        <v/>
      </c>
      <c r="O5" s="286" t="s">
        <v>418</v>
      </c>
      <c r="P5" s="295" t="str">
        <f>IFERROR(_xlfn.XLOOKUP($Q5,'Elenco Casse'!$D:$D,'Elenco Casse'!$G:$G),"")</f>
        <v/>
      </c>
      <c r="Q5" s="355" t="s">
        <v>437</v>
      </c>
      <c r="R5" s="23" t="s">
        <v>420</v>
      </c>
      <c r="S5" s="25" t="s">
        <v>421</v>
      </c>
      <c r="T5" s="25" t="s">
        <v>432</v>
      </c>
      <c r="U5" s="23" t="str">
        <f>IF(ISNUMBER(SEARCH("Parcel",$T5)),"X","")</f>
        <v>X</v>
      </c>
      <c r="V5" s="23" t="str">
        <f>IF(ISNUMBER(SEARCH("Freight",$T5)),"X","")</f>
        <v/>
      </c>
      <c r="W5" s="26">
        <v>304</v>
      </c>
      <c r="X5" s="27"/>
      <c r="Y5" s="25"/>
      <c r="Z5" s="25"/>
      <c r="AA5" s="25" t="s">
        <v>40</v>
      </c>
      <c r="AB5" s="57"/>
      <c r="AC5" s="25"/>
      <c r="AD5" s="25"/>
      <c r="AE5" s="57"/>
      <c r="AF5" s="57"/>
      <c r="AG5" s="25"/>
      <c r="AH5" s="57"/>
      <c r="AI5" s="339"/>
      <c r="AJ5" s="339"/>
      <c r="AK5" s="297" t="str">
        <f>IF(X5&lt;&gt;"",CONCATENATE(IF(AA5&lt;&gt;"",CONCATENATE(Z5," ",AA5," ",BI5),""),IF(AD5&lt;&gt;"",CONCATENATE(","," ",AC5," ",AD5," ",BJ5),""),IF(AG5&lt;&gt;"",CONCATENATE(","," ",AF5," ",AG5," ",BK5),""),IF(AJ5&lt;&gt;"",CONCATENATE(","," ","DD"," ",BL5),"")," ",IF(AI5&lt;&gt;"",CONCATENATE(" - ",AI5," Bag"),"")),"")</f>
        <v/>
      </c>
      <c r="AL5" s="287"/>
      <c r="AM5" s="287"/>
      <c r="AN5" s="287"/>
      <c r="AO5" s="287"/>
      <c r="AP5" s="370" t="str">
        <f>IFERROR(VLOOKUP(#REF!,Outlist!$A$5:$V$120,20,FALSE),"")</f>
        <v/>
      </c>
      <c r="AQ5" s="288" t="str">
        <f>IFERROR(IF(VLOOKUP($A5,#REF!,8,FALSE)&lt;&gt;"",VLOOKUP($A5,#REF!,8,FALSE),""),"")</f>
        <v/>
      </c>
      <c r="AS5" s="24"/>
      <c r="AT5" s="24">
        <v>1.6666666666666666E-2</v>
      </c>
      <c r="AU5" s="27"/>
      <c r="AV5" s="27"/>
      <c r="AX5" s="20" t="str">
        <f>IFERROR(IF(Out_Table[[#This Row],[Cancellazione linea]]="Cancellata","yes",""),"")</f>
        <v/>
      </c>
      <c r="AY5" s="72" t="str">
        <f>IF(BA5="",BZ5,IF(AND(BA5&lt;(--"23:59:59"),BA5&gt;(--"15:00:00"),G5&lt;(--"14:00:00"),G5&gt;(--"00:00:01")),"",IF(BA5&gt;G5,BZ5,"")))</f>
        <v/>
      </c>
      <c r="AZ5" s="27"/>
      <c r="BA5" s="32"/>
      <c r="BB5" s="72"/>
      <c r="BC5" s="72" t="str">
        <f>IFERROR(VLOOKUP(Out_Table[[#This Row],[Aggiornamento STATUS]],'INformazioni per calcoli'!$Y$70:$AA$76,2,FALSE),"")</f>
        <v/>
      </c>
      <c r="BD5" s="289"/>
      <c r="BE5" s="289"/>
      <c r="BF5" s="47" t="str">
        <f>LEFT($E5,3)</f>
        <v>BRG</v>
      </c>
      <c r="BG5" s="298" t="str">
        <f>IF(Out_Table[[#This Row],[Ora Uscita    (GH)]]&lt;&gt;"","x","")</f>
        <v/>
      </c>
      <c r="BH5" s="299">
        <f>VLOOKUP($O5,'INformazioni per calcoli'!$Y$20:$AA$23,3,FALSE)</f>
        <v>14</v>
      </c>
      <c r="BI5" s="299">
        <f>MROUND(Out_Table[[#This Row],[Mtr. Trailer]]*AB5,0.5)</f>
        <v>0</v>
      </c>
      <c r="BJ5" s="299">
        <f>MROUND(Out_Table[[#This Row],[Mtr. Trailer]]*AE5,0.5)</f>
        <v>0</v>
      </c>
      <c r="BK5" s="299">
        <f>MROUND(Out_Table[[#This Row],[Mtr. Trailer]]*AH5,0.5)</f>
        <v>0</v>
      </c>
      <c r="BL5" s="300">
        <f>Out_Table[[#This Row],[Double Deck trailer N° bumpers]]</f>
        <v>0</v>
      </c>
      <c r="BM5" s="301"/>
      <c r="BN5" s="299" t="str">
        <f>B5</f>
        <v>ITD12256</v>
      </c>
      <c r="BO5" s="299" t="str">
        <f>E5</f>
        <v>BRG</v>
      </c>
      <c r="BP5" s="302">
        <f>IF(AND(G5&gt;(--"00:00:01"),G5&lt;(--"15:00:00")),IF(AND(X5&gt;(--"00:00:01"),X5&lt;(--"15:00:00")),G5-X5,G5+1-X5),G5-X5)</f>
        <v>1.25</v>
      </c>
      <c r="BQ5" s="303">
        <f>AE5+AF5+AH5+AJ5</f>
        <v>0</v>
      </c>
      <c r="BR5" s="304" t="str">
        <f>IF(OR(BP5&lt;=(--"00:20:00"),BQ5&gt;=100%),"OK","Not OK")</f>
        <v>Not OK</v>
      </c>
      <c r="BS5" s="302">
        <f>IF(AND(G5&gt;(--"00:00:01"),G5&lt;(--"15:00:00")),IF(AND(AU5&gt;(--"00:00:01"),AU5&lt;(--"15:00:00")),G5-AU5,G5+1-AU5),G5-AU5)</f>
        <v>1.25</v>
      </c>
      <c r="BT5" s="302">
        <f>IF(AND(AZ5&gt;(--"00:00:01"),AZ5&lt;(--"15:00:00")),IF(AND(AU5&gt;(--"00:00:01"),AU5&lt;(--"15:00:00")),AZ5-AU5,AZ5+1-AU5),AZ5-AU5)</f>
        <v>0</v>
      </c>
      <c r="BU5" s="302">
        <f>IF(AND(BA5&gt;(--"00:00:01"),BA5&lt;(--"15:00:00")),IF(AND(AZ5&gt;(--"00:00:01"),AZ5&lt;(--"15:00:00")),BA5-AZ5,BA5+1-AZ5),BA5-AZ5)</f>
        <v>0</v>
      </c>
      <c r="BV5" s="299">
        <f>AV5</f>
        <v>0</v>
      </c>
      <c r="BW5" s="301"/>
      <c r="BX5" s="299" t="str">
        <f>IF(AV5="T Status",IF(AV5&lt;&gt;T5,"X",""),"")</f>
        <v/>
      </c>
      <c r="BY5" s="301"/>
      <c r="BZ5" s="299" t="str">
        <f>IF(X5&lt;&gt;"",IF(CC5="X","Driver Delay",IF(CA5="X","Paperwork Delay",IF(CB5="X","Late freight late sort",IF(CD5="X","Chiamare Control Room",IF(CE5="X","Chiamare Control Room",IF(CF5="X","Chiamare Control Room","")))))),"")</f>
        <v/>
      </c>
      <c r="CA5" s="302" t="str">
        <f>IF(K5="",IF(IF(AND(G5&gt;(--"00:00:01"),G5&lt;(--"15:00:00")),IF(AND(AT5&gt;(--"08:00:00"),AT5&lt;(--"23:59:59")),G5+1-AT5,G5-AT5),G5-AT5)&gt;(--"00:20:00"),"","X"),"")</f>
        <v/>
      </c>
      <c r="CB5" s="299" t="str">
        <f>IF(K5="",IF(BP5&gt;=(--"00:20:00"),"","X"),"")</f>
        <v/>
      </c>
      <c r="CC5" s="299" t="str">
        <f>IF(OR(AV5="Autista non presente",AV5="Dati driver non presenti"),"X","")</f>
        <v/>
      </c>
      <c r="CD5" s="299" t="str">
        <f>IF(K5="",IF(AND(CC5="",BS5&lt;(--"00:20:00")),"X",""),"")</f>
        <v/>
      </c>
      <c r="CE5" s="299" t="str">
        <f>IF(K5="",IF(BT5&gt;(--"00:15:00"),"X",""),IF(AZ5&lt;&gt;"",IF(G5-AZ5&gt;(--"00:30:00"),"X",""),""))</f>
        <v/>
      </c>
      <c r="CF5" s="299" t="str">
        <f>IF(AND(CA5="",CB5="",CC5="",CD5="",CE5=""),"X","")</f>
        <v>X</v>
      </c>
      <c r="CG5" s="301"/>
      <c r="CH5" s="299" t="str">
        <f>IF(BT5&gt;(--"00:15:00"),"X","")</f>
        <v/>
      </c>
      <c r="CI5" s="302" t="str">
        <f>AY5</f>
        <v/>
      </c>
      <c r="CJ5" s="299" t="str">
        <f>IF(AND(CH5&lt;&gt;"",CI5&lt;&gt;"",LEFT(B5,3)="ITD"),AP5,"")</f>
        <v/>
      </c>
      <c r="CK5" s="305" t="str">
        <f>IF(CJ5&lt;&gt;"",BT5,"")</f>
        <v/>
      </c>
      <c r="CL5" s="301"/>
      <c r="CM5" s="305" t="str">
        <f>IFERROR(VLOOKUP(Q5,'Elenco Casse'!$D$4:$F$292,3,FALSE),"")</f>
        <v/>
      </c>
      <c r="CN5" s="301"/>
      <c r="CO5" s="305" t="str">
        <f>IFERROR(VLOOKUP(S5,'Elenco Casse'!$D$4:$F$292,3,FALSE),"")</f>
        <v/>
      </c>
      <c r="CP5" s="305" t="str">
        <f>IFERROR(IF(VLOOKUP($E5,Outlist!$A$5:$S$120,19,FALSE)&lt;&gt;0,"Y",""),"")</f>
        <v/>
      </c>
      <c r="CQ5" s="301"/>
      <c r="CR5" s="305" t="str">
        <f>CONCATENATE($B5,$E5,$G5)</f>
        <v>ITD12256BRG0.25</v>
      </c>
      <c r="CS5" s="301"/>
      <c r="CT5" s="305" t="e">
        <f>VLOOKUP(Out_Table[[#This Row],[Destination             ORANGE (From Planning)]],Outlist!$A$5:$W$120,22,FALSE)</f>
        <v>#N/A</v>
      </c>
    </row>
    <row r="6" spans="1:98" s="20" customFormat="1" ht="30.75">
      <c r="A6" s="305" t="str">
        <f>$CR6</f>
        <v>ITD12254BRG0.149305555555556</v>
      </c>
      <c r="B6" s="284" t="s">
        <v>438</v>
      </c>
      <c r="C6" s="290" t="str">
        <f>IFERROR(IF(LEFT(B6,3)='STAT 77'!$X$2,_xlfn.XLOOKUP(B6,'STAT 77'!C:C,'STAT 77'!B:B),_xlfn.XLOOKUP(B6,'STAT 77'!B:B,'STAT 77'!C:C)),"NON TROVATO")</f>
        <v>ITD32622</v>
      </c>
      <c r="D6" s="25" t="s">
        <v>439</v>
      </c>
      <c r="E6" s="290" t="s">
        <v>435</v>
      </c>
      <c r="F6" s="290" t="str">
        <f>IFERROR(VLOOKUP(E6,'Cambio O2P'!C:E,2,FALSE),"")</f>
        <v>BAUA</v>
      </c>
      <c r="G6" s="285">
        <v>0.14930555555555555</v>
      </c>
      <c r="H6" s="293" t="str">
        <f ca="1">IFERROR(IF(AND('INformazioni per calcoli'!$AB$3&lt;(--"14:30"),'INformazioni per calcoli'!$AB$3&gt;(--"10:00")),"",IF($B6="","",IF($X6&lt;&gt;"","Mezzo Chiuso",IF($W6="","Non al Carico",IF($G6-'INformazioni per calcoli'!$AB$5-'INformazioni per calcoli'!$AB$3+$J6&lt;0,"LFLS",IF($K6&lt;&gt;"","Safe Parking",IF($W6&lt;&gt;"",IF($E6="MXP",$G6-'INformazioni per calcoli'!$AB$6-'INformazioni per calcoli'!$AB$3+$J6,$G6-'INformazioni per calcoli'!$AB$5-'INformazioni per calcoli'!$AB$3+$J6),"Non al carico"))))))),"")</f>
        <v>Mezzo Chiuso</v>
      </c>
      <c r="I6" s="17" t="str">
        <f ca="1">IFERROR(IF($H6&lt;&gt;"",IF($H6="Safe Parking","",IF($W6&lt;&gt;"",IF(AND($U6="X",$V6="X"),$H6-(--"00:30"),""),IF($X6&lt;&gt;"","Mezzo Chiuso","Non al carico"))),""),"")</f>
        <v/>
      </c>
      <c r="J6" s="306">
        <f ca="1">IFERROR(IF($B6&lt;&gt;"",IF(AND('INformazioni per calcoli'!$AB$3&lt;(--"15:00"),'INformazioni per calcoli'!$AB$3&gt;(--"00:00")),0,IF($G6&lt;(--"18:30"),"+1",0)),""),"")</f>
        <v>0</v>
      </c>
      <c r="K6" s="17"/>
      <c r="L6" s="25" t="s">
        <v>436</v>
      </c>
      <c r="M6" s="25" t="str">
        <f>IFERROR(_xlfn.XLOOKUP($Q6,'Elenco Casse'!$D:$D,'Elenco Casse'!$E:$E),"")</f>
        <v>Cornali Autotrasporti Srl</v>
      </c>
      <c r="N6" s="25">
        <f>IFERROR(_xlfn.XLOOKUP($Q6,'Elenco Casse'!$D:$D,'Elenco Casse'!$F:$F),"")</f>
        <v>0</v>
      </c>
      <c r="O6" s="286" t="s">
        <v>418</v>
      </c>
      <c r="P6" s="295" t="str">
        <f>IFERROR(_xlfn.XLOOKUP($Q6,'Elenco Casse'!$D:$D,'Elenco Casse'!$G:$G),"")</f>
        <v>trailer 80 m3 2/3 axes</v>
      </c>
      <c r="Q6" s="355" t="s">
        <v>440</v>
      </c>
      <c r="R6" s="23" t="s">
        <v>420</v>
      </c>
      <c r="S6" s="25" t="s">
        <v>421</v>
      </c>
      <c r="T6" s="25" t="s">
        <v>432</v>
      </c>
      <c r="U6" s="23" t="str">
        <f>IF(ISNUMBER(SEARCH("Parcel",$T6)),"X","")</f>
        <v>X</v>
      </c>
      <c r="V6" s="23" t="str">
        <f>IF(ISNUMBER(SEARCH("Freight",$T6)),"X","")</f>
        <v/>
      </c>
      <c r="W6" s="26">
        <v>304</v>
      </c>
      <c r="X6" s="27">
        <v>0.99583333333333335</v>
      </c>
      <c r="Y6" s="25" t="s">
        <v>441</v>
      </c>
      <c r="Z6" s="25"/>
      <c r="AA6" s="25" t="s">
        <v>40</v>
      </c>
      <c r="AB6" s="57">
        <v>1</v>
      </c>
      <c r="AC6" s="25"/>
      <c r="AD6" s="25"/>
      <c r="AE6" s="57"/>
      <c r="AF6" s="57"/>
      <c r="AG6" s="25"/>
      <c r="AH6" s="57"/>
      <c r="AI6" s="339">
        <v>13</v>
      </c>
      <c r="AJ6" s="339"/>
      <c r="AK6" s="297" t="str">
        <f>IF(X6&lt;&gt;"",CONCATENATE(IF(AA6&lt;&gt;"",CONCATENATE(Z6," ",AA6," ",BI6),""),IF(AD6&lt;&gt;"",CONCATENATE(","," ",AC6," ",AD6," ",BJ6),""),IF(AG6&lt;&gt;"",CONCATENATE(","," ",AF6," ",AG6," ",BK6),""),IF(AJ6&lt;&gt;"",CONCATENATE(","," ","DD"," ",BL6),"")," ",IF(AI6&lt;&gt;"",CONCATENATE(" - ",AI6," Bag"),"")),"")</f>
        <v xml:space="preserve"> LL 14  - 13 Bag</v>
      </c>
      <c r="AL6" s="287" t="s">
        <v>421</v>
      </c>
      <c r="AM6" s="287"/>
      <c r="AN6" s="287"/>
      <c r="AO6" s="287"/>
      <c r="AP6" s="370" t="str">
        <f>IFERROR(VLOOKUP(#REF!,Outlist!$A$5:$V$120,20,FALSE),"")</f>
        <v/>
      </c>
      <c r="AQ6" s="288" t="s">
        <v>442</v>
      </c>
      <c r="AS6" s="24"/>
      <c r="AT6" s="24">
        <v>0.93819444444444444</v>
      </c>
      <c r="AU6" s="27">
        <v>1.5972222222222221E-2</v>
      </c>
      <c r="AV6" s="27"/>
      <c r="AW6" s="20" t="s">
        <v>443</v>
      </c>
      <c r="AX6" s="20" t="str">
        <f>IFERROR(IF(Out_Table[[#This Row],[Cancellazione linea]]="Cancellata","yes",""),"")</f>
        <v/>
      </c>
      <c r="AY6" s="72" t="str">
        <f>IF(BA6="",BZ6,IF(AND(BA6&lt;(--"23:59:59"),BA6&gt;(--"15:00:00"),G6&lt;(--"14:00:00"),G6&gt;(--"00:00:01")),"",IF(BA6&gt;G6,BZ6,"")))</f>
        <v/>
      </c>
      <c r="AZ6" s="27">
        <v>0.11597222222222223</v>
      </c>
      <c r="BA6" s="32">
        <v>0.125</v>
      </c>
      <c r="BB6" s="72"/>
      <c r="BC6" s="72" t="str">
        <f>IFERROR(VLOOKUP(Out_Table[[#This Row],[Aggiornamento STATUS]],'INformazioni per calcoli'!$Y$70:$AA$76,2,FALSE),"")</f>
        <v/>
      </c>
      <c r="BD6" s="289"/>
      <c r="BE6" s="289"/>
      <c r="BF6" s="47" t="str">
        <f>LEFT($E6,3)</f>
        <v>BRG</v>
      </c>
      <c r="BG6" s="298" t="str">
        <f>IF(Out_Table[[#This Row],[Ora Uscita    (GH)]]&lt;&gt;"","x","")</f>
        <v>x</v>
      </c>
      <c r="BH6" s="299">
        <f>VLOOKUP($O6,'INformazioni per calcoli'!$Y$20:$AA$23,3,FALSE)</f>
        <v>14</v>
      </c>
      <c r="BI6" s="299">
        <f>MROUND(Out_Table[[#This Row],[Mtr. Trailer]]*AB6,0.5)</f>
        <v>14</v>
      </c>
      <c r="BJ6" s="299">
        <f>MROUND(Out_Table[[#This Row],[Mtr. Trailer]]*AE6,0.5)</f>
        <v>0</v>
      </c>
      <c r="BK6" s="299">
        <f>MROUND(Out_Table[[#This Row],[Mtr. Trailer]]*AH6,0.5)</f>
        <v>0</v>
      </c>
      <c r="BL6" s="300">
        <f>Out_Table[[#This Row],[Double Deck trailer N° bumpers]]</f>
        <v>0</v>
      </c>
      <c r="BM6" s="301"/>
      <c r="BN6" s="299" t="str">
        <f>B6</f>
        <v>ITD12254</v>
      </c>
      <c r="BO6" s="299" t="str">
        <f>E6</f>
        <v>BRG</v>
      </c>
      <c r="BP6" s="302">
        <f>IF(AND(G6&gt;(--"00:00:01"),G6&lt;(--"15:00:00")),IF(AND(X6&gt;(--"00:00:01"),X6&lt;(--"15:00:00")),G6-X6,G6+1-X6),G6-X6)</f>
        <v>0.15347222222222223</v>
      </c>
      <c r="BQ6" s="303">
        <f>AE6+AF6+AH6+AJ6</f>
        <v>0</v>
      </c>
      <c r="BR6" s="304" t="str">
        <f>IF(OR(BP6&lt;=(--"00:20:00"),BQ6&gt;=100%),"OK","Not OK")</f>
        <v>Not OK</v>
      </c>
      <c r="BS6" s="302">
        <f>IF(AND(G6&gt;(--"00:00:01"),G6&lt;(--"15:00:00")),IF(AND(AU6&gt;(--"00:00:01"),AU6&lt;(--"15:00:00")),G6-AU6,G6+1-AU6),G6-AU6)</f>
        <v>0.13333333333333333</v>
      </c>
      <c r="BT6" s="302">
        <f>IF(AND(AZ6&gt;(--"00:00:01"),AZ6&lt;(--"15:00:00")),IF(AND(AU6&gt;(--"00:00:01"),AU6&lt;(--"15:00:00")),AZ6-AU6,AZ6+1-AU6),AZ6-AU6)</f>
        <v>0.1</v>
      </c>
      <c r="BU6" s="302">
        <f>IF(AND(BA6&gt;(--"00:00:01"),BA6&lt;(--"15:00:00")),IF(AND(AZ6&gt;(--"00:00:01"),AZ6&lt;(--"15:00:00")),BA6-AZ6,BA6+1-AZ6),BA6-AZ6)</f>
        <v>9.0277777777777735E-3</v>
      </c>
      <c r="BV6" s="299">
        <f>AV6</f>
        <v>0</v>
      </c>
      <c r="BW6" s="301"/>
      <c r="BX6" s="299" t="str">
        <f>IF(AV6="T Status",IF(AV6&lt;&gt;T6,"X",""),"")</f>
        <v/>
      </c>
      <c r="BY6" s="301"/>
      <c r="BZ6" s="299" t="str">
        <f>IF(X6&lt;&gt;"",IF(CC6="X","Driver Delay",IF(CA6="X","Paperwork Delay",IF(CB6="X","Late freight late sort",IF(CD6="X","Chiamare Control Room",IF(CE6="X","Chiamare Control Room",IF(CF6="X","Chiamare Control Room","")))))),"")</f>
        <v>Chiamare Control Room</v>
      </c>
      <c r="CA6" s="302" t="str">
        <f>IF(K6="",IF(IF(AND(G6&gt;(--"00:00:01"),G6&lt;(--"15:00:00")),IF(AND(AT6&gt;(--"08:00:00"),AT6&lt;(--"23:59:59")),G6+1-AT6,G6-AT6),G6-AT6)&gt;(--"00:20:00"),"","X"),"")</f>
        <v/>
      </c>
      <c r="CB6" s="299" t="str">
        <f>IF(K6="",IF(BP6&gt;=(--"00:20:00"),"","X"),"")</f>
        <v/>
      </c>
      <c r="CC6" s="299" t="str">
        <f>IF(OR(AV6="Autista non presente",AV6="Dati driver non presenti"),"X","")</f>
        <v/>
      </c>
      <c r="CD6" s="299" t="str">
        <f>IF(K6="",IF(AND(CC6="",BS6&lt;(--"00:20:00")),"X",""),"")</f>
        <v/>
      </c>
      <c r="CE6" s="299" t="str">
        <f>IF(K6="",IF(BT6&gt;(--"00:15:00"),"X",""),IF(AZ6&lt;&gt;"",IF(G6-AZ6&gt;(--"00:30:00"),"X",""),""))</f>
        <v>X</v>
      </c>
      <c r="CF6" s="299" t="str">
        <f>IF(AND(CA6="",CB6="",CC6="",CD6="",CE6=""),"X","")</f>
        <v/>
      </c>
      <c r="CG6" s="301"/>
      <c r="CH6" s="299" t="str">
        <f>IF(BT6&gt;(--"00:15:00"),"X","")</f>
        <v>X</v>
      </c>
      <c r="CI6" s="302" t="str">
        <f>AY6</f>
        <v/>
      </c>
      <c r="CJ6" s="299" t="str">
        <f>IF(AND(CH6&lt;&gt;"",CI6&lt;&gt;"",LEFT(B6,3)="ITD"),AP6,"")</f>
        <v/>
      </c>
      <c r="CK6" s="305" t="str">
        <f>IF(CJ6&lt;&gt;"",BT6,"")</f>
        <v/>
      </c>
      <c r="CL6" s="301"/>
      <c r="CM6" s="305" t="str">
        <f>IFERROR(VLOOKUP(Q6,'Elenco Casse'!$D$4:$F$292,3,FALSE),"")</f>
        <v/>
      </c>
      <c r="CN6" s="301"/>
      <c r="CO6" s="305" t="str">
        <f>IFERROR(VLOOKUP(S6,'Elenco Casse'!$D$4:$F$292,3,FALSE),"")</f>
        <v/>
      </c>
      <c r="CP6" s="305" t="str">
        <f>IFERROR(IF(VLOOKUP($E6,Outlist!$A$5:$S$120,19,FALSE)&lt;&gt;0,"Y",""),"")</f>
        <v/>
      </c>
      <c r="CQ6" s="301"/>
      <c r="CR6" s="305" t="str">
        <f>CONCATENATE($B6,$E6,$G6)</f>
        <v>ITD12254BRG0.149305555555556</v>
      </c>
      <c r="CS6" s="301"/>
      <c r="CT6" s="305" t="e">
        <f>VLOOKUP(Out_Table[[#This Row],[Destination             ORANGE (From Planning)]],Outlist!$A$5:$W$120,22,FALSE)</f>
        <v>#N/A</v>
      </c>
    </row>
    <row r="7" spans="1:98" s="20" customFormat="1" ht="15">
      <c r="A7" s="305" t="str">
        <f>$CR7</f>
        <v>ITD12250BRG0.208333333333333</v>
      </c>
      <c r="B7" s="284" t="s">
        <v>444</v>
      </c>
      <c r="C7" s="290" t="str">
        <f>IFERROR(IF(LEFT(B7,3)='STAT 77'!$X$2,_xlfn.XLOOKUP(B7,'STAT 77'!C:C,'STAT 77'!B:B),_xlfn.XLOOKUP(B7,'STAT 77'!B:B,'STAT 77'!C:C)),"NON TROVATO")</f>
        <v>ITD31199</v>
      </c>
      <c r="D7" s="25" t="s">
        <v>445</v>
      </c>
      <c r="E7" s="290" t="s">
        <v>435</v>
      </c>
      <c r="F7" s="290" t="str">
        <f>IFERROR(VLOOKUP(E7,'Cambio O2P'!C:E,2,FALSE),"")</f>
        <v>BAUA</v>
      </c>
      <c r="G7" s="285">
        <v>0.20833333333333334</v>
      </c>
      <c r="H7" s="293" t="str">
        <f ca="1">IFERROR(IF(AND('INformazioni per calcoli'!$AB$3&lt;(--"14:30"),'INformazioni per calcoli'!$AB$3&gt;(--"10:00")),"",IF($B7="","",IF($X7&lt;&gt;"","Mezzo Chiuso",IF($W7="","Non al Carico",IF($G7-'INformazioni per calcoli'!$AB$5-'INformazioni per calcoli'!$AB$3+$J7&lt;0,"LFLS",IF($K7&lt;&gt;"","Safe Parking",IF($W7&lt;&gt;"",IF($E7="MXP",$G7-'INformazioni per calcoli'!$AB$6-'INformazioni per calcoli'!$AB$3+$J7,$G7-'INformazioni per calcoli'!$AB$5-'INformazioni per calcoli'!$AB$3+$J7),"Non al carico"))))))),"")</f>
        <v>Mezzo Chiuso</v>
      </c>
      <c r="I7" s="17" t="str">
        <f ca="1">IFERROR(IF($H7&lt;&gt;"",IF($H7="Safe Parking","",IF($W7&lt;&gt;"",IF(AND($U7="X",$V7="X"),$H7-(--"00:30"),""),IF($X7&lt;&gt;"","Mezzo Chiuso","Non al carico"))),""),"")</f>
        <v/>
      </c>
      <c r="J7" s="306">
        <f ca="1">IFERROR(IF($B7&lt;&gt;"",IF(AND('INformazioni per calcoli'!$AB$3&lt;(--"15:00"),'INformazioni per calcoli'!$AB$3&gt;(--"00:00")),0,IF($G7&lt;(--"18:30"),"+1",0)),""),"")</f>
        <v>0</v>
      </c>
      <c r="K7" s="17"/>
      <c r="L7" s="25" t="s">
        <v>446</v>
      </c>
      <c r="M7" s="25" t="str">
        <f>IFERROR(_xlfn.XLOOKUP($Q7,'Elenco Casse'!$D:$D,'Elenco Casse'!$E:$E),"")</f>
        <v>Transeuropa S.R.L.</v>
      </c>
      <c r="N7" s="25">
        <f>IFERROR(_xlfn.XLOOKUP($Q7,'Elenco Casse'!$D:$D,'Elenco Casse'!$F:$F),"")</f>
        <v>0</v>
      </c>
      <c r="O7" s="286" t="s">
        <v>418</v>
      </c>
      <c r="P7" s="295" t="str">
        <f>IFERROR(_xlfn.XLOOKUP($Q7,'Elenco Casse'!$D:$D,'Elenco Casse'!$G:$G),"")</f>
        <v>trailer 80 m3 2/3 axles</v>
      </c>
      <c r="Q7" s="355" t="s">
        <v>447</v>
      </c>
      <c r="R7" s="23" t="s">
        <v>420</v>
      </c>
      <c r="S7" s="25" t="s">
        <v>421</v>
      </c>
      <c r="T7" s="25" t="s">
        <v>432</v>
      </c>
      <c r="U7" s="23" t="str">
        <f>IF(ISNUMBER(SEARCH("Parcel",$T7)),"X","")</f>
        <v>X</v>
      </c>
      <c r="V7" s="23" t="str">
        <f>IF(ISNUMBER(SEARCH("Freight",$T7)),"X","")</f>
        <v/>
      </c>
      <c r="W7" s="26">
        <v>305</v>
      </c>
      <c r="X7" s="27">
        <v>0.13333333333333333</v>
      </c>
      <c r="Y7" s="25"/>
      <c r="Z7" s="25"/>
      <c r="AA7" s="25" t="s">
        <v>40</v>
      </c>
      <c r="AB7" s="57">
        <v>1</v>
      </c>
      <c r="AC7" s="25"/>
      <c r="AD7" s="25"/>
      <c r="AE7" s="57"/>
      <c r="AF7" s="57"/>
      <c r="AG7" s="25"/>
      <c r="AH7" s="57"/>
      <c r="AI7" s="339">
        <v>11</v>
      </c>
      <c r="AJ7" s="339"/>
      <c r="AK7" s="297" t="str">
        <f>IF(X7&lt;&gt;"",CONCATENATE(IF(AA7&lt;&gt;"",CONCATENATE(Z7," ",AA7," ",BI7),""),IF(AD7&lt;&gt;"",CONCATENATE(","," ",AC7," ",AD7," ",BJ7),""),IF(AG7&lt;&gt;"",CONCATENATE(","," ",AF7," ",AG7," ",BK7),""),IF(AJ7&lt;&gt;"",CONCATENATE(","," ","DD"," ",BL7),"")," ",IF(AI7&lt;&gt;"",CONCATENATE(" - ",AI7," Bag"),"")),"")</f>
        <v xml:space="preserve"> LL 14  - 11 Bag</v>
      </c>
      <c r="AL7" s="287" t="s">
        <v>421</v>
      </c>
      <c r="AM7" s="287"/>
      <c r="AN7" s="287"/>
      <c r="AO7" s="287"/>
      <c r="AP7" s="370" t="str">
        <f>IFERROR(VLOOKUP(#REF!,Outlist!$A$5:$V$120,20,FALSE),"")</f>
        <v/>
      </c>
      <c r="AQ7" s="288" t="str">
        <f>IFERROR(IF(VLOOKUP($A7,#REF!,8,FALSE)&lt;&gt;"",VLOOKUP($A7,#REF!,8,FALSE),""),"")</f>
        <v/>
      </c>
      <c r="AS7" s="24"/>
      <c r="AT7" s="24">
        <v>0.47569444444444442</v>
      </c>
      <c r="AU7" s="27"/>
      <c r="AV7" s="27"/>
      <c r="AX7" s="20" t="str">
        <f>IFERROR(IF(Out_Table[[#This Row],[Cancellazione linea]]="Cancellata","yes",""),"")</f>
        <v/>
      </c>
      <c r="AY7" s="72" t="str">
        <f>IF(BA7="",BZ7,IF(AND(BA7&lt;(--"23:59:59"),BA7&gt;(--"15:00:00"),G7&lt;(--"14:00:00"),G7&gt;(--"00:00:01")),"",IF(BA7&gt;G7,BZ7,"")))</f>
        <v>Chiamare Control Room</v>
      </c>
      <c r="AZ7" s="27"/>
      <c r="BA7" s="32"/>
      <c r="BB7" s="72"/>
      <c r="BC7" s="72" t="str">
        <f>IFERROR(VLOOKUP(Out_Table[[#This Row],[Aggiornamento STATUS]],'INformazioni per calcoli'!$Y$70:$AA$76,2,FALSE),"")</f>
        <v/>
      </c>
      <c r="BD7" s="289"/>
      <c r="BE7" s="289"/>
      <c r="BF7" s="47" t="str">
        <f>LEFT($E7,3)</f>
        <v>BRG</v>
      </c>
      <c r="BG7" s="298" t="str">
        <f>IF(Out_Table[[#This Row],[Ora Uscita    (GH)]]&lt;&gt;"","x","")</f>
        <v/>
      </c>
      <c r="BH7" s="299">
        <f>VLOOKUP($O7,'INformazioni per calcoli'!$Y$20:$AA$23,3,FALSE)</f>
        <v>14</v>
      </c>
      <c r="BI7" s="299">
        <f>MROUND(Out_Table[[#This Row],[Mtr. Trailer]]*AB7,0.5)</f>
        <v>14</v>
      </c>
      <c r="BJ7" s="299">
        <f>MROUND(Out_Table[[#This Row],[Mtr. Trailer]]*AE7,0.5)</f>
        <v>0</v>
      </c>
      <c r="BK7" s="299">
        <f>MROUND(Out_Table[[#This Row],[Mtr. Trailer]]*AH7,0.5)</f>
        <v>0</v>
      </c>
      <c r="BL7" s="300">
        <f>Out_Table[[#This Row],[Double Deck trailer N° bumpers]]</f>
        <v>0</v>
      </c>
      <c r="BM7" s="301"/>
      <c r="BN7" s="299" t="str">
        <f>B7</f>
        <v>ITD12250</v>
      </c>
      <c r="BO7" s="299" t="str">
        <f>E7</f>
        <v>BRG</v>
      </c>
      <c r="BP7" s="302">
        <f>IF(AND(G7&gt;(--"00:00:01"),G7&lt;(--"15:00:00")),IF(AND(X7&gt;(--"00:00:01"),X7&lt;(--"15:00:00")),G7-X7,G7+1-X7),G7-X7)</f>
        <v>7.5000000000000011E-2</v>
      </c>
      <c r="BQ7" s="303">
        <f>AE7+AF7+AH7+AJ7</f>
        <v>0</v>
      </c>
      <c r="BR7" s="304" t="str">
        <f>IF(OR(BP7&lt;=(--"00:20:00"),BQ7&gt;=100%),"OK","Not OK")</f>
        <v>Not OK</v>
      </c>
      <c r="BS7" s="302">
        <f>IF(AND(G7&gt;(--"00:00:01"),G7&lt;(--"15:00:00")),IF(AND(AU7&gt;(--"00:00:01"),AU7&lt;(--"15:00:00")),G7-AU7,G7+1-AU7),G7-AU7)</f>
        <v>1.2083333333333333</v>
      </c>
      <c r="BT7" s="302">
        <f>IF(AND(AZ7&gt;(--"00:00:01"),AZ7&lt;(--"15:00:00")),IF(AND(AU7&gt;(--"00:00:01"),AU7&lt;(--"15:00:00")),AZ7-AU7,AZ7+1-AU7),AZ7-AU7)</f>
        <v>0</v>
      </c>
      <c r="BU7" s="302">
        <f>IF(AND(BA7&gt;(--"00:00:01"),BA7&lt;(--"15:00:00")),IF(AND(AZ7&gt;(--"00:00:01"),AZ7&lt;(--"15:00:00")),BA7-AZ7,BA7+1-AZ7),BA7-AZ7)</f>
        <v>0</v>
      </c>
      <c r="BV7" s="299">
        <f>AV7</f>
        <v>0</v>
      </c>
      <c r="BW7" s="301"/>
      <c r="BX7" s="299" t="str">
        <f>IF(AV7="T Status",IF(AV7&lt;&gt;T7,"X",""),"")</f>
        <v/>
      </c>
      <c r="BY7" s="301"/>
      <c r="BZ7" s="299" t="str">
        <f>IF(X7&lt;&gt;"",IF(CC7="X","Driver Delay",IF(CA7="X","Paperwork Delay",IF(CB7="X","Late freight late sort",IF(CD7="X","Chiamare Control Room",IF(CE7="X","Chiamare Control Room",IF(CF7="X","Chiamare Control Room","")))))),"")</f>
        <v>Chiamare Control Room</v>
      </c>
      <c r="CA7" s="302" t="str">
        <f>IF(K7="",IF(IF(AND(G7&gt;(--"00:00:01"),G7&lt;(--"15:00:00")),IF(AND(AT7&gt;(--"08:00:00"),AT7&lt;(--"23:59:59")),G7+1-AT7,G7-AT7),G7-AT7)&gt;(--"00:20:00"),"","X"),"")</f>
        <v/>
      </c>
      <c r="CB7" s="299" t="str">
        <f>IF(K7="",IF(BP7&gt;=(--"00:20:00"),"","X"),"")</f>
        <v/>
      </c>
      <c r="CC7" s="299" t="str">
        <f>IF(OR(AV7="Autista non presente",AV7="Dati driver non presenti"),"X","")</f>
        <v/>
      </c>
      <c r="CD7" s="299" t="str">
        <f>IF(K7="",IF(AND(CC7="",BS7&lt;(--"00:20:00")),"X",""),"")</f>
        <v/>
      </c>
      <c r="CE7" s="299" t="str">
        <f>IF(K7="",IF(BT7&gt;(--"00:15:00"),"X",""),IF(AZ7&lt;&gt;"",IF(G7-AZ7&gt;(--"00:30:00"),"X",""),""))</f>
        <v/>
      </c>
      <c r="CF7" s="299" t="str">
        <f>IF(AND(CA7="",CB7="",CC7="",CD7="",CE7=""),"X","")</f>
        <v>X</v>
      </c>
      <c r="CG7" s="301"/>
      <c r="CH7" s="299" t="str">
        <f>IF(BT7&gt;(--"00:15:00"),"X","")</f>
        <v/>
      </c>
      <c r="CI7" s="302" t="str">
        <f>AY7</f>
        <v>Chiamare Control Room</v>
      </c>
      <c r="CJ7" s="299" t="str">
        <f>IF(AND(CH7&lt;&gt;"",CI7&lt;&gt;"",LEFT(B7,3)="ITD"),AP7,"")</f>
        <v/>
      </c>
      <c r="CK7" s="305" t="str">
        <f>IF(CJ7&lt;&gt;"",BT7,"")</f>
        <v/>
      </c>
      <c r="CL7" s="301"/>
      <c r="CM7" s="305" t="str">
        <f>IFERROR(VLOOKUP(Q7,'Elenco Casse'!$D$4:$F$292,3,FALSE),"")</f>
        <v/>
      </c>
      <c r="CN7" s="301"/>
      <c r="CO7" s="305" t="str">
        <f>IFERROR(VLOOKUP(S7,'Elenco Casse'!$D$4:$F$292,3,FALSE),"")</f>
        <v/>
      </c>
      <c r="CP7" s="305" t="str">
        <f>IFERROR(IF(VLOOKUP($E7,Outlist!$A$5:$S$120,19,FALSE)&lt;&gt;0,"Y",""),"")</f>
        <v/>
      </c>
      <c r="CQ7" s="301"/>
      <c r="CR7" s="305" t="str">
        <f>CONCATENATE($B7,$E7,$G7)</f>
        <v>ITD12250BRG0.208333333333333</v>
      </c>
      <c r="CS7" s="301"/>
      <c r="CT7" s="305" t="e">
        <f>VLOOKUP(Out_Table[[#This Row],[Destination             ORANGE (From Planning)]],Outlist!$A$5:$W$120,22,FALSE)</f>
        <v>#N/A</v>
      </c>
    </row>
    <row r="8" spans="1:98" s="20" customFormat="1" ht="30.75">
      <c r="A8" s="305" t="str">
        <f>$CR8</f>
        <v>ITD12243QAL0.260416666666667</v>
      </c>
      <c r="B8" s="284" t="s">
        <v>448</v>
      </c>
      <c r="C8" s="290" t="str">
        <f>IFERROR(IF(LEFT(B8,3)='STAT 77'!$X$2,_xlfn.XLOOKUP(B8,'STAT 77'!C:C,'STAT 77'!B:B),_xlfn.XLOOKUP(B8,'STAT 77'!B:B,'STAT 77'!C:C)),"NON TROVATO")</f>
        <v>ITD31180</v>
      </c>
      <c r="D8" s="25" t="s">
        <v>449</v>
      </c>
      <c r="E8" s="290" t="s">
        <v>450</v>
      </c>
      <c r="F8" s="290" t="str">
        <f>IFERROR(VLOOKUP(E8,'Cambio O2P'!C:E,2,FALSE),"")</f>
        <v>QALT8</v>
      </c>
      <c r="G8" s="285">
        <v>0.26041666666666669</v>
      </c>
      <c r="H8" s="293" t="str">
        <f ca="1">IFERROR(IF(AND('INformazioni per calcoli'!$AB$3&lt;(--"14:30"),'INformazioni per calcoli'!$AB$3&gt;(--"10:00")),"",IF($B8="","",IF($X8&lt;&gt;"","Mezzo Chiuso",IF($W8="","Non al Carico",IF($G8-'INformazioni per calcoli'!$AB$5-'INformazioni per calcoli'!$AB$3+$J8&lt;0,"LFLS",IF($K8&lt;&gt;"","Safe Parking",IF($W8&lt;&gt;"",IF($E8="MXP",$G8-'INformazioni per calcoli'!$AB$6-'INformazioni per calcoli'!$AB$3+$J8,$G8-'INformazioni per calcoli'!$AB$5-'INformazioni per calcoli'!$AB$3+$J8),"Non al carico"))))))),"")</f>
        <v>Mezzo Chiuso</v>
      </c>
      <c r="I8" s="17" t="str">
        <f ca="1">IFERROR(IF($H8&lt;&gt;"",IF($H8="Safe Parking","",IF($W8&lt;&gt;"",IF(AND($U8="X",$V8="X"),$H8-(--"00:30"),""),IF($X8&lt;&gt;"","Mezzo Chiuso","Non al carico"))),""),"")</f>
        <v/>
      </c>
      <c r="J8" s="306">
        <f ca="1">IFERROR(IF($B8&lt;&gt;"",IF(AND('INformazioni per calcoli'!$AB$3&lt;(--"15:00"),'INformazioni per calcoli'!$AB$3&gt;(--"00:00")),0,IF($G8&lt;(--"18:30"),"+1",0)),""),"")</f>
        <v>0</v>
      </c>
      <c r="K8" s="27"/>
      <c r="L8" s="25" t="s">
        <v>451</v>
      </c>
      <c r="M8" s="25" t="str">
        <f>IFERROR(_xlfn.XLOOKUP($Q8,'Elenco Casse'!$D:$D,'Elenco Casse'!$E:$E),"")</f>
        <v>F.M. Trasporti S.R.L.</v>
      </c>
      <c r="N8" s="25">
        <f>IFERROR(_xlfn.XLOOKUP($Q8,'Elenco Casse'!$D:$D,'Elenco Casse'!$F:$F),"")</f>
        <v>0</v>
      </c>
      <c r="O8" s="286" t="s">
        <v>418</v>
      </c>
      <c r="P8" s="295" t="str">
        <f>IFERROR(_xlfn.XLOOKUP($Q8,'Elenco Casse'!$D:$D,'Elenco Casse'!$G:$G),"")</f>
        <v>trailer 80 m3 2/3 axles</v>
      </c>
      <c r="Q8" s="355" t="s">
        <v>452</v>
      </c>
      <c r="R8" s="23" t="s">
        <v>420</v>
      </c>
      <c r="S8" s="25" t="s">
        <v>421</v>
      </c>
      <c r="T8" s="25" t="s">
        <v>432</v>
      </c>
      <c r="U8" s="23" t="str">
        <f>IF(ISNUMBER(SEARCH("Parcel",$T8)),"X","")</f>
        <v>X</v>
      </c>
      <c r="V8" s="23" t="str">
        <f>IF(ISNUMBER(SEARCH("Freight",$T8)),"X","")</f>
        <v/>
      </c>
      <c r="W8" s="26">
        <v>306</v>
      </c>
      <c r="X8" s="27">
        <v>9.8611111111111108E-2</v>
      </c>
      <c r="Y8" s="25" t="s">
        <v>453</v>
      </c>
      <c r="Z8" s="25"/>
      <c r="AA8" s="25" t="s">
        <v>40</v>
      </c>
      <c r="AB8" s="57">
        <v>1</v>
      </c>
      <c r="AC8" s="25"/>
      <c r="AD8" s="25"/>
      <c r="AE8" s="57"/>
      <c r="AF8" s="57"/>
      <c r="AG8" s="25"/>
      <c r="AH8" s="57"/>
      <c r="AI8" s="339">
        <v>10</v>
      </c>
      <c r="AJ8" s="339"/>
      <c r="AK8" s="297" t="str">
        <f>IF(X8&lt;&gt;"",CONCATENATE(IF(AA8&lt;&gt;"",CONCATENATE(Z8," ",AA8," ",BI8),""),IF(AD8&lt;&gt;"",CONCATENATE(","," ",AC8," ",AD8," ",BJ8),""),IF(AG8&lt;&gt;"",CONCATENATE(","," ",AF8," ",AG8," ",BK8),""),IF(AJ8&lt;&gt;"",CONCATENATE(","," ","DD"," ",BL8),"")," ",IF(AI8&lt;&gt;"",CONCATENATE(" - ",AI8," Bag"),"")),"")</f>
        <v xml:space="preserve"> LL 14  - 10 Bag</v>
      </c>
      <c r="AL8" s="287" t="s">
        <v>421</v>
      </c>
      <c r="AM8" s="287"/>
      <c r="AN8" s="287"/>
      <c r="AO8" s="287"/>
      <c r="AP8" s="370" t="str">
        <f>IFERROR(VLOOKUP(#REF!,Outlist!$A$5:$V$120,20,FALSE),"")</f>
        <v/>
      </c>
      <c r="AQ8" s="288" t="str">
        <f>IFERROR(IF(VLOOKUP($A8,#REF!,8,FALSE)&lt;&gt;"",VLOOKUP($A8,#REF!,8,FALSE),""),"")</f>
        <v/>
      </c>
      <c r="AS8" s="24"/>
      <c r="AT8" s="24">
        <v>0.45</v>
      </c>
      <c r="AU8" s="27"/>
      <c r="AV8" s="27"/>
      <c r="AX8" s="20" t="str">
        <f>IFERROR(IF(Out_Table[[#This Row],[Cancellazione linea]]="Cancellata","yes",""),"")</f>
        <v/>
      </c>
      <c r="AY8" s="72" t="str">
        <f>IF(BA8="",BZ8,IF(AND(BA8&lt;(--"23:59:59"),BA8&gt;(--"15:00:00"),G8&lt;(--"14:00:00"),G8&gt;(--"00:00:01")),"",IF(BA8&gt;G8,BZ8,"")))</f>
        <v>Chiamare Control Room</v>
      </c>
      <c r="AZ8" s="27"/>
      <c r="BA8" s="32"/>
      <c r="BB8" s="72"/>
      <c r="BC8" s="72" t="str">
        <f>IFERROR(VLOOKUP(Out_Table[[#This Row],[Aggiornamento STATUS]],'INformazioni per calcoli'!$Y$70:$AA$76,2,FALSE),"")</f>
        <v/>
      </c>
      <c r="BD8" s="289"/>
      <c r="BE8" s="289"/>
      <c r="BF8" s="47" t="str">
        <f>LEFT($E8,3)</f>
        <v>QAL</v>
      </c>
      <c r="BG8" s="298" t="str">
        <f>IF(Out_Table[[#This Row],[Ora Uscita    (GH)]]&lt;&gt;"","x","")</f>
        <v/>
      </c>
      <c r="BH8" s="299">
        <f>VLOOKUP($O8,'INformazioni per calcoli'!$Y$20:$AA$23,3,FALSE)</f>
        <v>14</v>
      </c>
      <c r="BI8" s="299">
        <f>MROUND(Out_Table[[#This Row],[Mtr. Trailer]]*AB8,0.5)</f>
        <v>14</v>
      </c>
      <c r="BJ8" s="299">
        <f>MROUND(Out_Table[[#This Row],[Mtr. Trailer]]*AE8,0.5)</f>
        <v>0</v>
      </c>
      <c r="BK8" s="299">
        <f>MROUND(Out_Table[[#This Row],[Mtr. Trailer]]*AH8,0.5)</f>
        <v>0</v>
      </c>
      <c r="BL8" s="300">
        <f>Out_Table[[#This Row],[Double Deck trailer N° bumpers]]</f>
        <v>0</v>
      </c>
      <c r="BM8" s="301"/>
      <c r="BN8" s="299" t="str">
        <f>B8</f>
        <v>ITD12243</v>
      </c>
      <c r="BO8" s="299" t="str">
        <f>E8</f>
        <v>QAL</v>
      </c>
      <c r="BP8" s="302">
        <f>IF(AND(G8&gt;(--"00:00:01"),G8&lt;(--"15:00:00")),IF(AND(X8&gt;(--"00:00:01"),X8&lt;(--"15:00:00")),G8-X8,G8+1-X8),G8-X8)</f>
        <v>0.16180555555555559</v>
      </c>
      <c r="BQ8" s="303">
        <f>AE8+AF8+AH8+AJ8</f>
        <v>0</v>
      </c>
      <c r="BR8" s="304" t="str">
        <f>IF(OR(BP8&lt;=(--"00:20:00"),BQ8&gt;=100%),"OK","Not OK")</f>
        <v>Not OK</v>
      </c>
      <c r="BS8" s="302">
        <f>IF(AND(G8&gt;(--"00:00:01"),G8&lt;(--"15:00:00")),IF(AND(AU8&gt;(--"00:00:01"),AU8&lt;(--"15:00:00")),G8-AU8,G8+1-AU8),G8-AU8)</f>
        <v>1.2604166666666667</v>
      </c>
      <c r="BT8" s="302">
        <f>IF(AND(AZ8&gt;(--"00:00:01"),AZ8&lt;(--"15:00:00")),IF(AND(AU8&gt;(--"00:00:01"),AU8&lt;(--"15:00:00")),AZ8-AU8,AZ8+1-AU8),AZ8-AU8)</f>
        <v>0</v>
      </c>
      <c r="BU8" s="302">
        <f>IF(AND(BA8&gt;(--"00:00:01"),BA8&lt;(--"15:00:00")),IF(AND(AZ8&gt;(--"00:00:01"),AZ8&lt;(--"15:00:00")),BA8-AZ8,BA8+1-AZ8),BA8-AZ8)</f>
        <v>0</v>
      </c>
      <c r="BV8" s="299">
        <f>AV8</f>
        <v>0</v>
      </c>
      <c r="BW8" s="301"/>
      <c r="BX8" s="299" t="str">
        <f>IF(AV8="T Status",IF(AV8&lt;&gt;T8,"X",""),"")</f>
        <v/>
      </c>
      <c r="BY8" s="301"/>
      <c r="BZ8" s="299" t="str">
        <f>IF(X8&lt;&gt;"",IF(CC8="X","Driver Delay",IF(CA8="X","Paperwork Delay",IF(CB8="X","Late freight late sort",IF(CD8="X","Chiamare Control Room",IF(CE8="X","Chiamare Control Room",IF(CF8="X","Chiamare Control Room","")))))),"")</f>
        <v>Chiamare Control Room</v>
      </c>
      <c r="CA8" s="302" t="str">
        <f>IF(K8="",IF(IF(AND(G8&gt;(--"00:00:01"),G8&lt;(--"15:00:00")),IF(AND(AT8&gt;(--"08:00:00"),AT8&lt;(--"23:59:59")),G8+1-AT8,G8-AT8),G8-AT8)&gt;(--"00:20:00"),"","X"),"")</f>
        <v/>
      </c>
      <c r="CB8" s="299" t="str">
        <f>IF(K8="",IF(BP8&gt;=(--"00:20:00"),"","X"),"")</f>
        <v/>
      </c>
      <c r="CC8" s="299" t="str">
        <f>IF(OR(AV8="Autista non presente",AV8="Dati driver non presenti"),"X","")</f>
        <v/>
      </c>
      <c r="CD8" s="299" t="str">
        <f>IF(K8="",IF(AND(CC8="",BS8&lt;(--"00:20:00")),"X",""),"")</f>
        <v/>
      </c>
      <c r="CE8" s="299" t="str">
        <f>IF(K8="",IF(BT8&gt;(--"00:15:00"),"X",""),IF(AZ8&lt;&gt;"",IF(G8-AZ8&gt;(--"00:30:00"),"X",""),""))</f>
        <v/>
      </c>
      <c r="CF8" s="299" t="str">
        <f>IF(AND(CA8="",CB8="",CC8="",CD8="",CE8=""),"X","")</f>
        <v>X</v>
      </c>
      <c r="CG8" s="301"/>
      <c r="CH8" s="299" t="str">
        <f>IF(BT8&gt;(--"00:15:00"),"X","")</f>
        <v/>
      </c>
      <c r="CI8" s="302" t="str">
        <f>AY8</f>
        <v>Chiamare Control Room</v>
      </c>
      <c r="CJ8" s="299" t="str">
        <f>IF(AND(CH8&lt;&gt;"",CI8&lt;&gt;"",LEFT(B8,3)="ITD"),AP8,"")</f>
        <v/>
      </c>
      <c r="CK8" s="305" t="str">
        <f>IF(CJ8&lt;&gt;"",BT8,"")</f>
        <v/>
      </c>
      <c r="CL8" s="301"/>
      <c r="CM8" s="305" t="str">
        <f>IFERROR(VLOOKUP(Q8,'Elenco Casse'!$D$4:$F$292,3,FALSE),"")</f>
        <v/>
      </c>
      <c r="CN8" s="301"/>
      <c r="CO8" s="305" t="str">
        <f>IFERROR(VLOOKUP(S8,'Elenco Casse'!$D$4:$F$292,3,FALSE),"")</f>
        <v/>
      </c>
      <c r="CP8" s="305" t="str">
        <f>IFERROR(IF(VLOOKUP($E8,Outlist!$A$5:$S$120,19,FALSE)&lt;&gt;0,"Y",""),"")</f>
        <v/>
      </c>
      <c r="CQ8" s="301"/>
      <c r="CR8" s="305" t="str">
        <f>CONCATENATE($B8,$E8,$G8)</f>
        <v>ITD12243QAL0.260416666666667</v>
      </c>
      <c r="CS8" s="301"/>
      <c r="CT8" s="305" t="e">
        <f>VLOOKUP(Out_Table[[#This Row],[Destination             ORANGE (From Planning)]],Outlist!$A$5:$W$120,22,FALSE)</f>
        <v>#N/A</v>
      </c>
    </row>
    <row r="9" spans="1:98" s="20" customFormat="1" ht="15">
      <c r="A9" s="305" t="str">
        <f>$CR9</f>
        <v>ITD12668MM10.208333333333333</v>
      </c>
      <c r="B9" s="284" t="s">
        <v>454</v>
      </c>
      <c r="C9" s="290" t="str">
        <f>IFERROR(IF(LEFT(B9,3)='STAT 77'!$X$2,_xlfn.XLOOKUP(B9,'STAT 77'!C:C,'STAT 77'!B:B),_xlfn.XLOOKUP(B9,'STAT 77'!B:B,'STAT 77'!C:C)),"NON TROVATO")</f>
        <v>ITD32084</v>
      </c>
      <c r="D9" s="25" t="s">
        <v>455</v>
      </c>
      <c r="E9" s="290" t="s">
        <v>456</v>
      </c>
      <c r="F9" s="290" t="str">
        <f>IFERROR(VLOOKUP(E9,'Cambio O2P'!C:E,2,FALSE),"")</f>
        <v>QRGA</v>
      </c>
      <c r="G9" s="285">
        <v>0.20833333333333334</v>
      </c>
      <c r="H9" s="293">
        <f ca="1">IFERROR(IF(AND('INformazioni per calcoli'!$AB$3&lt;(--"14:30"),'INformazioni per calcoli'!$AB$3&gt;(--"10:00")),"",IF($B9="","",IF($X9&lt;&gt;"","Mezzo Chiuso",IF($W9="","Non al Carico",IF($G9-'INformazioni per calcoli'!$AB$5-'INformazioni per calcoli'!$AB$3+$J9&lt;0,"LFLS",IF($K9&lt;&gt;"","Safe Parking",IF($W9&lt;&gt;"",IF($E9="MXP",$G9-'INformazioni per calcoli'!$AB$6-'INformazioni per calcoli'!$AB$3+$J9,$G9-'INformazioni per calcoli'!$AB$5-'INformazioni per calcoli'!$AB$3+$J9),"Non al carico"))))))),"")</f>
        <v>4.8981481481481487E-2</v>
      </c>
      <c r="I9" s="17" t="str">
        <f ca="1">IFERROR(IF($H9&lt;&gt;"",IF($H9="Safe Parking","",IF($W9&lt;&gt;"",IF(AND($U9="X",$V9="X"),$H9-(--"00:30"),""),IF($X9&lt;&gt;"","Mezzo Chiuso","Non al carico"))),""),"")</f>
        <v/>
      </c>
      <c r="J9" s="306">
        <f ca="1">IFERROR(IF($B9&lt;&gt;"",IF(AND('INformazioni per calcoli'!$AB$3&lt;(--"15:00"),'INformazioni per calcoli'!$AB$3&gt;(--"00:00")),0,IF($G9&lt;(--"18:30"),"+1",0)),""),"")</f>
        <v>0</v>
      </c>
      <c r="K9" s="17"/>
      <c r="L9" s="25" t="s">
        <v>430</v>
      </c>
      <c r="M9" s="25" t="str">
        <f>IFERROR(_xlfn.XLOOKUP($Q9,'Elenco Casse'!$D:$D,'Elenco Casse'!$E:$E),"")</f>
        <v>Trans Speedy S.R.L</v>
      </c>
      <c r="N9" s="25">
        <f>IFERROR(_xlfn.XLOOKUP($Q9,'Elenco Casse'!$D:$D,'Elenco Casse'!$F:$F),"")</f>
        <v>0</v>
      </c>
      <c r="O9" s="286" t="s">
        <v>418</v>
      </c>
      <c r="P9" s="295" t="str">
        <f>IFERROR(_xlfn.XLOOKUP($Q9,'Elenco Casse'!$D:$D,'Elenco Casse'!$G:$G),"")</f>
        <v>trailer 80 m3 2/3 axes</v>
      </c>
      <c r="Q9" s="355" t="s">
        <v>457</v>
      </c>
      <c r="R9" s="23" t="s">
        <v>420</v>
      </c>
      <c r="S9" s="25" t="s">
        <v>421</v>
      </c>
      <c r="T9" s="25" t="s">
        <v>432</v>
      </c>
      <c r="U9" s="23" t="str">
        <f>IF(ISNUMBER(SEARCH("Parcel",$T9)),"X","")</f>
        <v>X</v>
      </c>
      <c r="V9" s="23" t="str">
        <f>IF(ISNUMBER(SEARCH("Freight",$T9)),"X","")</f>
        <v/>
      </c>
      <c r="W9" s="26">
        <v>307</v>
      </c>
      <c r="X9" s="27"/>
      <c r="Y9" s="25"/>
      <c r="Z9" s="25"/>
      <c r="AA9" s="25" t="s">
        <v>40</v>
      </c>
      <c r="AB9" s="57"/>
      <c r="AC9" s="25"/>
      <c r="AD9" s="25"/>
      <c r="AE9" s="57"/>
      <c r="AF9" s="57"/>
      <c r="AG9" s="25"/>
      <c r="AH9" s="57"/>
      <c r="AI9" s="339"/>
      <c r="AJ9" s="339"/>
      <c r="AK9" s="297" t="str">
        <f>IF(X9&lt;&gt;"",CONCATENATE(IF(AA9&lt;&gt;"",CONCATENATE(Z9," ",AA9," ",BI9),""),IF(AD9&lt;&gt;"",CONCATENATE(","," ",AC9," ",AD9," ",BJ9),""),IF(AG9&lt;&gt;"",CONCATENATE(","," ",AF9," ",AG9," ",BK9),""),IF(AJ9&lt;&gt;"",CONCATENATE(","," ","DD"," ",BL9),"")," ",IF(AI9&lt;&gt;"",CONCATENATE(" - ",AI9," Bag"),"")),"")</f>
        <v/>
      </c>
      <c r="AL9" s="287"/>
      <c r="AM9" s="287"/>
      <c r="AN9" s="287"/>
      <c r="AO9" s="287"/>
      <c r="AP9" s="370" t="str">
        <f>IFERROR(VLOOKUP(#REF!,Outlist!$A$5:$V$120,20,FALSE),"")</f>
        <v/>
      </c>
      <c r="AQ9" s="288" t="str">
        <f>IFERROR(IF(VLOOKUP($A9,#REF!,8,FALSE)&lt;&gt;"",VLOOKUP($A9,#REF!,8,FALSE),""),"")</f>
        <v/>
      </c>
      <c r="AS9" s="24"/>
      <c r="AT9" s="24">
        <v>6.9444444444444441E-3</v>
      </c>
      <c r="AU9" s="27"/>
      <c r="AV9" s="27"/>
      <c r="AX9" s="20" t="str">
        <f>IFERROR(IF(Out_Table[[#This Row],[Cancellazione linea]]="Cancellata","yes",""),"")</f>
        <v/>
      </c>
      <c r="AY9" s="72" t="str">
        <f>IF(BA9="",BZ9,IF(AND(BA9&lt;(--"23:59:59"),BA9&gt;(--"15:00:00"),G9&lt;(--"14:00:00"),G9&gt;(--"00:00:01")),"",IF(BA9&gt;G9,BZ9,"")))</f>
        <v/>
      </c>
      <c r="AZ9" s="27"/>
      <c r="BA9" s="32"/>
      <c r="BB9" s="72"/>
      <c r="BC9" s="72" t="str">
        <f>IFERROR(VLOOKUP(Out_Table[[#This Row],[Aggiornamento STATUS]],'INformazioni per calcoli'!$Y$70:$AA$76,2,FALSE),"")</f>
        <v/>
      </c>
      <c r="BD9" s="289"/>
      <c r="BE9" s="289"/>
      <c r="BF9" s="47" t="str">
        <f>LEFT($E9,3)</f>
        <v>MM1</v>
      </c>
      <c r="BG9" s="298" t="str">
        <f>IF(Out_Table[[#This Row],[Ora Uscita    (GH)]]&lt;&gt;"","x","")</f>
        <v/>
      </c>
      <c r="BH9" s="299">
        <f>VLOOKUP($O9,'INformazioni per calcoli'!$Y$20:$AA$23,3,FALSE)</f>
        <v>14</v>
      </c>
      <c r="BI9" s="299">
        <f>MROUND(Out_Table[[#This Row],[Mtr. Trailer]]*AB9,0.5)</f>
        <v>0</v>
      </c>
      <c r="BJ9" s="299">
        <f>MROUND(Out_Table[[#This Row],[Mtr. Trailer]]*AE9,0.5)</f>
        <v>0</v>
      </c>
      <c r="BK9" s="299">
        <f>MROUND(Out_Table[[#This Row],[Mtr. Trailer]]*AH9,0.5)</f>
        <v>0</v>
      </c>
      <c r="BL9" s="300">
        <f>Out_Table[[#This Row],[Double Deck trailer N° bumpers]]</f>
        <v>0</v>
      </c>
      <c r="BM9" s="301"/>
      <c r="BN9" s="299" t="str">
        <f>B9</f>
        <v>ITD12668</v>
      </c>
      <c r="BO9" s="299" t="str">
        <f>E9</f>
        <v>MM1</v>
      </c>
      <c r="BP9" s="302">
        <f>IF(AND(G9&gt;(--"00:00:01"),G9&lt;(--"15:00:00")),IF(AND(X9&gt;(--"00:00:01"),X9&lt;(--"15:00:00")),G9-X9,G9+1-X9),G9-X9)</f>
        <v>1.2083333333333333</v>
      </c>
      <c r="BQ9" s="303">
        <f>AE9+AF9+AH9+AJ9</f>
        <v>0</v>
      </c>
      <c r="BR9" s="304" t="str">
        <f>IF(OR(BP9&lt;=(--"00:20:00"),BQ9&gt;=100%),"OK","Not OK")</f>
        <v>Not OK</v>
      </c>
      <c r="BS9" s="302">
        <f>IF(AND(G9&gt;(--"00:00:01"),G9&lt;(--"15:00:00")),IF(AND(AU9&gt;(--"00:00:01"),AU9&lt;(--"15:00:00")),G9-AU9,G9+1-AU9),G9-AU9)</f>
        <v>1.2083333333333333</v>
      </c>
      <c r="BT9" s="302">
        <f>IF(AND(AZ9&gt;(--"00:00:01"),AZ9&lt;(--"15:00:00")),IF(AND(AU9&gt;(--"00:00:01"),AU9&lt;(--"15:00:00")),AZ9-AU9,AZ9+1-AU9),AZ9-AU9)</f>
        <v>0</v>
      </c>
      <c r="BU9" s="302">
        <f>IF(AND(BA9&gt;(--"00:00:01"),BA9&lt;(--"15:00:00")),IF(AND(AZ9&gt;(--"00:00:01"),AZ9&lt;(--"15:00:00")),BA9-AZ9,BA9+1-AZ9),BA9-AZ9)</f>
        <v>0</v>
      </c>
      <c r="BV9" s="299">
        <f>AV9</f>
        <v>0</v>
      </c>
      <c r="BW9" s="301"/>
      <c r="BX9" s="299" t="str">
        <f>IF(AV9="T Status",IF(AV9&lt;&gt;T9,"X",""),"")</f>
        <v/>
      </c>
      <c r="BY9" s="301"/>
      <c r="BZ9" s="299" t="str">
        <f>IF(X9&lt;&gt;"",IF(CC9="X","Driver Delay",IF(CA9="X","Paperwork Delay",IF(CB9="X","Late freight late sort",IF(CD9="X","Chiamare Control Room",IF(CE9="X","Chiamare Control Room",IF(CF9="X","Chiamare Control Room","")))))),"")</f>
        <v/>
      </c>
      <c r="CA9" s="302" t="str">
        <f>IF(K9="",IF(IF(AND(G9&gt;(--"00:00:01"),G9&lt;(--"15:00:00")),IF(AND(AT9&gt;(--"08:00:00"),AT9&lt;(--"23:59:59")),G9+1-AT9,G9-AT9),G9-AT9)&gt;(--"00:20:00"),"","X"),"")</f>
        <v/>
      </c>
      <c r="CB9" s="299" t="str">
        <f>IF(K9="",IF(BP9&gt;=(--"00:20:00"),"","X"),"")</f>
        <v/>
      </c>
      <c r="CC9" s="299" t="str">
        <f>IF(OR(AV9="Autista non presente",AV9="Dati driver non presenti"),"X","")</f>
        <v/>
      </c>
      <c r="CD9" s="299" t="str">
        <f>IF(K9="",IF(AND(CC9="",BS9&lt;(--"00:20:00")),"X",""),"")</f>
        <v/>
      </c>
      <c r="CE9" s="299" t="str">
        <f>IF(K9="",IF(BT9&gt;(--"00:15:00"),"X",""),IF(AZ9&lt;&gt;"",IF(G9-AZ9&gt;(--"00:30:00"),"X",""),""))</f>
        <v/>
      </c>
      <c r="CF9" s="299" t="str">
        <f>IF(AND(CA9="",CB9="",CC9="",CD9="",CE9=""),"X","")</f>
        <v>X</v>
      </c>
      <c r="CG9" s="301"/>
      <c r="CH9" s="299" t="str">
        <f>IF(BT9&gt;(--"00:15:00"),"X","")</f>
        <v/>
      </c>
      <c r="CI9" s="302" t="str">
        <f>AY9</f>
        <v/>
      </c>
      <c r="CJ9" s="299" t="str">
        <f>IF(AND(CH9&lt;&gt;"",CI9&lt;&gt;"",LEFT(B9,3)="ITD"),AP9,"")</f>
        <v/>
      </c>
      <c r="CK9" s="305" t="str">
        <f>IF(CJ9&lt;&gt;"",BT9,"")</f>
        <v/>
      </c>
      <c r="CL9" s="301"/>
      <c r="CM9" s="305" t="str">
        <f>IFERROR(VLOOKUP(Q9,'Elenco Casse'!$D$4:$F$292,3,FALSE),"")</f>
        <v/>
      </c>
      <c r="CN9" s="301"/>
      <c r="CO9" s="305" t="str">
        <f>IFERROR(VLOOKUP(S9,'Elenco Casse'!$D$4:$F$292,3,FALSE),"")</f>
        <v/>
      </c>
      <c r="CP9" s="305" t="str">
        <f>IFERROR(IF(VLOOKUP($E9,Outlist!$A$5:$S$120,19,FALSE)&lt;&gt;0,"Y",""),"")</f>
        <v/>
      </c>
      <c r="CQ9" s="301"/>
      <c r="CR9" s="305" t="str">
        <f>CONCATENATE($B9,$E9,$G9)</f>
        <v>ITD12668MM10.208333333333333</v>
      </c>
      <c r="CS9" s="301"/>
      <c r="CT9" s="305" t="e">
        <f>VLOOKUP(Out_Table[[#This Row],[Destination             ORANGE (From Planning)]],Outlist!$A$5:$W$120,22,FALSE)</f>
        <v>#N/A</v>
      </c>
    </row>
    <row r="10" spans="1:98" s="20" customFormat="1" ht="30.75">
      <c r="A10" s="305" t="str">
        <f>$CR10</f>
        <v>ITD12746MM10.145833333333333</v>
      </c>
      <c r="B10" s="284" t="s">
        <v>458</v>
      </c>
      <c r="C10" s="290" t="str">
        <f>IFERROR(IF(LEFT(B10,3)='STAT 77'!$X$2,_xlfn.XLOOKUP(B10,'STAT 77'!C:C,'STAT 77'!B:B),_xlfn.XLOOKUP(B10,'STAT 77'!B:B,'STAT 77'!C:C)),"NON TROVATO")</f>
        <v>ITD32205</v>
      </c>
      <c r="D10" s="25" t="s">
        <v>455</v>
      </c>
      <c r="E10" s="290" t="s">
        <v>456</v>
      </c>
      <c r="F10" s="290" t="str">
        <f>IFERROR(VLOOKUP(E10,'Cambio O2P'!C:E,2,FALSE),"")</f>
        <v>QRGA</v>
      </c>
      <c r="G10" s="285">
        <v>0.14583333333333334</v>
      </c>
      <c r="H10" s="293" t="str">
        <f ca="1">IFERROR(IF(AND('INformazioni per calcoli'!$AB$3&lt;(--"14:30"),'INformazioni per calcoli'!$AB$3&gt;(--"10:00")),"",IF($B10="","",IF($X10&lt;&gt;"","Mezzo Chiuso",IF($W10="","Non al Carico",IF($G10-'INformazioni per calcoli'!$AB$5-'INformazioni per calcoli'!$AB$3+$J10&lt;0,"LFLS",IF($K10&lt;&gt;"","Safe Parking",IF($W10&lt;&gt;"",IF($E10="MXP",$G10-'INformazioni per calcoli'!$AB$6-'INformazioni per calcoli'!$AB$3+$J10,$G10-'INformazioni per calcoli'!$AB$5-'INformazioni per calcoli'!$AB$3+$J10),"Non al carico"))))))),"")</f>
        <v>Mezzo Chiuso</v>
      </c>
      <c r="I10" s="17" t="str">
        <f ca="1">IFERROR(IF($H10&lt;&gt;"",IF($H10="Safe Parking","",IF($W10&lt;&gt;"",IF(AND($U10="X",$V10="X"),$H10-(--"00:30"),""),IF($X10&lt;&gt;"","Mezzo Chiuso","Non al carico"))),""),"")</f>
        <v/>
      </c>
      <c r="J10" s="306">
        <f ca="1">IFERROR(IF($B10&lt;&gt;"",IF(AND('INformazioni per calcoli'!$AB$3&lt;(--"15:00"),'INformazioni per calcoli'!$AB$3&gt;(--"00:00")),0,IF($G10&lt;(--"18:30"),"+1",0)),""),"")</f>
        <v>0</v>
      </c>
      <c r="K10" s="17"/>
      <c r="L10" s="25" t="s">
        <v>430</v>
      </c>
      <c r="M10" s="25" t="str">
        <f>IFERROR(_xlfn.XLOOKUP($Q10,'Elenco Casse'!$D:$D,'Elenco Casse'!$E:$E),"")</f>
        <v>Trans Speedy S.R.L</v>
      </c>
      <c r="N10" s="25">
        <f>IFERROR(_xlfn.XLOOKUP($Q10,'Elenco Casse'!$D:$D,'Elenco Casse'!$F:$F),"")</f>
        <v>0</v>
      </c>
      <c r="O10" s="286" t="s">
        <v>418</v>
      </c>
      <c r="P10" s="295" t="str">
        <f>IFERROR(_xlfn.XLOOKUP($Q10,'Elenco Casse'!$D:$D,'Elenco Casse'!$G:$G),"")</f>
        <v>trailer 80 m3 2/3 axles</v>
      </c>
      <c r="Q10" s="355" t="s">
        <v>459</v>
      </c>
      <c r="R10" s="23" t="s">
        <v>420</v>
      </c>
      <c r="S10" s="25" t="s">
        <v>421</v>
      </c>
      <c r="T10" s="25" t="s">
        <v>460</v>
      </c>
      <c r="U10" s="23" t="str">
        <f>IF(ISNUMBER(SEARCH("Parcel",$T10)),"X","")</f>
        <v>X</v>
      </c>
      <c r="V10" s="23" t="str">
        <f>IF(ISNUMBER(SEARCH("Freight",$T10)),"X","")</f>
        <v/>
      </c>
      <c r="W10" s="26">
        <v>307</v>
      </c>
      <c r="X10" s="27">
        <v>0.99930555555555556</v>
      </c>
      <c r="Y10" s="25" t="s">
        <v>461</v>
      </c>
      <c r="Z10" s="25"/>
      <c r="AA10" s="25" t="s">
        <v>40</v>
      </c>
      <c r="AB10" s="57">
        <v>1</v>
      </c>
      <c r="AC10" s="25"/>
      <c r="AD10" s="25"/>
      <c r="AE10" s="57"/>
      <c r="AF10" s="57"/>
      <c r="AG10" s="25"/>
      <c r="AH10" s="57"/>
      <c r="AI10" s="339"/>
      <c r="AJ10" s="339"/>
      <c r="AK10" s="297" t="str">
        <f>IF(X10&lt;&gt;"",CONCATENATE(IF(AA10&lt;&gt;"",CONCATENATE(Z10," ",AA10," ",BI10),""),IF(AD10&lt;&gt;"",CONCATENATE(","," ",AC10," ",AD10," ",BJ10),""),IF(AG10&lt;&gt;"",CONCATENATE(","," ",AF10," ",AG10," ",BK10),""),IF(AJ10&lt;&gt;"",CONCATENATE(","," ","DD"," ",BL10),"")," ",IF(AI10&lt;&gt;"",CONCATENATE(" - ",AI10," Bag"),"")),"")</f>
        <v xml:space="preserve"> LL 14 </v>
      </c>
      <c r="AL10" s="287" t="s">
        <v>421</v>
      </c>
      <c r="AM10" s="287"/>
      <c r="AN10" s="287"/>
      <c r="AO10" s="287"/>
      <c r="AP10" s="370" t="str">
        <f>IFERROR(VLOOKUP(#REF!,Outlist!$A$5:$V$120,20,FALSE),"")</f>
        <v/>
      </c>
      <c r="AQ10" s="288" t="s">
        <v>462</v>
      </c>
      <c r="AS10" s="24"/>
      <c r="AT10" s="24">
        <v>0.9375</v>
      </c>
      <c r="AU10" s="27">
        <v>0.1</v>
      </c>
      <c r="AV10" s="27"/>
      <c r="AW10" s="20" t="s">
        <v>443</v>
      </c>
      <c r="AX10" s="20" t="str">
        <f>IFERROR(IF(Out_Table[[#This Row],[Cancellazione linea]]="Cancellata","yes",""),"")</f>
        <v/>
      </c>
      <c r="AY10" s="72" t="str">
        <f>IF(BA10="",BZ10,IF(AND(BA10&lt;(--"23:59:59"),BA10&gt;(--"15:00:00"),G10&lt;(--"14:00:00"),G10&gt;(--"00:00:01")),"",IF(BA10&gt;G10,BZ10,"")))</f>
        <v/>
      </c>
      <c r="AZ10" s="27"/>
      <c r="BA10" s="32">
        <v>0.10625</v>
      </c>
      <c r="BB10" s="72"/>
      <c r="BC10" s="72" t="str">
        <f>IFERROR(VLOOKUP(Out_Table[[#This Row],[Aggiornamento STATUS]],'INformazioni per calcoli'!$Y$70:$AA$76,2,FALSE),"")</f>
        <v/>
      </c>
      <c r="BD10" s="289"/>
      <c r="BE10" s="289"/>
      <c r="BF10" s="47" t="str">
        <f>LEFT($E10,3)</f>
        <v>MM1</v>
      </c>
      <c r="BG10" s="298" t="str">
        <f>IF(Out_Table[[#This Row],[Ora Uscita    (GH)]]&lt;&gt;"","x","")</f>
        <v>x</v>
      </c>
      <c r="BH10" s="299">
        <f>VLOOKUP($O10,'INformazioni per calcoli'!$Y$20:$AA$23,3,FALSE)</f>
        <v>14</v>
      </c>
      <c r="BI10" s="299">
        <f>MROUND(Out_Table[[#This Row],[Mtr. Trailer]]*AB10,0.5)</f>
        <v>14</v>
      </c>
      <c r="BJ10" s="299">
        <f>MROUND(Out_Table[[#This Row],[Mtr. Trailer]]*AE10,0.5)</f>
        <v>0</v>
      </c>
      <c r="BK10" s="299">
        <f>MROUND(Out_Table[[#This Row],[Mtr. Trailer]]*AH10,0.5)</f>
        <v>0</v>
      </c>
      <c r="BL10" s="300">
        <f>Out_Table[[#This Row],[Double Deck trailer N° bumpers]]</f>
        <v>0</v>
      </c>
      <c r="BM10" s="301"/>
      <c r="BN10" s="299" t="str">
        <f>B10</f>
        <v>ITD12746</v>
      </c>
      <c r="BO10" s="299" t="str">
        <f>E10</f>
        <v>MM1</v>
      </c>
      <c r="BP10" s="302">
        <f>IF(AND(G10&gt;(--"00:00:01"),G10&lt;(--"15:00:00")),IF(AND(X10&gt;(--"00:00:01"),X10&lt;(--"15:00:00")),G10-X10,G10+1-X10),G10-X10)</f>
        <v>0.1465277777777777</v>
      </c>
      <c r="BQ10" s="303">
        <f>AE10+AF10+AH10+AJ10</f>
        <v>0</v>
      </c>
      <c r="BR10" s="304" t="str">
        <f>IF(OR(BP10&lt;=(--"00:20:00"),BQ10&gt;=100%),"OK","Not OK")</f>
        <v>Not OK</v>
      </c>
      <c r="BS10" s="302">
        <f>IF(AND(G10&gt;(--"00:00:01"),G10&lt;(--"15:00:00")),IF(AND(AU10&gt;(--"00:00:01"),AU10&lt;(--"15:00:00")),G10-AU10,G10+1-AU10),G10-AU10)</f>
        <v>4.5833333333333337E-2</v>
      </c>
      <c r="BT10" s="302">
        <f>IF(AND(AZ10&gt;(--"00:00:01"),AZ10&lt;(--"15:00:00")),IF(AND(AU10&gt;(--"00:00:01"),AU10&lt;(--"15:00:00")),AZ10-AU10,AZ10+1-AU10),AZ10-AU10)</f>
        <v>-0.1</v>
      </c>
      <c r="BU10" s="302">
        <f>IF(AND(BA10&gt;(--"00:00:01"),BA10&lt;(--"15:00:00")),IF(AND(AZ10&gt;(--"00:00:01"),AZ10&lt;(--"15:00:00")),BA10-AZ10,BA10+1-AZ10),BA10-AZ10)</f>
        <v>1.10625</v>
      </c>
      <c r="BV10" s="299">
        <f>AV10</f>
        <v>0</v>
      </c>
      <c r="BW10" s="301"/>
      <c r="BX10" s="299" t="str">
        <f>IF(AV10="T Status",IF(AV10&lt;&gt;T10,"X",""),"")</f>
        <v/>
      </c>
      <c r="BY10" s="301"/>
      <c r="BZ10" s="299" t="str">
        <f>IF(X10&lt;&gt;"",IF(CC10="X","Driver Delay",IF(CA10="X","Paperwork Delay",IF(CB10="X","Late freight late sort",IF(CD10="X","Chiamare Control Room",IF(CE10="X","Chiamare Control Room",IF(CF10="X","Chiamare Control Room","")))))),"")</f>
        <v>Chiamare Control Room</v>
      </c>
      <c r="CA10" s="302" t="str">
        <f>IF(K10="",IF(IF(AND(G10&gt;(--"00:00:01"),G10&lt;(--"15:00:00")),IF(AND(AT10&gt;(--"08:00:00"),AT10&lt;(--"23:59:59")),G10+1-AT10,G10-AT10),G10-AT10)&gt;(--"00:20:00"),"","X"),"")</f>
        <v/>
      </c>
      <c r="CB10" s="299" t="str">
        <f>IF(K10="",IF(BP10&gt;=(--"00:20:00"),"","X"),"")</f>
        <v/>
      </c>
      <c r="CC10" s="299" t="str">
        <f>IF(OR(AV10="Autista non presente",AV10="Dati driver non presenti"),"X","")</f>
        <v/>
      </c>
      <c r="CD10" s="299" t="str">
        <f>IF(K10="",IF(AND(CC10="",BS10&lt;(--"00:20:00")),"X",""),"")</f>
        <v/>
      </c>
      <c r="CE10" s="299" t="str">
        <f>IF(K10="",IF(BT10&gt;(--"00:15:00"),"X",""),IF(AZ10&lt;&gt;"",IF(G10-AZ10&gt;(--"00:30:00"),"X",""),""))</f>
        <v/>
      </c>
      <c r="CF10" s="299" t="str">
        <f>IF(AND(CA10="",CB10="",CC10="",CD10="",CE10=""),"X","")</f>
        <v>X</v>
      </c>
      <c r="CG10" s="301"/>
      <c r="CH10" s="299" t="str">
        <f>IF(BT10&gt;(--"00:15:00"),"X","")</f>
        <v/>
      </c>
      <c r="CI10" s="302" t="str">
        <f>AY10</f>
        <v/>
      </c>
      <c r="CJ10" s="299" t="str">
        <f>IF(AND(CH10&lt;&gt;"",CI10&lt;&gt;"",LEFT(B10,3)="ITD"),AP10,"")</f>
        <v/>
      </c>
      <c r="CK10" s="305" t="str">
        <f>IF(CJ10&lt;&gt;"",BT10,"")</f>
        <v/>
      </c>
      <c r="CL10" s="301"/>
      <c r="CM10" s="305" t="str">
        <f>IFERROR(VLOOKUP(Q10,'Elenco Casse'!$D$4:$F$292,3,FALSE),"")</f>
        <v/>
      </c>
      <c r="CN10" s="301"/>
      <c r="CO10" s="305" t="str">
        <f>IFERROR(VLOOKUP(S10,'Elenco Casse'!$D$4:$F$292,3,FALSE),"")</f>
        <v/>
      </c>
      <c r="CP10" s="305" t="str">
        <f>IFERROR(IF(VLOOKUP($E10,Outlist!$A$5:$S$120,19,FALSE)&lt;&gt;0,"Y",""),"")</f>
        <v/>
      </c>
      <c r="CQ10" s="301"/>
      <c r="CR10" s="305" t="str">
        <f>CONCATENATE($B10,$E10,$G10)</f>
        <v>ITD12746MM10.145833333333333</v>
      </c>
      <c r="CS10" s="301"/>
      <c r="CT10" s="305" t="e">
        <f>VLOOKUP(Out_Table[[#This Row],[Destination             ORANGE (From Planning)]],Outlist!$A$5:$W$120,22,FALSE)</f>
        <v>#N/A</v>
      </c>
    </row>
    <row r="11" spans="1:98" s="20" customFormat="1" ht="30.75">
      <c r="A11" s="305" t="str">
        <f>$CR11</f>
        <v>ITD12358MM10.1875</v>
      </c>
      <c r="B11" s="284" t="s">
        <v>463</v>
      </c>
      <c r="C11" s="290" t="str">
        <f>IFERROR(IF(LEFT(B11,3)='STAT 77'!$X$2,_xlfn.XLOOKUP(B11,'STAT 77'!C:C,'STAT 77'!B:B),_xlfn.XLOOKUP(B11,'STAT 77'!B:B,'STAT 77'!C:C)),"NON TROVATO")</f>
        <v>ITD31472</v>
      </c>
      <c r="D11" s="25" t="s">
        <v>455</v>
      </c>
      <c r="E11" s="290" t="s">
        <v>456</v>
      </c>
      <c r="F11" s="290" t="str">
        <f>IFERROR(VLOOKUP(E11,'Cambio O2P'!C:E,2,FALSE),"")</f>
        <v>QRGA</v>
      </c>
      <c r="G11" s="285">
        <v>0.1875</v>
      </c>
      <c r="H11" s="293" t="str">
        <f ca="1">IFERROR(IF(AND('INformazioni per calcoli'!$AB$3&lt;(--"14:30"),'INformazioni per calcoli'!$AB$3&gt;(--"10:00")),"",IF($B11="","",IF($X11&lt;&gt;"","Mezzo Chiuso",IF($W11="","Non al Carico",IF($G11-'INformazioni per calcoli'!$AB$5-'INformazioni per calcoli'!$AB$3+$J11&lt;0,"LFLS",IF($K11&lt;&gt;"","Safe Parking",IF($W11&lt;&gt;"",IF($E11="MXP",$G11-'INformazioni per calcoli'!$AB$6-'INformazioni per calcoli'!$AB$3+$J11,$G11-'INformazioni per calcoli'!$AB$5-'INformazioni per calcoli'!$AB$3+$J11),"Non al carico"))))))),"")</f>
        <v>Mezzo Chiuso</v>
      </c>
      <c r="I11" s="17" t="str">
        <f ca="1">IFERROR(IF($H11&lt;&gt;"",IF($H11="Safe Parking","",IF($W11&lt;&gt;"",IF(AND($U11="X",$V11="X"),$H11-(--"00:30"),""),IF($X11&lt;&gt;"","Mezzo Chiuso","Non al carico"))),""),"")</f>
        <v/>
      </c>
      <c r="J11" s="306">
        <f ca="1">IFERROR(IF($B11&lt;&gt;"",IF(AND('INformazioni per calcoli'!$AB$3&lt;(--"15:00"),'INformazioni per calcoli'!$AB$3&gt;(--"00:00")),0,IF($G11&lt;(--"18:30"),"+1",0)),""),"")</f>
        <v>0</v>
      </c>
      <c r="K11" s="17"/>
      <c r="L11" s="25" t="s">
        <v>430</v>
      </c>
      <c r="M11" s="25" t="str">
        <f>IFERROR(_xlfn.XLOOKUP($Q11,'Elenco Casse'!$D:$D,'Elenco Casse'!$E:$E),"")</f>
        <v>Trans Speedy S.R.L</v>
      </c>
      <c r="N11" s="25">
        <f>IFERROR(_xlfn.XLOOKUP($Q11,'Elenco Casse'!$D:$D,'Elenco Casse'!$F:$F),"")</f>
        <v>0</v>
      </c>
      <c r="O11" s="286" t="s">
        <v>418</v>
      </c>
      <c r="P11" s="295" t="str">
        <f>IFERROR(_xlfn.XLOOKUP($Q11,'Elenco Casse'!$D:$D,'Elenco Casse'!$G:$G),"")</f>
        <v>trailer 80 m3 2/3 axles</v>
      </c>
      <c r="Q11" s="355" t="s">
        <v>464</v>
      </c>
      <c r="R11" s="23" t="s">
        <v>420</v>
      </c>
      <c r="S11" s="25" t="s">
        <v>421</v>
      </c>
      <c r="T11" s="25" t="s">
        <v>432</v>
      </c>
      <c r="U11" s="23" t="str">
        <f>IF(ISNUMBER(SEARCH("Parcel",$T11)),"X","")</f>
        <v>X</v>
      </c>
      <c r="V11" s="23" t="str">
        <f>IF(ISNUMBER(SEARCH("Freight",$T11)),"X","")</f>
        <v/>
      </c>
      <c r="W11" s="26">
        <v>308</v>
      </c>
      <c r="X11" s="27">
        <v>3.8194444444444448E-2</v>
      </c>
      <c r="Y11" s="25" t="s">
        <v>465</v>
      </c>
      <c r="Z11" s="25"/>
      <c r="AA11" s="25" t="s">
        <v>40</v>
      </c>
      <c r="AB11" s="57">
        <v>1</v>
      </c>
      <c r="AC11" s="25"/>
      <c r="AD11" s="25"/>
      <c r="AE11" s="57"/>
      <c r="AF11" s="57"/>
      <c r="AG11" s="25"/>
      <c r="AH11" s="57"/>
      <c r="AI11" s="339">
        <v>24</v>
      </c>
      <c r="AJ11" s="339"/>
      <c r="AK11" s="297" t="str">
        <f>IF(X11&lt;&gt;"",CONCATENATE(IF(AA11&lt;&gt;"",CONCATENATE(Z11," ",AA11," ",BI11),""),IF(AD11&lt;&gt;"",CONCATENATE(","," ",AC11," ",AD11," ",BJ11),""),IF(AG11&lt;&gt;"",CONCATENATE(","," ",AF11," ",AG11," ",BK11),""),IF(AJ11&lt;&gt;"",CONCATENATE(","," ","DD"," ",BL11),"")," ",IF(AI11&lt;&gt;"",CONCATENATE(" - ",AI11," Bag"),"")),"")</f>
        <v xml:space="preserve"> LL 14  - 24 Bag</v>
      </c>
      <c r="AL11" s="287" t="s">
        <v>421</v>
      </c>
      <c r="AM11" s="287"/>
      <c r="AN11" s="287"/>
      <c r="AO11" s="287"/>
      <c r="AP11" s="370" t="str">
        <f>IFERROR(VLOOKUP(#REF!,Outlist!$A$5:$V$120,20,FALSE),"")</f>
        <v/>
      </c>
      <c r="AQ11" s="288" t="str">
        <f>IFERROR(IF(VLOOKUP($A11,#REF!,8,FALSE)&lt;&gt;"",VLOOKUP($A11,#REF!,8,FALSE),""),"")</f>
        <v/>
      </c>
      <c r="AS11" s="24"/>
      <c r="AT11" s="24">
        <v>0.94027777777777777</v>
      </c>
      <c r="AU11" s="27">
        <v>0.14166666666666666</v>
      </c>
      <c r="AV11" s="27"/>
      <c r="AX11" s="20" t="str">
        <f>IFERROR(IF(Out_Table[[#This Row],[Cancellazione linea]]="Cancellata","yes",""),"")</f>
        <v/>
      </c>
      <c r="AY11" s="72" t="str">
        <f>IF(BA11="",BZ11,IF(AND(BA11&lt;(--"23:59:59"),BA11&gt;(--"15:00:00"),G11&lt;(--"14:00:00"),G11&gt;(--"00:00:01")),"",IF(BA11&gt;G11,BZ11,"")))</f>
        <v>Chiamare Control Room</v>
      </c>
      <c r="AZ11" s="27"/>
      <c r="BA11" s="32"/>
      <c r="BB11" s="72"/>
      <c r="BC11" s="72" t="str">
        <f>IFERROR(VLOOKUP(Out_Table[[#This Row],[Aggiornamento STATUS]],'INformazioni per calcoli'!$Y$70:$AA$76,2,FALSE),"")</f>
        <v/>
      </c>
      <c r="BD11" s="289"/>
      <c r="BE11" s="289"/>
      <c r="BF11" s="47" t="str">
        <f>LEFT($E11,3)</f>
        <v>MM1</v>
      </c>
      <c r="BG11" s="298" t="str">
        <f>IF(Out_Table[[#This Row],[Ora Uscita    (GH)]]&lt;&gt;"","x","")</f>
        <v/>
      </c>
      <c r="BH11" s="299">
        <f>VLOOKUP($O11,'INformazioni per calcoli'!$Y$20:$AA$23,3,FALSE)</f>
        <v>14</v>
      </c>
      <c r="BI11" s="299">
        <f>MROUND(Out_Table[[#This Row],[Mtr. Trailer]]*AB11,0.5)</f>
        <v>14</v>
      </c>
      <c r="BJ11" s="299">
        <f>MROUND(Out_Table[[#This Row],[Mtr. Trailer]]*AE11,0.5)</f>
        <v>0</v>
      </c>
      <c r="BK11" s="299">
        <f>MROUND(Out_Table[[#This Row],[Mtr. Trailer]]*AH11,0.5)</f>
        <v>0</v>
      </c>
      <c r="BL11" s="300">
        <f>Out_Table[[#This Row],[Double Deck trailer N° bumpers]]</f>
        <v>0</v>
      </c>
      <c r="BM11" s="301"/>
      <c r="BN11" s="299" t="str">
        <f>B11</f>
        <v>ITD12358</v>
      </c>
      <c r="BO11" s="299" t="str">
        <f>E11</f>
        <v>MM1</v>
      </c>
      <c r="BP11" s="302">
        <f>IF(AND(G11&gt;(--"00:00:01"),G11&lt;(--"15:00:00")),IF(AND(X11&gt;(--"00:00:01"),X11&lt;(--"15:00:00")),G11-X11,G11+1-X11),G11-X11)</f>
        <v>0.14930555555555555</v>
      </c>
      <c r="BQ11" s="303">
        <f>AE11+AF11+AH11+AJ11</f>
        <v>0</v>
      </c>
      <c r="BR11" s="304" t="str">
        <f>IF(OR(BP11&lt;=(--"00:20:00"),BQ11&gt;=100%),"OK","Not OK")</f>
        <v>Not OK</v>
      </c>
      <c r="BS11" s="302">
        <f>IF(AND(G11&gt;(--"00:00:01"),G11&lt;(--"15:00:00")),IF(AND(AU11&gt;(--"00:00:01"),AU11&lt;(--"15:00:00")),G11-AU11,G11+1-AU11),G11-AU11)</f>
        <v>4.5833333333333337E-2</v>
      </c>
      <c r="BT11" s="302">
        <f>IF(AND(AZ11&gt;(--"00:00:01"),AZ11&lt;(--"15:00:00")),IF(AND(AU11&gt;(--"00:00:01"),AU11&lt;(--"15:00:00")),AZ11-AU11,AZ11+1-AU11),AZ11-AU11)</f>
        <v>-0.14166666666666666</v>
      </c>
      <c r="BU11" s="302">
        <f>IF(AND(BA11&gt;(--"00:00:01"),BA11&lt;(--"15:00:00")),IF(AND(AZ11&gt;(--"00:00:01"),AZ11&lt;(--"15:00:00")),BA11-AZ11,BA11+1-AZ11),BA11-AZ11)</f>
        <v>0</v>
      </c>
      <c r="BV11" s="299">
        <f>AV11</f>
        <v>0</v>
      </c>
      <c r="BW11" s="301"/>
      <c r="BX11" s="299" t="str">
        <f>IF(AV11="T Status",IF(AV11&lt;&gt;T11,"X",""),"")</f>
        <v/>
      </c>
      <c r="BY11" s="301"/>
      <c r="BZ11" s="299" t="str">
        <f>IF(X11&lt;&gt;"",IF(CC11="X","Driver Delay",IF(CA11="X","Paperwork Delay",IF(CB11="X","Late freight late sort",IF(CD11="X","Chiamare Control Room",IF(CE11="X","Chiamare Control Room",IF(CF11="X","Chiamare Control Room","")))))),"")</f>
        <v>Chiamare Control Room</v>
      </c>
      <c r="CA11" s="302" t="str">
        <f>IF(K11="",IF(IF(AND(G11&gt;(--"00:00:01"),G11&lt;(--"15:00:00")),IF(AND(AT11&gt;(--"08:00:00"),AT11&lt;(--"23:59:59")),G11+1-AT11,G11-AT11),G11-AT11)&gt;(--"00:20:00"),"","X"),"")</f>
        <v/>
      </c>
      <c r="CB11" s="299" t="str">
        <f>IF(K11="",IF(BP11&gt;=(--"00:20:00"),"","X"),"")</f>
        <v/>
      </c>
      <c r="CC11" s="299" t="str">
        <f>IF(OR(AV11="Autista non presente",AV11="Dati driver non presenti"),"X","")</f>
        <v/>
      </c>
      <c r="CD11" s="299" t="str">
        <f>IF(K11="",IF(AND(CC11="",BS11&lt;(--"00:20:00")),"X",""),"")</f>
        <v/>
      </c>
      <c r="CE11" s="299" t="str">
        <f>IF(K11="",IF(BT11&gt;(--"00:15:00"),"X",""),IF(AZ11&lt;&gt;"",IF(G11-AZ11&gt;(--"00:30:00"),"X",""),""))</f>
        <v/>
      </c>
      <c r="CF11" s="299" t="str">
        <f>IF(AND(CA11="",CB11="",CC11="",CD11="",CE11=""),"X","")</f>
        <v>X</v>
      </c>
      <c r="CG11" s="301"/>
      <c r="CH11" s="299" t="str">
        <f>IF(BT11&gt;(--"00:15:00"),"X","")</f>
        <v/>
      </c>
      <c r="CI11" s="302" t="str">
        <f>AY11</f>
        <v>Chiamare Control Room</v>
      </c>
      <c r="CJ11" s="299" t="str">
        <f>IF(AND(CH11&lt;&gt;"",CI11&lt;&gt;"",LEFT(B11,3)="ITD"),AP11,"")</f>
        <v/>
      </c>
      <c r="CK11" s="305" t="str">
        <f>IF(CJ11&lt;&gt;"",BT11,"")</f>
        <v/>
      </c>
      <c r="CL11" s="301"/>
      <c r="CM11" s="305" t="str">
        <f>IFERROR(VLOOKUP(Q11,'Elenco Casse'!$D$4:$F$292,3,FALSE),"")</f>
        <v/>
      </c>
      <c r="CN11" s="301"/>
      <c r="CO11" s="305" t="str">
        <f>IFERROR(VLOOKUP(S11,'Elenco Casse'!$D$4:$F$292,3,FALSE),"")</f>
        <v/>
      </c>
      <c r="CP11" s="305" t="str">
        <f>IFERROR(IF(VLOOKUP($E11,Outlist!$A$5:$S$120,19,FALSE)&lt;&gt;0,"Y",""),"")</f>
        <v/>
      </c>
      <c r="CQ11" s="301"/>
      <c r="CR11" s="305" t="str">
        <f>CONCATENATE($B11,$E11,$G11)</f>
        <v>ITD12358MM10.1875</v>
      </c>
      <c r="CS11" s="301"/>
      <c r="CT11" s="305" t="e">
        <f>VLOOKUP(Out_Table[[#This Row],[Destination             ORANGE (From Planning)]],Outlist!$A$5:$W$120,22,FALSE)</f>
        <v>#N/A</v>
      </c>
    </row>
    <row r="12" spans="1:98" s="20" customFormat="1" ht="15">
      <c r="A12" s="305" t="str">
        <f>$CR12</f>
        <v>ITD12317MM10.21875</v>
      </c>
      <c r="B12" s="284" t="s">
        <v>466</v>
      </c>
      <c r="C12" s="290" t="str">
        <f>IFERROR(IF(LEFT(B12,3)='STAT 77'!$X$2,_xlfn.XLOOKUP(B12,'STAT 77'!C:C,'STAT 77'!B:B),_xlfn.XLOOKUP(B12,'STAT 77'!B:B,'STAT 77'!C:C)),"NON TROVATO")</f>
        <v>ITD31376</v>
      </c>
      <c r="D12" s="25" t="s">
        <v>467</v>
      </c>
      <c r="E12" s="290" t="s">
        <v>456</v>
      </c>
      <c r="F12" s="290" t="str">
        <f>IFERROR(VLOOKUP(E12,'Cambio O2P'!C:E,2,FALSE),"")</f>
        <v>QRGA</v>
      </c>
      <c r="G12" s="285">
        <v>0.21875</v>
      </c>
      <c r="H12" s="293">
        <f ca="1">IFERROR(IF(AND('INformazioni per calcoli'!$AB$3&lt;(--"14:30"),'INformazioni per calcoli'!$AB$3&gt;(--"10:00")),"",IF($B12="","",IF($X12&lt;&gt;"","Mezzo Chiuso",IF($W12="","Non al Carico",IF($G12-'INformazioni per calcoli'!$AB$5-'INformazioni per calcoli'!$AB$3+$J12&lt;0,"LFLS",IF($K12&lt;&gt;"","Safe Parking",IF($W12&lt;&gt;"",IF($E12="MXP",$G12-'INformazioni per calcoli'!$AB$6-'INformazioni per calcoli'!$AB$3+$J12,$G12-'INformazioni per calcoli'!$AB$5-'INformazioni per calcoli'!$AB$3+$J12),"Non al carico"))))))),"")</f>
        <v>5.9398148148148144E-2</v>
      </c>
      <c r="I12" s="17" t="str">
        <f ca="1">IFERROR(IF($H12&lt;&gt;"",IF($H12="Safe Parking","",IF($W12&lt;&gt;"",IF(AND($U12="X",$V12="X"),$H12-(--"00:30"),""),IF($X12&lt;&gt;"","Mezzo Chiuso","Non al carico"))),""),"")</f>
        <v/>
      </c>
      <c r="J12" s="306">
        <f ca="1">IFERROR(IF($B12&lt;&gt;"",IF(AND('INformazioni per calcoli'!$AB$3&lt;(--"15:00"),'INformazioni per calcoli'!$AB$3&gt;(--"00:00")),0,IF($G12&lt;(--"18:30"),"+1",0)),""),"")</f>
        <v>0</v>
      </c>
      <c r="K12" s="17"/>
      <c r="L12" s="25" t="s">
        <v>451</v>
      </c>
      <c r="M12" s="25" t="str">
        <f>IFERROR(_xlfn.XLOOKUP($Q12,'Elenco Casse'!$D:$D,'Elenco Casse'!$E:$E),"")</f>
        <v>F.M. Trasporti S.R.L.</v>
      </c>
      <c r="N12" s="25">
        <f>IFERROR(_xlfn.XLOOKUP($Q12,'Elenco Casse'!$D:$D,'Elenco Casse'!$F:$F),"")</f>
        <v>0</v>
      </c>
      <c r="O12" s="286" t="s">
        <v>418</v>
      </c>
      <c r="P12" s="295" t="str">
        <f>IFERROR(_xlfn.XLOOKUP($Q12,'Elenco Casse'!$D:$D,'Elenco Casse'!$G:$G),"")</f>
        <v>trailer 80 m3 2/3 axles</v>
      </c>
      <c r="Q12" s="355" t="s">
        <v>468</v>
      </c>
      <c r="R12" s="23" t="s">
        <v>420</v>
      </c>
      <c r="S12" s="25" t="s">
        <v>421</v>
      </c>
      <c r="T12" s="25" t="s">
        <v>432</v>
      </c>
      <c r="U12" s="23" t="str">
        <f>IF(ISNUMBER(SEARCH("Parcel",$T12)),"X","")</f>
        <v>X</v>
      </c>
      <c r="V12" s="23" t="str">
        <f>IF(ISNUMBER(SEARCH("Freight",$T12)),"X","")</f>
        <v/>
      </c>
      <c r="W12" s="26">
        <v>308</v>
      </c>
      <c r="X12" s="27"/>
      <c r="Y12" s="25"/>
      <c r="Z12" s="25"/>
      <c r="AA12" s="25" t="s">
        <v>40</v>
      </c>
      <c r="AB12" s="57"/>
      <c r="AC12" s="25"/>
      <c r="AD12" s="25"/>
      <c r="AE12" s="57"/>
      <c r="AF12" s="57"/>
      <c r="AG12" s="25"/>
      <c r="AH12" s="57"/>
      <c r="AI12" s="339"/>
      <c r="AJ12" s="339"/>
      <c r="AK12" s="297" t="str">
        <f>IF(X12&lt;&gt;"",CONCATENATE(IF(AA12&lt;&gt;"",CONCATENATE(Z12," ",AA12," ",BI12),""),IF(AD12&lt;&gt;"",CONCATENATE(","," ",AC12," ",AD12," ",BJ12),""),IF(AG12&lt;&gt;"",CONCATENATE(","," ",AF12," ",AG12," ",BK12),""),IF(AJ12&lt;&gt;"",CONCATENATE(","," ","DD"," ",BL12),"")," ",IF(AI12&lt;&gt;"",CONCATENATE(" - ",AI12," Bag"),"")),"")</f>
        <v/>
      </c>
      <c r="AL12" s="287"/>
      <c r="AM12" s="287"/>
      <c r="AN12" s="287"/>
      <c r="AO12" s="287"/>
      <c r="AP12" s="370" t="str">
        <f>IFERROR(VLOOKUP(#REF!,Outlist!$A$5:$V$120,20,FALSE),"")</f>
        <v/>
      </c>
      <c r="AQ12" s="288" t="str">
        <f>IFERROR(IF(VLOOKUP($A12,#REF!,8,FALSE)&lt;&gt;"",VLOOKUP($A12,#REF!,8,FALSE),""),"")</f>
        <v/>
      </c>
      <c r="AS12" s="24"/>
      <c r="AT12" s="24">
        <v>5.9027777777777776E-2</v>
      </c>
      <c r="AU12" s="27"/>
      <c r="AV12" s="27"/>
      <c r="AX12" s="20" t="str">
        <f>IFERROR(IF(Out_Table[[#This Row],[Cancellazione linea]]="Cancellata","yes",""),"")</f>
        <v/>
      </c>
      <c r="AY12" s="72" t="str">
        <f>IF(BA12="",BZ12,IF(AND(BA12&lt;(--"23:59:59"),BA12&gt;(--"15:00:00"),G12&lt;(--"14:00:00"),G12&gt;(--"00:00:01")),"",IF(BA12&gt;G12,BZ12,"")))</f>
        <v/>
      </c>
      <c r="AZ12" s="27"/>
      <c r="BA12" s="32"/>
      <c r="BB12" s="72"/>
      <c r="BC12" s="72" t="str">
        <f>IFERROR(VLOOKUP(Out_Table[[#This Row],[Aggiornamento STATUS]],'INformazioni per calcoli'!$Y$70:$AA$76,2,FALSE),"")</f>
        <v/>
      </c>
      <c r="BD12" s="289"/>
      <c r="BE12" s="289"/>
      <c r="BF12" s="47" t="str">
        <f>LEFT($E12,3)</f>
        <v>MM1</v>
      </c>
      <c r="BG12" s="298" t="str">
        <f>IF(Out_Table[[#This Row],[Ora Uscita    (GH)]]&lt;&gt;"","x","")</f>
        <v/>
      </c>
      <c r="BH12" s="299">
        <f>VLOOKUP($O12,'INformazioni per calcoli'!$Y$20:$AA$23,3,FALSE)</f>
        <v>14</v>
      </c>
      <c r="BI12" s="299">
        <f>MROUND(Out_Table[[#This Row],[Mtr. Trailer]]*AB12,0.5)</f>
        <v>0</v>
      </c>
      <c r="BJ12" s="299">
        <f>MROUND(Out_Table[[#This Row],[Mtr. Trailer]]*AE12,0.5)</f>
        <v>0</v>
      </c>
      <c r="BK12" s="299">
        <f>MROUND(Out_Table[[#This Row],[Mtr. Trailer]]*AH12,0.5)</f>
        <v>0</v>
      </c>
      <c r="BL12" s="300">
        <f>Out_Table[[#This Row],[Double Deck trailer N° bumpers]]</f>
        <v>0</v>
      </c>
      <c r="BM12" s="301"/>
      <c r="BN12" s="299" t="str">
        <f>B12</f>
        <v>ITD12317</v>
      </c>
      <c r="BO12" s="299" t="str">
        <f>E12</f>
        <v>MM1</v>
      </c>
      <c r="BP12" s="302">
        <f>IF(AND(G12&gt;(--"00:00:01"),G12&lt;(--"15:00:00")),IF(AND(X12&gt;(--"00:00:01"),X12&lt;(--"15:00:00")),G12-X12,G12+1-X12),G12-X12)</f>
        <v>1.21875</v>
      </c>
      <c r="BQ12" s="303">
        <f>AE12+AF12+AH12+AJ12</f>
        <v>0</v>
      </c>
      <c r="BR12" s="304" t="str">
        <f>IF(OR(BP12&lt;=(--"00:20:00"),BQ12&gt;=100%),"OK","Not OK")</f>
        <v>Not OK</v>
      </c>
      <c r="BS12" s="302">
        <f>IF(AND(G12&gt;(--"00:00:01"),G12&lt;(--"15:00:00")),IF(AND(AU12&gt;(--"00:00:01"),AU12&lt;(--"15:00:00")),G12-AU12,G12+1-AU12),G12-AU12)</f>
        <v>1.21875</v>
      </c>
      <c r="BT12" s="302">
        <f>IF(AND(AZ12&gt;(--"00:00:01"),AZ12&lt;(--"15:00:00")),IF(AND(AU12&gt;(--"00:00:01"),AU12&lt;(--"15:00:00")),AZ12-AU12,AZ12+1-AU12),AZ12-AU12)</f>
        <v>0</v>
      </c>
      <c r="BU12" s="302">
        <f>IF(AND(BA12&gt;(--"00:00:01"),BA12&lt;(--"15:00:00")),IF(AND(AZ12&gt;(--"00:00:01"),AZ12&lt;(--"15:00:00")),BA12-AZ12,BA12+1-AZ12),BA12-AZ12)</f>
        <v>0</v>
      </c>
      <c r="BV12" s="299">
        <f>AV12</f>
        <v>0</v>
      </c>
      <c r="BW12" s="301"/>
      <c r="BX12" s="299" t="str">
        <f>IF(AV12="T Status",IF(AV12&lt;&gt;T12,"X",""),"")</f>
        <v/>
      </c>
      <c r="BY12" s="301"/>
      <c r="BZ12" s="299" t="str">
        <f>IF(X12&lt;&gt;"",IF(CC12="X","Driver Delay",IF(CA12="X","Paperwork Delay",IF(CB12="X","Late freight late sort",IF(CD12="X","Chiamare Control Room",IF(CE12="X","Chiamare Control Room",IF(CF12="X","Chiamare Control Room","")))))),"")</f>
        <v/>
      </c>
      <c r="CA12" s="302" t="str">
        <f>IF(K12="",IF(IF(AND(G12&gt;(--"00:00:01"),G12&lt;(--"15:00:00")),IF(AND(AT12&gt;(--"08:00:00"),AT12&lt;(--"23:59:59")),G12+1-AT12,G12-AT12),G12-AT12)&gt;(--"00:20:00"),"","X"),"")</f>
        <v/>
      </c>
      <c r="CB12" s="299" t="str">
        <f>IF(K12="",IF(BP12&gt;=(--"00:20:00"),"","X"),"")</f>
        <v/>
      </c>
      <c r="CC12" s="299" t="str">
        <f>IF(OR(AV12="Autista non presente",AV12="Dati driver non presenti"),"X","")</f>
        <v/>
      </c>
      <c r="CD12" s="299" t="str">
        <f>IF(K12="",IF(AND(CC12="",BS12&lt;(--"00:20:00")),"X",""),"")</f>
        <v/>
      </c>
      <c r="CE12" s="299" t="str">
        <f>IF(K12="",IF(BT12&gt;(--"00:15:00"),"X",""),IF(AZ12&lt;&gt;"",IF(G12-AZ12&gt;(--"00:30:00"),"X",""),""))</f>
        <v/>
      </c>
      <c r="CF12" s="299" t="str">
        <f>IF(AND(CA12="",CB12="",CC12="",CD12="",CE12=""),"X","")</f>
        <v>X</v>
      </c>
      <c r="CG12" s="301"/>
      <c r="CH12" s="299" t="str">
        <f>IF(BT12&gt;(--"00:15:00"),"X","")</f>
        <v/>
      </c>
      <c r="CI12" s="302" t="str">
        <f>AY12</f>
        <v/>
      </c>
      <c r="CJ12" s="299" t="str">
        <f>IF(AND(CH12&lt;&gt;"",CI12&lt;&gt;"",LEFT(B12,3)="ITD"),AP12,"")</f>
        <v/>
      </c>
      <c r="CK12" s="305" t="str">
        <f>IF(CJ12&lt;&gt;"",BT12,"")</f>
        <v/>
      </c>
      <c r="CL12" s="301"/>
      <c r="CM12" s="305" t="str">
        <f>IFERROR(VLOOKUP(Q12,'Elenco Casse'!$D$4:$F$292,3,FALSE),"")</f>
        <v/>
      </c>
      <c r="CN12" s="301"/>
      <c r="CO12" s="305" t="str">
        <f>IFERROR(VLOOKUP(S12,'Elenco Casse'!$D$4:$F$292,3,FALSE),"")</f>
        <v/>
      </c>
      <c r="CP12" s="305" t="str">
        <f>IFERROR(IF(VLOOKUP($E12,Outlist!$A$5:$S$120,19,FALSE)&lt;&gt;0,"Y",""),"")</f>
        <v/>
      </c>
      <c r="CQ12" s="301"/>
      <c r="CR12" s="305" t="str">
        <f>CONCATENATE($B12,$E12,$G12)</f>
        <v>ITD12317MM10.21875</v>
      </c>
      <c r="CS12" s="301"/>
      <c r="CT12" s="305" t="e">
        <f>VLOOKUP(Out_Table[[#This Row],[Destination             ORANGE (From Planning)]],Outlist!$A$5:$W$120,22,FALSE)</f>
        <v>#N/A</v>
      </c>
    </row>
    <row r="13" spans="1:98" s="20" customFormat="1" ht="15">
      <c r="A13" s="305" t="str">
        <f>$CR13</f>
        <v>ITD12747VRN0.190972222222222</v>
      </c>
      <c r="B13" s="284" t="s">
        <v>469</v>
      </c>
      <c r="C13" s="290" t="str">
        <f>IFERROR(IF(LEFT(B13,3)='STAT 77'!$X$2,_xlfn.XLOOKUP(B13,'STAT 77'!C:C,'STAT 77'!B:B),_xlfn.XLOOKUP(B13,'STAT 77'!B:B,'STAT 77'!C:C)),"NON TROVATO")</f>
        <v>ITD32207</v>
      </c>
      <c r="D13" s="25" t="s">
        <v>470</v>
      </c>
      <c r="E13" s="290" t="s">
        <v>471</v>
      </c>
      <c r="F13" s="290" t="str">
        <f>IFERROR(VLOOKUP(E13,'Cambio O2P'!C:E,2,FALSE),"")</f>
        <v>VRNT8</v>
      </c>
      <c r="G13" s="285">
        <v>0.19097222222222221</v>
      </c>
      <c r="H13" s="293">
        <f ca="1">IFERROR(IF(AND('INformazioni per calcoli'!$AB$3&lt;(--"14:30"),'INformazioni per calcoli'!$AB$3&gt;(--"10:00")),"",IF($B13="","",IF($X13&lt;&gt;"","Mezzo Chiuso",IF($W13="","Non al Carico",IF($G13-'INformazioni per calcoli'!$AB$5-'INformazioni per calcoli'!$AB$3+$J13&lt;0,"LFLS",IF($K13&lt;&gt;"","Safe Parking",IF($W13&lt;&gt;"",IF($E13="MXP",$G13-'INformazioni per calcoli'!$AB$6-'INformazioni per calcoli'!$AB$3+$J13,$G13-'INformazioni per calcoli'!$AB$5-'INformazioni per calcoli'!$AB$3+$J13),"Non al carico"))))))),"")</f>
        <v>3.1620370370370354E-2</v>
      </c>
      <c r="I13" s="17" t="str">
        <f ca="1">IFERROR(IF($H13&lt;&gt;"",IF($H13="Safe Parking","",IF($W13&lt;&gt;"",IF(AND($U13="X",$V13="X"),$H13-(--"00:30"),""),IF($X13&lt;&gt;"","Mezzo Chiuso","Non al carico"))),""),"")</f>
        <v/>
      </c>
      <c r="J13" s="306">
        <f ca="1">IFERROR(IF($B13&lt;&gt;"",IF(AND('INformazioni per calcoli'!$AB$3&lt;(--"15:00"),'INformazioni per calcoli'!$AB$3&gt;(--"00:00")),0,IF($G13&lt;(--"18:30"),"+1",0)),""),"")</f>
        <v>0</v>
      </c>
      <c r="K13" s="17"/>
      <c r="L13" s="25" t="s">
        <v>472</v>
      </c>
      <c r="M13" s="25" t="str">
        <f>IFERROR(_xlfn.XLOOKUP($Q13,'Elenco Casse'!$D:$D,'Elenco Casse'!$E:$E),"")</f>
        <v>Autotrasporti Bertoldo Srl</v>
      </c>
      <c r="N13" s="25">
        <f>IFERROR(_xlfn.XLOOKUP($Q13,'Elenco Casse'!$D:$D,'Elenco Casse'!$F:$F),"")</f>
        <v>0</v>
      </c>
      <c r="O13" s="286" t="s">
        <v>418</v>
      </c>
      <c r="P13" s="295" t="str">
        <f>IFERROR(_xlfn.XLOOKUP($Q13,'Elenco Casse'!$D:$D,'Elenco Casse'!$G:$G),"")</f>
        <v>trailer 80 m3 2/3 axes</v>
      </c>
      <c r="Q13" s="355" t="s">
        <v>473</v>
      </c>
      <c r="R13" s="23" t="s">
        <v>420</v>
      </c>
      <c r="S13" s="25" t="s">
        <v>421</v>
      </c>
      <c r="T13" s="25" t="s">
        <v>422</v>
      </c>
      <c r="U13" s="23" t="str">
        <f>IF(ISNUMBER(SEARCH("Parcel",$T13)),"X","")</f>
        <v>X</v>
      </c>
      <c r="V13" s="23" t="str">
        <f>IF(ISNUMBER(SEARCH("Freight",$T13)),"X","")</f>
        <v/>
      </c>
      <c r="W13" s="26">
        <v>309</v>
      </c>
      <c r="X13" s="27"/>
      <c r="Y13" s="25"/>
      <c r="Z13" s="25"/>
      <c r="AA13" s="25" t="s">
        <v>40</v>
      </c>
      <c r="AB13" s="57"/>
      <c r="AC13" s="25"/>
      <c r="AD13" s="25"/>
      <c r="AE13" s="57"/>
      <c r="AF13" s="57"/>
      <c r="AG13" s="25"/>
      <c r="AH13" s="57"/>
      <c r="AI13" s="339"/>
      <c r="AJ13" s="339"/>
      <c r="AK13" s="297" t="str">
        <f>IF(X13&lt;&gt;"",CONCATENATE(IF(AA13&lt;&gt;"",CONCATENATE(Z13," ",AA13," ",BI13),""),IF(AD13&lt;&gt;"",CONCATENATE(","," ",AC13," ",AD13," ",BJ13),""),IF(AG13&lt;&gt;"",CONCATENATE(","," ",AF13," ",AG13," ",BK13),""),IF(AJ13&lt;&gt;"",CONCATENATE(","," ","DD"," ",BL13),"")," ",IF(AI13&lt;&gt;"",CONCATENATE(" - ",AI13," Bag"),"")),"")</f>
        <v/>
      </c>
      <c r="AL13" s="287"/>
      <c r="AM13" s="287"/>
      <c r="AN13" s="287"/>
      <c r="AO13" s="287"/>
      <c r="AP13" s="370" t="str">
        <f>IFERROR(VLOOKUP($E10,Outlist!$A$5:$V$120,20,FALSE),"")</f>
        <v/>
      </c>
      <c r="AQ13" s="288" t="str">
        <f>IFERROR(IF(VLOOKUP($A13,#REF!,8,FALSE)&lt;&gt;"",VLOOKUP($A13,#REF!,8,FALSE),""),"")</f>
        <v/>
      </c>
      <c r="AS13" s="24"/>
      <c r="AT13" s="24">
        <v>0.99791666666666667</v>
      </c>
      <c r="AU13" s="27"/>
      <c r="AV13" s="27"/>
      <c r="AX13" s="20" t="str">
        <f>IFERROR(IF(Out_Table[[#This Row],[Cancellazione linea]]="Cancellata","yes",""),"")</f>
        <v/>
      </c>
      <c r="AY13" s="72" t="str">
        <f>IF(BA13="",BZ13,IF(AND(BA13&lt;(--"23:59:59"),BA13&gt;(--"15:00:00"),G13&lt;(--"14:00:00"),G13&gt;(--"00:00:01")),"",IF(BA13&gt;G13,BZ13,"")))</f>
        <v/>
      </c>
      <c r="AZ13" s="27"/>
      <c r="BA13" s="32"/>
      <c r="BB13" s="72"/>
      <c r="BC13" s="72" t="str">
        <f>IFERROR(VLOOKUP(Out_Table[[#This Row],[Aggiornamento STATUS]],'INformazioni per calcoli'!$Y$70:$AA$76,2,FALSE),"")</f>
        <v/>
      </c>
      <c r="BD13" s="289"/>
      <c r="BE13" s="289"/>
      <c r="BF13" s="47" t="str">
        <f>LEFT($E13,3)</f>
        <v>VRN</v>
      </c>
      <c r="BG13" s="298" t="str">
        <f>IF(Out_Table[[#This Row],[Ora Uscita    (GH)]]&lt;&gt;"","x","")</f>
        <v/>
      </c>
      <c r="BH13" s="299">
        <f>VLOOKUP($O13,'INformazioni per calcoli'!$Y$20:$AA$23,3,FALSE)</f>
        <v>14</v>
      </c>
      <c r="BI13" s="299">
        <f>MROUND(Out_Table[[#This Row],[Mtr. Trailer]]*AB13,0.5)</f>
        <v>0</v>
      </c>
      <c r="BJ13" s="299">
        <f>MROUND(Out_Table[[#This Row],[Mtr. Trailer]]*AE13,0.5)</f>
        <v>0</v>
      </c>
      <c r="BK13" s="299">
        <f>MROUND(Out_Table[[#This Row],[Mtr. Trailer]]*AH13,0.5)</f>
        <v>0</v>
      </c>
      <c r="BL13" s="300">
        <f>Out_Table[[#This Row],[Double Deck trailer N° bumpers]]</f>
        <v>0</v>
      </c>
      <c r="BM13" s="301"/>
      <c r="BN13" s="299" t="str">
        <f>B13</f>
        <v>ITD12747</v>
      </c>
      <c r="BO13" s="299" t="str">
        <f>E13</f>
        <v>VRN</v>
      </c>
      <c r="BP13" s="302">
        <f>IF(AND(G13&gt;(--"00:00:01"),G13&lt;(--"15:00:00")),IF(AND(X13&gt;(--"00:00:01"),X13&lt;(--"15:00:00")),G13-X13,G13+1-X13),G13-X13)</f>
        <v>1.1909722222222223</v>
      </c>
      <c r="BQ13" s="303">
        <f>AE13+AF13+AH13+AJ13</f>
        <v>0</v>
      </c>
      <c r="BR13" s="304" t="str">
        <f>IF(OR(BP13&lt;=(--"00:20:00"),BQ13&gt;=100%),"OK","Not OK")</f>
        <v>Not OK</v>
      </c>
      <c r="BS13" s="302">
        <f>IF(AND(G13&gt;(--"00:00:01"),G13&lt;(--"15:00:00")),IF(AND(AU13&gt;(--"00:00:01"),AU13&lt;(--"15:00:00")),G13-AU13,G13+1-AU13),G13-AU13)</f>
        <v>1.1909722222222223</v>
      </c>
      <c r="BT13" s="302">
        <f>IF(AND(AZ13&gt;(--"00:00:01"),AZ13&lt;(--"15:00:00")),IF(AND(AU13&gt;(--"00:00:01"),AU13&lt;(--"15:00:00")),AZ13-AU13,AZ13+1-AU13),AZ13-AU13)</f>
        <v>0</v>
      </c>
      <c r="BU13" s="302">
        <f>IF(AND(BA13&gt;(--"00:00:01"),BA13&lt;(--"15:00:00")),IF(AND(AZ13&gt;(--"00:00:01"),AZ13&lt;(--"15:00:00")),BA13-AZ13,BA13+1-AZ13),BA13-AZ13)</f>
        <v>0</v>
      </c>
      <c r="BV13" s="299">
        <f>AV13</f>
        <v>0</v>
      </c>
      <c r="BW13" s="301"/>
      <c r="BX13" s="299" t="str">
        <f>IF(AV13="T Status",IF(AV13&lt;&gt;T13,"X",""),"")</f>
        <v/>
      </c>
      <c r="BY13" s="301"/>
      <c r="BZ13" s="299" t="str">
        <f>IF(X13&lt;&gt;"",IF(CC13="X","Driver Delay",IF(CA13="X","Paperwork Delay",IF(CB13="X","Late freight late sort",IF(CD13="X","Chiamare Control Room",IF(CE13="X","Chiamare Control Room",IF(CF13="X","Chiamare Control Room","")))))),"")</f>
        <v/>
      </c>
      <c r="CA13" s="302" t="str">
        <f>IF(K13="",IF(IF(AND(G13&gt;(--"00:00:01"),G13&lt;(--"15:00:00")),IF(AND(AT13&gt;(--"08:00:00"),AT13&lt;(--"23:59:59")),G13+1-AT13,G13-AT13),G13-AT13)&gt;(--"00:20:00"),"","X"),"")</f>
        <v/>
      </c>
      <c r="CB13" s="299" t="str">
        <f>IF(K13="",IF(BP13&gt;=(--"00:20:00"),"","X"),"")</f>
        <v/>
      </c>
      <c r="CC13" s="299" t="str">
        <f>IF(OR(AV13="Autista non presente",AV13="Dati driver non presenti"),"X","")</f>
        <v/>
      </c>
      <c r="CD13" s="299" t="str">
        <f>IF(K13="",IF(AND(CC13="",BS13&lt;(--"00:20:00")),"X",""),"")</f>
        <v/>
      </c>
      <c r="CE13" s="299" t="str">
        <f>IF(K13="",IF(BT13&gt;(--"00:15:00"),"X",""),IF(AZ13&lt;&gt;"",IF(G13-AZ13&gt;(--"00:30:00"),"X",""),""))</f>
        <v/>
      </c>
      <c r="CF13" s="299" t="str">
        <f>IF(AND(CA13="",CB13="",CC13="",CD13="",CE13=""),"X","")</f>
        <v>X</v>
      </c>
      <c r="CG13" s="301"/>
      <c r="CH13" s="299" t="str">
        <f>IF(BT13&gt;(--"00:15:00"),"X","")</f>
        <v/>
      </c>
      <c r="CI13" s="302" t="str">
        <f>AY13</f>
        <v/>
      </c>
      <c r="CJ13" s="299" t="str">
        <f>IF(AND(CH13&lt;&gt;"",CI13&lt;&gt;"",LEFT(B13,3)="ITD"),AP13,"")</f>
        <v/>
      </c>
      <c r="CK13" s="305" t="str">
        <f>IF(CJ13&lt;&gt;"",BT13,"")</f>
        <v/>
      </c>
      <c r="CL13" s="301"/>
      <c r="CM13" s="305" t="str">
        <f>IFERROR(VLOOKUP(Q13,'Elenco Casse'!$D$4:$F$292,3,FALSE),"")</f>
        <v/>
      </c>
      <c r="CN13" s="301"/>
      <c r="CO13" s="305" t="str">
        <f>IFERROR(VLOOKUP(S13,'Elenco Casse'!$D$4:$F$292,3,FALSE),"")</f>
        <v/>
      </c>
      <c r="CP13" s="305" t="str">
        <f>IFERROR(IF(VLOOKUP($E13,Outlist!$A$5:$S$120,19,FALSE)&lt;&gt;0,"Y",""),"")</f>
        <v/>
      </c>
      <c r="CQ13" s="301"/>
      <c r="CR13" s="305" t="str">
        <f>CONCATENATE($B13,$E13,$G13)</f>
        <v>ITD12747VRN0.190972222222222</v>
      </c>
      <c r="CS13" s="301"/>
      <c r="CT13" s="305" t="e">
        <f>VLOOKUP(Out_Table[[#This Row],[Destination             ORANGE (From Planning)]],Outlist!$A$5:$W$120,22,FALSE)</f>
        <v>#N/A</v>
      </c>
    </row>
    <row r="14" spans="1:98" s="20" customFormat="1" ht="30.75">
      <c r="A14" s="305" t="str">
        <f>$CR14</f>
        <v>ITD12753VRN0.125</v>
      </c>
      <c r="B14" s="284" t="s">
        <v>474</v>
      </c>
      <c r="C14" s="290" t="str">
        <f>IFERROR(IF(LEFT(B14,3)='STAT 77'!$X$2,_xlfn.XLOOKUP(B14,'STAT 77'!C:C,'STAT 77'!B:B),_xlfn.XLOOKUP(B14,'STAT 77'!B:B,'STAT 77'!C:C)),"NON TROVATO")</f>
        <v>ITD32221</v>
      </c>
      <c r="D14" s="25" t="s">
        <v>475</v>
      </c>
      <c r="E14" s="290" t="s">
        <v>471</v>
      </c>
      <c r="F14" s="290" t="str">
        <f>IFERROR(VLOOKUP(E14,'Cambio O2P'!C:E,2,FALSE),"")</f>
        <v>VRNT8</v>
      </c>
      <c r="G14" s="285">
        <v>0.125</v>
      </c>
      <c r="H14" s="293" t="str">
        <f ca="1">IFERROR(IF(AND('INformazioni per calcoli'!$AB$3&lt;(--"14:30"),'INformazioni per calcoli'!$AB$3&gt;(--"10:00")),"",IF($B14="","",IF($X14&lt;&gt;"","Mezzo Chiuso",IF($W14="","Non al Carico",IF($G14-'INformazioni per calcoli'!$AB$5-'INformazioni per calcoli'!$AB$3+$J14&lt;0,"LFLS",IF($K14&lt;&gt;"","Safe Parking",IF($W14&lt;&gt;"",IF($E14="MXP",$G14-'INformazioni per calcoli'!$AB$6-'INformazioni per calcoli'!$AB$3+$J14,$G14-'INformazioni per calcoli'!$AB$5-'INformazioni per calcoli'!$AB$3+$J14),"Non al carico"))))))),"")</f>
        <v>Mezzo Chiuso</v>
      </c>
      <c r="I14" s="17" t="str">
        <f ca="1">IFERROR(IF($H14&lt;&gt;"",IF($H14="Safe Parking","",IF($W14&lt;&gt;"",IF(AND($U14="X",$V14="X"),$H14-(--"00:30"),""),IF($X14&lt;&gt;"","Mezzo Chiuso","Non al carico"))),""),"")</f>
        <v/>
      </c>
      <c r="J14" s="306">
        <f ca="1">IFERROR(IF($B14&lt;&gt;"",IF(AND('INformazioni per calcoli'!$AB$3&lt;(--"15:00"),'INformazioni per calcoli'!$AB$3&gt;(--"00:00")),0,IF($G14&lt;(--"18:30"),"+1",0)),""),"")</f>
        <v>0</v>
      </c>
      <c r="K14" s="17"/>
      <c r="L14" s="25" t="s">
        <v>417</v>
      </c>
      <c r="M14" s="25" t="str">
        <f>IFERROR(_xlfn.XLOOKUP($Q14,'Elenco Casse'!$D:$D,'Elenco Casse'!$E:$E),"")</f>
        <v>Fenix Trasporti S.R.L.</v>
      </c>
      <c r="N14" s="25">
        <f>IFERROR(_xlfn.XLOOKUP($Q14,'Elenco Casse'!$D:$D,'Elenco Casse'!$F:$F),"")</f>
        <v>0</v>
      </c>
      <c r="O14" s="286" t="s">
        <v>418</v>
      </c>
      <c r="P14" s="295" t="str">
        <f>IFERROR(_xlfn.XLOOKUP($Q14,'Elenco Casse'!$D:$D,'Elenco Casse'!$G:$G),"")</f>
        <v>trailer 80 m3 2/3 axles</v>
      </c>
      <c r="Q14" s="355" t="s">
        <v>476</v>
      </c>
      <c r="R14" s="23" t="s">
        <v>420</v>
      </c>
      <c r="S14" s="25" t="s">
        <v>421</v>
      </c>
      <c r="T14" s="25" t="s">
        <v>432</v>
      </c>
      <c r="U14" s="23" t="str">
        <f>IF(ISNUMBER(SEARCH("Parcel",$T14)),"X","")</f>
        <v>X</v>
      </c>
      <c r="V14" s="23" t="str">
        <f>IF(ISNUMBER(SEARCH("Freight",$T14)),"X","")</f>
        <v/>
      </c>
      <c r="W14" s="26">
        <v>309</v>
      </c>
      <c r="X14" s="27">
        <v>0.96666666666666667</v>
      </c>
      <c r="Y14" s="25" t="s">
        <v>453</v>
      </c>
      <c r="Z14" s="25"/>
      <c r="AA14" s="25" t="s">
        <v>40</v>
      </c>
      <c r="AB14" s="57">
        <v>1</v>
      </c>
      <c r="AC14" s="25"/>
      <c r="AD14" s="25"/>
      <c r="AE14" s="57"/>
      <c r="AF14" s="57"/>
      <c r="AG14" s="25"/>
      <c r="AH14" s="57"/>
      <c r="AI14" s="339">
        <v>14</v>
      </c>
      <c r="AJ14" s="339"/>
      <c r="AK14" s="297" t="str">
        <f>IF(X14&lt;&gt;"",CONCATENATE(IF(AA14&lt;&gt;"",CONCATENATE(Z14," ",AA14," ",BI14),""),IF(AD14&lt;&gt;"",CONCATENATE(","," ",AC14," ",AD14," ",BJ14),""),IF(AG14&lt;&gt;"",CONCATENATE(","," ",AF14," ",AG14," ",BK14),""),IF(AJ14&lt;&gt;"",CONCATENATE(","," ","DD"," ",BL14),"")," ",IF(AI14&lt;&gt;"",CONCATENATE(" - ",AI14," Bag"),"")),"")</f>
        <v xml:space="preserve"> LL 14  - 14 Bag</v>
      </c>
      <c r="AL14" s="287" t="s">
        <v>421</v>
      </c>
      <c r="AM14" s="287"/>
      <c r="AN14" s="287"/>
      <c r="AO14" s="287"/>
      <c r="AP14" s="370" t="str">
        <f>IFERROR(VLOOKUP($E11,Outlist!$A$5:$V$120,20,FALSE),"")</f>
        <v/>
      </c>
      <c r="AQ14" s="288" t="s">
        <v>477</v>
      </c>
      <c r="AS14" s="24"/>
      <c r="AT14" s="24">
        <v>0.59930555555555554</v>
      </c>
      <c r="AU14" s="27">
        <v>7.4999999999999997E-2</v>
      </c>
      <c r="AV14" s="27"/>
      <c r="AW14" s="20" t="s">
        <v>443</v>
      </c>
      <c r="AX14" s="20" t="str">
        <f>IFERROR(IF(Out_Table[[#This Row],[Cancellazione linea]]="Cancellata","yes",""),"")</f>
        <v/>
      </c>
      <c r="AY14" s="72" t="str">
        <f>IF(BA14="",BZ14,IF(AND(BA14&lt;(--"23:59:59"),BA14&gt;(--"15:00:00"),G14&lt;(--"14:00:00"),G14&gt;(--"00:00:01")),"",IF(BA14&gt;G14,BZ14,"")))</f>
        <v/>
      </c>
      <c r="AZ14" s="27"/>
      <c r="BA14" s="32">
        <v>8.819444444444445E-2</v>
      </c>
      <c r="BB14" s="72"/>
      <c r="BC14" s="72" t="str">
        <f>IFERROR(VLOOKUP(Out_Table[[#This Row],[Aggiornamento STATUS]],'INformazioni per calcoli'!$Y$70:$AA$76,2,FALSE),"")</f>
        <v/>
      </c>
      <c r="BD14" s="289"/>
      <c r="BE14" s="289"/>
      <c r="BF14" s="47" t="str">
        <f>LEFT($E14,3)</f>
        <v>VRN</v>
      </c>
      <c r="BG14" s="298" t="str">
        <f>IF(Out_Table[[#This Row],[Ora Uscita    (GH)]]&lt;&gt;"","x","")</f>
        <v>x</v>
      </c>
      <c r="BH14" s="299">
        <f>VLOOKUP($O14,'INformazioni per calcoli'!$Y$20:$AA$23,3,FALSE)</f>
        <v>14</v>
      </c>
      <c r="BI14" s="299">
        <f>MROUND(Out_Table[[#This Row],[Mtr. Trailer]]*AB14,0.5)</f>
        <v>14</v>
      </c>
      <c r="BJ14" s="299">
        <f>MROUND(Out_Table[[#This Row],[Mtr. Trailer]]*AE14,0.5)</f>
        <v>0</v>
      </c>
      <c r="BK14" s="299">
        <f>MROUND(Out_Table[[#This Row],[Mtr. Trailer]]*AH14,0.5)</f>
        <v>0</v>
      </c>
      <c r="BL14" s="300">
        <f>Out_Table[[#This Row],[Double Deck trailer N° bumpers]]</f>
        <v>0</v>
      </c>
      <c r="BM14" s="301"/>
      <c r="BN14" s="299" t="str">
        <f>B14</f>
        <v>ITD12753</v>
      </c>
      <c r="BO14" s="299" t="str">
        <f>E14</f>
        <v>VRN</v>
      </c>
      <c r="BP14" s="302">
        <f>IF(AND(G14&gt;(--"00:00:01"),G14&lt;(--"15:00:00")),IF(AND(X14&gt;(--"00:00:01"),X14&lt;(--"15:00:00")),G14-X14,G14+1-X14),G14-X14)</f>
        <v>0.15833333333333333</v>
      </c>
      <c r="BQ14" s="303">
        <f>AE14+AF14+AH14+AJ14</f>
        <v>0</v>
      </c>
      <c r="BR14" s="304" t="str">
        <f>IF(OR(BP14&lt;=(--"00:20:00"),BQ14&gt;=100%),"OK","Not OK")</f>
        <v>Not OK</v>
      </c>
      <c r="BS14" s="302">
        <f>IF(AND(G14&gt;(--"00:00:01"),G14&lt;(--"15:00:00")),IF(AND(AU14&gt;(--"00:00:01"),AU14&lt;(--"15:00:00")),G14-AU14,G14+1-AU14),G14-AU14)</f>
        <v>0.05</v>
      </c>
      <c r="BT14" s="302">
        <f>IF(AND(AZ14&gt;(--"00:00:01"),AZ14&lt;(--"15:00:00")),IF(AND(AU14&gt;(--"00:00:01"),AU14&lt;(--"15:00:00")),AZ14-AU14,AZ14+1-AU14),AZ14-AU14)</f>
        <v>-7.4999999999999997E-2</v>
      </c>
      <c r="BU14" s="302">
        <f>IF(AND(BA14&gt;(--"00:00:01"),BA14&lt;(--"15:00:00")),IF(AND(AZ14&gt;(--"00:00:01"),AZ14&lt;(--"15:00:00")),BA14-AZ14,BA14+1-AZ14),BA14-AZ14)</f>
        <v>1.0881944444444445</v>
      </c>
      <c r="BV14" s="299">
        <f>AV14</f>
        <v>0</v>
      </c>
      <c r="BW14" s="301"/>
      <c r="BX14" s="299" t="str">
        <f>IF(AV14="T Status",IF(AV14&lt;&gt;T14,"X",""),"")</f>
        <v/>
      </c>
      <c r="BY14" s="301"/>
      <c r="BZ14" s="299" t="str">
        <f>IF(X14&lt;&gt;"",IF(CC14="X","Driver Delay",IF(CA14="X","Paperwork Delay",IF(CB14="X","Late freight late sort",IF(CD14="X","Chiamare Control Room",IF(CE14="X","Chiamare Control Room",IF(CF14="X","Chiamare Control Room","")))))),"")</f>
        <v>Chiamare Control Room</v>
      </c>
      <c r="CA14" s="302" t="str">
        <f>IF(K14="",IF(IF(AND(G14&gt;(--"00:00:01"),G14&lt;(--"15:00:00")),IF(AND(AT14&gt;(--"08:00:00"),AT14&lt;(--"23:59:59")),G14+1-AT14,G14-AT14),G14-AT14)&gt;(--"00:20:00"),"","X"),"")</f>
        <v/>
      </c>
      <c r="CB14" s="299" t="str">
        <f>IF(K14="",IF(BP14&gt;=(--"00:20:00"),"","X"),"")</f>
        <v/>
      </c>
      <c r="CC14" s="299" t="str">
        <f>IF(OR(AV14="Autista non presente",AV14="Dati driver non presenti"),"X","")</f>
        <v/>
      </c>
      <c r="CD14" s="299" t="str">
        <f>IF(K14="",IF(AND(CC14="",BS14&lt;(--"00:20:00")),"X",""),"")</f>
        <v/>
      </c>
      <c r="CE14" s="299" t="str">
        <f>IF(K14="",IF(BT14&gt;(--"00:15:00"),"X",""),IF(AZ14&lt;&gt;"",IF(G14-AZ14&gt;(--"00:30:00"),"X",""),""))</f>
        <v/>
      </c>
      <c r="CF14" s="299" t="str">
        <f>IF(AND(CA14="",CB14="",CC14="",CD14="",CE14=""),"X","")</f>
        <v>X</v>
      </c>
      <c r="CG14" s="301"/>
      <c r="CH14" s="299" t="str">
        <f>IF(BT14&gt;(--"00:15:00"),"X","")</f>
        <v/>
      </c>
      <c r="CI14" s="302" t="str">
        <f>AY14</f>
        <v/>
      </c>
      <c r="CJ14" s="299" t="str">
        <f>IF(AND(CH14&lt;&gt;"",CI14&lt;&gt;"",LEFT(B14,3)="ITD"),AP14,"")</f>
        <v/>
      </c>
      <c r="CK14" s="305" t="str">
        <f>IF(CJ14&lt;&gt;"",BT14,"")</f>
        <v/>
      </c>
      <c r="CL14" s="301"/>
      <c r="CM14" s="305" t="str">
        <f>IFERROR(VLOOKUP(Q14,'Elenco Casse'!$D$4:$F$292,3,FALSE),"")</f>
        <v/>
      </c>
      <c r="CN14" s="301"/>
      <c r="CO14" s="305" t="str">
        <f>IFERROR(VLOOKUP(S14,'Elenco Casse'!$D$4:$F$292,3,FALSE),"")</f>
        <v/>
      </c>
      <c r="CP14" s="305" t="str">
        <f>IFERROR(IF(VLOOKUP($E14,Outlist!$A$5:$S$120,19,FALSE)&lt;&gt;0,"Y",""),"")</f>
        <v/>
      </c>
      <c r="CQ14" s="301"/>
      <c r="CR14" s="305" t="str">
        <f>CONCATENATE($B14,$E14,$G14)</f>
        <v>ITD12753VRN0.125</v>
      </c>
      <c r="CS14" s="301"/>
      <c r="CT14" s="305" t="e">
        <f>VLOOKUP(Out_Table[[#This Row],[Destination             ORANGE (From Planning)]],Outlist!$A$5:$W$120,22,FALSE)</f>
        <v>#N/A</v>
      </c>
    </row>
    <row r="15" spans="1:98" s="20" customFormat="1" ht="30.75">
      <c r="A15" s="305" t="str">
        <f>$CR15</f>
        <v>ITD12284MDA0.0833333333333333</v>
      </c>
      <c r="B15" s="284" t="s">
        <v>478</v>
      </c>
      <c r="C15" s="290" t="str">
        <f>IFERROR(IF(LEFT(B15,3)='STAT 77'!$X$2,_xlfn.XLOOKUP(B15,'STAT 77'!C:C,'STAT 77'!B:B),_xlfn.XLOOKUP(B15,'STAT 77'!B:B,'STAT 77'!C:C)),"NON TROVATO")</f>
        <v>ITD31292</v>
      </c>
      <c r="D15" s="25" t="s">
        <v>479</v>
      </c>
      <c r="E15" s="290" t="s">
        <v>480</v>
      </c>
      <c r="F15" s="290" t="str">
        <f>IFERROR(VLOOKUP(E15,'Cambio O2P'!C:E,2,FALSE),"")</f>
        <v>QAQA</v>
      </c>
      <c r="G15" s="285">
        <v>8.3333333333333329E-2</v>
      </c>
      <c r="H15" s="293" t="str">
        <f ca="1">IFERROR(IF(AND('INformazioni per calcoli'!$AB$3&lt;(--"14:30"),'INformazioni per calcoli'!$AB$3&gt;(--"10:00")),"",IF($B15="","",IF($X15&lt;&gt;"","Mezzo Chiuso",IF($W15="","Non al Carico",IF($G15-'INformazioni per calcoli'!$AB$5-'INformazioni per calcoli'!$AB$3+$J15&lt;0,"LFLS",IF($K15&lt;&gt;"","Safe Parking",IF($W15&lt;&gt;"",IF($E15="MXP",$G15-'INformazioni per calcoli'!$AB$6-'INformazioni per calcoli'!$AB$3+$J15,$G15-'INformazioni per calcoli'!$AB$5-'INformazioni per calcoli'!$AB$3+$J15),"Non al carico"))))))),"")</f>
        <v>Mezzo Chiuso</v>
      </c>
      <c r="I15" s="17" t="str">
        <f ca="1">IFERROR(IF($H15&lt;&gt;"",IF($H15="Safe Parking","",IF($W15&lt;&gt;"",IF(AND($U15="X",$V15="X"),$H15-(--"00:30"),""),IF($X15&lt;&gt;"","Mezzo Chiuso","Non al carico"))),""),"")</f>
        <v/>
      </c>
      <c r="J15" s="306">
        <f ca="1">IFERROR(IF($B15&lt;&gt;"",IF(AND('INformazioni per calcoli'!$AB$3&lt;(--"15:00"),'INformazioni per calcoli'!$AB$3&gt;(--"00:00")),0,IF($G15&lt;(--"18:30"),"+1",0)),""),"")</f>
        <v>0</v>
      </c>
      <c r="K15" s="17"/>
      <c r="L15" s="25" t="s">
        <v>446</v>
      </c>
      <c r="M15" s="25" t="str">
        <f>IFERROR(_xlfn.XLOOKUP($Q15,'Elenco Casse'!$D:$D,'Elenco Casse'!$E:$E),"")</f>
        <v>TRANSEUROPA S.R.L.</v>
      </c>
      <c r="N15" s="25">
        <f>IFERROR(_xlfn.XLOOKUP($Q15,'Elenco Casse'!$D:$D,'Elenco Casse'!$F:$F),"")</f>
        <v>0</v>
      </c>
      <c r="O15" s="286" t="s">
        <v>418</v>
      </c>
      <c r="P15" s="295" t="str">
        <f>IFERROR(_xlfn.XLOOKUP($Q15,'Elenco Casse'!$D:$D,'Elenco Casse'!$G:$G),"")</f>
        <v>trailer 80 m3 2/3 axles</v>
      </c>
      <c r="Q15" s="355" t="s">
        <v>481</v>
      </c>
      <c r="R15" s="23" t="s">
        <v>420</v>
      </c>
      <c r="S15" s="25" t="s">
        <v>421</v>
      </c>
      <c r="T15" s="25" t="s">
        <v>482</v>
      </c>
      <c r="U15" s="23" t="str">
        <f>IF(ISNUMBER(SEARCH("Parcel",$T15)),"X","")</f>
        <v>X</v>
      </c>
      <c r="V15" s="23" t="str">
        <f>IF(ISNUMBER(SEARCH("Freight",$T15)),"X","")</f>
        <v/>
      </c>
      <c r="W15" s="26">
        <v>310</v>
      </c>
      <c r="X15" s="27">
        <v>6.1111111111111109E-2</v>
      </c>
      <c r="Y15" s="25" t="s">
        <v>483</v>
      </c>
      <c r="Z15" s="25"/>
      <c r="AA15" s="25" t="s">
        <v>40</v>
      </c>
      <c r="AB15" s="57">
        <v>0.8</v>
      </c>
      <c r="AC15" s="25"/>
      <c r="AD15" s="25"/>
      <c r="AE15" s="57"/>
      <c r="AF15" s="57"/>
      <c r="AG15" s="25"/>
      <c r="AH15" s="57"/>
      <c r="AI15" s="339">
        <v>16</v>
      </c>
      <c r="AJ15" s="339"/>
      <c r="AK15" s="297" t="str">
        <f>IF(X15&lt;&gt;"",CONCATENATE(IF(AA15&lt;&gt;"",CONCATENATE(Z15," ",AA15," ",BI15),""),IF(AD15&lt;&gt;"",CONCATENATE(","," ",AC15," ",AD15," ",BJ15),""),IF(AG15&lt;&gt;"",CONCATENATE(","," ",AF15," ",AG15," ",BK15),""),IF(AJ15&lt;&gt;"",CONCATENATE(","," ","DD"," ",BL15),"")," ",IF(AI15&lt;&gt;"",CONCATENATE(" - ",AI15," Bag"),"")),"")</f>
        <v xml:space="preserve"> LL 11  - 16 Bag</v>
      </c>
      <c r="AL15" s="287" t="s">
        <v>421</v>
      </c>
      <c r="AM15" s="287"/>
      <c r="AN15" s="287"/>
      <c r="AO15" s="287"/>
      <c r="AP15" s="370" t="str">
        <f>IFERROR(VLOOKUP(#REF!,Outlist!$A$5:$V$120,20,FALSE),"")</f>
        <v/>
      </c>
      <c r="AQ15" s="288" t="s">
        <v>484</v>
      </c>
      <c r="AS15" s="24"/>
      <c r="AT15" s="24">
        <v>0.46666666666666667</v>
      </c>
      <c r="AU15" s="27">
        <v>6.25E-2</v>
      </c>
      <c r="AV15" s="27"/>
      <c r="AW15" s="20" t="s">
        <v>443</v>
      </c>
      <c r="AX15" s="20" t="str">
        <f>IFERROR(IF(Out_Table[[#This Row],[Cancellazione linea]]="Cancellata","yes",""),"")</f>
        <v/>
      </c>
      <c r="AY15" s="72" t="str">
        <f>IF(BA15="",BZ15,IF(AND(BA15&lt;(--"23:59:59"),BA15&gt;(--"15:00:00"),G15&lt;(--"14:00:00"),G15&gt;(--"00:00:01")),"",IF(BA15&gt;G15,BZ15,"")))</f>
        <v/>
      </c>
      <c r="AZ15" s="27"/>
      <c r="BA15" s="32">
        <v>7.1527777777777773E-2</v>
      </c>
      <c r="BB15" s="72"/>
      <c r="BC15" s="72" t="str">
        <f>IFERROR(VLOOKUP(Out_Table[[#This Row],[Aggiornamento STATUS]],'INformazioni per calcoli'!$Y$70:$AA$76,2,FALSE),"")</f>
        <v/>
      </c>
      <c r="BD15" s="289"/>
      <c r="BE15" s="289"/>
      <c r="BF15" s="47" t="str">
        <f>LEFT($E15,3)</f>
        <v>MDA</v>
      </c>
      <c r="BG15" s="298" t="str">
        <f>IF(Out_Table[[#This Row],[Ora Uscita    (GH)]]&lt;&gt;"","x","")</f>
        <v>x</v>
      </c>
      <c r="BH15" s="299">
        <f>VLOOKUP($O15,'INformazioni per calcoli'!$Y$20:$AA$23,3,FALSE)</f>
        <v>14</v>
      </c>
      <c r="BI15" s="299">
        <f>MROUND(Out_Table[[#This Row],[Mtr. Trailer]]*AB15,0.5)</f>
        <v>11</v>
      </c>
      <c r="BJ15" s="299">
        <f>MROUND(Out_Table[[#This Row],[Mtr. Trailer]]*AE15,0.5)</f>
        <v>0</v>
      </c>
      <c r="BK15" s="299">
        <f>MROUND(Out_Table[[#This Row],[Mtr. Trailer]]*AH15,0.5)</f>
        <v>0</v>
      </c>
      <c r="BL15" s="300">
        <f>Out_Table[[#This Row],[Double Deck trailer N° bumpers]]</f>
        <v>0</v>
      </c>
      <c r="BM15" s="301"/>
      <c r="BN15" s="299" t="str">
        <f>B15</f>
        <v>ITD12284</v>
      </c>
      <c r="BO15" s="299" t="str">
        <f>E15</f>
        <v>MDA</v>
      </c>
      <c r="BP15" s="302">
        <f>IF(AND(G15&gt;(--"00:00:01"),G15&lt;(--"15:00:00")),IF(AND(X15&gt;(--"00:00:01"),X15&lt;(--"15:00:00")),G15-X15,G15+1-X15),G15-X15)</f>
        <v>2.222222222222222E-2</v>
      </c>
      <c r="BQ15" s="303">
        <f>AE15+AF15+AH15+AJ15</f>
        <v>0</v>
      </c>
      <c r="BR15" s="304" t="str">
        <f>IF(OR(BP15&lt;=(--"00:20:00"),BQ15&gt;=100%),"OK","Not OK")</f>
        <v>Not OK</v>
      </c>
      <c r="BS15" s="302">
        <f>IF(AND(G15&gt;(--"00:00:01"),G15&lt;(--"15:00:00")),IF(AND(AU15&gt;(--"00:00:01"),AU15&lt;(--"15:00:00")),G15-AU15,G15+1-AU15),G15-AU15)</f>
        <v>2.0833333333333329E-2</v>
      </c>
      <c r="BT15" s="302">
        <f>IF(AND(AZ15&gt;(--"00:00:01"),AZ15&lt;(--"15:00:00")),IF(AND(AU15&gt;(--"00:00:01"),AU15&lt;(--"15:00:00")),AZ15-AU15,AZ15+1-AU15),AZ15-AU15)</f>
        <v>-6.25E-2</v>
      </c>
      <c r="BU15" s="302">
        <f>IF(AND(BA15&gt;(--"00:00:01"),BA15&lt;(--"15:00:00")),IF(AND(AZ15&gt;(--"00:00:01"),AZ15&lt;(--"15:00:00")),BA15-AZ15,BA15+1-AZ15),BA15-AZ15)</f>
        <v>1.0715277777777779</v>
      </c>
      <c r="BV15" s="299">
        <f>AV15</f>
        <v>0</v>
      </c>
      <c r="BW15" s="301"/>
      <c r="BX15" s="299" t="str">
        <f>IF(AV15="T Status",IF(AV15&lt;&gt;T15,"X",""),"")</f>
        <v/>
      </c>
      <c r="BY15" s="301"/>
      <c r="BZ15" s="299" t="str">
        <f>IF(X15&lt;&gt;"",IF(CC15="X","Driver Delay",IF(CA15="X","Paperwork Delay",IF(CB15="X","Late freight late sort",IF(CD15="X","Chiamare Control Room",IF(CE15="X","Chiamare Control Room",IF(CF15="X","Chiamare Control Room","")))))),"")</f>
        <v>Chiamare Control Room</v>
      </c>
      <c r="CA15" s="302" t="str">
        <f>IF(K15="",IF(IF(AND(G15&gt;(--"00:00:01"),G15&lt;(--"15:00:00")),IF(AND(AT15&gt;(--"08:00:00"),AT15&lt;(--"23:59:59")),G15+1-AT15,G15-AT15),G15-AT15)&gt;(--"00:20:00"),"","X"),"")</f>
        <v/>
      </c>
      <c r="CB15" s="299" t="str">
        <f>IF(K15="",IF(BP15&gt;=(--"00:20:00"),"","X"),"")</f>
        <v/>
      </c>
      <c r="CC15" s="299" t="str">
        <f>IF(OR(AV15="Autista non presente",AV15="Dati driver non presenti"),"X","")</f>
        <v/>
      </c>
      <c r="CD15" s="299" t="str">
        <f>IF(K15="",IF(AND(CC15="",BS15&lt;(--"00:20:00")),"X",""),"")</f>
        <v/>
      </c>
      <c r="CE15" s="299" t="str">
        <f>IF(K15="",IF(BT15&gt;(--"00:15:00"),"X",""),IF(AZ15&lt;&gt;"",IF(G15-AZ15&gt;(--"00:30:00"),"X",""),""))</f>
        <v/>
      </c>
      <c r="CF15" s="299" t="str">
        <f>IF(AND(CA15="",CB15="",CC15="",CD15="",CE15=""),"X","")</f>
        <v>X</v>
      </c>
      <c r="CG15" s="301"/>
      <c r="CH15" s="299" t="str">
        <f>IF(BT15&gt;(--"00:15:00"),"X","")</f>
        <v/>
      </c>
      <c r="CI15" s="302" t="str">
        <f>AY15</f>
        <v/>
      </c>
      <c r="CJ15" s="299" t="str">
        <f>IF(AND(CH15&lt;&gt;"",CI15&lt;&gt;"",LEFT(B15,3)="ITD"),AP15,"")</f>
        <v/>
      </c>
      <c r="CK15" s="305" t="str">
        <f>IF(CJ15&lt;&gt;"",BT15,"")</f>
        <v/>
      </c>
      <c r="CL15" s="301"/>
      <c r="CM15" s="305" t="str">
        <f>IFERROR(VLOOKUP(Q15,'Elenco Casse'!$D$4:$F$292,3,FALSE),"")</f>
        <v/>
      </c>
      <c r="CN15" s="301"/>
      <c r="CO15" s="305" t="str">
        <f>IFERROR(VLOOKUP(S15,'Elenco Casse'!$D$4:$F$292,3,FALSE),"")</f>
        <v/>
      </c>
      <c r="CP15" s="305" t="str">
        <f>IFERROR(IF(VLOOKUP($E15,Outlist!$A$5:$S$120,19,FALSE)&lt;&gt;0,"Y",""),"")</f>
        <v/>
      </c>
      <c r="CQ15" s="301"/>
      <c r="CR15" s="305" t="str">
        <f>CONCATENATE($B15,$E15,$G15)</f>
        <v>ITD12284MDA0.0833333333333333</v>
      </c>
      <c r="CS15" s="301"/>
      <c r="CT15" s="305" t="e">
        <f>VLOOKUP(Out_Table[[#This Row],[Destination             ORANGE (From Planning)]],Outlist!$A$5:$W$120,22,FALSE)</f>
        <v>#N/A</v>
      </c>
    </row>
    <row r="16" spans="1:98" s="20" customFormat="1" ht="15">
      <c r="A16" s="305" t="str">
        <f>$CR16</f>
        <v>ITD12285MDA0.190972222222222</v>
      </c>
      <c r="B16" s="284" t="s">
        <v>485</v>
      </c>
      <c r="C16" s="290" t="str">
        <f>IFERROR(IF(LEFT(B16,3)='STAT 77'!$X$2,_xlfn.XLOOKUP(B16,'STAT 77'!C:C,'STAT 77'!B:B),_xlfn.XLOOKUP(B16,'STAT 77'!B:B,'STAT 77'!C:C)),"NON TROVATO")</f>
        <v>ITD31294</v>
      </c>
      <c r="D16" s="25" t="s">
        <v>479</v>
      </c>
      <c r="E16" s="290" t="s">
        <v>480</v>
      </c>
      <c r="F16" s="290" t="str">
        <f>IFERROR(VLOOKUP(E16,'Cambio O2P'!C:E,2,FALSE),"")</f>
        <v>QAQA</v>
      </c>
      <c r="G16" s="285">
        <v>0.19097222222222221</v>
      </c>
      <c r="H16" s="293">
        <f ca="1">IFERROR(IF(AND('INformazioni per calcoli'!$AB$3&lt;(--"14:30"),'INformazioni per calcoli'!$AB$3&gt;(--"10:00")),"",IF($B16="","",IF($X16&lt;&gt;"","Mezzo Chiuso",IF($W16="","Non al Carico",IF($G16-'INformazioni per calcoli'!$AB$5-'INformazioni per calcoli'!$AB$3+$J16&lt;0,"LFLS",IF($K16&lt;&gt;"","Safe Parking",IF($W16&lt;&gt;"",IF($E16="MXP",$G16-'INformazioni per calcoli'!$AB$6-'INformazioni per calcoli'!$AB$3+$J16,$G16-'INformazioni per calcoli'!$AB$5-'INformazioni per calcoli'!$AB$3+$J16),"Non al carico"))))))),"")</f>
        <v>3.1620370370370354E-2</v>
      </c>
      <c r="I16" s="17"/>
      <c r="J16" s="306">
        <f ca="1">IFERROR(IF($B16&lt;&gt;"",IF(AND('INformazioni per calcoli'!$AB$3&lt;(--"15:00"),'INformazioni per calcoli'!$AB$3&gt;(--"00:00")),0,IF($G16&lt;(--"18:30"),"+1",0)),""),"")</f>
        <v>0</v>
      </c>
      <c r="K16" s="17"/>
      <c r="L16" s="25" t="s">
        <v>446</v>
      </c>
      <c r="M16" s="25" t="str">
        <f>IFERROR(_xlfn.XLOOKUP($Q16,'Elenco Casse'!$D:$D,'Elenco Casse'!$E:$E),"")</f>
        <v>TRANSEUROPA S.R.L.</v>
      </c>
      <c r="N16" s="25">
        <f>IFERROR(_xlfn.XLOOKUP($Q16,'Elenco Casse'!$D:$D,'Elenco Casse'!$F:$F),"")</f>
        <v>0</v>
      </c>
      <c r="O16" s="286" t="s">
        <v>418</v>
      </c>
      <c r="P16" s="295" t="str">
        <f>IFERROR(_xlfn.XLOOKUP($Q16,'Elenco Casse'!$D:$D,'Elenco Casse'!$G:$G),"")</f>
        <v>trailer 80 m3 2/3 axles</v>
      </c>
      <c r="Q16" s="355" t="s">
        <v>486</v>
      </c>
      <c r="R16" s="23" t="s">
        <v>420</v>
      </c>
      <c r="S16" s="25" t="s">
        <v>421</v>
      </c>
      <c r="T16" s="25" t="s">
        <v>482</v>
      </c>
      <c r="U16" s="23" t="str">
        <f>IF(ISNUMBER(SEARCH("Parcel",$T16)),"X","")</f>
        <v>X</v>
      </c>
      <c r="V16" s="23" t="s">
        <v>61</v>
      </c>
      <c r="W16" s="26">
        <v>706</v>
      </c>
      <c r="X16" s="27"/>
      <c r="Y16" s="25"/>
      <c r="Z16" s="25"/>
      <c r="AA16" s="25" t="s">
        <v>40</v>
      </c>
      <c r="AB16" s="57">
        <v>0.05</v>
      </c>
      <c r="AC16" s="25"/>
      <c r="AD16" s="25" t="s">
        <v>487</v>
      </c>
      <c r="AE16" s="57"/>
      <c r="AF16" s="57"/>
      <c r="AG16" s="25" t="s">
        <v>488</v>
      </c>
      <c r="AH16" s="57"/>
      <c r="AI16" s="339">
        <v>1</v>
      </c>
      <c r="AJ16" s="339"/>
      <c r="AK16" s="297" t="str">
        <f>IF(X16&lt;&gt;"",CONCATENATE(IF(AA16&lt;&gt;"",CONCATENATE(Z16," ",AA16," ",BI16),""),IF(AD16&lt;&gt;"",CONCATENATE(","," ",AC16," ",AD16," ",BJ16),""),IF(AG16&lt;&gt;"",CONCATENATE(","," ",AF16," ",AG16," ",BK16),""),IF(AJ16&lt;&gt;"",CONCATENATE(","," ","DD"," ",BL16),"")," ",IF(AI16&lt;&gt;"",CONCATENATE(" - ",AI16," Bag"),"")),"")</f>
        <v/>
      </c>
      <c r="AL16" s="287"/>
      <c r="AM16" s="287"/>
      <c r="AN16" s="287"/>
      <c r="AO16" s="287"/>
      <c r="AP16" s="370" t="str">
        <f>IFERROR(VLOOKUP(#REF!,Outlist!$A$5:$V$120,20,FALSE),"")</f>
        <v/>
      </c>
      <c r="AQ16" s="288" t="str">
        <f>IFERROR(IF(VLOOKUP($A16,#REF!,8,FALSE)&lt;&gt;"",VLOOKUP($A16,#REF!,8,FALSE),""),"")</f>
        <v/>
      </c>
      <c r="AS16" s="24"/>
      <c r="AT16" s="24">
        <v>0.10069444444444445</v>
      </c>
      <c r="AU16" s="27"/>
      <c r="AV16" s="27"/>
      <c r="AX16" s="20" t="str">
        <f>IFERROR(IF(Out_Table[[#This Row],[Cancellazione linea]]="Cancellata","yes",""),"")</f>
        <v/>
      </c>
      <c r="AY16" s="72" t="str">
        <f>IF(BA16="",BZ16,IF(AND(BA16&lt;(--"23:59:59"),BA16&gt;(--"15:00:00"),G16&lt;(--"14:00:00"),G16&gt;(--"00:00:01")),"",IF(BA16&gt;G16,BZ16,"")))</f>
        <v/>
      </c>
      <c r="AZ16" s="27"/>
      <c r="BA16" s="32"/>
      <c r="BB16" s="72"/>
      <c r="BC16" s="72" t="str">
        <f>IFERROR(VLOOKUP(Out_Table[[#This Row],[Aggiornamento STATUS]],'INformazioni per calcoli'!$Y$70:$AA$76,2,FALSE),"")</f>
        <v/>
      </c>
      <c r="BD16" s="289"/>
      <c r="BE16" s="289"/>
      <c r="BF16" s="47" t="str">
        <f>LEFT($E16,3)</f>
        <v>MDA</v>
      </c>
      <c r="BG16" s="298" t="str">
        <f>IF(Out_Table[[#This Row],[Ora Uscita    (GH)]]&lt;&gt;"","x","")</f>
        <v/>
      </c>
      <c r="BH16" s="299">
        <f>VLOOKUP($O16,'INformazioni per calcoli'!$Y$20:$AA$23,3,FALSE)</f>
        <v>14</v>
      </c>
      <c r="BI16" s="299">
        <f>MROUND(Out_Table[[#This Row],[Mtr. Trailer]]*AB16,0.5)</f>
        <v>0.5</v>
      </c>
      <c r="BJ16" s="299">
        <f>MROUND(Out_Table[[#This Row],[Mtr. Trailer]]*AE16,0.5)</f>
        <v>0</v>
      </c>
      <c r="BK16" s="299">
        <f>MROUND(Out_Table[[#This Row],[Mtr. Trailer]]*AH16,0.5)</f>
        <v>0</v>
      </c>
      <c r="BL16" s="300">
        <f>Out_Table[[#This Row],[Double Deck trailer N° bumpers]]</f>
        <v>0</v>
      </c>
      <c r="BM16" s="301"/>
      <c r="BN16" s="299" t="str">
        <f>B16</f>
        <v>ITD12285</v>
      </c>
      <c r="BO16" s="299" t="str">
        <f>E16</f>
        <v>MDA</v>
      </c>
      <c r="BP16" s="302">
        <f>IF(AND(G16&gt;(--"00:00:01"),G16&lt;(--"15:00:00")),IF(AND(X16&gt;(--"00:00:01"),X16&lt;(--"15:00:00")),G16-X16,G16+1-X16),G16-X16)</f>
        <v>1.1909722222222223</v>
      </c>
      <c r="BQ16" s="303">
        <f>AE16+AF16+AH16+AJ16</f>
        <v>0</v>
      </c>
      <c r="BR16" s="304" t="str">
        <f>IF(OR(BP16&lt;=(--"00:20:00"),BQ16&gt;=100%),"OK","Not OK")</f>
        <v>Not OK</v>
      </c>
      <c r="BS16" s="302">
        <f>IF(AND(G16&gt;(--"00:00:01"),G16&lt;(--"15:00:00")),IF(AND(AU16&gt;(--"00:00:01"),AU16&lt;(--"15:00:00")),G16-AU16,G16+1-AU16),G16-AU16)</f>
        <v>1.1909722222222223</v>
      </c>
      <c r="BT16" s="302">
        <f>IF(AND(AZ16&gt;(--"00:00:01"),AZ16&lt;(--"15:00:00")),IF(AND(AU16&gt;(--"00:00:01"),AU16&lt;(--"15:00:00")),AZ16-AU16,AZ16+1-AU16),AZ16-AU16)</f>
        <v>0</v>
      </c>
      <c r="BU16" s="302">
        <f>IF(AND(BA16&gt;(--"00:00:01"),BA16&lt;(--"15:00:00")),IF(AND(AZ16&gt;(--"00:00:01"),AZ16&lt;(--"15:00:00")),BA16-AZ16,BA16+1-AZ16),BA16-AZ16)</f>
        <v>0</v>
      </c>
      <c r="BV16" s="299">
        <f>AV16</f>
        <v>0</v>
      </c>
      <c r="BW16" s="301"/>
      <c r="BX16" s="299" t="str">
        <f>IF(AV16="T Status",IF(AV16&lt;&gt;T16,"X",""),"")</f>
        <v/>
      </c>
      <c r="BY16" s="301"/>
      <c r="BZ16" s="299" t="str">
        <f>IF(X16&lt;&gt;"",IF(CC16="X","Driver Delay",IF(CA16="X","Paperwork Delay",IF(CB16="X","Late freight late sort",IF(CD16="X","Chiamare Control Room",IF(CE16="X","Chiamare Control Room",IF(CF16="X","Chiamare Control Room","")))))),"")</f>
        <v/>
      </c>
      <c r="CA16" s="302" t="str">
        <f>IF(K16="",IF(IF(AND(G16&gt;(--"00:00:01"),G16&lt;(--"15:00:00")),IF(AND(AT16&gt;(--"08:00:00"),AT16&lt;(--"23:59:59")),G16+1-AT16,G16-AT16),G16-AT16)&gt;(--"00:20:00"),"","X"),"")</f>
        <v/>
      </c>
      <c r="CB16" s="299" t="str">
        <f>IF(K16="",IF(BP16&gt;=(--"00:20:00"),"","X"),"")</f>
        <v/>
      </c>
      <c r="CC16" s="299" t="str">
        <f>IF(OR(AV16="Autista non presente",AV16="Dati driver non presenti"),"X","")</f>
        <v/>
      </c>
      <c r="CD16" s="299" t="str">
        <f>IF(K16="",IF(AND(CC16="",BS16&lt;(--"00:20:00")),"X",""),"")</f>
        <v/>
      </c>
      <c r="CE16" s="299" t="str">
        <f>IF(K16="",IF(BT16&gt;(--"00:15:00"),"X",""),IF(AZ16&lt;&gt;"",IF(G16-AZ16&gt;(--"00:30:00"),"X",""),""))</f>
        <v/>
      </c>
      <c r="CF16" s="299" t="str">
        <f>IF(AND(CA16="",CB16="",CC16="",CD16="",CE16=""),"X","")</f>
        <v>X</v>
      </c>
      <c r="CG16" s="301"/>
      <c r="CH16" s="299" t="str">
        <f>IF(BT16&gt;(--"00:15:00"),"X","")</f>
        <v/>
      </c>
      <c r="CI16" s="302" t="str">
        <f>AY16</f>
        <v/>
      </c>
      <c r="CJ16" s="299" t="str">
        <f>IF(AND(CH16&lt;&gt;"",CI16&lt;&gt;"",LEFT(B16,3)="ITD"),AP16,"")</f>
        <v/>
      </c>
      <c r="CK16" s="305" t="str">
        <f>IF(CJ16&lt;&gt;"",BT16,"")</f>
        <v/>
      </c>
      <c r="CL16" s="301"/>
      <c r="CM16" s="305" t="str">
        <f>IFERROR(VLOOKUP(Q16,'Elenco Casse'!$D$4:$F$292,3,FALSE),"")</f>
        <v/>
      </c>
      <c r="CN16" s="301"/>
      <c r="CO16" s="305" t="str">
        <f>IFERROR(VLOOKUP(S16,'Elenco Casse'!$D$4:$F$292,3,FALSE),"")</f>
        <v/>
      </c>
      <c r="CP16" s="305" t="str">
        <f>IFERROR(IF(VLOOKUP($E16,Outlist!$A$5:$S$120,19,FALSE)&lt;&gt;0,"Y",""),"")</f>
        <v/>
      </c>
      <c r="CQ16" s="301"/>
      <c r="CR16" s="305" t="str">
        <f>CONCATENATE($B16,$E16,$G16)</f>
        <v>ITD12285MDA0.190972222222222</v>
      </c>
      <c r="CS16" s="301"/>
      <c r="CT16" s="305" t="e">
        <f>VLOOKUP(Out_Table[[#This Row],[Destination             ORANGE (From Planning)]],Outlist!$A$5:$W$120,22,FALSE)</f>
        <v>#N/A</v>
      </c>
    </row>
    <row r="17" spans="1:98" s="20" customFormat="1" ht="30.75">
      <c r="A17" s="305" t="str">
        <f>$CR17</f>
        <v>ERN04125LUG0.1875</v>
      </c>
      <c r="B17" s="351" t="str">
        <f>IFERROR(VLOOKUP(E17,Outlist!$A$5:$AC$120,2,FALSE),"")</f>
        <v>ERN04125</v>
      </c>
      <c r="C17" s="352" t="str">
        <f>IFERROR(IF(LEFT(B17,3)='STAT 77'!$X$2,_xlfn.XLOOKUP(B17,'STAT 77'!C:C,'STAT 77'!B:B),_xlfn.XLOOKUP(B17,'STAT 77'!B:B,'STAT 77'!C:C)),"NON TROVATO")</f>
        <v>ERN02108</v>
      </c>
      <c r="D17" s="4"/>
      <c r="E17" s="352" t="str">
        <f>IFERROR(IF(Outlist!$A66&lt;&gt;"",Outlist!$A66,""),"")</f>
        <v>LUG</v>
      </c>
      <c r="F17" s="352" t="str">
        <f>IFERROR(VLOOKUP(E17,'Cambio O2P'!C:E,2,FALSE),"")</f>
        <v>LUGT8</v>
      </c>
      <c r="G17" s="353">
        <f>IFERROR(VLOOKUP(E17,Outlist!$A$5:$AC$120,5,FALSE)-INT(VLOOKUP(E17,Outlist!$A$5:$AC$120,5,FALSE)),"")</f>
        <v>0.1875</v>
      </c>
      <c r="H17" s="294" t="str">
        <f ca="1">IFERROR(IF(AND('INformazioni per calcoli'!$AB$3&lt;(--"14:30"),'INformazioni per calcoli'!$AB$3&gt;(--"10:00")),"",IF($B17="","",IF($X17&lt;&gt;"","Mezzo Chiuso",IF($W17="","Non al Carico",IF($K17="Safe Parking","Safe Parking", IF(OR($BF17='INformazioni per calcoli'!$AF$8,$BF17='INformazioni per calcoli'!$AC$8,$BF17='INformazioni per calcoli'!$AD$8,$BF17='INformazioni per calcoli'!$AE$8,$BF17='INformazioni per calcoli'!$AG$8,$BF17='INformazioni per calcoli'!$AH$8,$BF17='INformazioni per calcoli'!$AI$8,$BF17='INformazioni per calcoli'!$AJ$8),IF($G17-'INformazioni per calcoli'!$AB$6-'INformazioni per calcoli'!$AB$3+$J17&lt;0,"LFLS",$G17-'INformazioni per calcoli'!$AB$6-'INformazioni per calcoli'!$AB$3+$J17), IF(OR($BF17='INformazioni per calcoli'!$AF$6,$BF17='INformazioni per calcoli'!$AD$6,$BF17='INformazioni per calcoli'!$AE$6,$BF17='INformazioni per calcoli'!$AG$6),IF($G17-'INformazioni per calcoli'!$AB$8-'INformazioni per calcoli'!$AB$3+$J17&lt;0,"LFLS",$G17-'INformazioni per calcoli'!$AB$8-'INformazioni per calcoli'!$AB$3+$J17), IF($G17-'INformazioni per calcoli'!$AB$7-'INformazioni per calcoli'!$AB$3+$J17&lt;0,"LFLS",$G17-'INformazioni per calcoli'!$AB$7-'INformazioni per calcoli'!$AB$3+$J17)))))))),"")</f>
        <v>Mezzo Chiuso</v>
      </c>
      <c r="I17" s="17"/>
      <c r="J17" s="306">
        <f ca="1">IFERROR(IF($B17&lt;&gt;"",IF(AND('INformazioni per calcoli'!$AB$3&lt;(--"15:00"),'INformazioni per calcoli'!$AB$3&gt;(--"00:00")),0,IF($G17&lt;(--"18:30"),"+1",0)),""),"")</f>
        <v>0</v>
      </c>
      <c r="K17" s="27">
        <f>IF(E17&lt;&gt;"",IFERROR(VLOOKUP(E17,Outlist!$A$5:$AC$120,22,FALSE),""),"")</f>
        <v>0</v>
      </c>
      <c r="L17" s="352" t="str">
        <f>IF(E17&lt;&gt;"",IFERROR(VLOOKUP(E17,Outlist!$A$5:$AC$120,3,FALSE),""),"")</f>
        <v>Mlk Trans&amp;logistic Srl</v>
      </c>
      <c r="M17" s="4" t="str">
        <f>IFERROR(_xlfn.XLOOKUP($Q17,'Elenco Casse'!$D:$D,'Elenco Casse'!$E:$E),"")</f>
        <v/>
      </c>
      <c r="N17" s="4" t="str">
        <f>IFERROR(_xlfn.XLOOKUP($Q17,'Elenco Casse'!$D:$D,'Elenco Casse'!$F:$F),"")</f>
        <v/>
      </c>
      <c r="O17" s="4" t="str">
        <f>IF($L17&lt;&gt;"","TT-2/3","")</f>
        <v>TT-2/3</v>
      </c>
      <c r="P17" s="296" t="str">
        <f>IFERROR(IF(VLOOKUP(E17,Outlist!$A$5:$AC$120,21,FALSE)="YES","Linea Variata",""),"")</f>
        <v/>
      </c>
      <c r="Q17" s="355" t="s">
        <v>489</v>
      </c>
      <c r="R17" s="23" t="s">
        <v>420</v>
      </c>
      <c r="S17" s="25" t="str">
        <f>IFERROR(IF(VLOOKUP(E17,Outlist!$A$5:$AC$120,7,FALSE)="X","SUBCO",""),"")</f>
        <v/>
      </c>
      <c r="T17" s="25"/>
      <c r="U17" s="23" t="s">
        <v>61</v>
      </c>
      <c r="V17" s="23" t="s">
        <v>61</v>
      </c>
      <c r="W17" s="26">
        <v>704</v>
      </c>
      <c r="X17" s="27">
        <v>8.9583333333333334E-2</v>
      </c>
      <c r="Y17" s="25" t="s">
        <v>490</v>
      </c>
      <c r="Z17" s="25"/>
      <c r="AA17" s="25" t="s">
        <v>40</v>
      </c>
      <c r="AB17" s="57">
        <v>0.2</v>
      </c>
      <c r="AC17" s="25"/>
      <c r="AD17" s="25" t="s">
        <v>487</v>
      </c>
      <c r="AE17" s="57">
        <v>0.2</v>
      </c>
      <c r="AF17" s="57"/>
      <c r="AG17" s="25"/>
      <c r="AH17" s="57"/>
      <c r="AI17" s="339">
        <v>1</v>
      </c>
      <c r="AJ17" s="339"/>
      <c r="AK17" s="297" t="str">
        <f>IF(X17&lt;&gt;"",CONCATENATE(IF(AA17&lt;&gt;"",CONCATENATE(Z17," ",AA17," ",BI17),""),IF(AD17&lt;&gt;"",CONCATENATE(","," ",AC17," ",AD17," ",BJ17),""),IF(AG17&lt;&gt;"",CONCATENATE(","," ",AF17," ",AG17," ",BK17),""),IF(AJ17&lt;&gt;"",CONCATENATE(","," ","DD"," ",BL17),"")," ",IF(AI17&lt;&gt;"",CONCATENATE(" - ",AI17," Bag"),"")),"")</f>
        <v xml:space="preserve"> LL 3,  FRT 3  - 1 Bag</v>
      </c>
      <c r="AL17" s="287" t="s">
        <v>421</v>
      </c>
      <c r="AM17" s="287"/>
      <c r="AN17" s="287"/>
      <c r="AO17" s="287"/>
      <c r="AP17" s="370">
        <f>IFERROR(VLOOKUP($E17,Outlist!$A$5:$V$120,20,FALSE),"")</f>
        <v>0</v>
      </c>
      <c r="AQ17" s="288" t="str">
        <f>IFERROR(IF(VLOOKUP($A17,#REF!,8,FALSE)&lt;&gt;"",VLOOKUP($A17,#REF!,8,FALSE),""),"")</f>
        <v/>
      </c>
      <c r="AR17" s="430">
        <v>9.0972222222222218E-2</v>
      </c>
      <c r="AS17" s="24">
        <v>0.10486111111111111</v>
      </c>
      <c r="AT17" s="24">
        <v>0.10902777777777778</v>
      </c>
      <c r="AU17" s="27"/>
      <c r="AV17" s="27"/>
      <c r="AX17" s="20" t="str">
        <f>IFERROR(IF(Out_Table[[#This Row],[Cancellazione linea]]="Cancellata","yes",""),"")</f>
        <v/>
      </c>
      <c r="AY17" s="72"/>
      <c r="AZ17" s="27"/>
      <c r="BA17" s="32"/>
      <c r="BB17" s="72"/>
      <c r="BC17" s="72" t="str">
        <f>IFERROR(VLOOKUP(Out_Table[[#This Row],[Aggiornamento STATUS]],'INformazioni per calcoli'!$Y$70:$AA$76,2,FALSE),"")</f>
        <v/>
      </c>
      <c r="BD17" s="289"/>
      <c r="BE17" s="289"/>
      <c r="BF17" s="47" t="str">
        <f>LEFT($E17,3)</f>
        <v>LUG</v>
      </c>
      <c r="BG17" s="298" t="str">
        <f>IF(Out_Table[[#This Row],[Ora Uscita    (GH)]]&lt;&gt;"","x","")</f>
        <v/>
      </c>
      <c r="BH17" s="299">
        <f>VLOOKUP($O17,'INformazioni per calcoli'!$Y$20:$AA$23,3,FALSE)</f>
        <v>14</v>
      </c>
      <c r="BI17" s="299">
        <f>MROUND(Out_Table[[#This Row],[Mtr. Trailer]]*AB17,0.5)</f>
        <v>3</v>
      </c>
      <c r="BJ17" s="299">
        <f>MROUND(Out_Table[[#This Row],[Mtr. Trailer]]*AE17,0.5)</f>
        <v>3</v>
      </c>
      <c r="BK17" s="299">
        <f>MROUND(Out_Table[[#This Row],[Mtr. Trailer]]*AH17,0.5)</f>
        <v>0</v>
      </c>
      <c r="BL17" s="300">
        <f>Out_Table[[#This Row],[Double Deck trailer N° bumpers]]</f>
        <v>0</v>
      </c>
      <c r="BM17" s="301"/>
      <c r="BN17" s="299" t="str">
        <f>B17</f>
        <v>ERN04125</v>
      </c>
      <c r="BO17" s="299" t="str">
        <f>E17</f>
        <v>LUG</v>
      </c>
      <c r="BP17" s="302">
        <f>IF(AND(G17&gt;(--"00:00:01"),G17&lt;(--"15:00:00")),IF(AND(X17&gt;(--"00:00:01"),X17&lt;(--"15:00:00")),G17-X17,G17+1-X17),G17-X17)</f>
        <v>9.7916666666666666E-2</v>
      </c>
      <c r="BQ17" s="303">
        <f>AE17+AF17+AH17+AJ17</f>
        <v>0.2</v>
      </c>
      <c r="BR17" s="304" t="str">
        <f>IF(OR(BP17&lt;=(--"00:20:00"),BQ17&gt;=100%),"OK","Not OK")</f>
        <v>Not OK</v>
      </c>
      <c r="BS17" s="302">
        <f>IF(AND(G17&gt;(--"00:00:01"),G17&lt;(--"15:00:00")),IF(AND(AU17&gt;(--"00:00:01"),AU17&lt;(--"15:00:00")),G17-AU17,G17+1-AU17),G17-AU17)</f>
        <v>1.1875</v>
      </c>
      <c r="BT17" s="302">
        <f>IF(AND(AZ17&gt;(--"00:00:01"),AZ17&lt;(--"15:00:00")),IF(AND(AU17&gt;(--"00:00:01"),AU17&lt;(--"15:00:00")),AZ17-AU17,AZ17+1-AU17),AZ17-AU17)</f>
        <v>0</v>
      </c>
      <c r="BU17" s="302">
        <f>IF(AND(BA17&gt;(--"00:00:01"),BA17&lt;(--"15:00:00")),IF(AND(AZ17&gt;(--"00:00:01"),AZ17&lt;(--"15:00:00")),BA17-AZ17,BA17+1-AZ17),BA17-AZ17)</f>
        <v>0</v>
      </c>
      <c r="BV17" s="299">
        <f>AV17</f>
        <v>0</v>
      </c>
      <c r="BW17" s="301"/>
      <c r="BX17" s="299" t="str">
        <f>IF(AV17="T Status",IF(AV17&lt;&gt;T17,"X",""),"")</f>
        <v/>
      </c>
      <c r="BY17" s="301"/>
      <c r="BZ17" s="299" t="str">
        <f>IF(X17&lt;&gt;"",IF(CC17="X","Driver Delay",IF(CA17="X","Paperwork Delay",IF(CB17="X","Late freight late sort",IF(CD17="X","Chiamare Control Room",IF(CE17="X","Chiamare Control Room",IF(CF17="X","Chiamare Control Room","")))))),"")</f>
        <v>Chiamare Control Room</v>
      </c>
      <c r="CA17" s="302" t="str">
        <f>IF(K17="",IF(IF(AND(G17&gt;(--"00:00:01"),G17&lt;(--"15:00:00")),IF(AND(AT17&gt;(--"08:00:00"),AT17&lt;(--"23:59:59")),G17+1-AT17,G17-AT17),G17-AT17)&gt;(--"00:20:00"),"","X"),"")</f>
        <v/>
      </c>
      <c r="CB17" s="299" t="str">
        <f>IF(K17="",IF(BP17&gt;=(--"00:20:00"),"","X"),"")</f>
        <v/>
      </c>
      <c r="CC17" s="299" t="str">
        <f>IF(OR(AV17="Autista non presente",AV17="Dati driver non presenti"),"X","")</f>
        <v/>
      </c>
      <c r="CD17" s="299" t="str">
        <f>IF(K17="",IF(AND(CC17="",BS17&lt;(--"00:20:00")),"X",""),"")</f>
        <v/>
      </c>
      <c r="CE17" s="299" t="str">
        <f>IF(K17="",IF(BT17&gt;(--"00:15:00"),"X",""),IF(AZ17&lt;&gt;"",IF(G17-AZ17&gt;(--"00:30:00"),"X",""),""))</f>
        <v/>
      </c>
      <c r="CF17" s="299" t="str">
        <f>IF(AND(CA17="",CB17="",CC17="",CD17="",CE17=""),"X","")</f>
        <v>X</v>
      </c>
      <c r="CG17" s="301"/>
      <c r="CH17" s="299" t="str">
        <f>IF(BT17&gt;(--"00:15:00"),"X","")</f>
        <v/>
      </c>
      <c r="CI17" s="302">
        <f>AY17</f>
        <v>0</v>
      </c>
      <c r="CJ17" s="299" t="str">
        <f>IF(AND(CH17&lt;&gt;"",CI17&lt;&gt;"",LEFT(B17,3)="ITD"),AP17,"")</f>
        <v/>
      </c>
      <c r="CK17" s="305" t="str">
        <f>IF(CJ17&lt;&gt;"",BT17,"")</f>
        <v/>
      </c>
      <c r="CL17" s="301"/>
      <c r="CM17" s="305" t="str">
        <f>IFERROR(VLOOKUP(Q17,'Elenco Casse'!$D$4:$F$292,3,FALSE),"")</f>
        <v/>
      </c>
      <c r="CN17" s="301"/>
      <c r="CO17" s="305" t="str">
        <f>IFERROR(VLOOKUP(E17,Outlist!$A$5:$H$120,8,FALSE),"")</f>
        <v>ENBR26445</v>
      </c>
      <c r="CP17" s="305" t="str">
        <f>IFERROR(IF(VLOOKUP($E17,Outlist!$A$5:$S$120,19,FALSE)&lt;&gt;0,"Y",""),"")</f>
        <v>Y</v>
      </c>
      <c r="CQ17" s="301"/>
      <c r="CR17" s="305" t="str">
        <f>CONCATENATE($B17,$E17,$G17)</f>
        <v>ERN04125LUG0.1875</v>
      </c>
      <c r="CS17" s="301"/>
      <c r="CT17" s="305">
        <f>VLOOKUP(Out_Table[[#This Row],[Destination             ORANGE (From Planning)]],Outlist!$A$5:$W$120,22,FALSE)</f>
        <v>0</v>
      </c>
    </row>
    <row r="18" spans="1:98" s="20" customFormat="1" ht="30.75">
      <c r="A18" s="305" t="str">
        <f>$CR18</f>
        <v>ERN07482ZRH 20.166666666664241</v>
      </c>
      <c r="B18" s="351" t="str">
        <f>IFERROR(VLOOKUP(E18,Outlist!$A$5:$AC$120,2,FALSE),"")</f>
        <v>ERN07482</v>
      </c>
      <c r="C18" s="352" t="str">
        <f>IFERROR(IF(LEFT(B18,3)='STAT 77'!$X$2,_xlfn.XLOOKUP(B18,'STAT 77'!C:C,'STAT 77'!B:B),_xlfn.XLOOKUP(B18,'STAT 77'!B:B,'STAT 77'!C:C)),"NON TROVATO")</f>
        <v>ERN03512</v>
      </c>
      <c r="D18" s="4"/>
      <c r="E18" s="352" t="str">
        <f>IFERROR(IF(Outlist!$A68&lt;&gt;"",Outlist!$A68,""),"")</f>
        <v>ZRH 2</v>
      </c>
      <c r="F18" s="352" t="str">
        <f>IFERROR(VLOOKUP(E18,'Cambio O2P'!C:E,2,FALSE),"")</f>
        <v/>
      </c>
      <c r="G18" s="353">
        <f>IFERROR(VLOOKUP(E18,Outlist!$A$5:$AC$120,5,FALSE)-INT(VLOOKUP(E18,Outlist!$A$5:$AC$120,5,FALSE)),"")</f>
        <v>0.16666666666424135</v>
      </c>
      <c r="H18" s="294" t="str">
        <f ca="1">IFERROR(IF(AND('INformazioni per calcoli'!$AB$3&lt;(--"14:30"),'INformazioni per calcoli'!$AB$3&gt;(--"10:00")),"",IF($B18="","",IF($X18&lt;&gt;"","Mezzo Chiuso",IF($W18="","Non al Carico",IF($K18="Safe Parking","Safe Parking", IF(OR($BF18='INformazioni per calcoli'!$AF$8,$BF18='INformazioni per calcoli'!$AC$8,$BF18='INformazioni per calcoli'!$AD$8,$BF18='INformazioni per calcoli'!$AE$8,$BF18='INformazioni per calcoli'!$AG$8,$BF18='INformazioni per calcoli'!$AH$8,$BF18='INformazioni per calcoli'!$AI$8,$BF18='INformazioni per calcoli'!$AJ$8),IF($G18-'INformazioni per calcoli'!$AB$6-'INformazioni per calcoli'!$AB$3+$J18&lt;0,"LFLS",$G18-'INformazioni per calcoli'!$AB$6-'INformazioni per calcoli'!$AB$3+$J18), IF(OR($BF18='INformazioni per calcoli'!$AF$6,$BF18='INformazioni per calcoli'!$AD$6,$BF18='INformazioni per calcoli'!$AE$6,$BF18='INformazioni per calcoli'!$AG$6),IF($G18-'INformazioni per calcoli'!$AB$8-'INformazioni per calcoli'!$AB$3+$J18&lt;0,"LFLS",$G18-'INformazioni per calcoli'!$AB$8-'INformazioni per calcoli'!$AB$3+$J18), IF($G18-'INformazioni per calcoli'!$AB$7-'INformazioni per calcoli'!$AB$3+$J18&lt;0,"LFLS",$G18-'INformazioni per calcoli'!$AB$7-'INformazioni per calcoli'!$AB$3+$J18)))))))),"")</f>
        <v>Mezzo Chiuso</v>
      </c>
      <c r="I18" s="17" t="str">
        <f ca="1">IFERROR(IF($H18&lt;&gt;"",IF($H18="Safe Parking","",IF($W18&lt;&gt;"",IF(AND($U18="X",$V18="X"),$H18-(--"00:30"),""),IF($X18&lt;&gt;"","Mezzo Chiuso","Non al carico"))),""),"")</f>
        <v/>
      </c>
      <c r="J18" s="306">
        <f ca="1">IFERROR(IF($B18&lt;&gt;"",IF(AND('INformazioni per calcoli'!$AB$3&lt;(--"15:00"),'INformazioni per calcoli'!$AB$3&gt;(--"00:00")),0,IF($G18&lt;(--"18:30"),"+1",0)),""),"")</f>
        <v>0</v>
      </c>
      <c r="K18" s="27">
        <f>IF(E18&lt;&gt;"",IFERROR(VLOOKUP(E18,Outlist!$A$5:$AC$120,22,FALSE),""),"")</f>
        <v>0</v>
      </c>
      <c r="L18" s="352" t="str">
        <f>IF(E18&lt;&gt;"",IFERROR(VLOOKUP(E18,Outlist!$A$5:$AC$120,3,FALSE),""),"")</f>
        <v>Ravitex Srl</v>
      </c>
      <c r="M18" s="4" t="str">
        <f>IFERROR(_xlfn.XLOOKUP($Q18,'Elenco Casse'!$D:$D,'Elenco Casse'!$E:$E),"")</f>
        <v/>
      </c>
      <c r="N18" s="4" t="str">
        <f>IFERROR(_xlfn.XLOOKUP($Q18,'Elenco Casse'!$D:$D,'Elenco Casse'!$F:$F),"")</f>
        <v/>
      </c>
      <c r="O18" s="4" t="str">
        <f>IF($L18&lt;&gt;"","TT-2/3","")</f>
        <v>TT-2/3</v>
      </c>
      <c r="P18" s="296" t="str">
        <f>IFERROR(IF(VLOOKUP(E18,Outlist!$A$5:$AC$120,21,FALSE)="YES","Linea Variata",""),"")</f>
        <v/>
      </c>
      <c r="Q18" s="355" t="s">
        <v>491</v>
      </c>
      <c r="R18" s="23" t="s">
        <v>420</v>
      </c>
      <c r="S18" s="25" t="str">
        <f>IFERROR(IF(VLOOKUP(E18,Outlist!$A$5:$AC$120,7,FALSE)="X","SUBCO",""),"")</f>
        <v/>
      </c>
      <c r="T18" s="25"/>
      <c r="U18" s="23" t="s">
        <v>61</v>
      </c>
      <c r="V18" s="23"/>
      <c r="W18" s="26">
        <v>312</v>
      </c>
      <c r="X18" s="27">
        <v>7.4305555555555555E-2</v>
      </c>
      <c r="Y18" s="25" t="s">
        <v>492</v>
      </c>
      <c r="Z18" s="25"/>
      <c r="AA18" s="25" t="s">
        <v>40</v>
      </c>
      <c r="AB18" s="57">
        <v>0.6</v>
      </c>
      <c r="AC18" s="25"/>
      <c r="AD18" s="25"/>
      <c r="AE18" s="57"/>
      <c r="AF18" s="57"/>
      <c r="AG18" s="25"/>
      <c r="AH18" s="57"/>
      <c r="AI18" s="339">
        <v>11</v>
      </c>
      <c r="AJ18" s="339"/>
      <c r="AK18" s="297" t="str">
        <f>IF(X18&lt;&gt;"",CONCATENATE(IF(AA18&lt;&gt;"",CONCATENATE(Z18," ",AA18," ",BI18),""),IF(AD18&lt;&gt;"",CONCATENATE(","," ",AC18," ",AD18," ",BJ18),""),IF(AG18&lt;&gt;"",CONCATENATE(","," ",AF18," ",AG18," ",BK18),""),IF(AJ18&lt;&gt;"",CONCATENATE(","," ","DD"," ",BL18),"")," ",IF(AI18&lt;&gt;"",CONCATENATE(" - ",AI18," Bag"),"")),"")</f>
        <v xml:space="preserve"> LL 8.5  - 11 Bag</v>
      </c>
      <c r="AL18" s="287" t="s">
        <v>421</v>
      </c>
      <c r="AM18" s="287"/>
      <c r="AN18" s="287"/>
      <c r="AO18" s="287"/>
      <c r="AP18" s="370">
        <f>IFERROR(VLOOKUP($E18,Outlist!$A$5:$V$120,20,FALSE),"")</f>
        <v>0</v>
      </c>
      <c r="AQ18" s="288" t="str">
        <f>IFERROR(IF(VLOOKUP($A18,#REF!,8,FALSE)&lt;&gt;"",VLOOKUP($A18,#REF!,8,FALSE),""),"")</f>
        <v/>
      </c>
      <c r="AR18" s="430">
        <v>8.1250000000000003E-2</v>
      </c>
      <c r="AS18" s="24">
        <v>0.13402777777777777</v>
      </c>
      <c r="AT18" s="24"/>
      <c r="AU18" s="27"/>
      <c r="AV18" s="27"/>
      <c r="AX18" s="20" t="str">
        <f>IFERROR(IF(Out_Table[[#This Row],[Cancellazione linea]]="Cancellata","yes",""),"")</f>
        <v/>
      </c>
      <c r="AY18" s="72"/>
      <c r="AZ18" s="27"/>
      <c r="BA18" s="32"/>
      <c r="BB18" s="72"/>
      <c r="BC18" s="72" t="str">
        <f>IFERROR(VLOOKUP(Out_Table[[#This Row],[Aggiornamento STATUS]],'INformazioni per calcoli'!$Y$70:$AA$76,2,FALSE),"")</f>
        <v/>
      </c>
      <c r="BD18" s="289"/>
      <c r="BE18" s="289"/>
      <c r="BF18" s="47" t="str">
        <f>LEFT($E18,3)</f>
        <v>ZRH</v>
      </c>
      <c r="BG18" s="298" t="str">
        <f>IF(Out_Table[[#This Row],[Ora Uscita    (GH)]]&lt;&gt;"","x","")</f>
        <v/>
      </c>
      <c r="BH18" s="299">
        <f>VLOOKUP($O18,'INformazioni per calcoli'!$Y$20:$AA$23,3,FALSE)</f>
        <v>14</v>
      </c>
      <c r="BI18" s="299">
        <f>MROUND(Out_Table[[#This Row],[Mtr. Trailer]]*AB18,0.5)</f>
        <v>8.5</v>
      </c>
      <c r="BJ18" s="299">
        <f>MROUND(Out_Table[[#This Row],[Mtr. Trailer]]*AE18,0.5)</f>
        <v>0</v>
      </c>
      <c r="BK18" s="299">
        <f>MROUND(Out_Table[[#This Row],[Mtr. Trailer]]*AH18,0.5)</f>
        <v>0</v>
      </c>
      <c r="BL18" s="300">
        <f>Out_Table[[#This Row],[Double Deck trailer N° bumpers]]</f>
        <v>0</v>
      </c>
      <c r="BM18" s="301"/>
      <c r="BN18" s="299" t="str">
        <f>B18</f>
        <v>ERN07482</v>
      </c>
      <c r="BO18" s="299" t="str">
        <f>E18</f>
        <v>ZRH 2</v>
      </c>
      <c r="BP18" s="302">
        <f>IF(AND(G18&gt;(--"00:00:01"),G18&lt;(--"15:00:00")),IF(AND(X18&gt;(--"00:00:01"),X18&lt;(--"15:00:00")),G18-X18,G18+1-X18),G18-X18)</f>
        <v>9.2361111108685792E-2</v>
      </c>
      <c r="BQ18" s="303">
        <f>AE18+AF18+AH18+AJ18</f>
        <v>0</v>
      </c>
      <c r="BR18" s="304" t="str">
        <f>IF(OR(BP18&lt;=(--"00:20:00"),BQ18&gt;=100%),"OK","Not OK")</f>
        <v>Not OK</v>
      </c>
      <c r="BS18" s="302">
        <f>IF(AND(G18&gt;(--"00:00:01"),G18&lt;(--"15:00:00")),IF(AND(AU18&gt;(--"00:00:01"),AU18&lt;(--"15:00:00")),G18-AU18,G18+1-AU18),G18-AU18)</f>
        <v>1.1666666666642413</v>
      </c>
      <c r="BT18" s="302">
        <f>IF(AND(AZ18&gt;(--"00:00:01"),AZ18&lt;(--"15:00:00")),IF(AND(AU18&gt;(--"00:00:01"),AU18&lt;(--"15:00:00")),AZ18-AU18,AZ18+1-AU18),AZ18-AU18)</f>
        <v>0</v>
      </c>
      <c r="BU18" s="302">
        <f>IF(AND(BA18&gt;(--"00:00:01"),BA18&lt;(--"15:00:00")),IF(AND(AZ18&gt;(--"00:00:01"),AZ18&lt;(--"15:00:00")),BA18-AZ18,BA18+1-AZ18),BA18-AZ18)</f>
        <v>0</v>
      </c>
      <c r="BV18" s="299">
        <f>AV18</f>
        <v>0</v>
      </c>
      <c r="BW18" s="301"/>
      <c r="BX18" s="299" t="str">
        <f>IF(AV18="T Status",IF(AV18&lt;&gt;T18,"X",""),"")</f>
        <v/>
      </c>
      <c r="BY18" s="301"/>
      <c r="BZ18" s="299" t="str">
        <f>IF(X18&lt;&gt;"",IF(CC18="X","Driver Delay",IF(CA18="X","Paperwork Delay",IF(CB18="X","Late freight late sort",IF(CD18="X","Chiamare Control Room",IF(CE18="X","Chiamare Control Room",IF(CF18="X","Chiamare Control Room","")))))),"")</f>
        <v>Chiamare Control Room</v>
      </c>
      <c r="CA18" s="302" t="str">
        <f>IF(K18="",IF(IF(AND(G18&gt;(--"00:00:01"),G18&lt;(--"15:00:00")),IF(AND(AT18&gt;(--"08:00:00"),AT18&lt;(--"23:59:59")),G18+1-AT18,G18-AT18),G18-AT18)&gt;(--"00:20:00"),"","X"),"")</f>
        <v/>
      </c>
      <c r="CB18" s="299" t="str">
        <f>IF(K18="",IF(BP18&gt;=(--"00:20:00"),"","X"),"")</f>
        <v/>
      </c>
      <c r="CC18" s="299" t="str">
        <f>IF(OR(AV18="Autista non presente",AV18="Dati driver non presenti"),"X","")</f>
        <v/>
      </c>
      <c r="CD18" s="299" t="str">
        <f>IF(K18="",IF(AND(CC18="",BS18&lt;(--"00:20:00")),"X",""),"")</f>
        <v/>
      </c>
      <c r="CE18" s="299" t="str">
        <f>IF(K18="",IF(BT18&gt;(--"00:15:00"),"X",""),IF(AZ18&lt;&gt;"",IF(G18-AZ18&gt;(--"00:30:00"),"X",""),""))</f>
        <v/>
      </c>
      <c r="CF18" s="299" t="str">
        <f>IF(AND(CA18="",CB18="",CC18="",CD18="",CE18=""),"X","")</f>
        <v>X</v>
      </c>
      <c r="CG18" s="301"/>
      <c r="CH18" s="299" t="str">
        <f>IF(BT18&gt;(--"00:15:00"),"X","")</f>
        <v/>
      </c>
      <c r="CI18" s="302">
        <f>AY18</f>
        <v>0</v>
      </c>
      <c r="CJ18" s="299" t="str">
        <f>IF(AND(CH18&lt;&gt;"",CI18&lt;&gt;"",LEFT(B18,3)="ITD"),AP18,"")</f>
        <v/>
      </c>
      <c r="CK18" s="305" t="str">
        <f>IF(CJ18&lt;&gt;"",BT18,"")</f>
        <v/>
      </c>
      <c r="CL18" s="301"/>
      <c r="CM18" s="305" t="str">
        <f>IFERROR(VLOOKUP(Q18,'Elenco Casse'!$D$4:$F$292,3,FALSE),"")</f>
        <v/>
      </c>
      <c r="CN18" s="301"/>
      <c r="CO18" s="305" t="str">
        <f>IFERROR(VLOOKUP(E18,Outlist!$A$5:$H$120,8,FALSE),"")</f>
        <v>ENBR26514</v>
      </c>
      <c r="CP18" s="305" t="str">
        <f>IFERROR(IF(VLOOKUP($E18,Outlist!$A$5:$S$120,19,FALSE)&lt;&gt;0,"Y",""),"")</f>
        <v/>
      </c>
      <c r="CQ18" s="301"/>
      <c r="CR18" s="305" t="str">
        <f>CONCATENATE($B18,$E18,$G18)</f>
        <v>ERN07482ZRH 20.166666666664241</v>
      </c>
      <c r="CS18" s="301"/>
      <c r="CT18" s="305">
        <f>VLOOKUP(Out_Table[[#This Row],[Destination             ORANGE (From Planning)]],Outlist!$A$5:$W$120,22,FALSE)</f>
        <v>0</v>
      </c>
    </row>
    <row r="19" spans="1:98" s="20" customFormat="1" ht="30.75">
      <c r="A19" s="305" t="str">
        <f>$CR19</f>
        <v>ERN18882WA1 10.09375</v>
      </c>
      <c r="B19" s="351" t="str">
        <f>IFERROR(VLOOKUP(E19,Outlist!$A$5:$AC$120,2,FALSE),"")</f>
        <v>ERN18882</v>
      </c>
      <c r="C19" s="352" t="str">
        <f>IFERROR(IF(LEFT(B19,3)='STAT 77'!$X$2,_xlfn.XLOOKUP(B19,'STAT 77'!C:C,'STAT 77'!B:B),_xlfn.XLOOKUP(B19,'STAT 77'!B:B,'STAT 77'!C:C)),"NON TROVATO")</f>
        <v>ERN09557</v>
      </c>
      <c r="D19" s="4"/>
      <c r="E19" s="352" t="str">
        <f>IFERROR(IF(Outlist!$A54&lt;&gt;"",Outlist!$A54,""),"")</f>
        <v>WA1 1</v>
      </c>
      <c r="F19" s="352" t="str">
        <f>IFERROR(VLOOKUP(E19,'Cambio O2P'!C:E,2,FALSE),"")</f>
        <v/>
      </c>
      <c r="G19" s="353">
        <f>IFERROR(VLOOKUP(E19,Outlist!$A$5:$AC$120,5,FALSE)-INT(VLOOKUP(E19,Outlist!$A$5:$AC$120,5,FALSE)),"")</f>
        <v>9.375E-2</v>
      </c>
      <c r="H19" s="294" t="str">
        <f ca="1">IFERROR(IF(AND('INformazioni per calcoli'!$AB$3&lt;(--"14:30"),'INformazioni per calcoli'!$AB$3&gt;(--"10:00")),"",IF($B19="","",IF($X19&lt;&gt;"","Mezzo Chiuso",IF($W19="","Non al Carico",IF($K19="Safe Parking","Safe Parking", IF(OR($BF19='INformazioni per calcoli'!$AF$8,$BF19='INformazioni per calcoli'!$AC$8,$BF19='INformazioni per calcoli'!$AD$8,$BF19='INformazioni per calcoli'!$AE$8,$BF19='INformazioni per calcoli'!$AG$8,$BF19='INformazioni per calcoli'!$AH$8,$BF19='INformazioni per calcoli'!$AI$8,$BF19='INformazioni per calcoli'!$AJ$8),IF($G19-'INformazioni per calcoli'!$AB$6-'INformazioni per calcoli'!$AB$3+$J19&lt;0,"LFLS",$G19-'INformazioni per calcoli'!$AB$6-'INformazioni per calcoli'!$AB$3+$J19), IF(OR($BF19='INformazioni per calcoli'!$AF$6,$BF19='INformazioni per calcoli'!$AD$6,$BF19='INformazioni per calcoli'!$AE$6,$BF19='INformazioni per calcoli'!$AG$6),IF($G19-'INformazioni per calcoli'!$AB$8-'INformazioni per calcoli'!$AB$3+$J19&lt;0,"LFLS",$G19-'INformazioni per calcoli'!$AB$8-'INformazioni per calcoli'!$AB$3+$J19), IF($G19-'INformazioni per calcoli'!$AB$7-'INformazioni per calcoli'!$AB$3+$J19&lt;0,"LFLS",$G19-'INformazioni per calcoli'!$AB$7-'INformazioni per calcoli'!$AB$3+$J19)))))))),"")</f>
        <v>Mezzo Chiuso</v>
      </c>
      <c r="I19" s="17"/>
      <c r="J19" s="306">
        <f ca="1">IFERROR(IF($B19&lt;&gt;"",IF(AND('INformazioni per calcoli'!$AB$3&lt;(--"15:00"),'INformazioni per calcoli'!$AB$3&gt;(--"00:00")),0,IF($G19&lt;(--"18:30"),"+1",0)),""),"")</f>
        <v>0</v>
      </c>
      <c r="K19" s="27">
        <f>IF(E19&lt;&gt;"",IFERROR(VLOOKUP(E19,Outlist!$A$5:$AC$120,22,FALSE),""),"")</f>
        <v>0</v>
      </c>
      <c r="L19" s="352" t="str">
        <f>IF(E19&lt;&gt;"",IFERROR(VLOOKUP(E19,Outlist!$A$5:$AC$120,3,FALSE),""),"")</f>
        <v>P.H.U Transbed Grzegorz Bednarek</v>
      </c>
      <c r="M19" s="4" t="str">
        <f>IFERROR(_xlfn.XLOOKUP($Q19,'Elenco Casse'!$D:$D,'Elenco Casse'!$E:$E),"")</f>
        <v/>
      </c>
      <c r="N19" s="4" t="str">
        <f>IFERROR(_xlfn.XLOOKUP($Q19,'Elenco Casse'!$D:$D,'Elenco Casse'!$F:$F),"")</f>
        <v/>
      </c>
      <c r="O19" s="4" t="str">
        <f>IF($L19&lt;&gt;"","TT-2/3","")</f>
        <v>TT-2/3</v>
      </c>
      <c r="P19" s="296" t="str">
        <f>IFERROR(IF(VLOOKUP(E19,Outlist!$A$5:$AC$120,21,FALSE)="YES","Linea Variata",""),"")</f>
        <v/>
      </c>
      <c r="Q19" s="355" t="s">
        <v>493</v>
      </c>
      <c r="R19" s="23" t="s">
        <v>420</v>
      </c>
      <c r="S19" s="25" t="str">
        <f>IFERROR(IF(VLOOKUP(E19,Outlist!$A$5:$AC$120,7,FALSE)="X","SUBCO",""),"")</f>
        <v/>
      </c>
      <c r="T19" s="25"/>
      <c r="U19" s="23" t="s">
        <v>61</v>
      </c>
      <c r="V19" s="23" t="s">
        <v>61</v>
      </c>
      <c r="W19" s="26">
        <v>313</v>
      </c>
      <c r="X19" s="27">
        <v>4.583333333333333E-2</v>
      </c>
      <c r="Y19" s="25" t="s">
        <v>494</v>
      </c>
      <c r="Z19" s="25"/>
      <c r="AA19" s="25" t="s">
        <v>487</v>
      </c>
      <c r="AB19" s="57">
        <v>0.7</v>
      </c>
      <c r="AC19" s="25"/>
      <c r="AD19" s="25" t="s">
        <v>40</v>
      </c>
      <c r="AE19" s="57">
        <v>0.3</v>
      </c>
      <c r="AF19" s="57"/>
      <c r="AG19" s="25"/>
      <c r="AH19" s="57"/>
      <c r="AI19" s="339">
        <v>1</v>
      </c>
      <c r="AJ19" s="339"/>
      <c r="AK19" s="297" t="str">
        <f>IF(X19&lt;&gt;"",CONCATENATE(IF(AA19&lt;&gt;"",CONCATENATE(Z19," ",AA19," ",BI19),""),IF(AD19&lt;&gt;"",CONCATENATE(","," ",AC19," ",AD19," ",BJ19),""),IF(AG19&lt;&gt;"",CONCATENATE(","," ",AF19," ",AG19," ",BK19),""),IF(AJ19&lt;&gt;"",CONCATENATE(","," ","DD"," ",BL19),"")," ",IF(AI19&lt;&gt;"",CONCATENATE(" - ",AI19," Bag"),"")),"")</f>
        <v xml:space="preserve"> FRT 10,  LL 4  - 1 Bag</v>
      </c>
      <c r="AL19" s="287" t="s">
        <v>421</v>
      </c>
      <c r="AM19" s="287"/>
      <c r="AN19" s="287"/>
      <c r="AO19" s="287"/>
      <c r="AP19" s="370">
        <f>IFERROR(VLOOKUP($E19,Outlist!$A$5:$V$120,20,FALSE),"")</f>
        <v>0</v>
      </c>
      <c r="AQ19" s="288" t="s">
        <v>495</v>
      </c>
      <c r="AR19" s="430">
        <v>4.791666666666667E-2</v>
      </c>
      <c r="AS19" s="24">
        <v>5.347222222222222E-2</v>
      </c>
      <c r="AT19" s="24">
        <v>5.347222222222222E-2</v>
      </c>
      <c r="AU19" s="27"/>
      <c r="AV19" s="27"/>
      <c r="AW19" s="20" t="s">
        <v>443</v>
      </c>
      <c r="AX19" s="20" t="str">
        <f>IFERROR(IF(Out_Table[[#This Row],[Cancellazione linea]]="Cancellata","yes",""),"")</f>
        <v/>
      </c>
      <c r="AY19" s="72"/>
      <c r="AZ19" s="27"/>
      <c r="BA19" s="32">
        <v>6.5972222222222224E-2</v>
      </c>
      <c r="BB19" s="72"/>
      <c r="BC19" s="72" t="str">
        <f>IFERROR(VLOOKUP(Out_Table[[#This Row],[Aggiornamento STATUS]],'INformazioni per calcoli'!$Y$70:$AA$76,2,FALSE),"")</f>
        <v/>
      </c>
      <c r="BD19" s="289"/>
      <c r="BE19" s="289"/>
      <c r="BF19" s="47" t="str">
        <f>LEFT($E19,3)</f>
        <v>WA1</v>
      </c>
      <c r="BG19" s="298" t="str">
        <f>IF(Out_Table[[#This Row],[Ora Uscita    (GH)]]&lt;&gt;"","x","")</f>
        <v>x</v>
      </c>
      <c r="BH19" s="299">
        <f>VLOOKUP($O19,'INformazioni per calcoli'!$Y$20:$AA$23,3,FALSE)</f>
        <v>14</v>
      </c>
      <c r="BI19" s="299">
        <f>MROUND(Out_Table[[#This Row],[Mtr. Trailer]]*AB19,0.5)</f>
        <v>10</v>
      </c>
      <c r="BJ19" s="299">
        <f>MROUND(Out_Table[[#This Row],[Mtr. Trailer]]*AE19,0.5)</f>
        <v>4</v>
      </c>
      <c r="BK19" s="299">
        <f>MROUND(Out_Table[[#This Row],[Mtr. Trailer]]*AH19,0.5)</f>
        <v>0</v>
      </c>
      <c r="BL19" s="300">
        <f>Out_Table[[#This Row],[Double Deck trailer N° bumpers]]</f>
        <v>0</v>
      </c>
      <c r="BM19" s="301"/>
      <c r="BN19" s="299" t="str">
        <f>B19</f>
        <v>ERN18882</v>
      </c>
      <c r="BO19" s="299" t="str">
        <f>E19</f>
        <v>WA1 1</v>
      </c>
      <c r="BP19" s="302">
        <f>IF(AND(G19&gt;(--"00:00:01"),G19&lt;(--"15:00:00")),IF(AND(X19&gt;(--"00:00:01"),X19&lt;(--"15:00:00")),G19-X19,G19+1-X19),G19-X19)</f>
        <v>4.791666666666667E-2</v>
      </c>
      <c r="BQ19" s="303">
        <f>AE19+AF19+AH19+AJ19</f>
        <v>0.3</v>
      </c>
      <c r="BR19" s="304" t="str">
        <f>IF(OR(BP19&lt;=(--"00:20:00"),BQ19&gt;=100%),"OK","Not OK")</f>
        <v>Not OK</v>
      </c>
      <c r="BS19" s="302">
        <f>IF(AND(G19&gt;(--"00:00:01"),G19&lt;(--"15:00:00")),IF(AND(AU19&gt;(--"00:00:01"),AU19&lt;(--"15:00:00")),G19-AU19,G19+1-AU19),G19-AU19)</f>
        <v>1.09375</v>
      </c>
      <c r="BT19" s="302">
        <f>IF(AND(AZ19&gt;(--"00:00:01"),AZ19&lt;(--"15:00:00")),IF(AND(AU19&gt;(--"00:00:01"),AU19&lt;(--"15:00:00")),AZ19-AU19,AZ19+1-AU19),AZ19-AU19)</f>
        <v>0</v>
      </c>
      <c r="BU19" s="302">
        <f>IF(AND(BA19&gt;(--"00:00:01"),BA19&lt;(--"15:00:00")),IF(AND(AZ19&gt;(--"00:00:01"),AZ19&lt;(--"15:00:00")),BA19-AZ19,BA19+1-AZ19),BA19-AZ19)</f>
        <v>1.0659722222222223</v>
      </c>
      <c r="BV19" s="299">
        <f>AV19</f>
        <v>0</v>
      </c>
      <c r="BW19" s="301"/>
      <c r="BX19" s="299" t="str">
        <f>IF(AV19="T Status",IF(AV19&lt;&gt;T19,"X",""),"")</f>
        <v/>
      </c>
      <c r="BY19" s="301"/>
      <c r="BZ19" s="299" t="str">
        <f>IF(X19&lt;&gt;"",IF(CC19="X","Driver Delay",IF(CA19="X","Paperwork Delay",IF(CB19="X","Late freight late sort",IF(CD19="X","Chiamare Control Room",IF(CE19="X","Chiamare Control Room",IF(CF19="X","Chiamare Control Room","")))))),"")</f>
        <v>Chiamare Control Room</v>
      </c>
      <c r="CA19" s="302" t="str">
        <f>IF(K19="",IF(IF(AND(G19&gt;(--"00:00:01"),G19&lt;(--"15:00:00")),IF(AND(AT19&gt;(--"08:00:00"),AT19&lt;(--"23:59:59")),G19+1-AT19,G19-AT19),G19-AT19)&gt;(--"00:20:00"),"","X"),"")</f>
        <v/>
      </c>
      <c r="CB19" s="299" t="str">
        <f>IF(K19="",IF(BP19&gt;=(--"00:20:00"),"","X"),"")</f>
        <v/>
      </c>
      <c r="CC19" s="299" t="str">
        <f>IF(OR(AV19="Autista non presente",AV19="Dati driver non presenti"),"X","")</f>
        <v/>
      </c>
      <c r="CD19" s="299" t="str">
        <f>IF(K19="",IF(AND(CC19="",BS19&lt;(--"00:20:00")),"X",""),"")</f>
        <v/>
      </c>
      <c r="CE19" s="299" t="str">
        <f>IF(K19="",IF(BT19&gt;(--"00:15:00"),"X",""),IF(AZ19&lt;&gt;"",IF(G19-AZ19&gt;(--"00:30:00"),"X",""),""))</f>
        <v/>
      </c>
      <c r="CF19" s="299" t="str">
        <f>IF(AND(CA19="",CB19="",CC19="",CD19="",CE19=""),"X","")</f>
        <v>X</v>
      </c>
      <c r="CG19" s="301"/>
      <c r="CH19" s="299" t="str">
        <f>IF(BT19&gt;(--"00:15:00"),"X","")</f>
        <v/>
      </c>
      <c r="CI19" s="302">
        <f>AY19</f>
        <v>0</v>
      </c>
      <c r="CJ19" s="299" t="str">
        <f>IF(AND(CH19&lt;&gt;"",CI19&lt;&gt;"",LEFT(B19,3)="ITD"),AP19,"")</f>
        <v/>
      </c>
      <c r="CK19" s="305" t="str">
        <f>IF(CJ19&lt;&gt;"",BT19,"")</f>
        <v/>
      </c>
      <c r="CL19" s="301"/>
      <c r="CM19" s="305" t="str">
        <f>IFERROR(VLOOKUP(Q19,'Elenco Casse'!$D$4:$F$292,3,FALSE),"")</f>
        <v/>
      </c>
      <c r="CN19" s="301"/>
      <c r="CO19" s="305" t="str">
        <f>IFERROR(VLOOKUP(E19,Outlist!$A$5:$H$120,8,FALSE),"")</f>
        <v>ENBR21025</v>
      </c>
      <c r="CP19" s="305" t="str">
        <f>IFERROR(IF(VLOOKUP($E19,Outlist!$A$5:$S$120,19,FALSE)&lt;&gt;0,"Y",""),"")</f>
        <v/>
      </c>
      <c r="CQ19" s="301"/>
      <c r="CR19" s="305" t="str">
        <f>CONCATENATE($B19,$E19,$G19)</f>
        <v>ERN18882WA1 10.09375</v>
      </c>
      <c r="CS19" s="301"/>
      <c r="CT19" s="305">
        <f>VLOOKUP(Out_Table[[#This Row],[Destination             ORANGE (From Planning)]],Outlist!$A$5:$W$120,22,FALSE)</f>
        <v>0</v>
      </c>
    </row>
    <row r="20" spans="1:98" s="20" customFormat="1" ht="30.75">
      <c r="A20" s="305" t="str">
        <f>$CR20</f>
        <v>ERN19613WA1 20.09375</v>
      </c>
      <c r="B20" s="351" t="str">
        <f>IFERROR(VLOOKUP(E20,Outlist!$A$5:$AC$120,2,FALSE),"")</f>
        <v>ERN19613</v>
      </c>
      <c r="C20" s="352" t="str">
        <f>IFERROR(IF(LEFT(B20,3)='STAT 77'!$X$2,_xlfn.XLOOKUP(B20,'STAT 77'!C:C,'STAT 77'!B:B),_xlfn.XLOOKUP(B20,'STAT 77'!B:B,'STAT 77'!C:C)),"NON TROVATO")</f>
        <v>ERN09884</v>
      </c>
      <c r="D20" s="4"/>
      <c r="E20" s="352" t="str">
        <f>IFERROR(IF(Outlist!$A55&lt;&gt;"",Outlist!$A55,""),"")</f>
        <v>WA1 2</v>
      </c>
      <c r="F20" s="352" t="str">
        <f>IFERROR(VLOOKUP(E20,'Cambio O2P'!C:E,2,FALSE),"")</f>
        <v/>
      </c>
      <c r="G20" s="353">
        <f>IFERROR(VLOOKUP(E20,Outlist!$A$5:$AC$120,5,FALSE)-INT(VLOOKUP(E20,Outlist!$A$5:$AC$120,5,FALSE)),"")</f>
        <v>9.375E-2</v>
      </c>
      <c r="H20" s="294" t="str">
        <f ca="1">IFERROR(IF(AND('INformazioni per calcoli'!$AB$3&lt;(--"14:30"),'INformazioni per calcoli'!$AB$3&gt;(--"10:00")),"",IF($B20="","",IF($X20&lt;&gt;"","Mezzo Chiuso",IF($W20="","Non al Carico",IF($K20="Safe Parking","Safe Parking", IF(OR($BF20='INformazioni per calcoli'!$AF$8,$BF20='INformazioni per calcoli'!$AC$8,$BF20='INformazioni per calcoli'!$AD$8,$BF20='INformazioni per calcoli'!$AE$8,$BF20='INformazioni per calcoli'!$AG$8,$BF20='INformazioni per calcoli'!$AH$8,$BF20='INformazioni per calcoli'!$AI$8,$BF20='INformazioni per calcoli'!$AJ$8),IF($G20-'INformazioni per calcoli'!$AB$6-'INformazioni per calcoli'!$AB$3+$J20&lt;0,"LFLS",$G20-'INformazioni per calcoli'!$AB$6-'INformazioni per calcoli'!$AB$3+$J20), IF(OR($BF20='INformazioni per calcoli'!$AF$6,$BF20='INformazioni per calcoli'!$AD$6,$BF20='INformazioni per calcoli'!$AE$6,$BF20='INformazioni per calcoli'!$AG$6),IF($G20-'INformazioni per calcoli'!$AB$8-'INformazioni per calcoli'!$AB$3+$J20&lt;0,"LFLS",$G20-'INformazioni per calcoli'!$AB$8-'INformazioni per calcoli'!$AB$3+$J20), IF($G20-'INformazioni per calcoli'!$AB$7-'INformazioni per calcoli'!$AB$3+$J20&lt;0,"LFLS",$G20-'INformazioni per calcoli'!$AB$7-'INformazioni per calcoli'!$AB$3+$J20)))))))),"")</f>
        <v>Mezzo Chiuso</v>
      </c>
      <c r="I20" s="17" t="str">
        <f ca="1">IFERROR(IF($H20&lt;&gt;"",IF($H20="Safe Parking","",IF($W20&lt;&gt;"",IF(AND($U20="X",$V20="X"),$H20-(--"00:30"),""),IF($X20&lt;&gt;"","Mezzo Chiuso","Non al carico"))),""),"")</f>
        <v/>
      </c>
      <c r="J20" s="306">
        <f ca="1">IFERROR(IF($B20&lt;&gt;"",IF(AND('INformazioni per calcoli'!$AB$3&lt;(--"15:00"),'INformazioni per calcoli'!$AB$3&gt;(--"00:00")),0,IF($G20&lt;(--"18:30"),"+1",0)),""),"")</f>
        <v>0</v>
      </c>
      <c r="K20" s="27">
        <f>IF(E20&lt;&gt;"",IFERROR(VLOOKUP(E20,Outlist!$A$5:$AC$120,22,FALSE),""),"")</f>
        <v>0</v>
      </c>
      <c r="L20" s="352" t="str">
        <f>IF(E20&lt;&gt;"",IFERROR(VLOOKUP(E20,Outlist!$A$5:$AC$120,3,FALSE),""),"")</f>
        <v>Matelda Srl</v>
      </c>
      <c r="M20" s="4" t="str">
        <f>IFERROR(_xlfn.XLOOKUP($Q20,'Elenco Casse'!$D:$D,'Elenco Casse'!$E:$E),"")</f>
        <v/>
      </c>
      <c r="N20" s="4" t="str">
        <f>IFERROR(_xlfn.XLOOKUP($Q20,'Elenco Casse'!$D:$D,'Elenco Casse'!$F:$F),"")</f>
        <v/>
      </c>
      <c r="O20" s="4" t="str">
        <f>IF($L20&lt;&gt;"","TT-2/3","")</f>
        <v>TT-2/3</v>
      </c>
      <c r="P20" s="296" t="str">
        <f>IFERROR(IF(VLOOKUP(E20,Outlist!$A$5:$AC$120,21,FALSE)="YES","Linea Variata",""),"")</f>
        <v/>
      </c>
      <c r="Q20" s="355" t="s">
        <v>496</v>
      </c>
      <c r="R20" s="23" t="s">
        <v>420</v>
      </c>
      <c r="S20" s="25" t="str">
        <f>IFERROR(IF(VLOOKUP(E20,Outlist!$A$5:$AC$120,7,FALSE)="X","SUBCO",""),"")</f>
        <v/>
      </c>
      <c r="T20" s="25"/>
      <c r="U20" s="23" t="s">
        <v>61</v>
      </c>
      <c r="V20" s="23"/>
      <c r="W20" s="26">
        <v>313</v>
      </c>
      <c r="X20" s="27">
        <v>0.99791666666666667</v>
      </c>
      <c r="Y20" s="25" t="s">
        <v>497</v>
      </c>
      <c r="Z20" s="25"/>
      <c r="AA20" s="25" t="s">
        <v>40</v>
      </c>
      <c r="AB20" s="57">
        <v>1</v>
      </c>
      <c r="AC20" s="25"/>
      <c r="AD20" s="25"/>
      <c r="AE20" s="57"/>
      <c r="AF20" s="57"/>
      <c r="AG20" s="25"/>
      <c r="AH20" s="57"/>
      <c r="AI20" s="339">
        <v>17</v>
      </c>
      <c r="AJ20" s="339"/>
      <c r="AK20" s="297" t="str">
        <f>IF(X20&lt;&gt;"",CONCATENATE(IF(AA20&lt;&gt;"",CONCATENATE(Z20," ",AA20," ",BI20),""),IF(AD20&lt;&gt;"",CONCATENATE(","," ",AC20," ",AD20," ",BJ20),""),IF(AG20&lt;&gt;"",CONCATENATE(","," ",AF20," ",AG20," ",BK20),""),IF(AJ20&lt;&gt;"",CONCATENATE(","," ","DD"," ",BL20),"")," ",IF(AI20&lt;&gt;"",CONCATENATE(" - ",AI20," Bag"),"")),"")</f>
        <v xml:space="preserve"> LL 14  - 17 Bag</v>
      </c>
      <c r="AL20" s="287" t="s">
        <v>421</v>
      </c>
      <c r="AM20" s="287"/>
      <c r="AN20" s="287"/>
      <c r="AO20" s="287"/>
      <c r="AP20" s="370">
        <f>IFERROR(VLOOKUP($E20,Outlist!$A$5:$V$120,20,FALSE),"")</f>
        <v>0</v>
      </c>
      <c r="AQ20" s="288" t="s">
        <v>498</v>
      </c>
      <c r="AR20" s="430">
        <v>2.7777777777777779E-3</v>
      </c>
      <c r="AS20" s="24">
        <v>4.9305555555555554E-2</v>
      </c>
      <c r="AT20" s="24">
        <v>0.05</v>
      </c>
      <c r="AU20" s="27"/>
      <c r="AV20" s="27"/>
      <c r="AW20" s="20" t="s">
        <v>443</v>
      </c>
      <c r="AX20" s="20" t="str">
        <f>IFERROR(IF(Out_Table[[#This Row],[Cancellazione linea]]="Cancellata","yes",""),"")</f>
        <v/>
      </c>
      <c r="AY20" s="72"/>
      <c r="AZ20" s="27">
        <v>6.1111111111111109E-2</v>
      </c>
      <c r="BA20" s="32" t="s">
        <v>61</v>
      </c>
      <c r="BB20" s="72"/>
      <c r="BC20" s="72" t="str">
        <f>IFERROR(VLOOKUP(Out_Table[[#This Row],[Aggiornamento STATUS]],'INformazioni per calcoli'!$Y$70:$AA$76,2,FALSE),"")</f>
        <v/>
      </c>
      <c r="BD20" s="289"/>
      <c r="BE20" s="289"/>
      <c r="BF20" s="47" t="str">
        <f>LEFT($E20,3)</f>
        <v>WA1</v>
      </c>
      <c r="BG20" s="298" t="str">
        <f>IF(Out_Table[[#This Row],[Ora Uscita    (GH)]]&lt;&gt;"","x","")</f>
        <v>x</v>
      </c>
      <c r="BH20" s="299">
        <f>VLOOKUP($O20,'INformazioni per calcoli'!$Y$20:$AA$23,3,FALSE)</f>
        <v>14</v>
      </c>
      <c r="BI20" s="299">
        <f>MROUND(Out_Table[[#This Row],[Mtr. Trailer]]*AB20,0.5)</f>
        <v>14</v>
      </c>
      <c r="BJ20" s="299">
        <f>MROUND(Out_Table[[#This Row],[Mtr. Trailer]]*AE20,0.5)</f>
        <v>0</v>
      </c>
      <c r="BK20" s="299">
        <f>MROUND(Out_Table[[#This Row],[Mtr. Trailer]]*AH20,0.5)</f>
        <v>0</v>
      </c>
      <c r="BL20" s="300">
        <f>Out_Table[[#This Row],[Double Deck trailer N° bumpers]]</f>
        <v>0</v>
      </c>
      <c r="BM20" s="301"/>
      <c r="BN20" s="299" t="str">
        <f>B20</f>
        <v>ERN19613</v>
      </c>
      <c r="BO20" s="299" t="str">
        <f>E20</f>
        <v>WA1 2</v>
      </c>
      <c r="BP20" s="302">
        <f>IF(AND(G20&gt;(--"00:00:01"),G20&lt;(--"15:00:00")),IF(AND(X20&gt;(--"00:00:01"),X20&lt;(--"15:00:00")),G20-X20,G20+1-X20),G20-X20)</f>
        <v>9.5833333333333326E-2</v>
      </c>
      <c r="BQ20" s="303">
        <f>AE20+AF20+AH20+AJ20</f>
        <v>0</v>
      </c>
      <c r="BR20" s="304" t="str">
        <f>IF(OR(BP20&lt;=(--"00:20:00"),BQ20&gt;=100%),"OK","Not OK")</f>
        <v>Not OK</v>
      </c>
      <c r="BS20" s="302">
        <f>IF(AND(G20&gt;(--"00:00:01"),G20&lt;(--"15:00:00")),IF(AND(AU20&gt;(--"00:00:01"),AU20&lt;(--"15:00:00")),G20-AU20,G20+1-AU20),G20-AU20)</f>
        <v>1.09375</v>
      </c>
      <c r="BT20" s="302">
        <f>IF(AND(AZ20&gt;(--"00:00:01"),AZ20&lt;(--"15:00:00")),IF(AND(AU20&gt;(--"00:00:01"),AU20&lt;(--"15:00:00")),AZ20-AU20,AZ20+1-AU20),AZ20-AU20)</f>
        <v>1.0611111111111111</v>
      </c>
      <c r="BU20" s="302" t="e">
        <f>IF(AND(BA20&gt;(--"00:00:01"),BA20&lt;(--"15:00:00")),IF(AND(AZ20&gt;(--"00:00:01"),AZ20&lt;(--"15:00:00")),BA20-AZ20,BA20+1-AZ20),BA20-AZ20)</f>
        <v>#VALUE!</v>
      </c>
      <c r="BV20" s="299">
        <f>AV20</f>
        <v>0</v>
      </c>
      <c r="BW20" s="301"/>
      <c r="BX20" s="299" t="str">
        <f>IF(AV20="T Status",IF(AV20&lt;&gt;T20,"X",""),"")</f>
        <v/>
      </c>
      <c r="BY20" s="301"/>
      <c r="BZ20" s="299" t="str">
        <f>IF(X20&lt;&gt;"",IF(CC20="X","Driver Delay",IF(CA20="X","Paperwork Delay",IF(CB20="X","Late freight late sort",IF(CD20="X","Chiamare Control Room",IF(CE20="X","Chiamare Control Room",IF(CF20="X","Chiamare Control Room","")))))),"")</f>
        <v>Chiamare Control Room</v>
      </c>
      <c r="CA20" s="302" t="str">
        <f>IF(K20="",IF(IF(AND(G20&gt;(--"00:00:01"),G20&lt;(--"15:00:00")),IF(AND(AT20&gt;(--"08:00:00"),AT20&lt;(--"23:59:59")),G20+1-AT20,G20-AT20),G20-AT20)&gt;(--"00:20:00"),"","X"),"")</f>
        <v/>
      </c>
      <c r="CB20" s="299" t="str">
        <f>IF(K20="",IF(BP20&gt;=(--"00:20:00"),"","X"),"")</f>
        <v/>
      </c>
      <c r="CC20" s="299" t="str">
        <f>IF(OR(AV20="Autista non presente",AV20="Dati driver non presenti"),"X","")</f>
        <v/>
      </c>
      <c r="CD20" s="299" t="str">
        <f>IF(K20="",IF(AND(CC20="",BS20&lt;(--"00:20:00")),"X",""),"")</f>
        <v/>
      </c>
      <c r="CE20" s="299" t="str">
        <f>IF(K20="",IF(BT20&gt;(--"00:15:00"),"X",""),IF(AZ20&lt;&gt;"",IF(G20-AZ20&gt;(--"00:30:00"),"X",""),""))</f>
        <v>X</v>
      </c>
      <c r="CF20" s="299" t="str">
        <f>IF(AND(CA20="",CB20="",CC20="",CD20="",CE20=""),"X","")</f>
        <v/>
      </c>
      <c r="CG20" s="301"/>
      <c r="CH20" s="299" t="str">
        <f>IF(BT20&gt;(--"00:15:00"),"X","")</f>
        <v>X</v>
      </c>
      <c r="CI20" s="302">
        <f>AY20</f>
        <v>0</v>
      </c>
      <c r="CJ20" s="299" t="str">
        <f>IF(AND(CH20&lt;&gt;"",CI20&lt;&gt;"",LEFT(B20,3)="ITD"),AP20,"")</f>
        <v/>
      </c>
      <c r="CK20" s="305" t="str">
        <f>IF(CJ20&lt;&gt;"",BT20,"")</f>
        <v/>
      </c>
      <c r="CL20" s="301"/>
      <c r="CM20" s="305" t="str">
        <f>IFERROR(VLOOKUP(Q20,'Elenco Casse'!$D$4:$F$292,3,FALSE),"")</f>
        <v/>
      </c>
      <c r="CN20" s="301"/>
      <c r="CO20" s="305" t="str">
        <f>IFERROR(VLOOKUP(E20,Outlist!$A$5:$H$120,8,FALSE),"")</f>
        <v>ENB17843</v>
      </c>
      <c r="CP20" s="305" t="str">
        <f>IFERROR(IF(VLOOKUP($E20,Outlist!$A$5:$S$120,19,FALSE)&lt;&gt;0,"Y",""),"")</f>
        <v>Y</v>
      </c>
      <c r="CQ20" s="301"/>
      <c r="CR20" s="305" t="str">
        <f>CONCATENATE($B20,$E20,$G20)</f>
        <v>ERN19613WA1 20.09375</v>
      </c>
      <c r="CS20" s="301"/>
      <c r="CT20" s="305">
        <f>VLOOKUP(Out_Table[[#This Row],[Destination             ORANGE (From Planning)]],Outlist!$A$5:$W$120,22,FALSE)</f>
        <v>0</v>
      </c>
    </row>
    <row r="21" spans="1:98" s="20" customFormat="1" ht="15">
      <c r="A21" s="305" t="str">
        <f>$CR21</f>
        <v>ERN11076XWT 50.4375</v>
      </c>
      <c r="B21" s="351" t="str">
        <f>IFERROR(VLOOKUP(E21,Outlist!$A$5:$AC$120,2,FALSE),"")</f>
        <v>ERN11076</v>
      </c>
      <c r="C21" s="352" t="str">
        <f>IFERROR(IF(LEFT(B21,3)='STAT 77'!$X$2,_xlfn.XLOOKUP(B21,'STAT 77'!C:C,'STAT 77'!B:B),_xlfn.XLOOKUP(B21,'STAT 77'!B:B,'STAT 77'!C:C)),"NON TROVATO")</f>
        <v>ERN05497</v>
      </c>
      <c r="D21" s="4"/>
      <c r="E21" s="352" t="str">
        <f>IFERROR(IF(Outlist!$A51&lt;&gt;"",Outlist!$A51,""),"")</f>
        <v>XWT 5</v>
      </c>
      <c r="F21" s="352" t="str">
        <f>IFERROR(VLOOKUP(E21,'Cambio O2P'!C:E,2,FALSE),"")</f>
        <v/>
      </c>
      <c r="G21" s="353">
        <f>IFERROR(VLOOKUP(E21,Outlist!$A$5:$AC$120,5,FALSE)-INT(VLOOKUP(E21,Outlist!$A$5:$AC$120,5,FALSE)),"")</f>
        <v>0.4375</v>
      </c>
      <c r="H21" s="294">
        <f ca="1">IFERROR(IF(AND('INformazioni per calcoli'!$AB$3&lt;(--"14:30"),'INformazioni per calcoli'!$AB$3&gt;(--"10:00")),"",IF($B21="","",IF($X21&lt;&gt;"","Mezzo Chiuso",IF($W21="","Non al Carico",IF($K21="Safe Parking","Safe Parking", IF(OR($BF21='INformazioni per calcoli'!$AF$8,$BF21='INformazioni per calcoli'!$AC$8,$BF21='INformazioni per calcoli'!$AD$8,$BF21='INformazioni per calcoli'!$AE$8,$BF21='INformazioni per calcoli'!$AG$8,$BF21='INformazioni per calcoli'!$AH$8,$BF21='INformazioni per calcoli'!$AI$8,$BF21='INformazioni per calcoli'!$AJ$8),IF($G21-'INformazioni per calcoli'!$AB$6-'INformazioni per calcoli'!$AB$3+$J21&lt;0,"LFLS",$G21-'INformazioni per calcoli'!$AB$6-'INformazioni per calcoli'!$AB$3+$J21), IF(OR($BF21='INformazioni per calcoli'!$AF$6,$BF21='INformazioni per calcoli'!$AD$6,$BF21='INformazioni per calcoli'!$AE$6,$BF21='INformazioni per calcoli'!$AG$6),IF($G21-'INformazioni per calcoli'!$AB$8-'INformazioni per calcoli'!$AB$3+$J21&lt;0,"LFLS",$G21-'INformazioni per calcoli'!$AB$8-'INformazioni per calcoli'!$AB$3+$J21), IF($G21-'INformazioni per calcoli'!$AB$7-'INformazioni per calcoli'!$AB$3+$J21&lt;0,"LFLS",$G21-'INformazioni per calcoli'!$AB$7-'INformazioni per calcoli'!$AB$3+$J21)))))))),"")</f>
        <v>0.25037037037037035</v>
      </c>
      <c r="I21" s="17" t="str">
        <f ca="1">IFERROR(IF($H21&lt;&gt;"",IF($H21="Safe Parking","",IF($W21&lt;&gt;"",IF(AND($U21="X",$V21="X"),$H21-(--"00:30"),""),IF($X21&lt;&gt;"","Mezzo Chiuso","Non al carico"))),""),"")</f>
        <v/>
      </c>
      <c r="J21" s="306">
        <f ca="1">IFERROR(IF($B21&lt;&gt;"",IF(AND('INformazioni per calcoli'!$AB$3&lt;(--"15:00"),'INformazioni per calcoli'!$AB$3&gt;(--"00:00")),0,IF($G21&lt;(--"18:30"),"+1",0)),""),"")</f>
        <v>0</v>
      </c>
      <c r="K21" s="27">
        <f>IF(E21&lt;&gt;"",IFERROR(VLOOKUP(E21,Outlist!$A$5:$AC$120,22,FALSE),""),"")</f>
        <v>0</v>
      </c>
      <c r="L21" s="352" t="str">
        <f>IF(E21&lt;&gt;"",IFERROR(VLOOKUP(E21,Outlist!$A$5:$AC$120,3,FALSE),""),"")</f>
        <v>Fedex Express Romania Transportation Srl</v>
      </c>
      <c r="M21" s="4" t="str">
        <f>IFERROR(_xlfn.XLOOKUP($Q21,'Elenco Casse'!$D:$D,'Elenco Casse'!$E:$E),"")</f>
        <v/>
      </c>
      <c r="N21" s="4" t="str">
        <f>IFERROR(_xlfn.XLOOKUP($Q21,'Elenco Casse'!$D:$D,'Elenco Casse'!$F:$F),"")</f>
        <v/>
      </c>
      <c r="O21" s="4" t="str">
        <f>IF($L21&lt;&gt;"","TT-2/3","")</f>
        <v>TT-2/3</v>
      </c>
      <c r="P21" s="296" t="str">
        <f>IFERROR(IF(VLOOKUP(E21,Outlist!$A$5:$AC$120,21,FALSE)="YES","Linea Variata",""),"")</f>
        <v/>
      </c>
      <c r="Q21" s="355" t="s">
        <v>499</v>
      </c>
      <c r="R21" s="23" t="s">
        <v>420</v>
      </c>
      <c r="S21" s="25" t="str">
        <f>IFERROR(IF(VLOOKUP(E21,Outlist!$A$5:$AC$120,7,FALSE)="X","SUBCO",""),"")</f>
        <v/>
      </c>
      <c r="T21" s="25"/>
      <c r="U21" s="23" t="s">
        <v>500</v>
      </c>
      <c r="V21" s="23"/>
      <c r="W21" s="26">
        <v>315</v>
      </c>
      <c r="X21" s="27"/>
      <c r="Y21" s="25"/>
      <c r="Z21" s="25"/>
      <c r="AA21" s="25" t="s">
        <v>40</v>
      </c>
      <c r="AB21" s="57"/>
      <c r="AC21" s="25"/>
      <c r="AD21" s="25"/>
      <c r="AE21" s="57"/>
      <c r="AF21" s="57"/>
      <c r="AG21" s="25"/>
      <c r="AH21" s="57"/>
      <c r="AI21" s="339"/>
      <c r="AJ21" s="339"/>
      <c r="AK21" s="297" t="str">
        <f>IF(X21&lt;&gt;"",CONCATENATE(IF(AA21&lt;&gt;"",CONCATENATE(Z21," ",AA21," ",BI21),""),IF(AD21&lt;&gt;"",CONCATENATE(","," ",AC21," ",AD21," ",BJ21),""),IF(AG21&lt;&gt;"",CONCATENATE(","," ",AF21," ",AG21," ",BK21),""),IF(AJ21&lt;&gt;"",CONCATENATE(","," ","DD"," ",BL21),"")," ",IF(AI21&lt;&gt;"",CONCATENATE(" - ",AI21," Bag"),"")),"")</f>
        <v/>
      </c>
      <c r="AL21" s="287"/>
      <c r="AM21" s="287"/>
      <c r="AN21" s="287"/>
      <c r="AO21" s="287"/>
      <c r="AP21" s="370">
        <f>IFERROR(VLOOKUP($E21,Outlist!$A$5:$V$120,20,FALSE),"")</f>
        <v>0</v>
      </c>
      <c r="AQ21" s="288" t="str">
        <f>IFERROR(IF(VLOOKUP($A21,#REF!,8,FALSE)&lt;&gt;"",VLOOKUP($A21,#REF!,8,FALSE),""),"")</f>
        <v/>
      </c>
      <c r="AS21" s="24"/>
      <c r="AT21" s="24"/>
      <c r="AU21" s="27"/>
      <c r="AV21" s="27"/>
      <c r="AX21" s="20" t="str">
        <f>IFERROR(IF(Out_Table[[#This Row],[Cancellazione linea]]="Cancellata","yes",""),"")</f>
        <v/>
      </c>
      <c r="AY21" s="72"/>
      <c r="AZ21" s="27"/>
      <c r="BA21" s="32"/>
      <c r="BB21" s="72"/>
      <c r="BC21" s="72" t="str">
        <f>IFERROR(VLOOKUP(Out_Table[[#This Row],[Aggiornamento STATUS]],'INformazioni per calcoli'!$Y$70:$AA$76,2,FALSE),"")</f>
        <v/>
      </c>
      <c r="BD21" s="289"/>
      <c r="BE21" s="289"/>
      <c r="BF21" s="47" t="str">
        <f>LEFT($E21,3)</f>
        <v>XWT</v>
      </c>
      <c r="BG21" s="298" t="str">
        <f>IF(Out_Table[[#This Row],[Ora Uscita    (GH)]]&lt;&gt;"","x","")</f>
        <v/>
      </c>
      <c r="BH21" s="299">
        <f>VLOOKUP($O21,'INformazioni per calcoli'!$Y$20:$AA$23,3,FALSE)</f>
        <v>14</v>
      </c>
      <c r="BI21" s="299">
        <f>MROUND(Out_Table[[#This Row],[Mtr. Trailer]]*AB21,0.5)</f>
        <v>0</v>
      </c>
      <c r="BJ21" s="299">
        <f>MROUND(Out_Table[[#This Row],[Mtr. Trailer]]*AE21,0.5)</f>
        <v>0</v>
      </c>
      <c r="BK21" s="299">
        <f>MROUND(Out_Table[[#This Row],[Mtr. Trailer]]*AH21,0.5)</f>
        <v>0</v>
      </c>
      <c r="BL21" s="300">
        <f>Out_Table[[#This Row],[Double Deck trailer N° bumpers]]</f>
        <v>0</v>
      </c>
      <c r="BM21" s="301"/>
      <c r="BN21" s="299" t="str">
        <f>B21</f>
        <v>ERN11076</v>
      </c>
      <c r="BO21" s="299" t="str">
        <f>E21</f>
        <v>XWT 5</v>
      </c>
      <c r="BP21" s="302">
        <f>IF(AND(G21&gt;(--"00:00:01"),G21&lt;(--"15:00:00")),IF(AND(X21&gt;(--"00:00:01"),X21&lt;(--"15:00:00")),G21-X21,G21+1-X21),G21-X21)</f>
        <v>1.4375</v>
      </c>
      <c r="BQ21" s="303">
        <f>AE21+AF21+AH21+AJ21</f>
        <v>0</v>
      </c>
      <c r="BR21" s="304" t="str">
        <f>IF(OR(BP21&lt;=(--"00:20:00"),BQ21&gt;=100%),"OK","Not OK")</f>
        <v>Not OK</v>
      </c>
      <c r="BS21" s="302">
        <f>IF(AND(G21&gt;(--"00:00:01"),G21&lt;(--"15:00:00")),IF(AND(AU21&gt;(--"00:00:01"),AU21&lt;(--"15:00:00")),G21-AU21,G21+1-AU21),G21-AU21)</f>
        <v>1.4375</v>
      </c>
      <c r="BT21" s="302">
        <f>IF(AND(AZ21&gt;(--"00:00:01"),AZ21&lt;(--"15:00:00")),IF(AND(AU21&gt;(--"00:00:01"),AU21&lt;(--"15:00:00")),AZ21-AU21,AZ21+1-AU21),AZ21-AU21)</f>
        <v>0</v>
      </c>
      <c r="BU21" s="302">
        <f>IF(AND(BA21&gt;(--"00:00:01"),BA21&lt;(--"15:00:00")),IF(AND(AZ21&gt;(--"00:00:01"),AZ21&lt;(--"15:00:00")),BA21-AZ21,BA21+1-AZ21),BA21-AZ21)</f>
        <v>0</v>
      </c>
      <c r="BV21" s="299">
        <f>AV21</f>
        <v>0</v>
      </c>
      <c r="BW21" s="301"/>
      <c r="BX21" s="299" t="str">
        <f>IF(AV21="T Status",IF(AV21&lt;&gt;T21,"X",""),"")</f>
        <v/>
      </c>
      <c r="BY21" s="301"/>
      <c r="BZ21" s="299" t="str">
        <f>IF(X21&lt;&gt;"",IF(CC21="X","Driver Delay",IF(CA21="X","Paperwork Delay",IF(CB21="X","Late freight late sort",IF(CD21="X","Chiamare Control Room",IF(CE21="X","Chiamare Control Room",IF(CF21="X","Chiamare Control Room","")))))),"")</f>
        <v/>
      </c>
      <c r="CA21" s="302" t="str">
        <f>IF(K21="",IF(IF(AND(G21&gt;(--"00:00:01"),G21&lt;(--"15:00:00")),IF(AND(AT21&gt;(--"08:00:00"),AT21&lt;(--"23:59:59")),G21+1-AT21,G21-AT21),G21-AT21)&gt;(--"00:20:00"),"","X"),"")</f>
        <v/>
      </c>
      <c r="CB21" s="299" t="str">
        <f>IF(K21="",IF(BP21&gt;=(--"00:20:00"),"","X"),"")</f>
        <v/>
      </c>
      <c r="CC21" s="299" t="str">
        <f>IF(OR(AV21="Autista non presente",AV21="Dati driver non presenti"),"X","")</f>
        <v/>
      </c>
      <c r="CD21" s="299" t="str">
        <f>IF(K21="",IF(AND(CC21="",BS21&lt;(--"00:20:00")),"X",""),"")</f>
        <v/>
      </c>
      <c r="CE21" s="299" t="str">
        <f>IF(K21="",IF(BT21&gt;(--"00:15:00"),"X",""),IF(AZ21&lt;&gt;"",IF(G21-AZ21&gt;(--"00:30:00"),"X",""),""))</f>
        <v/>
      </c>
      <c r="CF21" s="299" t="str">
        <f>IF(AND(CA21="",CB21="",CC21="",CD21="",CE21=""),"X","")</f>
        <v>X</v>
      </c>
      <c r="CG21" s="301"/>
      <c r="CH21" s="299" t="str">
        <f>IF(BT21&gt;(--"00:15:00"),"X","")</f>
        <v/>
      </c>
      <c r="CI21" s="302">
        <f>AY21</f>
        <v>0</v>
      </c>
      <c r="CJ21" s="299" t="str">
        <f>IF(AND(CH21&lt;&gt;"",CI21&lt;&gt;"",LEFT(B21,3)="ITD"),AP21,"")</f>
        <v/>
      </c>
      <c r="CK21" s="305" t="str">
        <f>IF(CJ21&lt;&gt;"",BT21,"")</f>
        <v/>
      </c>
      <c r="CL21" s="301"/>
      <c r="CM21" s="305" t="str">
        <f>IFERROR(VLOOKUP(Q21,'Elenco Casse'!$D$4:$F$292,3,FALSE),"")</f>
        <v/>
      </c>
      <c r="CN21" s="301"/>
      <c r="CO21" s="305" t="str">
        <f>IFERROR(VLOOKUP(E21,Outlist!$A$5:$H$120,8,FALSE),"")</f>
        <v>ENB15436</v>
      </c>
      <c r="CP21" s="305" t="str">
        <f>IFERROR(IF(VLOOKUP($E21,Outlist!$A$5:$S$120,19,FALSE)&lt;&gt;0,"Y",""),"")</f>
        <v/>
      </c>
      <c r="CQ21" s="301"/>
      <c r="CR21" s="305" t="str">
        <f>CONCATENATE($B21,$E21,$G21)</f>
        <v>ERN11076XWT 50.4375</v>
      </c>
      <c r="CS21" s="301"/>
      <c r="CT21" s="305">
        <f>VLOOKUP(Out_Table[[#This Row],[Destination             ORANGE (From Planning)]],Outlist!$A$5:$W$120,22,FALSE)</f>
        <v>0</v>
      </c>
    </row>
    <row r="22" spans="1:98" s="20" customFormat="1" ht="30.75">
      <c r="A22" s="305" t="str">
        <f>$CR22</f>
        <v>ERN16607XWT 30.104166666664241</v>
      </c>
      <c r="B22" s="351" t="str">
        <f>IFERROR(VLOOKUP(E22,Outlist!$A$5:$AC$120,2,FALSE),"")</f>
        <v>ERN16607</v>
      </c>
      <c r="C22" s="352" t="str">
        <f>IFERROR(IF(LEFT(B22,3)='STAT 77'!$X$2,_xlfn.XLOOKUP(B22,'STAT 77'!C:C,'STAT 77'!B:B),_xlfn.XLOOKUP(B22,'STAT 77'!B:B,'STAT 77'!C:C)),"NON TROVATO")</f>
        <v>ERN08469</v>
      </c>
      <c r="D22" s="4"/>
      <c r="E22" s="352" t="str">
        <f>IFERROR(IF(Outlist!$A49&lt;&gt;"",Outlist!$A49,""),"")</f>
        <v>XWT 3</v>
      </c>
      <c r="F22" s="352" t="str">
        <f>IFERROR(VLOOKUP(E22,'Cambio O2P'!C:E,2,FALSE),"")</f>
        <v/>
      </c>
      <c r="G22" s="353">
        <f>IFERROR(VLOOKUP(E22,Outlist!$A$5:$AC$120,5,FALSE)-INT(VLOOKUP(E22,Outlist!$A$5:$AC$120,5,FALSE)),"")</f>
        <v>0.10416666666424135</v>
      </c>
      <c r="H22" s="294" t="str">
        <f ca="1">IFERROR(IF(AND('INformazioni per calcoli'!$AB$3&lt;(--"14:30"),'INformazioni per calcoli'!$AB$3&gt;(--"10:00")),"",IF($B22="","",IF($X22&lt;&gt;"","Mezzo Chiuso",IF($W22="","Non al Carico",IF($K22="Safe Parking","Safe Parking", IF(OR($BF22='INformazioni per calcoli'!$AF$8,$BF22='INformazioni per calcoli'!$AC$8,$BF22='INformazioni per calcoli'!$AD$8,$BF22='INformazioni per calcoli'!$AE$8,$BF22='INformazioni per calcoli'!$AG$8,$BF22='INformazioni per calcoli'!$AH$8,$BF22='INformazioni per calcoli'!$AI$8,$BF22='INformazioni per calcoli'!$AJ$8),IF($G22-'INformazioni per calcoli'!$AB$6-'INformazioni per calcoli'!$AB$3+$J22&lt;0,"LFLS",$G22-'INformazioni per calcoli'!$AB$6-'INformazioni per calcoli'!$AB$3+$J22), IF(OR($BF22='INformazioni per calcoli'!$AF$6,$BF22='INformazioni per calcoli'!$AD$6,$BF22='INformazioni per calcoli'!$AE$6,$BF22='INformazioni per calcoli'!$AG$6),IF($G22-'INformazioni per calcoli'!$AB$8-'INformazioni per calcoli'!$AB$3+$J22&lt;0,"LFLS",$G22-'INformazioni per calcoli'!$AB$8-'INformazioni per calcoli'!$AB$3+$J22), IF($G22-'INformazioni per calcoli'!$AB$7-'INformazioni per calcoli'!$AB$3+$J22&lt;0,"LFLS",$G22-'INformazioni per calcoli'!$AB$7-'INformazioni per calcoli'!$AB$3+$J22)))))))),"")</f>
        <v>Mezzo Chiuso</v>
      </c>
      <c r="I22" s="17" t="str">
        <f ca="1">IFERROR(IF($H22&lt;&gt;"",IF($H22="Safe Parking","",IF($W22&lt;&gt;"",IF(AND($U22="X",$V22="X"),$H22-(--"00:30"),""),IF($X22&lt;&gt;"","Mezzo Chiuso","Non al carico"))),""),"")</f>
        <v/>
      </c>
      <c r="J22" s="306">
        <f ca="1">IFERROR(IF($B22&lt;&gt;"",IF(AND('INformazioni per calcoli'!$AB$3&lt;(--"15:00"),'INformazioni per calcoli'!$AB$3&gt;(--"00:00")),0,IF($G22&lt;(--"18:30"),"+1",0)),""),"")</f>
        <v>0</v>
      </c>
      <c r="K22" s="27">
        <f>IF(E22&lt;&gt;"",IFERROR(VLOOKUP(E22,Outlist!$A$5:$AC$120,22,FALSE),""),"")</f>
        <v>0</v>
      </c>
      <c r="L22" s="352" t="str">
        <f>IF(E22&lt;&gt;"",IFERROR(VLOOKUP(E22,Outlist!$A$5:$AC$120,3,FALSE),""),"")</f>
        <v>Maracana Srl</v>
      </c>
      <c r="M22" s="4" t="str">
        <f>IFERROR(_xlfn.XLOOKUP($Q22,'Elenco Casse'!$D:$D,'Elenco Casse'!$E:$E),"")</f>
        <v/>
      </c>
      <c r="N22" s="4" t="str">
        <f>IFERROR(_xlfn.XLOOKUP($Q22,'Elenco Casse'!$D:$D,'Elenco Casse'!$F:$F),"")</f>
        <v/>
      </c>
      <c r="O22" s="4" t="str">
        <f>IF($L22&lt;&gt;"","TT-2/3","")</f>
        <v>TT-2/3</v>
      </c>
      <c r="P22" s="296" t="str">
        <f>IFERROR(IF(VLOOKUP(E22,Outlist!$A$5:$AC$120,21,FALSE)="YES","Linea Variata",""),"")</f>
        <v/>
      </c>
      <c r="Q22" s="355" t="s">
        <v>501</v>
      </c>
      <c r="R22" s="23" t="s">
        <v>420</v>
      </c>
      <c r="S22" s="25" t="str">
        <f>IFERROR(IF(VLOOKUP(E22,Outlist!$A$5:$AC$120,7,FALSE)="X","SUBCO",""),"")</f>
        <v/>
      </c>
      <c r="T22" s="25"/>
      <c r="U22" s="23" t="s">
        <v>61</v>
      </c>
      <c r="V22" s="23"/>
      <c r="W22" s="26">
        <v>315</v>
      </c>
      <c r="X22" s="27">
        <v>0.99722222222222223</v>
      </c>
      <c r="Y22" s="25" t="s">
        <v>502</v>
      </c>
      <c r="Z22" s="25"/>
      <c r="AA22" s="25" t="s">
        <v>40</v>
      </c>
      <c r="AB22" s="57">
        <v>1</v>
      </c>
      <c r="AC22" s="25"/>
      <c r="AD22" s="25"/>
      <c r="AE22" s="57"/>
      <c r="AF22" s="57"/>
      <c r="AG22" s="25"/>
      <c r="AH22" s="57"/>
      <c r="AI22" s="339">
        <v>8</v>
      </c>
      <c r="AJ22" s="339"/>
      <c r="AK22" s="297" t="str">
        <f>IF(X22&lt;&gt;"",CONCATENATE(IF(AA22&lt;&gt;"",CONCATENATE(Z22," ",AA22," ",BI22),""),IF(AD22&lt;&gt;"",CONCATENATE(","," ",AC22," ",AD22," ",BJ22),""),IF(AG22&lt;&gt;"",CONCATENATE(","," ",AF22," ",AG22," ",BK22),""),IF(AJ22&lt;&gt;"",CONCATENATE(","," ","DD"," ",BL22),"")," ",IF(AI22&lt;&gt;"",CONCATENATE(" - ",AI22," Bag"),"")),"")</f>
        <v xml:space="preserve"> LL 14  - 8 Bag</v>
      </c>
      <c r="AL22" s="287" t="s">
        <v>421</v>
      </c>
      <c r="AM22" s="287"/>
      <c r="AN22" s="287"/>
      <c r="AO22" s="287"/>
      <c r="AP22" s="370">
        <f>IFERROR(VLOOKUP($E22,Outlist!$A$5:$V$120,20,FALSE),"")</f>
        <v>0</v>
      </c>
      <c r="AQ22" s="288" t="s">
        <v>503</v>
      </c>
      <c r="AR22" s="430">
        <v>5.5555555555555558E-3</v>
      </c>
      <c r="AS22" s="24">
        <v>4.791666666666667E-2</v>
      </c>
      <c r="AT22" s="24">
        <v>0.05</v>
      </c>
      <c r="AU22" s="27"/>
      <c r="AV22" s="27"/>
      <c r="AW22" s="20" t="s">
        <v>443</v>
      </c>
      <c r="AX22" s="20" t="str">
        <f>IFERROR(IF(Out_Table[[#This Row],[Cancellazione linea]]="Cancellata","yes",""),"")</f>
        <v/>
      </c>
      <c r="AY22" s="72"/>
      <c r="AZ22" s="27"/>
      <c r="BA22" s="32">
        <v>6.5972222222222224E-2</v>
      </c>
      <c r="BB22" s="72"/>
      <c r="BC22" s="72" t="str">
        <f>IFERROR(VLOOKUP(Out_Table[[#This Row],[Aggiornamento STATUS]],'INformazioni per calcoli'!$Y$70:$AA$76,2,FALSE),"")</f>
        <v/>
      </c>
      <c r="BD22" s="289"/>
      <c r="BE22" s="289"/>
      <c r="BF22" s="47" t="str">
        <f>LEFT($E22,3)</f>
        <v>XWT</v>
      </c>
      <c r="BG22" s="298" t="str">
        <f>IF(Out_Table[[#This Row],[Ora Uscita    (GH)]]&lt;&gt;"","x","")</f>
        <v>x</v>
      </c>
      <c r="BH22" s="299">
        <f>VLOOKUP($O22,'INformazioni per calcoli'!$Y$20:$AA$23,3,FALSE)</f>
        <v>14</v>
      </c>
      <c r="BI22" s="299">
        <f>MROUND(Out_Table[[#This Row],[Mtr. Trailer]]*AB22,0.5)</f>
        <v>14</v>
      </c>
      <c r="BJ22" s="299">
        <f>MROUND(Out_Table[[#This Row],[Mtr. Trailer]]*AE22,0.5)</f>
        <v>0</v>
      </c>
      <c r="BK22" s="299">
        <f>MROUND(Out_Table[[#This Row],[Mtr. Trailer]]*AH22,0.5)</f>
        <v>0</v>
      </c>
      <c r="BL22" s="300">
        <f>Out_Table[[#This Row],[Double Deck trailer N° bumpers]]</f>
        <v>0</v>
      </c>
      <c r="BM22" s="301"/>
      <c r="BN22" s="299" t="str">
        <f>B22</f>
        <v>ERN16607</v>
      </c>
      <c r="BO22" s="299" t="str">
        <f>E22</f>
        <v>XWT 3</v>
      </c>
      <c r="BP22" s="302">
        <f>IF(AND(G22&gt;(--"00:00:01"),G22&lt;(--"15:00:00")),IF(AND(X22&gt;(--"00:00:01"),X22&lt;(--"15:00:00")),G22-X22,G22+1-X22),G22-X22)</f>
        <v>0.10694444444201912</v>
      </c>
      <c r="BQ22" s="303">
        <f>AE22+AF22+AH22+AJ22</f>
        <v>0</v>
      </c>
      <c r="BR22" s="304" t="str">
        <f>IF(OR(BP22&lt;=(--"00:20:00"),BQ22&gt;=100%),"OK","Not OK")</f>
        <v>Not OK</v>
      </c>
      <c r="BS22" s="302">
        <f>IF(AND(G22&gt;(--"00:00:01"),G22&lt;(--"15:00:00")),IF(AND(AU22&gt;(--"00:00:01"),AU22&lt;(--"15:00:00")),G22-AU22,G22+1-AU22),G22-AU22)</f>
        <v>1.1041666666642413</v>
      </c>
      <c r="BT22" s="302">
        <f>IF(AND(AZ22&gt;(--"00:00:01"),AZ22&lt;(--"15:00:00")),IF(AND(AU22&gt;(--"00:00:01"),AU22&lt;(--"15:00:00")),AZ22-AU22,AZ22+1-AU22),AZ22-AU22)</f>
        <v>0</v>
      </c>
      <c r="BU22" s="302">
        <f>IF(AND(BA22&gt;(--"00:00:01"),BA22&lt;(--"15:00:00")),IF(AND(AZ22&gt;(--"00:00:01"),AZ22&lt;(--"15:00:00")),BA22-AZ22,BA22+1-AZ22),BA22-AZ22)</f>
        <v>1.0659722222222223</v>
      </c>
      <c r="BV22" s="299">
        <f>AV22</f>
        <v>0</v>
      </c>
      <c r="BW22" s="301"/>
      <c r="BX22" s="299" t="str">
        <f>IF(AV22="T Status",IF(AV22&lt;&gt;T22,"X",""),"")</f>
        <v/>
      </c>
      <c r="BY22" s="301"/>
      <c r="BZ22" s="299" t="str">
        <f>IF(X22&lt;&gt;"",IF(CC22="X","Driver Delay",IF(CA22="X","Paperwork Delay",IF(CB22="X","Late freight late sort",IF(CD22="X","Chiamare Control Room",IF(CE22="X","Chiamare Control Room",IF(CF22="X","Chiamare Control Room","")))))),"")</f>
        <v>Chiamare Control Room</v>
      </c>
      <c r="CA22" s="302" t="str">
        <f>IF(K22="",IF(IF(AND(G22&gt;(--"00:00:01"),G22&lt;(--"15:00:00")),IF(AND(AT22&gt;(--"08:00:00"),AT22&lt;(--"23:59:59")),G22+1-AT22,G22-AT22),G22-AT22)&gt;(--"00:20:00"),"","X"),"")</f>
        <v/>
      </c>
      <c r="CB22" s="299" t="str">
        <f>IF(K22="",IF(BP22&gt;=(--"00:20:00"),"","X"),"")</f>
        <v/>
      </c>
      <c r="CC22" s="299" t="str">
        <f>IF(OR(AV22="Autista non presente",AV22="Dati driver non presenti"),"X","")</f>
        <v/>
      </c>
      <c r="CD22" s="299" t="str">
        <f>IF(K22="",IF(AND(CC22="",BS22&lt;(--"00:20:00")),"X",""),"")</f>
        <v/>
      </c>
      <c r="CE22" s="299" t="str">
        <f>IF(K22="",IF(BT22&gt;(--"00:15:00"),"X",""),IF(AZ22&lt;&gt;"",IF(G22-AZ22&gt;(--"00:30:00"),"X",""),""))</f>
        <v/>
      </c>
      <c r="CF22" s="299" t="str">
        <f>IF(AND(CA22="",CB22="",CC22="",CD22="",CE22=""),"X","")</f>
        <v>X</v>
      </c>
      <c r="CG22" s="301"/>
      <c r="CH22" s="299" t="str">
        <f>IF(BT22&gt;(--"00:15:00"),"X","")</f>
        <v/>
      </c>
      <c r="CI22" s="302">
        <f>AY22</f>
        <v>0</v>
      </c>
      <c r="CJ22" s="299" t="str">
        <f>IF(AND(CH22&lt;&gt;"",CI22&lt;&gt;"",LEFT(B22,3)="ITD"),AP22,"")</f>
        <v/>
      </c>
      <c r="CK22" s="305" t="str">
        <f>IF(CJ22&lt;&gt;"",BT22,"")</f>
        <v/>
      </c>
      <c r="CL22" s="301"/>
      <c r="CM22" s="305" t="str">
        <f>IFERROR(VLOOKUP(Q22,'Elenco Casse'!$D$4:$F$292,3,FALSE),"")</f>
        <v/>
      </c>
      <c r="CN22" s="301"/>
      <c r="CO22" s="305" t="str">
        <f>IFERROR(VLOOKUP(E22,Outlist!$A$5:$H$120,8,FALSE),"")</f>
        <v>RENT212</v>
      </c>
      <c r="CP22" s="305" t="str">
        <f>IFERROR(IF(VLOOKUP($E22,Outlist!$A$5:$S$120,19,FALSE)&lt;&gt;0,"Y",""),"")</f>
        <v>Y</v>
      </c>
      <c r="CQ22" s="301"/>
      <c r="CR22" s="305" t="str">
        <f>CONCATENATE($B22,$E22,$G22)</f>
        <v>ERN16607XWT 30.104166666664241</v>
      </c>
      <c r="CS22" s="301"/>
      <c r="CT22" s="305">
        <f>VLOOKUP(Out_Table[[#This Row],[Destination             ORANGE (From Planning)]],Outlist!$A$5:$W$120,22,FALSE)</f>
        <v>0</v>
      </c>
    </row>
    <row r="23" spans="1:98" s="20" customFormat="1" ht="15">
      <c r="A23" s="305" t="str">
        <f>$CR23</f>
        <v>ERN14443DZ5 10.40625</v>
      </c>
      <c r="B23" s="351" t="str">
        <f>IFERROR(VLOOKUP(E23,Outlist!$A$5:$AC$120,2,FALSE),"")</f>
        <v>ERN14443</v>
      </c>
      <c r="C23" s="352" t="str">
        <f>IFERROR(IF(LEFT(B23,3)='STAT 77'!$X$2,_xlfn.XLOOKUP(B23,'STAT 77'!C:C,'STAT 77'!B:B),_xlfn.XLOOKUP(B23,'STAT 77'!B:B,'STAT 77'!C:C)),"NON TROVATO")</f>
        <v>ERN07146</v>
      </c>
      <c r="D23" s="4"/>
      <c r="E23" s="352" t="str">
        <f>IFERROR(IF(Outlist!$A28&lt;&gt;"",Outlist!$A28,""),"")</f>
        <v>DZ5 1</v>
      </c>
      <c r="F23" s="352" t="str">
        <f>IFERROR(VLOOKUP(E23,'Cambio O2P'!C:E,2,FALSE),"")</f>
        <v/>
      </c>
      <c r="G23" s="353">
        <f>IFERROR(VLOOKUP(E23,Outlist!$A$5:$AC$120,5,FALSE)-INT(VLOOKUP(E23,Outlist!$A$5:$AC$120,5,FALSE)),"")</f>
        <v>0.40625</v>
      </c>
      <c r="H23" s="294">
        <f ca="1">IFERROR(IF(AND('INformazioni per calcoli'!$AB$3&lt;(--"14:30"),'INformazioni per calcoli'!$AB$3&gt;(--"10:00")),"",IF($B23="","",IF($X23&lt;&gt;"","Mezzo Chiuso",IF($W23="","Non al Carico",IF($K23="Safe Parking","Safe Parking", IF(OR($BF23='INformazioni per calcoli'!$AF$8,$BF23='INformazioni per calcoli'!$AC$8,$BF23='INformazioni per calcoli'!$AD$8,$BF23='INformazioni per calcoli'!$AE$8,$BF23='INformazioni per calcoli'!$AG$8,$BF23='INformazioni per calcoli'!$AH$8,$BF23='INformazioni per calcoli'!$AI$8,$BF23='INformazioni per calcoli'!$AJ$8),IF($G23-'INformazioni per calcoli'!$AB$6-'INformazioni per calcoli'!$AB$3+$J23&lt;0,"LFLS",$G23-'INformazioni per calcoli'!$AB$6-'INformazioni per calcoli'!$AB$3+$J23), IF(OR($BF23='INformazioni per calcoli'!$AF$6,$BF23='INformazioni per calcoli'!$AD$6,$BF23='INformazioni per calcoli'!$AE$6,$BF23='INformazioni per calcoli'!$AG$6),IF($G23-'INformazioni per calcoli'!$AB$8-'INformazioni per calcoli'!$AB$3+$J23&lt;0,"LFLS",$G23-'INformazioni per calcoli'!$AB$8-'INformazioni per calcoli'!$AB$3+$J23), IF($G23-'INformazioni per calcoli'!$AB$7-'INformazioni per calcoli'!$AB$3+$J23&lt;0,"LFLS",$G23-'INformazioni per calcoli'!$AB$7-'INformazioni per calcoli'!$AB$3+$J23)))))))),"")</f>
        <v>0.17745370370370372</v>
      </c>
      <c r="I23" s="17" t="str">
        <f ca="1">IFERROR(IF($H23&lt;&gt;"",IF($H23="Safe Parking","",IF($W23&lt;&gt;"",IF(AND($U23="X",$V23="X"),$H23-(--"00:30"),""),IF($X23&lt;&gt;"","Mezzo Chiuso","Non al carico"))),""),"")</f>
        <v/>
      </c>
      <c r="J23" s="306">
        <f ca="1">IFERROR(IF($B23&lt;&gt;"",IF(AND('INformazioni per calcoli'!$AB$3&lt;(--"15:00"),'INformazioni per calcoli'!$AB$3&gt;(--"00:00")),0,IF($G23&lt;(--"18:30"),"+1",0)),""),"")</f>
        <v>0</v>
      </c>
      <c r="K23" s="27">
        <f>IF(E23&lt;&gt;"",IFERROR(VLOOKUP(E23,Outlist!$A$5:$AC$120,22,FALSE),""),"")</f>
        <v>0</v>
      </c>
      <c r="L23" s="352" t="str">
        <f>IF(E23&lt;&gt;"",IFERROR(VLOOKUP(E23,Outlist!$A$5:$AC$120,3,FALSE),""),"")</f>
        <v>Ravitex Srl</v>
      </c>
      <c r="M23" s="4" t="str">
        <f>IFERROR(_xlfn.XLOOKUP($Q23,'Elenco Casse'!$D:$D,'Elenco Casse'!$E:$E),"")</f>
        <v/>
      </c>
      <c r="N23" s="4" t="str">
        <f>IFERROR(_xlfn.XLOOKUP($Q23,'Elenco Casse'!$D:$D,'Elenco Casse'!$F:$F),"")</f>
        <v/>
      </c>
      <c r="O23" s="4" t="str">
        <f>IF($L23&lt;&gt;"","TT-2/3","")</f>
        <v>TT-2/3</v>
      </c>
      <c r="P23" s="296" t="str">
        <f>IFERROR(IF(VLOOKUP(E23,Outlist!$A$5:$AC$120,21,FALSE)="YES","Linea Variata",""),"")</f>
        <v/>
      </c>
      <c r="Q23" s="355" t="s">
        <v>504</v>
      </c>
      <c r="R23" s="23" t="s">
        <v>420</v>
      </c>
      <c r="S23" s="25" t="str">
        <f>IFERROR(IF(VLOOKUP(E23,Outlist!$A$5:$AC$120,7,FALSE)="X","SUBCO",""),"")</f>
        <v/>
      </c>
      <c r="T23" s="25"/>
      <c r="U23" s="23" t="s">
        <v>61</v>
      </c>
      <c r="V23" s="23"/>
      <c r="W23" s="26">
        <v>316</v>
      </c>
      <c r="X23" s="27"/>
      <c r="Y23" s="25"/>
      <c r="Z23" s="25"/>
      <c r="AA23" s="25" t="s">
        <v>40</v>
      </c>
      <c r="AB23" s="57"/>
      <c r="AC23" s="25"/>
      <c r="AD23" s="25"/>
      <c r="AE23" s="57"/>
      <c r="AF23" s="57"/>
      <c r="AG23" s="25"/>
      <c r="AH23" s="57"/>
      <c r="AI23" s="339"/>
      <c r="AJ23" s="339"/>
      <c r="AK23" s="297" t="str">
        <f>IF(X23&lt;&gt;"",CONCATENATE(IF(AA23&lt;&gt;"",CONCATENATE(Z23," ",AA23," ",BI23),""),IF(AD23&lt;&gt;"",CONCATENATE(","," ",AC23," ",AD23," ",BJ23),""),IF(AG23&lt;&gt;"",CONCATENATE(","," ",AF23," ",AG23," ",BK23),""),IF(AJ23&lt;&gt;"",CONCATENATE(","," ","DD"," ",BL23),"")," ",IF(AI23&lt;&gt;"",CONCATENATE(" - ",AI23," Bag"),"")),"")</f>
        <v/>
      </c>
      <c r="AL23" s="287"/>
      <c r="AM23" s="287"/>
      <c r="AN23" s="287"/>
      <c r="AO23" s="287"/>
      <c r="AP23" s="370">
        <f>IFERROR(VLOOKUP($E23,Outlist!$A$5:$V$120,20,FALSE),"")</f>
        <v>0</v>
      </c>
      <c r="AQ23" s="288" t="str">
        <f>IFERROR(IF(VLOOKUP($A23,#REF!,8,FALSE)&lt;&gt;"",VLOOKUP($A23,#REF!,8,FALSE),""),"")</f>
        <v/>
      </c>
      <c r="AS23" s="24"/>
      <c r="AT23" s="24"/>
      <c r="AU23" s="27"/>
      <c r="AV23" s="27"/>
      <c r="AX23" s="20" t="str">
        <f>IFERROR(IF(Out_Table[[#This Row],[Cancellazione linea]]="Cancellata","yes",""),"")</f>
        <v/>
      </c>
      <c r="AY23" s="72"/>
      <c r="AZ23" s="27"/>
      <c r="BA23" s="32"/>
      <c r="BB23" s="72"/>
      <c r="BC23" s="72" t="str">
        <f>IFERROR(VLOOKUP(Out_Table[[#This Row],[Aggiornamento STATUS]],'INformazioni per calcoli'!$Y$70:$AA$76,2,FALSE),"")</f>
        <v/>
      </c>
      <c r="BD23" s="289"/>
      <c r="BE23" s="289"/>
      <c r="BF23" s="47" t="str">
        <f>LEFT($E23,3)</f>
        <v>DZ5</v>
      </c>
      <c r="BG23" s="298" t="str">
        <f>IF(Out_Table[[#This Row],[Ora Uscita    (GH)]]&lt;&gt;"","x","")</f>
        <v/>
      </c>
      <c r="BH23" s="299">
        <f>VLOOKUP($O23,'INformazioni per calcoli'!$Y$20:$AA$23,3,FALSE)</f>
        <v>14</v>
      </c>
      <c r="BI23" s="299">
        <f>MROUND(Out_Table[[#This Row],[Mtr. Trailer]]*AB23,0.5)</f>
        <v>0</v>
      </c>
      <c r="BJ23" s="299">
        <f>MROUND(Out_Table[[#This Row],[Mtr. Trailer]]*AE23,0.5)</f>
        <v>0</v>
      </c>
      <c r="BK23" s="299">
        <f>MROUND(Out_Table[[#This Row],[Mtr. Trailer]]*AH23,0.5)</f>
        <v>0</v>
      </c>
      <c r="BL23" s="300">
        <f>Out_Table[[#This Row],[Double Deck trailer N° bumpers]]</f>
        <v>0</v>
      </c>
      <c r="BM23" s="301"/>
      <c r="BN23" s="299" t="str">
        <f>B23</f>
        <v>ERN14443</v>
      </c>
      <c r="BO23" s="299" t="str">
        <f>E23</f>
        <v>DZ5 1</v>
      </c>
      <c r="BP23" s="302">
        <f>IF(AND(G23&gt;(--"00:00:01"),G23&lt;(--"15:00:00")),IF(AND(X23&gt;(--"00:00:01"),X23&lt;(--"15:00:00")),G23-X23,G23+1-X23),G23-X23)</f>
        <v>1.40625</v>
      </c>
      <c r="BQ23" s="303">
        <f>AE23+AF23+AH23+AJ23</f>
        <v>0</v>
      </c>
      <c r="BR23" s="304" t="str">
        <f>IF(OR(BP23&lt;=(--"00:20:00"),BQ23&gt;=100%),"OK","Not OK")</f>
        <v>Not OK</v>
      </c>
      <c r="BS23" s="302">
        <f>IF(AND(G23&gt;(--"00:00:01"),G23&lt;(--"15:00:00")),IF(AND(AU23&gt;(--"00:00:01"),AU23&lt;(--"15:00:00")),G23-AU23,G23+1-AU23),G23-AU23)</f>
        <v>1.40625</v>
      </c>
      <c r="BT23" s="302">
        <f>IF(AND(AZ23&gt;(--"00:00:01"),AZ23&lt;(--"15:00:00")),IF(AND(AU23&gt;(--"00:00:01"),AU23&lt;(--"15:00:00")),AZ23-AU23,AZ23+1-AU23),AZ23-AU23)</f>
        <v>0</v>
      </c>
      <c r="BU23" s="302">
        <f>IF(AND(BA23&gt;(--"00:00:01"),BA23&lt;(--"15:00:00")),IF(AND(AZ23&gt;(--"00:00:01"),AZ23&lt;(--"15:00:00")),BA23-AZ23,BA23+1-AZ23),BA23-AZ23)</f>
        <v>0</v>
      </c>
      <c r="BV23" s="299">
        <f>AV23</f>
        <v>0</v>
      </c>
      <c r="BW23" s="301"/>
      <c r="BX23" s="299" t="str">
        <f>IF(AV23="T Status",IF(AV23&lt;&gt;T23,"X",""),"")</f>
        <v/>
      </c>
      <c r="BY23" s="301"/>
      <c r="BZ23" s="299" t="str">
        <f>IF(X23&lt;&gt;"",IF(CC23="X","Driver Delay",IF(CA23="X","Paperwork Delay",IF(CB23="X","Late freight late sort",IF(CD23="X","Chiamare Control Room",IF(CE23="X","Chiamare Control Room",IF(CF23="X","Chiamare Control Room","")))))),"")</f>
        <v/>
      </c>
      <c r="CA23" s="302" t="str">
        <f>IF(K23="",IF(IF(AND(G23&gt;(--"00:00:01"),G23&lt;(--"15:00:00")),IF(AND(AT23&gt;(--"08:00:00"),AT23&lt;(--"23:59:59")),G23+1-AT23,G23-AT23),G23-AT23)&gt;(--"00:20:00"),"","X"),"")</f>
        <v/>
      </c>
      <c r="CB23" s="299" t="str">
        <f>IF(K23="",IF(BP23&gt;=(--"00:20:00"),"","X"),"")</f>
        <v/>
      </c>
      <c r="CC23" s="299" t="str">
        <f>IF(OR(AV23="Autista non presente",AV23="Dati driver non presenti"),"X","")</f>
        <v/>
      </c>
      <c r="CD23" s="299" t="str">
        <f>IF(K23="",IF(AND(CC23="",BS23&lt;(--"00:20:00")),"X",""),"")</f>
        <v/>
      </c>
      <c r="CE23" s="299" t="str">
        <f>IF(K23="",IF(BT23&gt;(--"00:15:00"),"X",""),IF(AZ23&lt;&gt;"",IF(G23-AZ23&gt;(--"00:30:00"),"X",""),""))</f>
        <v/>
      </c>
      <c r="CF23" s="299" t="str">
        <f>IF(AND(CA23="",CB23="",CC23="",CD23="",CE23=""),"X","")</f>
        <v>X</v>
      </c>
      <c r="CG23" s="301"/>
      <c r="CH23" s="299" t="str">
        <f>IF(BT23&gt;(--"00:15:00"),"X","")</f>
        <v/>
      </c>
      <c r="CI23" s="302">
        <f>AY23</f>
        <v>0</v>
      </c>
      <c r="CJ23" s="299" t="str">
        <f>IF(AND(CH23&lt;&gt;"",CI23&lt;&gt;"",LEFT(B23,3)="ITD"),AP23,"")</f>
        <v/>
      </c>
      <c r="CK23" s="305" t="str">
        <f>IF(CJ23&lt;&gt;"",BT23,"")</f>
        <v/>
      </c>
      <c r="CL23" s="301"/>
      <c r="CM23" s="305" t="str">
        <f>IFERROR(VLOOKUP(Q23,'Elenco Casse'!$D$4:$F$292,3,FALSE),"")</f>
        <v/>
      </c>
      <c r="CN23" s="301"/>
      <c r="CO23" s="305" t="str">
        <f>IFERROR(VLOOKUP(E23,Outlist!$A$5:$H$120,8,FALSE),"")</f>
        <v>ENB15372</v>
      </c>
      <c r="CP23" s="305" t="str">
        <f>IFERROR(IF(VLOOKUP($E23,Outlist!$A$5:$S$120,19,FALSE)&lt;&gt;0,"Y",""),"")</f>
        <v/>
      </c>
      <c r="CQ23" s="301"/>
      <c r="CR23" s="305" t="str">
        <f>CONCATENATE($B23,$E23,$G23)</f>
        <v>ERN14443DZ5 10.40625</v>
      </c>
      <c r="CS23" s="301"/>
      <c r="CT23" s="305">
        <f>VLOOKUP(Out_Table[[#This Row],[Destination             ORANGE (From Planning)]],Outlist!$A$5:$W$120,22,FALSE)</f>
        <v>0</v>
      </c>
    </row>
    <row r="24" spans="1:98" s="20" customFormat="1" ht="15">
      <c r="A24" s="305" t="str">
        <f>$CR24</f>
        <v>ERN20137ATH 40.263888888890506</v>
      </c>
      <c r="B24" s="351" t="str">
        <f>IFERROR(VLOOKUP(E24,Outlist!$A$5:$AC$120,2,FALSE),"")</f>
        <v>ERN20137</v>
      </c>
      <c r="C24" s="352" t="str">
        <f>IFERROR(IF(LEFT(B24,3)='STAT 77'!$X$2,_xlfn.XLOOKUP(B24,'STAT 77'!C:C,'STAT 77'!B:B),_xlfn.XLOOKUP(B24,'STAT 77'!B:B,'STAT 77'!C:C)),"NON TROVATO")</f>
        <v>ERN10178</v>
      </c>
      <c r="D24" s="4"/>
      <c r="E24" s="352" t="str">
        <f>IFERROR(IF(Outlist!$A72&lt;&gt;"",Outlist!$A72,""),"")</f>
        <v>ATH 4</v>
      </c>
      <c r="F24" s="352" t="str">
        <f>IFERROR(VLOOKUP(E24,'Cambio O2P'!C:E,2,FALSE),"")</f>
        <v/>
      </c>
      <c r="G24" s="353">
        <f>IFERROR(VLOOKUP(E24,Outlist!$A$5:$AC$120,5,FALSE)-INT(VLOOKUP(E24,Outlist!$A$5:$AC$120,5,FALSE)),"")</f>
        <v>0.26388888889050577</v>
      </c>
      <c r="H24" s="294">
        <f ca="1">IFERROR(IF(AND('INformazioni per calcoli'!$AB$3&lt;(--"14:30"),'INformazioni per calcoli'!$AB$3&gt;(--"10:00")),"",IF($B24="","",IF($X24&lt;&gt;"","Mezzo Chiuso",IF($W24="","Non al Carico",IF($K24="Safe Parking","Safe Parking", IF(OR($BF24='INformazioni per calcoli'!$AF$8,$BF24='INformazioni per calcoli'!$AC$8,$BF24='INformazioni per calcoli'!$AD$8,$BF24='INformazioni per calcoli'!$AE$8,$BF24='INformazioni per calcoli'!$AG$8,$BF24='INformazioni per calcoli'!$AH$8,$BF24='INformazioni per calcoli'!$AI$8,$BF24='INformazioni per calcoli'!$AJ$8),IF($G24-'INformazioni per calcoli'!$AB$6-'INformazioni per calcoli'!$AB$3+$J24&lt;0,"LFLS",$G24-'INformazioni per calcoli'!$AB$6-'INformazioni per calcoli'!$AB$3+$J24), IF(OR($BF24='INformazioni per calcoli'!$AF$6,$BF24='INformazioni per calcoli'!$AD$6,$BF24='INformazioni per calcoli'!$AE$6,$BF24='INformazioni per calcoli'!$AG$6),IF($G24-'INformazioni per calcoli'!$AB$8-'INformazioni per calcoli'!$AB$3+$J24&lt;0,"LFLS",$G24-'INformazioni per calcoli'!$AB$8-'INformazioni per calcoli'!$AB$3+$J24), IF($G24-'INformazioni per calcoli'!$AB$7-'INformazioni per calcoli'!$AB$3+$J24&lt;0,"LFLS",$G24-'INformazioni per calcoli'!$AB$7-'INformazioni per calcoli'!$AB$3+$J24)))))))),"")</f>
        <v>9.0648148149765018E-2</v>
      </c>
      <c r="I24" s="17" t="str">
        <f ca="1">IFERROR(IF($H24&lt;&gt;"",IF($H24="Safe Parking","",IF($W24&lt;&gt;"",IF(AND($U24="X",$V24="X"),$H24-(--"00:30"),""),IF($X24&lt;&gt;"","Mezzo Chiuso","Non al carico"))),""),"")</f>
        <v/>
      </c>
      <c r="J24" s="306">
        <f ca="1">IFERROR(IF($B24&lt;&gt;"",IF(AND('INformazioni per calcoli'!$AB$3&lt;(--"15:00"),'INformazioni per calcoli'!$AB$3&gt;(--"00:00")),0,IF($G24&lt;(--"18:30"),"+1",0)),""),"")</f>
        <v>0</v>
      </c>
      <c r="K24" s="27">
        <f>IF(E24&lt;&gt;"",IFERROR(VLOOKUP(E24,Outlist!$A$5:$AC$120,22,FALSE),""),"")</f>
        <v>0</v>
      </c>
      <c r="L24" s="352" t="str">
        <f>IF(E24&lt;&gt;"",IFERROR(VLOOKUP(E24,Outlist!$A$5:$AC$120,3,FALSE),""),"")</f>
        <v>Eurofast International Transports Srl</v>
      </c>
      <c r="M24" s="4" t="str">
        <f>IFERROR(_xlfn.XLOOKUP($Q24,'Elenco Casse'!$D:$D,'Elenco Casse'!$E:$E),"")</f>
        <v>Interferries Lines S.A.</v>
      </c>
      <c r="N24" s="4">
        <f>IFERROR(_xlfn.XLOOKUP($Q24,'Elenco Casse'!$D:$D,'Elenco Casse'!$F:$F),"")</f>
        <v>0</v>
      </c>
      <c r="O24" s="4" t="str">
        <f>IF($L24&lt;&gt;"","TT-2/3","")</f>
        <v>TT-2/3</v>
      </c>
      <c r="P24" s="296" t="str">
        <f>IFERROR(IF(VLOOKUP(E24,Outlist!$A$5:$AC$120,21,FALSE)="YES","Linea Variata",""),"")</f>
        <v/>
      </c>
      <c r="Q24" s="355" t="s">
        <v>505</v>
      </c>
      <c r="R24" s="23" t="s">
        <v>420</v>
      </c>
      <c r="S24" s="25" t="str">
        <f>IFERROR(IF(VLOOKUP(E24,Outlist!$A$5:$AC$120,7,FALSE)="X","SUBCO",""),"")</f>
        <v>SUBCO</v>
      </c>
      <c r="T24" s="25"/>
      <c r="U24" s="23" t="s">
        <v>61</v>
      </c>
      <c r="V24" s="23"/>
      <c r="W24" s="26">
        <v>317</v>
      </c>
      <c r="X24" s="27"/>
      <c r="Y24" s="25"/>
      <c r="Z24" s="25"/>
      <c r="AA24" s="25" t="s">
        <v>40</v>
      </c>
      <c r="AB24" s="57"/>
      <c r="AC24" s="25"/>
      <c r="AD24" s="25"/>
      <c r="AE24" s="57"/>
      <c r="AF24" s="57"/>
      <c r="AG24" s="25"/>
      <c r="AH24" s="57"/>
      <c r="AI24" s="339"/>
      <c r="AJ24" s="339"/>
      <c r="AK24" s="297" t="str">
        <f>IF(X24&lt;&gt;"",CONCATENATE(IF(AA24&lt;&gt;"",CONCATENATE(Z24," ",AA24," ",BI24),""),IF(AD24&lt;&gt;"",CONCATENATE(","," ",AC24," ",AD24," ",BJ24),""),IF(AG24&lt;&gt;"",CONCATENATE(","," ",AF24," ",AG24," ",BK24),""),IF(AJ24&lt;&gt;"",CONCATENATE(","," ","DD"," ",BL24),"")," ",IF(AI24&lt;&gt;"",CONCATENATE(" - ",AI24," Bag"),"")),"")</f>
        <v/>
      </c>
      <c r="AL24" s="287"/>
      <c r="AM24" s="287"/>
      <c r="AN24" s="287"/>
      <c r="AO24" s="287"/>
      <c r="AP24" s="370">
        <f>IFERROR(VLOOKUP($E24,Outlist!$A$5:$V$120,20,FALSE),"")</f>
        <v>0</v>
      </c>
      <c r="AQ24" s="288" t="str">
        <f>IFERROR(IF(VLOOKUP($A24,#REF!,8,FALSE)&lt;&gt;"",VLOOKUP($A24,#REF!,8,FALSE),""),"")</f>
        <v/>
      </c>
      <c r="AS24" s="24"/>
      <c r="AT24" s="24"/>
      <c r="AU24" s="27"/>
      <c r="AV24" s="27"/>
      <c r="AX24" s="20" t="str">
        <f>IFERROR(IF(Out_Table[[#This Row],[Cancellazione linea]]="Cancellata","yes",""),"")</f>
        <v/>
      </c>
      <c r="AY24" s="72"/>
      <c r="AZ24" s="27"/>
      <c r="BA24" s="32"/>
      <c r="BB24" s="72"/>
      <c r="BC24" s="72" t="str">
        <f>IFERROR(VLOOKUP(Out_Table[[#This Row],[Aggiornamento STATUS]],'INformazioni per calcoli'!$Y$70:$AA$76,2,FALSE),"")</f>
        <v/>
      </c>
      <c r="BD24" s="289"/>
      <c r="BE24" s="289"/>
      <c r="BF24" s="47" t="str">
        <f>LEFT($E24,3)</f>
        <v>ATH</v>
      </c>
      <c r="BG24" s="298" t="str">
        <f>IF(Out_Table[[#This Row],[Ora Uscita    (GH)]]&lt;&gt;"","x","")</f>
        <v/>
      </c>
      <c r="BH24" s="299">
        <f>VLOOKUP($O24,'INformazioni per calcoli'!$Y$20:$AA$23,3,FALSE)</f>
        <v>14</v>
      </c>
      <c r="BI24" s="299">
        <f>MROUND(Out_Table[[#This Row],[Mtr. Trailer]]*AB24,0.5)</f>
        <v>0</v>
      </c>
      <c r="BJ24" s="299">
        <f>MROUND(Out_Table[[#This Row],[Mtr. Trailer]]*AE24,0.5)</f>
        <v>0</v>
      </c>
      <c r="BK24" s="299">
        <f>MROUND(Out_Table[[#This Row],[Mtr. Trailer]]*AH24,0.5)</f>
        <v>0</v>
      </c>
      <c r="BL24" s="300">
        <f>Out_Table[[#This Row],[Double Deck trailer N° bumpers]]</f>
        <v>0</v>
      </c>
      <c r="BM24" s="301"/>
      <c r="BN24" s="299" t="str">
        <f>B24</f>
        <v>ERN20137</v>
      </c>
      <c r="BO24" s="299" t="str">
        <f>E24</f>
        <v>ATH 4</v>
      </c>
      <c r="BP24" s="302">
        <f>IF(AND(G24&gt;(--"00:00:01"),G24&lt;(--"15:00:00")),IF(AND(X24&gt;(--"00:00:01"),X24&lt;(--"15:00:00")),G24-X24,G24+1-X24),G24-X24)</f>
        <v>1.2638888888905058</v>
      </c>
      <c r="BQ24" s="303">
        <f>AE24+AF24+AH24+AJ24</f>
        <v>0</v>
      </c>
      <c r="BR24" s="304" t="str">
        <f>IF(OR(BP24&lt;=(--"00:20:00"),BQ24&gt;=100%),"OK","Not OK")</f>
        <v>Not OK</v>
      </c>
      <c r="BS24" s="302">
        <f>IF(AND(G24&gt;(--"00:00:01"),G24&lt;(--"15:00:00")),IF(AND(AU24&gt;(--"00:00:01"),AU24&lt;(--"15:00:00")),G24-AU24,G24+1-AU24),G24-AU24)</f>
        <v>1.2638888888905058</v>
      </c>
      <c r="BT24" s="302">
        <f>IF(AND(AZ24&gt;(--"00:00:01"),AZ24&lt;(--"15:00:00")),IF(AND(AU24&gt;(--"00:00:01"),AU24&lt;(--"15:00:00")),AZ24-AU24,AZ24+1-AU24),AZ24-AU24)</f>
        <v>0</v>
      </c>
      <c r="BU24" s="302">
        <f>IF(AND(BA24&gt;(--"00:00:01"),BA24&lt;(--"15:00:00")),IF(AND(AZ24&gt;(--"00:00:01"),AZ24&lt;(--"15:00:00")),BA24-AZ24,BA24+1-AZ24),BA24-AZ24)</f>
        <v>0</v>
      </c>
      <c r="BV24" s="299">
        <f>AV24</f>
        <v>0</v>
      </c>
      <c r="BW24" s="301"/>
      <c r="BX24" s="299" t="str">
        <f>IF(AV24="T Status",IF(AV24&lt;&gt;T24,"X",""),"")</f>
        <v/>
      </c>
      <c r="BY24" s="301"/>
      <c r="BZ24" s="299" t="str">
        <f>IF(X24&lt;&gt;"",IF(CC24="X","Driver Delay",IF(CA24="X","Paperwork Delay",IF(CB24="X","Late freight late sort",IF(CD24="X","Chiamare Control Room",IF(CE24="X","Chiamare Control Room",IF(CF24="X","Chiamare Control Room","")))))),"")</f>
        <v/>
      </c>
      <c r="CA24" s="302" t="str">
        <f>IF(K24="",IF(IF(AND(G24&gt;(--"00:00:01"),G24&lt;(--"15:00:00")),IF(AND(AT24&gt;(--"08:00:00"),AT24&lt;(--"23:59:59")),G24+1-AT24,G24-AT24),G24-AT24)&gt;(--"00:20:00"),"","X"),"")</f>
        <v/>
      </c>
      <c r="CB24" s="299" t="str">
        <f>IF(K24="",IF(BP24&gt;=(--"00:20:00"),"","X"),"")</f>
        <v/>
      </c>
      <c r="CC24" s="299" t="str">
        <f>IF(OR(AV24="Autista non presente",AV24="Dati driver non presenti"),"X","")</f>
        <v/>
      </c>
      <c r="CD24" s="299" t="str">
        <f>IF(K24="",IF(AND(CC24="",BS24&lt;(--"00:20:00")),"X",""),"")</f>
        <v/>
      </c>
      <c r="CE24" s="299" t="str">
        <f>IF(K24="",IF(BT24&gt;(--"00:15:00"),"X",""),IF(AZ24&lt;&gt;"",IF(G24-AZ24&gt;(--"00:30:00"),"X",""),""))</f>
        <v/>
      </c>
      <c r="CF24" s="299" t="str">
        <f>IF(AND(CA24="",CB24="",CC24="",CD24="",CE24=""),"X","")</f>
        <v>X</v>
      </c>
      <c r="CG24" s="301"/>
      <c r="CH24" s="299" t="str">
        <f>IF(BT24&gt;(--"00:15:00"),"X","")</f>
        <v/>
      </c>
      <c r="CI24" s="302">
        <f>AY24</f>
        <v>0</v>
      </c>
      <c r="CJ24" s="299" t="str">
        <f>IF(AND(CH24&lt;&gt;"",CI24&lt;&gt;"",LEFT(B24,3)="ITD"),AP24,"")</f>
        <v/>
      </c>
      <c r="CK24" s="305" t="str">
        <f>IF(CJ24&lt;&gt;"",BT24,"")</f>
        <v/>
      </c>
      <c r="CL24" s="301"/>
      <c r="CM24" s="305" t="str">
        <f>IFERROR(VLOOKUP(Q24,'Elenco Casse'!$D$4:$F$292,3,FALSE),"")</f>
        <v/>
      </c>
      <c r="CN24" s="301"/>
      <c r="CO24" s="305" t="str">
        <f>IFERROR(VLOOKUP(E24,Outlist!$A$5:$H$120,8,FALSE),"")</f>
        <v>P56762</v>
      </c>
      <c r="CP24" s="305" t="str">
        <f>IFERROR(IF(VLOOKUP($E24,Outlist!$A$5:$S$120,19,FALSE)&lt;&gt;0,"Y",""),"")</f>
        <v/>
      </c>
      <c r="CQ24" s="301"/>
      <c r="CR24" s="305" t="str">
        <f>CONCATENATE($B24,$E24,$G24)</f>
        <v>ERN20137ATH 40.263888888890506</v>
      </c>
      <c r="CS24" s="301"/>
      <c r="CT24" s="305">
        <f>VLOOKUP(Out_Table[[#This Row],[Destination             ORANGE (From Planning)]],Outlist!$A$5:$W$120,22,FALSE)</f>
        <v>0</v>
      </c>
    </row>
    <row r="25" spans="1:98" s="20" customFormat="1" ht="30.75">
      <c r="A25" s="305" t="str">
        <f>$CR25</f>
        <v>ERN02218ATH 20.263888888890506</v>
      </c>
      <c r="B25" s="351" t="str">
        <f>IFERROR(VLOOKUP(E25,Outlist!$A$5:$AC$120,2,FALSE),"")</f>
        <v>ERN02218</v>
      </c>
      <c r="C25" s="352" t="str">
        <f>IFERROR(IF(LEFT(B25,3)='STAT 77'!$X$2,_xlfn.XLOOKUP(B25,'STAT 77'!C:C,'STAT 77'!B:B),_xlfn.XLOOKUP(B25,'STAT 77'!B:B,'STAT 77'!C:C)),"NON TROVATO")</f>
        <v>ERN01087</v>
      </c>
      <c r="D25" s="4"/>
      <c r="E25" s="352" t="str">
        <f>IFERROR(IF(Outlist!$A70&lt;&gt;"",Outlist!$A70,""),"")</f>
        <v>ATH 2</v>
      </c>
      <c r="F25" s="352" t="str">
        <f>IFERROR(VLOOKUP(E25,'Cambio O2P'!C:E,2,FALSE),"")</f>
        <v/>
      </c>
      <c r="G25" s="353">
        <f>IFERROR(VLOOKUP(E25,Outlist!$A$5:$AC$120,5,FALSE)-INT(VLOOKUP(E25,Outlist!$A$5:$AC$120,5,FALSE)),"")</f>
        <v>0.26388888889050577</v>
      </c>
      <c r="H25" s="294" t="str">
        <f ca="1">IFERROR(IF(AND('INformazioni per calcoli'!$AB$3&lt;(--"14:30"),'INformazioni per calcoli'!$AB$3&gt;(--"10:00")),"",IF($B25="","",IF($X25&lt;&gt;"","Mezzo Chiuso",IF($W25="","Non al Carico",IF($K25="Safe Parking","Safe Parking", IF(OR($BF25='INformazioni per calcoli'!$AF$8,$BF25='INformazioni per calcoli'!$AC$8,$BF25='INformazioni per calcoli'!$AD$8,$BF25='INformazioni per calcoli'!$AE$8,$BF25='INformazioni per calcoli'!$AG$8,$BF25='INformazioni per calcoli'!$AH$8,$BF25='INformazioni per calcoli'!$AI$8,$BF25='INformazioni per calcoli'!$AJ$8),IF($G25-'INformazioni per calcoli'!$AB$6-'INformazioni per calcoli'!$AB$3+$J25&lt;0,"LFLS",$G25-'INformazioni per calcoli'!$AB$6-'INformazioni per calcoli'!$AB$3+$J25), IF(OR($BF25='INformazioni per calcoli'!$AF$6,$BF25='INformazioni per calcoli'!$AD$6,$BF25='INformazioni per calcoli'!$AE$6,$BF25='INformazioni per calcoli'!$AG$6),IF($G25-'INformazioni per calcoli'!$AB$8-'INformazioni per calcoli'!$AB$3+$J25&lt;0,"LFLS",$G25-'INformazioni per calcoli'!$AB$8-'INformazioni per calcoli'!$AB$3+$J25), IF($G25-'INformazioni per calcoli'!$AB$7-'INformazioni per calcoli'!$AB$3+$J25&lt;0,"LFLS",$G25-'INformazioni per calcoli'!$AB$7-'INformazioni per calcoli'!$AB$3+$J25)))))))),"")</f>
        <v>Mezzo Chiuso</v>
      </c>
      <c r="I25" s="17" t="str">
        <f ca="1">IFERROR(IF($H25&lt;&gt;"",IF($H25="Safe Parking","",IF($W25&lt;&gt;"",IF(AND($U25="X",$V25="X"),$H25-(--"00:30"),""),IF($X25&lt;&gt;"","Mezzo Chiuso","Non al carico"))),""),"")</f>
        <v/>
      </c>
      <c r="J25" s="306">
        <f ca="1">IFERROR(IF($B25&lt;&gt;"",IF(AND('INformazioni per calcoli'!$AB$3&lt;(--"15:00"),'INformazioni per calcoli'!$AB$3&gt;(--"00:00")),0,IF($G25&lt;(--"18:30"),"+1",0)),""),"")</f>
        <v>0</v>
      </c>
      <c r="K25" s="27">
        <f>IF(E25&lt;&gt;"",IFERROR(VLOOKUP(E25,Outlist!$A$5:$AC$120,22,FALSE),""),"")</f>
        <v>0</v>
      </c>
      <c r="L25" s="352" t="str">
        <f>IF(E25&lt;&gt;"",IFERROR(VLOOKUP(E25,Outlist!$A$5:$AC$120,3,FALSE),""),"")</f>
        <v>Eurofast International Transports Srl</v>
      </c>
      <c r="M25" s="4" t="str">
        <f>IFERROR(_xlfn.XLOOKUP($Q25,'Elenco Casse'!$D:$D,'Elenco Casse'!$E:$E),"")</f>
        <v>Eurofast International Transports Srl</v>
      </c>
      <c r="N25" s="4">
        <f>IFERROR(_xlfn.XLOOKUP($Q25,'Elenco Casse'!$D:$D,'Elenco Casse'!$F:$F),"")</f>
        <v>0</v>
      </c>
      <c r="O25" s="4" t="str">
        <f>IF($L25&lt;&gt;"","TT-2/3","")</f>
        <v>TT-2/3</v>
      </c>
      <c r="P25" s="296" t="str">
        <f>IFERROR(IF(VLOOKUP(E25,Outlist!$A$5:$AC$120,21,FALSE)="YES","Linea Variata",""),"")</f>
        <v/>
      </c>
      <c r="Q25" s="355" t="s">
        <v>506</v>
      </c>
      <c r="R25" s="23" t="s">
        <v>420</v>
      </c>
      <c r="S25" s="25" t="str">
        <f>IFERROR(IF(VLOOKUP(E25,Outlist!$A$5:$AC$120,7,FALSE)="X","SUBCO",""),"")</f>
        <v>SUBCO</v>
      </c>
      <c r="T25" s="25"/>
      <c r="U25" s="23" t="s">
        <v>61</v>
      </c>
      <c r="V25" s="23"/>
      <c r="W25" s="26">
        <v>317</v>
      </c>
      <c r="X25" s="27">
        <v>0.90902777777777777</v>
      </c>
      <c r="Y25" s="25" t="s">
        <v>507</v>
      </c>
      <c r="Z25" s="25"/>
      <c r="AA25" s="25" t="s">
        <v>40</v>
      </c>
      <c r="AB25" s="57">
        <v>1</v>
      </c>
      <c r="AC25" s="25"/>
      <c r="AD25" s="25"/>
      <c r="AE25" s="57"/>
      <c r="AF25" s="57"/>
      <c r="AG25" s="25"/>
      <c r="AH25" s="57"/>
      <c r="AI25" s="339">
        <v>9</v>
      </c>
      <c r="AJ25" s="339"/>
      <c r="AK25" s="297" t="str">
        <f>IF(X25&lt;&gt;"",CONCATENATE(IF(AA25&lt;&gt;"",CONCATENATE(Z25," ",AA25," ",BI25),""),IF(AD25&lt;&gt;"",CONCATENATE(","," ",AC25," ",AD25," ",BJ25),""),IF(AG25&lt;&gt;"",CONCATENATE(","," ",AF25," ",AG25," ",BK25),""),IF(AJ25&lt;&gt;"",CONCATENATE(","," ","DD"," ",BL25),"")," ",IF(AI25&lt;&gt;"",CONCATENATE(" - ",AI25," Bag"),"")),"")</f>
        <v xml:space="preserve"> LL 14  - 9 Bag</v>
      </c>
      <c r="AL25" s="287" t="s">
        <v>421</v>
      </c>
      <c r="AM25" s="287"/>
      <c r="AN25" s="287"/>
      <c r="AO25" s="287"/>
      <c r="AP25" s="370">
        <f>IFERROR(VLOOKUP($E25,Outlist!$A$5:$V$120,20,FALSE),"")</f>
        <v>0</v>
      </c>
      <c r="AQ25" s="288" t="str">
        <f>IFERROR(IF(VLOOKUP($A25,#REF!,8,FALSE)&lt;&gt;"",VLOOKUP($A25,#REF!,8,FALSE),""),"")</f>
        <v/>
      </c>
      <c r="AR25" s="430">
        <v>8.8888888888888892E-2</v>
      </c>
      <c r="AS25" s="24">
        <v>9.166666666666666E-2</v>
      </c>
      <c r="AT25" s="24">
        <v>9.2361111111111116E-2</v>
      </c>
      <c r="AU25" s="27"/>
      <c r="AV25" s="27"/>
      <c r="AX25" s="20" t="str">
        <f>IFERROR(IF(Out_Table[[#This Row],[Cancellazione linea]]="Cancellata","yes",""),"")</f>
        <v/>
      </c>
      <c r="AY25" s="72"/>
      <c r="AZ25" s="27"/>
      <c r="BA25" s="32"/>
      <c r="BB25" s="72"/>
      <c r="BC25" s="72" t="str">
        <f>IFERROR(VLOOKUP(Out_Table[[#This Row],[Aggiornamento STATUS]],'INformazioni per calcoli'!$Y$70:$AA$76,2,FALSE),"")</f>
        <v/>
      </c>
      <c r="BD25" s="289"/>
      <c r="BE25" s="289"/>
      <c r="BF25" s="47" t="str">
        <f>LEFT($E25,3)</f>
        <v>ATH</v>
      </c>
      <c r="BG25" s="298" t="str">
        <f>IF(Out_Table[[#This Row],[Ora Uscita    (GH)]]&lt;&gt;"","x","")</f>
        <v/>
      </c>
      <c r="BH25" s="299">
        <f>VLOOKUP($O25,'INformazioni per calcoli'!$Y$20:$AA$23,3,FALSE)</f>
        <v>14</v>
      </c>
      <c r="BI25" s="299">
        <f>MROUND(Out_Table[[#This Row],[Mtr. Trailer]]*AB25,0.5)</f>
        <v>14</v>
      </c>
      <c r="BJ25" s="299">
        <f>MROUND(Out_Table[[#This Row],[Mtr. Trailer]]*AE25,0.5)</f>
        <v>0</v>
      </c>
      <c r="BK25" s="299">
        <f>MROUND(Out_Table[[#This Row],[Mtr. Trailer]]*AH25,0.5)</f>
        <v>0</v>
      </c>
      <c r="BL25" s="300">
        <f>Out_Table[[#This Row],[Double Deck trailer N° bumpers]]</f>
        <v>0</v>
      </c>
      <c r="BM25" s="301"/>
      <c r="BN25" s="299" t="str">
        <f>B25</f>
        <v>ERN02218</v>
      </c>
      <c r="BO25" s="299" t="str">
        <f>E25</f>
        <v>ATH 2</v>
      </c>
      <c r="BP25" s="302">
        <f>IF(AND(G25&gt;(--"00:00:01"),G25&lt;(--"15:00:00")),IF(AND(X25&gt;(--"00:00:01"),X25&lt;(--"15:00:00")),G25-X25,G25+1-X25),G25-X25)</f>
        <v>0.354861111112728</v>
      </c>
      <c r="BQ25" s="303">
        <f>AE25+AF25+AH25+AJ25</f>
        <v>0</v>
      </c>
      <c r="BR25" s="304" t="str">
        <f>IF(OR(BP25&lt;=(--"00:20:00"),BQ25&gt;=100%),"OK","Not OK")</f>
        <v>Not OK</v>
      </c>
      <c r="BS25" s="302">
        <f>IF(AND(G25&gt;(--"00:00:01"),G25&lt;(--"15:00:00")),IF(AND(AU25&gt;(--"00:00:01"),AU25&lt;(--"15:00:00")),G25-AU25,G25+1-AU25),G25-AU25)</f>
        <v>1.2638888888905058</v>
      </c>
      <c r="BT25" s="302">
        <f>IF(AND(AZ25&gt;(--"00:00:01"),AZ25&lt;(--"15:00:00")),IF(AND(AU25&gt;(--"00:00:01"),AU25&lt;(--"15:00:00")),AZ25-AU25,AZ25+1-AU25),AZ25-AU25)</f>
        <v>0</v>
      </c>
      <c r="BU25" s="302">
        <f>IF(AND(BA25&gt;(--"00:00:01"),BA25&lt;(--"15:00:00")),IF(AND(AZ25&gt;(--"00:00:01"),AZ25&lt;(--"15:00:00")),BA25-AZ25,BA25+1-AZ25),BA25-AZ25)</f>
        <v>0</v>
      </c>
      <c r="BV25" s="299">
        <f>AV25</f>
        <v>0</v>
      </c>
      <c r="BW25" s="301"/>
      <c r="BX25" s="299" t="str">
        <f>IF(AV25="T Status",IF(AV25&lt;&gt;T25,"X",""),"")</f>
        <v/>
      </c>
      <c r="BY25" s="301"/>
      <c r="BZ25" s="299" t="str">
        <f>IF(X25&lt;&gt;"",IF(CC25="X","Driver Delay",IF(CA25="X","Paperwork Delay",IF(CB25="X","Late freight late sort",IF(CD25="X","Chiamare Control Room",IF(CE25="X","Chiamare Control Room",IF(CF25="X","Chiamare Control Room","")))))),"")</f>
        <v>Chiamare Control Room</v>
      </c>
      <c r="CA25" s="302" t="str">
        <f>IF(K25="",IF(IF(AND(G25&gt;(--"00:00:01"),G25&lt;(--"15:00:00")),IF(AND(AT25&gt;(--"08:00:00"),AT25&lt;(--"23:59:59")),G25+1-AT25,G25-AT25),G25-AT25)&gt;(--"00:20:00"),"","X"),"")</f>
        <v/>
      </c>
      <c r="CB25" s="299" t="str">
        <f>IF(K25="",IF(BP25&gt;=(--"00:20:00"),"","X"),"")</f>
        <v/>
      </c>
      <c r="CC25" s="299" t="str">
        <f>IF(OR(AV25="Autista non presente",AV25="Dati driver non presenti"),"X","")</f>
        <v/>
      </c>
      <c r="CD25" s="299" t="str">
        <f>IF(K25="",IF(AND(CC25="",BS25&lt;(--"00:20:00")),"X",""),"")</f>
        <v/>
      </c>
      <c r="CE25" s="299" t="str">
        <f>IF(K25="",IF(BT25&gt;(--"00:15:00"),"X",""),IF(AZ25&lt;&gt;"",IF(G25-AZ25&gt;(--"00:30:00"),"X",""),""))</f>
        <v/>
      </c>
      <c r="CF25" s="299" t="str">
        <f>IF(AND(CA25="",CB25="",CC25="",CD25="",CE25=""),"X","")</f>
        <v>X</v>
      </c>
      <c r="CG25" s="301"/>
      <c r="CH25" s="299" t="str">
        <f>IF(BT25&gt;(--"00:15:00"),"X","")</f>
        <v/>
      </c>
      <c r="CI25" s="302">
        <f>AY25</f>
        <v>0</v>
      </c>
      <c r="CJ25" s="299" t="str">
        <f>IF(AND(CH25&lt;&gt;"",CI25&lt;&gt;"",LEFT(B25,3)="ITD"),AP25,"")</f>
        <v/>
      </c>
      <c r="CK25" s="305" t="str">
        <f>IF(CJ25&lt;&gt;"",BT25,"")</f>
        <v/>
      </c>
      <c r="CL25" s="301"/>
      <c r="CM25" s="305" t="str">
        <f>IFERROR(VLOOKUP(Q25,'Elenco Casse'!$D$4:$F$292,3,FALSE),"")</f>
        <v/>
      </c>
      <c r="CN25" s="301"/>
      <c r="CO25" s="305" t="str">
        <f>IFERROR(VLOOKUP(E25,Outlist!$A$5:$H$120,8,FALSE),"")</f>
        <v>p56755</v>
      </c>
      <c r="CP25" s="305" t="str">
        <f>IFERROR(IF(VLOOKUP($E25,Outlist!$A$5:$S$120,19,FALSE)&lt;&gt;0,"Y",""),"")</f>
        <v/>
      </c>
      <c r="CQ25" s="301"/>
      <c r="CR25" s="305" t="str">
        <f>CONCATENATE($B25,$E25,$G25)</f>
        <v>ERN02218ATH 20.263888888890506</v>
      </c>
      <c r="CS25" s="301"/>
      <c r="CT25" s="305">
        <f>VLOOKUP(Out_Table[[#This Row],[Destination             ORANGE (From Planning)]],Outlist!$A$5:$W$120,22,FALSE)</f>
        <v>0</v>
      </c>
    </row>
    <row r="26" spans="1:98" s="20" customFormat="1" ht="30.75">
      <c r="A26" s="305" t="str">
        <f>$CR26</f>
        <v>ERN19161XPI 10.0833333333357587</v>
      </c>
      <c r="B26" s="351" t="str">
        <f>IFERROR(VLOOKUP(E26,Outlist!$A$5:$AC$120,2,FALSE),"")</f>
        <v>ERN19161</v>
      </c>
      <c r="C26" s="352" t="str">
        <f>IFERROR(IF(LEFT(B26,3)='STAT 77'!$X$2,_xlfn.XLOOKUP(B26,'STAT 77'!C:C,'STAT 77'!B:B),_xlfn.XLOOKUP(B26,'STAT 77'!B:B,'STAT 77'!C:C)),"NON TROVATO")</f>
        <v>ERN09698</v>
      </c>
      <c r="D26" s="4"/>
      <c r="E26" s="352" t="str">
        <f>IFERROR(IF(Outlist!$A33&lt;&gt;"",Outlist!$A33,""),"")</f>
        <v>XPI 1</v>
      </c>
      <c r="F26" s="352" t="str">
        <f>IFERROR(VLOOKUP(E26,'Cambio O2P'!C:E,2,FALSE),"")</f>
        <v/>
      </c>
      <c r="G26" s="353">
        <f>IFERROR(VLOOKUP(E26,Outlist!$A$5:$AC$120,5,FALSE)-INT(VLOOKUP(E26,Outlist!$A$5:$AC$120,5,FALSE)),"")</f>
        <v>8.3333333335758653E-2</v>
      </c>
      <c r="H26" s="294" t="str">
        <f ca="1">IFERROR(IF(AND('INformazioni per calcoli'!$AB$3&lt;(--"14:30"),'INformazioni per calcoli'!$AB$3&gt;(--"10:00")),"",IF($B26="","",IF($X26&lt;&gt;"","Mezzo Chiuso",IF($W26="","Non al Carico",IF($K26="Safe Parking","Safe Parking", IF(OR($BF26='INformazioni per calcoli'!$AF$8,$BF26='INformazioni per calcoli'!$AC$8,$BF26='INformazioni per calcoli'!$AD$8,$BF26='INformazioni per calcoli'!$AE$8,$BF26='INformazioni per calcoli'!$AG$8,$BF26='INformazioni per calcoli'!$AH$8,$BF26='INformazioni per calcoli'!$AI$8,$BF26='INformazioni per calcoli'!$AJ$8),IF($G26-'INformazioni per calcoli'!$AB$6-'INformazioni per calcoli'!$AB$3+$J26&lt;0,"LFLS",$G26-'INformazioni per calcoli'!$AB$6-'INformazioni per calcoli'!$AB$3+$J26), IF(OR($BF26='INformazioni per calcoli'!$AF$6,$BF26='INformazioni per calcoli'!$AD$6,$BF26='INformazioni per calcoli'!$AE$6,$BF26='INformazioni per calcoli'!$AG$6),IF($G26-'INformazioni per calcoli'!$AB$8-'INformazioni per calcoli'!$AB$3+$J26&lt;0,"LFLS",$G26-'INformazioni per calcoli'!$AB$8-'INformazioni per calcoli'!$AB$3+$J26), IF($G26-'INformazioni per calcoli'!$AB$7-'INformazioni per calcoli'!$AB$3+$J26&lt;0,"LFLS",$G26-'INformazioni per calcoli'!$AB$7-'INformazioni per calcoli'!$AB$3+$J26)))))))),"")</f>
        <v>Mezzo Chiuso</v>
      </c>
      <c r="I26" s="17" t="str">
        <f ca="1">IFERROR(IF($H26&lt;&gt;"",IF($H26="Safe Parking","",IF($W26&lt;&gt;"",IF(AND($U26="X",$V26="X"),$H26-(--"00:30"),""),IF($X26&lt;&gt;"","Mezzo Chiuso","Non al carico"))),""),"")</f>
        <v/>
      </c>
      <c r="J26" s="306">
        <f ca="1">IFERROR(IF($B26&lt;&gt;"",IF(AND('INformazioni per calcoli'!$AB$3&lt;(--"15:00"),'INformazioni per calcoli'!$AB$3&gt;(--"00:00")),0,IF($G26&lt;(--"18:30"),"+1",0)),""),"")</f>
        <v>0</v>
      </c>
      <c r="K26" s="27">
        <f>IF(E26&lt;&gt;"",IFERROR(VLOOKUP(E26,Outlist!$A$5:$AC$120,22,FALSE),""),"")</f>
        <v>0</v>
      </c>
      <c r="L26" s="352" t="str">
        <f>IF(E26&lt;&gt;"",IFERROR(VLOOKUP(E26,Outlist!$A$5:$AC$120,3,FALSE),""),"")</f>
        <v>T Service Spa</v>
      </c>
      <c r="M26" s="4" t="str">
        <f>IFERROR(_xlfn.XLOOKUP($Q26,'Elenco Casse'!$D:$D,'Elenco Casse'!$E:$E),"")</f>
        <v/>
      </c>
      <c r="N26" s="4" t="str">
        <f>IFERROR(_xlfn.XLOOKUP($Q26,'Elenco Casse'!$D:$D,'Elenco Casse'!$F:$F),"")</f>
        <v/>
      </c>
      <c r="O26" s="4" t="str">
        <f>IF($L26&lt;&gt;"","TT-2/3","")</f>
        <v>TT-2/3</v>
      </c>
      <c r="P26" s="296" t="str">
        <f>IFERROR(IF(VLOOKUP(E26,Outlist!$A$5:$AC$120,21,FALSE)="YES","Linea Variata",""),"")</f>
        <v/>
      </c>
      <c r="Q26" s="355" t="s">
        <v>508</v>
      </c>
      <c r="R26" s="23" t="s">
        <v>420</v>
      </c>
      <c r="S26" s="25" t="str">
        <f>IFERROR(IF(VLOOKUP(E26,Outlist!$A$5:$AC$120,7,FALSE)="X","SUBCO",""),"")</f>
        <v/>
      </c>
      <c r="T26" s="25"/>
      <c r="U26" s="23" t="s">
        <v>61</v>
      </c>
      <c r="V26" s="23" t="s">
        <v>500</v>
      </c>
      <c r="W26" s="26">
        <v>318</v>
      </c>
      <c r="X26" s="27">
        <v>1.9444444444444445E-2</v>
      </c>
      <c r="Y26" s="25" t="s">
        <v>509</v>
      </c>
      <c r="Z26" s="25"/>
      <c r="AA26" s="25" t="s">
        <v>40</v>
      </c>
      <c r="AB26" s="57">
        <v>1</v>
      </c>
      <c r="AC26" s="25"/>
      <c r="AD26" s="25"/>
      <c r="AE26" s="57"/>
      <c r="AF26" s="57"/>
      <c r="AG26" s="25"/>
      <c r="AH26" s="57"/>
      <c r="AI26" s="339">
        <v>21</v>
      </c>
      <c r="AJ26" s="339"/>
      <c r="AK26" s="297" t="str">
        <f>IF(X26&lt;&gt;"",CONCATENATE(IF(AA26&lt;&gt;"",CONCATENATE(Z26," ",AA26," ",BI26),""),IF(AD26&lt;&gt;"",CONCATENATE(","," ",AC26," ",AD26," ",BJ26),""),IF(AG26&lt;&gt;"",CONCATENATE(","," ",AF26," ",AG26," ",BK26),""),IF(AJ26&lt;&gt;"",CONCATENATE(","," ","DD"," ",BL26),"")," ",IF(AI26&lt;&gt;"",CONCATENATE(" - ",AI26," Bag"),"")),"")</f>
        <v xml:space="preserve"> LL 14  - 21 Bag</v>
      </c>
      <c r="AL26" s="287" t="s">
        <v>421</v>
      </c>
      <c r="AM26" s="287"/>
      <c r="AN26" s="287"/>
      <c r="AO26" s="287"/>
      <c r="AP26" s="370">
        <f>IFERROR(VLOOKUP($E26,Outlist!$A$5:$V$120,20,FALSE),"")</f>
        <v>0</v>
      </c>
      <c r="AQ26" s="288" t="s">
        <v>510</v>
      </c>
      <c r="AR26" s="430">
        <v>2.7083333333333334E-2</v>
      </c>
      <c r="AS26" s="24">
        <v>3.125E-2</v>
      </c>
      <c r="AT26" s="24">
        <v>3.2638888888888891E-2</v>
      </c>
      <c r="AU26" s="27"/>
      <c r="AV26" s="27"/>
      <c r="AW26" s="20" t="s">
        <v>443</v>
      </c>
      <c r="AX26" s="20" t="str">
        <f>IFERROR(IF(Out_Table[[#This Row],[Cancellazione linea]]="Cancellata","yes",""),"")</f>
        <v/>
      </c>
      <c r="AY26" s="72"/>
      <c r="AZ26" s="27"/>
      <c r="BA26" s="32">
        <v>6.8750000000000006E-2</v>
      </c>
      <c r="BB26" s="72"/>
      <c r="BC26" s="72" t="str">
        <f>IFERROR(VLOOKUP(Out_Table[[#This Row],[Aggiornamento STATUS]],'INformazioni per calcoli'!$Y$70:$AA$76,2,FALSE),"")</f>
        <v/>
      </c>
      <c r="BD26" s="289"/>
      <c r="BE26" s="289"/>
      <c r="BF26" s="47" t="str">
        <f>LEFT($E26,3)</f>
        <v>XPI</v>
      </c>
      <c r="BG26" s="298" t="str">
        <f>IF(Out_Table[[#This Row],[Ora Uscita    (GH)]]&lt;&gt;"","x","")</f>
        <v>x</v>
      </c>
      <c r="BH26" s="299">
        <f>VLOOKUP($O26,'INformazioni per calcoli'!$Y$20:$AA$23,3,FALSE)</f>
        <v>14</v>
      </c>
      <c r="BI26" s="299">
        <f>MROUND(Out_Table[[#This Row],[Mtr. Trailer]]*AB26,0.5)</f>
        <v>14</v>
      </c>
      <c r="BJ26" s="299">
        <f>MROUND(Out_Table[[#This Row],[Mtr. Trailer]]*AE26,0.5)</f>
        <v>0</v>
      </c>
      <c r="BK26" s="299">
        <f>MROUND(Out_Table[[#This Row],[Mtr. Trailer]]*AH26,0.5)</f>
        <v>0</v>
      </c>
      <c r="BL26" s="300">
        <f>Out_Table[[#This Row],[Double Deck trailer N° bumpers]]</f>
        <v>0</v>
      </c>
      <c r="BM26" s="301"/>
      <c r="BN26" s="299" t="str">
        <f>B26</f>
        <v>ERN19161</v>
      </c>
      <c r="BO26" s="299" t="str">
        <f>E26</f>
        <v>XPI 1</v>
      </c>
      <c r="BP26" s="302">
        <f>IF(AND(G26&gt;(--"00:00:01"),G26&lt;(--"15:00:00")),IF(AND(X26&gt;(--"00:00:01"),X26&lt;(--"15:00:00")),G26-X26,G26+1-X26),G26-X26)</f>
        <v>6.3888888891314208E-2</v>
      </c>
      <c r="BQ26" s="303">
        <f>AE26+AF26+AH26+AJ26</f>
        <v>0</v>
      </c>
      <c r="BR26" s="304" t="str">
        <f>IF(OR(BP26&lt;=(--"00:20:00"),BQ26&gt;=100%),"OK","Not OK")</f>
        <v>Not OK</v>
      </c>
      <c r="BS26" s="302">
        <f>IF(AND(G26&gt;(--"00:00:01"),G26&lt;(--"15:00:00")),IF(AND(AU26&gt;(--"00:00:01"),AU26&lt;(--"15:00:00")),G26-AU26,G26+1-AU26),G26-AU26)</f>
        <v>1.0833333333357587</v>
      </c>
      <c r="BT26" s="302">
        <f>IF(AND(AZ26&gt;(--"00:00:01"),AZ26&lt;(--"15:00:00")),IF(AND(AU26&gt;(--"00:00:01"),AU26&lt;(--"15:00:00")),AZ26-AU26,AZ26+1-AU26),AZ26-AU26)</f>
        <v>0</v>
      </c>
      <c r="BU26" s="302">
        <f>IF(AND(BA26&gt;(--"00:00:01"),BA26&lt;(--"15:00:00")),IF(AND(AZ26&gt;(--"00:00:01"),AZ26&lt;(--"15:00:00")),BA26-AZ26,BA26+1-AZ26),BA26-AZ26)</f>
        <v>1.0687500000000001</v>
      </c>
      <c r="BV26" s="299">
        <f>AV26</f>
        <v>0</v>
      </c>
      <c r="BW26" s="301"/>
      <c r="BX26" s="299" t="str">
        <f>IF(AV26="T Status",IF(AV26&lt;&gt;T26,"X",""),"")</f>
        <v/>
      </c>
      <c r="BY26" s="301"/>
      <c r="BZ26" s="299" t="str">
        <f>IF(X26&lt;&gt;"",IF(CC26="X","Driver Delay",IF(CA26="X","Paperwork Delay",IF(CB26="X","Late freight late sort",IF(CD26="X","Chiamare Control Room",IF(CE26="X","Chiamare Control Room",IF(CF26="X","Chiamare Control Room","")))))),"")</f>
        <v>Chiamare Control Room</v>
      </c>
      <c r="CA26" s="302" t="str">
        <f>IF(K26="",IF(IF(AND(G26&gt;(--"00:00:01"),G26&lt;(--"15:00:00")),IF(AND(AT26&gt;(--"08:00:00"),AT26&lt;(--"23:59:59")),G26+1-AT26,G26-AT26),G26-AT26)&gt;(--"00:20:00"),"","X"),"")</f>
        <v/>
      </c>
      <c r="CB26" s="299" t="str">
        <f>IF(K26="",IF(BP26&gt;=(--"00:20:00"),"","X"),"")</f>
        <v/>
      </c>
      <c r="CC26" s="299" t="str">
        <f>IF(OR(AV26="Autista non presente",AV26="Dati driver non presenti"),"X","")</f>
        <v/>
      </c>
      <c r="CD26" s="299" t="str">
        <f>IF(K26="",IF(AND(CC26="",BS26&lt;(--"00:20:00")),"X",""),"")</f>
        <v/>
      </c>
      <c r="CE26" s="299" t="str">
        <f>IF(K26="",IF(BT26&gt;(--"00:15:00"),"X",""),IF(AZ26&lt;&gt;"",IF(G26-AZ26&gt;(--"00:30:00"),"X",""),""))</f>
        <v/>
      </c>
      <c r="CF26" s="299" t="str">
        <f>IF(AND(CA26="",CB26="",CC26="",CD26="",CE26=""),"X","")</f>
        <v>X</v>
      </c>
      <c r="CG26" s="301"/>
      <c r="CH26" s="299" t="str">
        <f>IF(BT26&gt;(--"00:15:00"),"X","")</f>
        <v/>
      </c>
      <c r="CI26" s="302">
        <f>AY26</f>
        <v>0</v>
      </c>
      <c r="CJ26" s="299" t="str">
        <f>IF(AND(CH26&lt;&gt;"",CI26&lt;&gt;"",LEFT(B26,3)="ITD"),AP26,"")</f>
        <v/>
      </c>
      <c r="CK26" s="305" t="str">
        <f>IF(CJ26&lt;&gt;"",BT26,"")</f>
        <v/>
      </c>
      <c r="CL26" s="301"/>
      <c r="CM26" s="305" t="str">
        <f>IFERROR(VLOOKUP(Q26,'Elenco Casse'!$D$4:$F$292,3,FALSE),"")</f>
        <v/>
      </c>
      <c r="CN26" s="301"/>
      <c r="CO26" s="305" t="str">
        <f>IFERROR(VLOOKUP(E26,Outlist!$A$5:$H$120,8,FALSE),"")</f>
        <v>ENB16206</v>
      </c>
      <c r="CP26" s="305" t="str">
        <f>IFERROR(IF(VLOOKUP($E26,Outlist!$A$5:$S$120,19,FALSE)&lt;&gt;0,"Y",""),"")</f>
        <v>Y</v>
      </c>
      <c r="CQ26" s="301"/>
      <c r="CR26" s="305" t="str">
        <f>CONCATENATE($B26,$E26,$G26)</f>
        <v>ERN19161XPI 10.0833333333357587</v>
      </c>
      <c r="CS26" s="301"/>
      <c r="CT26" s="305">
        <f>VLOOKUP(Out_Table[[#This Row],[Destination             ORANGE (From Planning)]],Outlist!$A$5:$W$120,22,FALSE)</f>
        <v>0</v>
      </c>
    </row>
    <row r="27" spans="1:98" s="20" customFormat="1" ht="15">
      <c r="A27" s="305" t="str">
        <f>$CR27</f>
        <v>ERN14512XPI 30.4375</v>
      </c>
      <c r="B27" s="351" t="str">
        <f>IFERROR(VLOOKUP(E27,Outlist!$A$5:$AC$120,2,FALSE),"")</f>
        <v>ERN14512</v>
      </c>
      <c r="C27" s="352" t="str">
        <f>IFERROR(IF(LEFT(B27,3)='STAT 77'!$X$2,_xlfn.XLOOKUP(B27,'STAT 77'!C:C,'STAT 77'!B:B),_xlfn.XLOOKUP(B27,'STAT 77'!B:B,'STAT 77'!C:C)),"NON TROVATO")</f>
        <v>ERN07173</v>
      </c>
      <c r="D27" s="4"/>
      <c r="E27" s="352" t="str">
        <f>IFERROR(IF(Outlist!$A35&lt;&gt;"",Outlist!$A35,""),"")</f>
        <v>XPI 3</v>
      </c>
      <c r="F27" s="352" t="str">
        <f>IFERROR(VLOOKUP(E27,'Cambio O2P'!C:E,2,FALSE),"")</f>
        <v/>
      </c>
      <c r="G27" s="353">
        <f>IFERROR(VLOOKUP(E27,Outlist!$A$5:$AC$120,5,FALSE)-INT(VLOOKUP(E27,Outlist!$A$5:$AC$120,5,FALSE)),"")</f>
        <v>0.4375</v>
      </c>
      <c r="H27" s="294">
        <f ca="1">IFERROR(IF(AND('INformazioni per calcoli'!$AB$3&lt;(--"14:30"),'INformazioni per calcoli'!$AB$3&gt;(--"10:00")),"",IF($B27="","",IF($X27&lt;&gt;"","Mezzo Chiuso",IF($W27="","Non al Carico",IF($K27="Safe Parking","Safe Parking", IF(OR($BF27='INformazioni per calcoli'!$AF$8,$BF27='INformazioni per calcoli'!$AC$8,$BF27='INformazioni per calcoli'!$AD$8,$BF27='INformazioni per calcoli'!$AE$8,$BF27='INformazioni per calcoli'!$AG$8,$BF27='INformazioni per calcoli'!$AH$8,$BF27='INformazioni per calcoli'!$AI$8,$BF27='INformazioni per calcoli'!$AJ$8),IF($G27-'INformazioni per calcoli'!$AB$6-'INformazioni per calcoli'!$AB$3+$J27&lt;0,"LFLS",$G27-'INformazioni per calcoli'!$AB$6-'INformazioni per calcoli'!$AB$3+$J27), IF(OR($BF27='INformazioni per calcoli'!$AF$6,$BF27='INformazioni per calcoli'!$AD$6,$BF27='INformazioni per calcoli'!$AE$6,$BF27='INformazioni per calcoli'!$AG$6),IF($G27-'INformazioni per calcoli'!$AB$8-'INformazioni per calcoli'!$AB$3+$J27&lt;0,"LFLS",$G27-'INformazioni per calcoli'!$AB$8-'INformazioni per calcoli'!$AB$3+$J27), IF($G27-'INformazioni per calcoli'!$AB$7-'INformazioni per calcoli'!$AB$3+$J27&lt;0,"LFLS",$G27-'INformazioni per calcoli'!$AB$7-'INformazioni per calcoli'!$AB$3+$J27)))))))),"")</f>
        <v>0.26425925925925925</v>
      </c>
      <c r="I27" s="17"/>
      <c r="J27" s="306">
        <f ca="1">IFERROR(IF($B27&lt;&gt;"",IF(AND('INformazioni per calcoli'!$AB$3&lt;(--"15:00"),'INformazioni per calcoli'!$AB$3&gt;(--"00:00")),0,IF($G27&lt;(--"18:30"),"+1",0)),""),"")</f>
        <v>0</v>
      </c>
      <c r="K27" s="27">
        <f>IF(E27&lt;&gt;"",IFERROR(VLOOKUP(E27,Outlist!$A$5:$AC$120,22,FALSE),""),"")</f>
        <v>0</v>
      </c>
      <c r="L27" s="352" t="str">
        <f>IF(E27&lt;&gt;"",IFERROR(VLOOKUP(E27,Outlist!$A$5:$AC$120,3,FALSE),""),"")</f>
        <v>Rayden N.V.</v>
      </c>
      <c r="M27" s="4" t="str">
        <f>IFERROR(_xlfn.XLOOKUP($Q27,'Elenco Casse'!$D:$D,'Elenco Casse'!$E:$E),"")</f>
        <v>Rayden N.V.</v>
      </c>
      <c r="N27" s="4">
        <f>IFERROR(_xlfn.XLOOKUP($Q27,'Elenco Casse'!$D:$D,'Elenco Casse'!$F:$F),"")</f>
        <v>0</v>
      </c>
      <c r="O27" s="4" t="str">
        <f>IF($L27&lt;&gt;"","TT-2/3","")</f>
        <v>TT-2/3</v>
      </c>
      <c r="P27" s="296" t="str">
        <f>IFERROR(IF(VLOOKUP(E27,Outlist!$A$5:$AC$120,21,FALSE)="YES","Linea Variata",""),"")</f>
        <v/>
      </c>
      <c r="Q27" s="355" t="s">
        <v>511</v>
      </c>
      <c r="R27" s="23" t="s">
        <v>420</v>
      </c>
      <c r="S27" s="25" t="str">
        <f>IFERROR(IF(VLOOKUP(E27,Outlist!$A$5:$AC$120,7,FALSE)="X","SUBCO",""),"")</f>
        <v>SUBCO</v>
      </c>
      <c r="T27" s="25"/>
      <c r="U27" s="23" t="s">
        <v>61</v>
      </c>
      <c r="V27" s="23" t="s">
        <v>500</v>
      </c>
      <c r="W27" s="26">
        <v>318</v>
      </c>
      <c r="X27" s="27"/>
      <c r="Y27" s="25"/>
      <c r="Z27" s="25"/>
      <c r="AA27" s="25" t="s">
        <v>40</v>
      </c>
      <c r="AB27" s="57"/>
      <c r="AC27" s="25"/>
      <c r="AD27" s="25" t="s">
        <v>487</v>
      </c>
      <c r="AE27" s="57"/>
      <c r="AF27" s="57"/>
      <c r="AG27" s="25"/>
      <c r="AH27" s="57"/>
      <c r="AI27" s="339"/>
      <c r="AJ27" s="339"/>
      <c r="AK27" s="297" t="str">
        <f>IF(X27&lt;&gt;"",CONCATENATE(IF(AA27&lt;&gt;"",CONCATENATE(Z27," ",AA27," ",BI27),""),IF(AD27&lt;&gt;"",CONCATENATE(","," ",AC27," ",AD27," ",BJ27),""),IF(AG27&lt;&gt;"",CONCATENATE(","," ",AF27," ",AG27," ",BK27),""),IF(AJ27&lt;&gt;"",CONCATENATE(","," ","DD"," ",BL27),"")," ",IF(AI27&lt;&gt;"",CONCATENATE(" - ",AI27," Bag"),"")),"")</f>
        <v/>
      </c>
      <c r="AL27" s="287"/>
      <c r="AM27" s="287"/>
      <c r="AN27" s="287"/>
      <c r="AO27" s="287"/>
      <c r="AP27" s="370">
        <f>IFERROR(VLOOKUP($E27,Outlist!$A$5:$V$120,20,FALSE),"")</f>
        <v>0</v>
      </c>
      <c r="AQ27" s="288" t="str">
        <f>IFERROR(IF(VLOOKUP($A27,#REF!,8,FALSE)&lt;&gt;"",VLOOKUP($A27,#REF!,8,FALSE),""),"")</f>
        <v/>
      </c>
      <c r="AS27" s="24"/>
      <c r="AT27" s="24"/>
      <c r="AU27" s="27"/>
      <c r="AV27" s="27"/>
      <c r="AX27" s="20" t="str">
        <f>IFERROR(IF(Out_Table[[#This Row],[Cancellazione linea]]="Cancellata","yes",""),"")</f>
        <v/>
      </c>
      <c r="AY27" s="72"/>
      <c r="AZ27" s="27"/>
      <c r="BA27" s="32"/>
      <c r="BB27" s="72"/>
      <c r="BC27" s="72" t="str">
        <f>IFERROR(VLOOKUP(Out_Table[[#This Row],[Aggiornamento STATUS]],'INformazioni per calcoli'!$Y$70:$AA$76,2,FALSE),"")</f>
        <v/>
      </c>
      <c r="BD27" s="289"/>
      <c r="BE27" s="289"/>
      <c r="BF27" s="47" t="str">
        <f>LEFT($E27,3)</f>
        <v>XPI</v>
      </c>
      <c r="BG27" s="298" t="str">
        <f>IF(Out_Table[[#This Row],[Ora Uscita    (GH)]]&lt;&gt;"","x","")</f>
        <v/>
      </c>
      <c r="BH27" s="299">
        <f>VLOOKUP($O27,'INformazioni per calcoli'!$Y$20:$AA$23,3,FALSE)</f>
        <v>14</v>
      </c>
      <c r="BI27" s="299">
        <f>MROUND(Out_Table[[#This Row],[Mtr. Trailer]]*AB27,0.5)</f>
        <v>0</v>
      </c>
      <c r="BJ27" s="299">
        <f>MROUND(Out_Table[[#This Row],[Mtr. Trailer]]*AE27,0.5)</f>
        <v>0</v>
      </c>
      <c r="BK27" s="299">
        <f>MROUND(Out_Table[[#This Row],[Mtr. Trailer]]*AH27,0.5)</f>
        <v>0</v>
      </c>
      <c r="BL27" s="300">
        <f>Out_Table[[#This Row],[Double Deck trailer N° bumpers]]</f>
        <v>0</v>
      </c>
      <c r="BM27" s="301"/>
      <c r="BN27" s="299" t="str">
        <f>B27</f>
        <v>ERN14512</v>
      </c>
      <c r="BO27" s="299" t="str">
        <f>E27</f>
        <v>XPI 3</v>
      </c>
      <c r="BP27" s="302">
        <f>IF(AND(G27&gt;(--"00:00:01"),G27&lt;(--"15:00:00")),IF(AND(X27&gt;(--"00:00:01"),X27&lt;(--"15:00:00")),G27-X27,G27+1-X27),G27-X27)</f>
        <v>1.4375</v>
      </c>
      <c r="BQ27" s="303">
        <f>AE27+AF27+AH27+AJ27</f>
        <v>0</v>
      </c>
      <c r="BR27" s="304" t="str">
        <f>IF(OR(BP27&lt;=(--"00:20:00"),BQ27&gt;=100%),"OK","Not OK")</f>
        <v>Not OK</v>
      </c>
      <c r="BS27" s="302">
        <f>IF(AND(G27&gt;(--"00:00:01"),G27&lt;(--"15:00:00")),IF(AND(AU27&gt;(--"00:00:01"),AU27&lt;(--"15:00:00")),G27-AU27,G27+1-AU27),G27-AU27)</f>
        <v>1.4375</v>
      </c>
      <c r="BT27" s="302">
        <f>IF(AND(AZ27&gt;(--"00:00:01"),AZ27&lt;(--"15:00:00")),IF(AND(AU27&gt;(--"00:00:01"),AU27&lt;(--"15:00:00")),AZ27-AU27,AZ27+1-AU27),AZ27-AU27)</f>
        <v>0</v>
      </c>
      <c r="BU27" s="302">
        <f>IF(AND(BA27&gt;(--"00:00:01"),BA27&lt;(--"15:00:00")),IF(AND(AZ27&gt;(--"00:00:01"),AZ27&lt;(--"15:00:00")),BA27-AZ27,BA27+1-AZ27),BA27-AZ27)</f>
        <v>0</v>
      </c>
      <c r="BV27" s="299">
        <f>AV27</f>
        <v>0</v>
      </c>
      <c r="BW27" s="301"/>
      <c r="BX27" s="299" t="str">
        <f>IF(AV27="T Status",IF(AV27&lt;&gt;T27,"X",""),"")</f>
        <v/>
      </c>
      <c r="BY27" s="301"/>
      <c r="BZ27" s="299" t="str">
        <f>IF(X27&lt;&gt;"",IF(CC27="X","Driver Delay",IF(CA27="X","Paperwork Delay",IF(CB27="X","Late freight late sort",IF(CD27="X","Chiamare Control Room",IF(CE27="X","Chiamare Control Room",IF(CF27="X","Chiamare Control Room","")))))),"")</f>
        <v/>
      </c>
      <c r="CA27" s="302" t="str">
        <f>IF(K27="",IF(IF(AND(G27&gt;(--"00:00:01"),G27&lt;(--"15:00:00")),IF(AND(AT27&gt;(--"08:00:00"),AT27&lt;(--"23:59:59")),G27+1-AT27,G27-AT27),G27-AT27)&gt;(--"00:20:00"),"","X"),"")</f>
        <v/>
      </c>
      <c r="CB27" s="299" t="str">
        <f>IF(K27="",IF(BP27&gt;=(--"00:20:00"),"","X"),"")</f>
        <v/>
      </c>
      <c r="CC27" s="299" t="str">
        <f>IF(OR(AV27="Autista non presente",AV27="Dati driver non presenti"),"X","")</f>
        <v/>
      </c>
      <c r="CD27" s="299" t="str">
        <f>IF(K27="",IF(AND(CC27="",BS27&lt;(--"00:20:00")),"X",""),"")</f>
        <v/>
      </c>
      <c r="CE27" s="299" t="str">
        <f>IF(K27="",IF(BT27&gt;(--"00:15:00"),"X",""),IF(AZ27&lt;&gt;"",IF(G27-AZ27&gt;(--"00:30:00"),"X",""),""))</f>
        <v/>
      </c>
      <c r="CF27" s="299" t="str">
        <f>IF(AND(CA27="",CB27="",CC27="",CD27="",CE27=""),"X","")</f>
        <v>X</v>
      </c>
      <c r="CG27" s="301"/>
      <c r="CH27" s="299" t="str">
        <f>IF(BT27&gt;(--"00:15:00"),"X","")</f>
        <v/>
      </c>
      <c r="CI27" s="302">
        <f>AY27</f>
        <v>0</v>
      </c>
      <c r="CJ27" s="299" t="str">
        <f>IF(AND(CH27&lt;&gt;"",CI27&lt;&gt;"",LEFT(B27,3)="ITD"),AP27,"")</f>
        <v/>
      </c>
      <c r="CK27" s="305" t="str">
        <f>IF(CJ27&lt;&gt;"",BT27,"")</f>
        <v/>
      </c>
      <c r="CL27" s="301"/>
      <c r="CM27" s="305" t="str">
        <f>IFERROR(VLOOKUP(Q27,'Elenco Casse'!$D$4:$F$292,3,FALSE),"")</f>
        <v/>
      </c>
      <c r="CN27" s="301"/>
      <c r="CO27" s="305" t="str">
        <f>IFERROR(VLOOKUP(E27,Outlist!$A$5:$H$120,8,FALSE),"")</f>
        <v>QAPJ563</v>
      </c>
      <c r="CP27" s="305" t="str">
        <f>IFERROR(IF(VLOOKUP($E27,Outlist!$A$5:$S$120,19,FALSE)&lt;&gt;0,"Y",""),"")</f>
        <v/>
      </c>
      <c r="CQ27" s="301"/>
      <c r="CR27" s="305" t="str">
        <f>CONCATENATE($B27,$E27,$G27)</f>
        <v>ERN14512XPI 30.4375</v>
      </c>
      <c r="CS27" s="301"/>
      <c r="CT27" s="305">
        <f>VLOOKUP(Out_Table[[#This Row],[Destination             ORANGE (From Planning)]],Outlist!$A$5:$W$120,22,FALSE)</f>
        <v>0</v>
      </c>
    </row>
    <row r="28" spans="1:98" s="20" customFormat="1" ht="15">
      <c r="A28" s="305" t="str">
        <f>$CR28</f>
        <v>ERN14441MV9 30.4375</v>
      </c>
      <c r="B28" s="351" t="str">
        <f>IFERROR(VLOOKUP(E28,Outlist!$A$5:$AC$120,2,FALSE),"")</f>
        <v>ERN14441</v>
      </c>
      <c r="C28" s="352" t="str">
        <f>IFERROR(IF(LEFT(B28,3)='STAT 77'!$X$2,_xlfn.XLOOKUP(B28,'STAT 77'!C:C,'STAT 77'!B:B),_xlfn.XLOOKUP(B28,'STAT 77'!B:B,'STAT 77'!C:C)),"NON TROVATO")</f>
        <v>ERN07145</v>
      </c>
      <c r="D28" s="4"/>
      <c r="E28" s="352" t="str">
        <f>IFERROR(IF(Outlist!$A40&lt;&gt;"",Outlist!$A40,""),"")</f>
        <v>MV9 3</v>
      </c>
      <c r="F28" s="352" t="str">
        <f>IFERROR(VLOOKUP(E28,'Cambio O2P'!C:E,2,FALSE),"")</f>
        <v/>
      </c>
      <c r="G28" s="353">
        <f>IFERROR(VLOOKUP(E28,Outlist!$A$5:$AC$120,5,FALSE)-INT(VLOOKUP(E28,Outlist!$A$5:$AC$120,5,FALSE)),"")</f>
        <v>0.4375</v>
      </c>
      <c r="H28" s="294">
        <f ca="1">IFERROR(IF(AND('INformazioni per calcoli'!$AB$3&lt;(--"14:30"),'INformazioni per calcoli'!$AB$3&gt;(--"10:00")),"",IF($B28="","",IF($X28&lt;&gt;"","Mezzo Chiuso",IF($W28="","Non al Carico",IF($K28="Safe Parking","Safe Parking", IF(OR($BF28='INformazioni per calcoli'!$AF$8,$BF28='INformazioni per calcoli'!$AC$8,$BF28='INformazioni per calcoli'!$AD$8,$BF28='INformazioni per calcoli'!$AE$8,$BF28='INformazioni per calcoli'!$AG$8,$BF28='INformazioni per calcoli'!$AH$8,$BF28='INformazioni per calcoli'!$AI$8,$BF28='INformazioni per calcoli'!$AJ$8),IF($G28-'INformazioni per calcoli'!$AB$6-'INformazioni per calcoli'!$AB$3+$J28&lt;0,"LFLS",$G28-'INformazioni per calcoli'!$AB$6-'INformazioni per calcoli'!$AB$3+$J28), IF(OR($BF28='INformazioni per calcoli'!$AF$6,$BF28='INformazioni per calcoli'!$AD$6,$BF28='INformazioni per calcoli'!$AE$6,$BF28='INformazioni per calcoli'!$AG$6),IF($G28-'INformazioni per calcoli'!$AB$8-'INformazioni per calcoli'!$AB$3+$J28&lt;0,"LFLS",$G28-'INformazioni per calcoli'!$AB$8-'INformazioni per calcoli'!$AB$3+$J28), IF($G28-'INformazioni per calcoli'!$AB$7-'INformazioni per calcoli'!$AB$3+$J28&lt;0,"LFLS",$G28-'INformazioni per calcoli'!$AB$7-'INformazioni per calcoli'!$AB$3+$J28)))))))),"")</f>
        <v>0.25037037037037035</v>
      </c>
      <c r="I28" s="17" t="str">
        <f ca="1">IFERROR(IF($H28&lt;&gt;"",IF($H28="Safe Parking","",IF($W28&lt;&gt;"",IF(AND($U28="X",$V28="X"),$H28-(--"00:30"),""),IF($X28&lt;&gt;"","Mezzo Chiuso","Non al carico"))),""),"")</f>
        <v/>
      </c>
      <c r="J28" s="306">
        <f ca="1">IFERROR(IF($B28&lt;&gt;"",IF(AND('INformazioni per calcoli'!$AB$3&lt;(--"15:00"),'INformazioni per calcoli'!$AB$3&gt;(--"00:00")),0,IF($G28&lt;(--"18:30"),"+1",0)),""),"")</f>
        <v>0</v>
      </c>
      <c r="K28" s="27">
        <f>IF(E28&lt;&gt;"",IFERROR(VLOOKUP(E28,Outlist!$A$5:$AC$120,22,FALSE),""),"")</f>
        <v>0</v>
      </c>
      <c r="L28" s="352" t="str">
        <f>IF(E28&lt;&gt;"",IFERROR(VLOOKUP(E28,Outlist!$A$5:$AC$120,3,FALSE),""),"")</f>
        <v>Matelda Srl</v>
      </c>
      <c r="M28" s="4" t="str">
        <f>IFERROR(_xlfn.XLOOKUP($Q28,'Elenco Casse'!$D:$D,'Elenco Casse'!$E:$E),"")</f>
        <v/>
      </c>
      <c r="N28" s="4" t="str">
        <f>IFERROR(_xlfn.XLOOKUP($Q28,'Elenco Casse'!$D:$D,'Elenco Casse'!$F:$F),"")</f>
        <v/>
      </c>
      <c r="O28" s="4" t="str">
        <f>IF($L28&lt;&gt;"","TT-2/3","")</f>
        <v>TT-2/3</v>
      </c>
      <c r="P28" s="296" t="str">
        <f>IFERROR(IF(VLOOKUP(E28,Outlist!$A$5:$AC$120,21,FALSE)="YES","Linea Variata",""),"")</f>
        <v/>
      </c>
      <c r="Q28" s="355" t="s">
        <v>512</v>
      </c>
      <c r="R28" s="23" t="s">
        <v>420</v>
      </c>
      <c r="S28" s="25" t="str">
        <f>IFERROR(IF(VLOOKUP(E28,Outlist!$A$5:$AC$120,7,FALSE)="X","SUBCO",""),"")</f>
        <v/>
      </c>
      <c r="T28" s="25"/>
      <c r="U28" s="23" t="s">
        <v>61</v>
      </c>
      <c r="V28" s="23"/>
      <c r="W28" s="26">
        <v>319</v>
      </c>
      <c r="X28" s="27"/>
      <c r="Y28" s="25"/>
      <c r="Z28" s="25"/>
      <c r="AA28" s="25" t="s">
        <v>40</v>
      </c>
      <c r="AB28" s="57"/>
      <c r="AC28" s="25"/>
      <c r="AD28" s="25"/>
      <c r="AE28" s="57"/>
      <c r="AF28" s="57"/>
      <c r="AG28" s="25"/>
      <c r="AH28" s="57"/>
      <c r="AI28" s="339"/>
      <c r="AJ28" s="339"/>
      <c r="AK28" s="297" t="str">
        <f>IF(X28&lt;&gt;"",CONCATENATE(IF(AA28&lt;&gt;"",CONCATENATE(Z28," ",AA28," ",BI28),""),IF(AD28&lt;&gt;"",CONCATENATE(","," ",AC28," ",AD28," ",BJ28),""),IF(AG28&lt;&gt;"",CONCATENATE(","," ",AF28," ",AG28," ",BK28),""),IF(AJ28&lt;&gt;"",CONCATENATE(","," ","DD"," ",BL28),"")," ",IF(AI28&lt;&gt;"",CONCATENATE(" - ",AI28," Bag"),"")),"")</f>
        <v/>
      </c>
      <c r="AL28" s="287"/>
      <c r="AM28" s="287"/>
      <c r="AN28" s="287"/>
      <c r="AO28" s="287"/>
      <c r="AP28" s="370">
        <f>IFERROR(VLOOKUP($E28,Outlist!$A$5:$V$120,20,FALSE),"")</f>
        <v>0</v>
      </c>
      <c r="AQ28" s="288" t="str">
        <f>IFERROR(IF(VLOOKUP($A28,#REF!,8,FALSE)&lt;&gt;"",VLOOKUP($A28,#REF!,8,FALSE),""),"")</f>
        <v/>
      </c>
      <c r="AS28" s="24"/>
      <c r="AT28" s="24"/>
      <c r="AU28" s="27"/>
      <c r="AV28" s="27"/>
      <c r="AX28" s="20" t="str">
        <f>IFERROR(IF(Out_Table[[#This Row],[Cancellazione linea]]="Cancellata","yes",""),"")</f>
        <v/>
      </c>
      <c r="AY28" s="72"/>
      <c r="AZ28" s="27"/>
      <c r="BA28" s="32"/>
      <c r="BB28" s="72"/>
      <c r="BC28" s="72" t="str">
        <f>IFERROR(VLOOKUP(Out_Table[[#This Row],[Aggiornamento STATUS]],'INformazioni per calcoli'!$Y$70:$AA$76,2,FALSE),"")</f>
        <v/>
      </c>
      <c r="BD28" s="289"/>
      <c r="BE28" s="289"/>
      <c r="BF28" s="47" t="str">
        <f>LEFT($E28,3)</f>
        <v>MV9</v>
      </c>
      <c r="BG28" s="298" t="str">
        <f>IF(Out_Table[[#This Row],[Ora Uscita    (GH)]]&lt;&gt;"","x","")</f>
        <v/>
      </c>
      <c r="BH28" s="299">
        <f>VLOOKUP($O28,'INformazioni per calcoli'!$Y$20:$AA$23,3,FALSE)</f>
        <v>14</v>
      </c>
      <c r="BI28" s="299">
        <f>MROUND(Out_Table[[#This Row],[Mtr. Trailer]]*AB28,0.5)</f>
        <v>0</v>
      </c>
      <c r="BJ28" s="299">
        <f>MROUND(Out_Table[[#This Row],[Mtr. Trailer]]*AE28,0.5)</f>
        <v>0</v>
      </c>
      <c r="BK28" s="299">
        <f>MROUND(Out_Table[[#This Row],[Mtr. Trailer]]*AH28,0.5)</f>
        <v>0</v>
      </c>
      <c r="BL28" s="300">
        <f>Out_Table[[#This Row],[Double Deck trailer N° bumpers]]</f>
        <v>0</v>
      </c>
      <c r="BM28" s="301"/>
      <c r="BN28" s="299" t="str">
        <f>B28</f>
        <v>ERN14441</v>
      </c>
      <c r="BO28" s="299" t="str">
        <f>E28</f>
        <v>MV9 3</v>
      </c>
      <c r="BP28" s="302">
        <f>IF(AND(G28&gt;(--"00:00:01"),G28&lt;(--"15:00:00")),IF(AND(X28&gt;(--"00:00:01"),X28&lt;(--"15:00:00")),G28-X28,G28+1-X28),G28-X28)</f>
        <v>1.4375</v>
      </c>
      <c r="BQ28" s="303">
        <f>AE28+AF28+AH28+AJ28</f>
        <v>0</v>
      </c>
      <c r="BR28" s="304" t="str">
        <f>IF(OR(BP28&lt;=(--"00:20:00"),BQ28&gt;=100%),"OK","Not OK")</f>
        <v>Not OK</v>
      </c>
      <c r="BS28" s="302">
        <f>IF(AND(G28&gt;(--"00:00:01"),G28&lt;(--"15:00:00")),IF(AND(AU28&gt;(--"00:00:01"),AU28&lt;(--"15:00:00")),G28-AU28,G28+1-AU28),G28-AU28)</f>
        <v>1.4375</v>
      </c>
      <c r="BT28" s="302">
        <f>IF(AND(AZ28&gt;(--"00:00:01"),AZ28&lt;(--"15:00:00")),IF(AND(AU28&gt;(--"00:00:01"),AU28&lt;(--"15:00:00")),AZ28-AU28,AZ28+1-AU28),AZ28-AU28)</f>
        <v>0</v>
      </c>
      <c r="BU28" s="302">
        <f>IF(AND(BA28&gt;(--"00:00:01"),BA28&lt;(--"15:00:00")),IF(AND(AZ28&gt;(--"00:00:01"),AZ28&lt;(--"15:00:00")),BA28-AZ28,BA28+1-AZ28),BA28-AZ28)</f>
        <v>0</v>
      </c>
      <c r="BV28" s="299">
        <f>AV28</f>
        <v>0</v>
      </c>
      <c r="BW28" s="301"/>
      <c r="BX28" s="299" t="str">
        <f>IF(AV28="T Status",IF(AV28&lt;&gt;T28,"X",""),"")</f>
        <v/>
      </c>
      <c r="BY28" s="301"/>
      <c r="BZ28" s="299" t="str">
        <f>IF(X28&lt;&gt;"",IF(CC28="X","Driver Delay",IF(CA28="X","Paperwork Delay",IF(CB28="X","Late freight late sort",IF(CD28="X","Chiamare Control Room",IF(CE28="X","Chiamare Control Room",IF(CF28="X","Chiamare Control Room","")))))),"")</f>
        <v/>
      </c>
      <c r="CA28" s="302" t="str">
        <f>IF(K28="",IF(IF(AND(G28&gt;(--"00:00:01"),G28&lt;(--"15:00:00")),IF(AND(AT28&gt;(--"08:00:00"),AT28&lt;(--"23:59:59")),G28+1-AT28,G28-AT28),G28-AT28)&gt;(--"00:20:00"),"","X"),"")</f>
        <v/>
      </c>
      <c r="CB28" s="299" t="str">
        <f>IF(K28="",IF(BP28&gt;=(--"00:20:00"),"","X"),"")</f>
        <v/>
      </c>
      <c r="CC28" s="299" t="str">
        <f>IF(OR(AV28="Autista non presente",AV28="Dati driver non presenti"),"X","")</f>
        <v/>
      </c>
      <c r="CD28" s="299" t="str">
        <f>IF(K28="",IF(AND(CC28="",BS28&lt;(--"00:20:00")),"X",""),"")</f>
        <v/>
      </c>
      <c r="CE28" s="299" t="str">
        <f>IF(K28="",IF(BT28&gt;(--"00:15:00"),"X",""),IF(AZ28&lt;&gt;"",IF(G28-AZ28&gt;(--"00:30:00"),"X",""),""))</f>
        <v/>
      </c>
      <c r="CF28" s="299" t="str">
        <f>IF(AND(CA28="",CB28="",CC28="",CD28="",CE28=""),"X","")</f>
        <v>X</v>
      </c>
      <c r="CG28" s="301"/>
      <c r="CH28" s="299" t="str">
        <f>IF(BT28&gt;(--"00:15:00"),"X","")</f>
        <v/>
      </c>
      <c r="CI28" s="302">
        <f>AY28</f>
        <v>0</v>
      </c>
      <c r="CJ28" s="299" t="str">
        <f>IF(AND(CH28&lt;&gt;"",CI28&lt;&gt;"",LEFT(B28,3)="ITD"),AP28,"")</f>
        <v/>
      </c>
      <c r="CK28" s="305" t="str">
        <f>IF(CJ28&lt;&gt;"",BT28,"")</f>
        <v/>
      </c>
      <c r="CL28" s="301"/>
      <c r="CM28" s="305" t="str">
        <f>IFERROR(VLOOKUP(Q28,'Elenco Casse'!$D$4:$F$292,3,FALSE),"")</f>
        <v/>
      </c>
      <c r="CN28" s="301"/>
      <c r="CO28" s="305" t="str">
        <f>IFERROR(VLOOKUP(E28,Outlist!$A$5:$H$120,8,FALSE),"")</f>
        <v>RENT614</v>
      </c>
      <c r="CP28" s="305" t="str">
        <f>IFERROR(IF(VLOOKUP($E28,Outlist!$A$5:$S$120,19,FALSE)&lt;&gt;0,"Y",""),"")</f>
        <v/>
      </c>
      <c r="CQ28" s="301"/>
      <c r="CR28" s="305" t="str">
        <f>CONCATENATE($B28,$E28,$G28)</f>
        <v>ERN14441MV9 30.4375</v>
      </c>
      <c r="CS28" s="301"/>
      <c r="CT28" s="305">
        <f>VLOOKUP(Out_Table[[#This Row],[Destination             ORANGE (From Planning)]],Outlist!$A$5:$W$120,22,FALSE)</f>
        <v>0</v>
      </c>
    </row>
    <row r="29" spans="1:98" s="20" customFormat="1" ht="30.75">
      <c r="A29" s="305" t="str">
        <f>$CR29</f>
        <v>ERN00921LYS 10.9375</v>
      </c>
      <c r="B29" s="351" t="str">
        <f>IFERROR(VLOOKUP(E29,Outlist!$A$5:$AC$120,2,FALSE),"")</f>
        <v>ERN00921</v>
      </c>
      <c r="C29" s="352" t="str">
        <f>IFERROR(IF(LEFT(B29,3)='STAT 77'!$X$2,_xlfn.XLOOKUP(B29,'STAT 77'!C:C,'STAT 77'!B:B),_xlfn.XLOOKUP(B29,'STAT 77'!B:B,'STAT 77'!C:C)),"NON TROVATO")</f>
        <v>ERN00469</v>
      </c>
      <c r="D29" s="4"/>
      <c r="E29" s="352" t="str">
        <f>IFERROR(IF(Outlist!$A43&lt;&gt;"",Outlist!$A43,""),"")</f>
        <v>LYS 1</v>
      </c>
      <c r="F29" s="352" t="str">
        <f>IFERROR(VLOOKUP(E29,'Cambio O2P'!C:E,2,FALSE),"")</f>
        <v/>
      </c>
      <c r="G29" s="353">
        <f>IFERROR(VLOOKUP(E29,Outlist!$A$5:$AC$120,5,FALSE)-INT(VLOOKUP(E29,Outlist!$A$5:$AC$120,5,FALSE)),"")</f>
        <v>0.9375</v>
      </c>
      <c r="H29" s="294" t="str">
        <f ca="1">IFERROR(IF(AND('INformazioni per calcoli'!$AB$3&lt;(--"14:30"),'INformazioni per calcoli'!$AB$3&gt;(--"10:00")),"",IF($B29="","",IF($X29&lt;&gt;"","Mezzo Chiuso",IF($W29="","Non al Carico",IF($K29="Safe Parking","Safe Parking", IF(OR($BF29='INformazioni per calcoli'!$AF$8,$BF29='INformazioni per calcoli'!$AC$8,$BF29='INformazioni per calcoli'!$AD$8,$BF29='INformazioni per calcoli'!$AE$8,$BF29='INformazioni per calcoli'!$AG$8,$BF29='INformazioni per calcoli'!$AH$8,$BF29='INformazioni per calcoli'!$AI$8,$BF29='INformazioni per calcoli'!$AJ$8),IF($G29-'INformazioni per calcoli'!$AB$6-'INformazioni per calcoli'!$AB$3+$J29&lt;0,"LFLS",$G29-'INformazioni per calcoli'!$AB$6-'INformazioni per calcoli'!$AB$3+$J29), IF(OR($BF29='INformazioni per calcoli'!$AF$6,$BF29='INformazioni per calcoli'!$AD$6,$BF29='INformazioni per calcoli'!$AE$6,$BF29='INformazioni per calcoli'!$AG$6),IF($G29-'INformazioni per calcoli'!$AB$8-'INformazioni per calcoli'!$AB$3+$J29&lt;0,"LFLS",$G29-'INformazioni per calcoli'!$AB$8-'INformazioni per calcoli'!$AB$3+$J29), IF($G29-'INformazioni per calcoli'!$AB$7-'INformazioni per calcoli'!$AB$3+$J29&lt;0,"LFLS",$G29-'INformazioni per calcoli'!$AB$7-'INformazioni per calcoli'!$AB$3+$J29)))))))),"")</f>
        <v>Mezzo Chiuso</v>
      </c>
      <c r="I29" s="17" t="str">
        <f ca="1">IFERROR(IF($H29&lt;&gt;"",IF($H29="Safe Parking","",IF($W29&lt;&gt;"",IF(AND($U29="X",$V29="X"),$H29-(--"00:30"),""),IF($X29&lt;&gt;"","Mezzo Chiuso","Non al carico"))),""),"")</f>
        <v/>
      </c>
      <c r="J29" s="354">
        <f ca="1">IFERROR(IF($G29="","",IF(INT(VLOOKUP($E29,Outlist!$A$5:$E$120,5,FALSE))&gt;'INformazioni per calcoli'!$AB$2,INT(VLOOKUP($E29,Outlist!$A$5:$E$120,5,FALSE))-INT('INformazioni per calcoli'!$AB$2),0)),"")</f>
        <v>0</v>
      </c>
      <c r="K29" s="27">
        <f>IF(E29&lt;&gt;"",IFERROR(VLOOKUP(E29,Outlist!$A$5:$AC$120,22,FALSE),""),"")</f>
        <v>0</v>
      </c>
      <c r="L29" s="352" t="str">
        <f>IF(E29&lt;&gt;"",IFERROR(VLOOKUP(E29,Outlist!$A$5:$AC$120,3,FALSE),""),"")</f>
        <v>Laurent Transport Et Garage</v>
      </c>
      <c r="M29" s="4" t="str">
        <f>IFERROR(_xlfn.XLOOKUP($Q29,'Elenco Casse'!$D:$D,'Elenco Casse'!$E:$E),"")</f>
        <v/>
      </c>
      <c r="N29" s="4" t="str">
        <f>IFERROR(_xlfn.XLOOKUP($Q29,'Elenco Casse'!$D:$D,'Elenco Casse'!$F:$F),"")</f>
        <v/>
      </c>
      <c r="O29" s="4" t="str">
        <f>IF($L29&lt;&gt;"","TT-2/3","")</f>
        <v>TT-2/3</v>
      </c>
      <c r="P29" s="296" t="str">
        <f>IFERROR(IF(VLOOKUP(E29,Outlist!$A$5:$AC$120,21,FALSE)="YES","Linea Variata",""),"")</f>
        <v/>
      </c>
      <c r="Q29" s="355" t="s">
        <v>513</v>
      </c>
      <c r="R29" s="23" t="s">
        <v>420</v>
      </c>
      <c r="S29" s="25" t="str">
        <f>IFERROR(IF(VLOOKUP(E29,Outlist!$A$5:$AC$120,7,FALSE)="X","SUBCO",""),"")</f>
        <v/>
      </c>
      <c r="T29" s="25"/>
      <c r="U29" s="23" t="s">
        <v>61</v>
      </c>
      <c r="V29" s="23"/>
      <c r="W29" s="26">
        <v>322</v>
      </c>
      <c r="X29" s="27">
        <v>0.9</v>
      </c>
      <c r="Y29" s="25" t="s">
        <v>514</v>
      </c>
      <c r="Z29" s="25"/>
      <c r="AA29" s="25" t="s">
        <v>40</v>
      </c>
      <c r="AB29" s="57">
        <v>0.9</v>
      </c>
      <c r="AC29" s="25"/>
      <c r="AD29" s="25"/>
      <c r="AE29" s="57"/>
      <c r="AF29" s="57"/>
      <c r="AG29" s="25"/>
      <c r="AH29" s="57"/>
      <c r="AI29" s="339">
        <v>22</v>
      </c>
      <c r="AJ29" s="339"/>
      <c r="AK29" s="297" t="str">
        <f>IF(X29&lt;&gt;"",CONCATENATE(IF(AA29&lt;&gt;"",CONCATENATE(Z29," ",AA29," ",BI29),""),IF(AD29&lt;&gt;"",CONCATENATE(","," ",AC29," ",AD29," ",BJ29),""),IF(AG29&lt;&gt;"",CONCATENATE(","," ",AF29," ",AG29," ",BK29),""),IF(AJ29&lt;&gt;"",CONCATENATE(","," ","DD"," ",BL29),"")," ",IF(AI29&lt;&gt;"",CONCATENATE(" - ",AI29," Bag"),"")),"")</f>
        <v xml:space="preserve"> LL 12.5  - 22 Bag</v>
      </c>
      <c r="AL29" s="287" t="s">
        <v>421</v>
      </c>
      <c r="AM29" s="287"/>
      <c r="AN29" s="287"/>
      <c r="AO29" s="287"/>
      <c r="AP29" s="370">
        <f>IFERROR(VLOOKUP($E29,Outlist!$A$5:$V$120,20,FALSE),"")</f>
        <v>0</v>
      </c>
      <c r="AQ29" s="288" t="s">
        <v>515</v>
      </c>
      <c r="AR29" s="426">
        <v>0.90277777777777779</v>
      </c>
      <c r="AS29" s="24">
        <v>0.90486111111111112</v>
      </c>
      <c r="AT29" s="24">
        <v>0.90625</v>
      </c>
      <c r="AU29" s="27"/>
      <c r="AV29" s="27"/>
      <c r="AW29" s="20" t="s">
        <v>443</v>
      </c>
      <c r="AX29" s="20" t="str">
        <f>IFERROR(IF(Out_Table[[#This Row],[Cancellazione linea]]="Cancellata","yes",""),"")</f>
        <v/>
      </c>
      <c r="AY29" s="72"/>
      <c r="AZ29" s="27">
        <v>0.91249999999999998</v>
      </c>
      <c r="BA29" s="32">
        <v>0.92013888888888884</v>
      </c>
      <c r="BB29" s="72"/>
      <c r="BC29" s="72" t="str">
        <f>IFERROR(VLOOKUP(Out_Table[[#This Row],[Aggiornamento STATUS]],'INformazioni per calcoli'!$Y$70:$AA$76,2,FALSE),"")</f>
        <v/>
      </c>
      <c r="BD29" s="289"/>
      <c r="BE29" s="289"/>
      <c r="BF29" s="47" t="str">
        <f>LEFT($E29,3)</f>
        <v>LYS</v>
      </c>
      <c r="BG29" s="298" t="str">
        <f>IF(Out_Table[[#This Row],[Ora Uscita    (GH)]]&lt;&gt;"","x","")</f>
        <v>x</v>
      </c>
      <c r="BH29" s="299">
        <f>VLOOKUP($O29,'INformazioni per calcoli'!$Y$20:$AA$23,3,FALSE)</f>
        <v>14</v>
      </c>
      <c r="BI29" s="299">
        <f>MROUND(Out_Table[[#This Row],[Mtr. Trailer]]*AB29,0.5)</f>
        <v>12.5</v>
      </c>
      <c r="BJ29" s="299">
        <f>MROUND(Out_Table[[#This Row],[Mtr. Trailer]]*AE29,0.5)</f>
        <v>0</v>
      </c>
      <c r="BK29" s="299">
        <f>MROUND(Out_Table[[#This Row],[Mtr. Trailer]]*AH29,0.5)</f>
        <v>0</v>
      </c>
      <c r="BL29" s="300">
        <f>Out_Table[[#This Row],[Double Deck trailer N° bumpers]]</f>
        <v>0</v>
      </c>
      <c r="BM29" s="301"/>
      <c r="BN29" s="299" t="str">
        <f>B29</f>
        <v>ERN00921</v>
      </c>
      <c r="BO29" s="299" t="str">
        <f>E29</f>
        <v>LYS 1</v>
      </c>
      <c r="BP29" s="302">
        <f>IF(AND(G29&gt;(--"00:00:01"),G29&lt;(--"15:00:00")),IF(AND(X29&gt;(--"00:00:01"),X29&lt;(--"15:00:00")),G29-X29,G29+1-X29),G29-X29)</f>
        <v>3.7499999999999978E-2</v>
      </c>
      <c r="BQ29" s="303">
        <f>AE29+AF29+AH29+AJ29</f>
        <v>0</v>
      </c>
      <c r="BR29" s="304" t="str">
        <f>IF(OR(BP29&lt;=(--"00:20:00"),BQ29&gt;=100%),"OK","Not OK")</f>
        <v>Not OK</v>
      </c>
      <c r="BS29" s="302">
        <f>IF(AND(G29&gt;(--"00:00:01"),G29&lt;(--"15:00:00")),IF(AND(AU29&gt;(--"00:00:01"),AU29&lt;(--"15:00:00")),G29-AU29,G29+1-AU29),G29-AU29)</f>
        <v>0.9375</v>
      </c>
      <c r="BT29" s="302">
        <f>IF(AND(AZ29&gt;(--"00:00:01"),AZ29&lt;(--"15:00:00")),IF(AND(AU29&gt;(--"00:00:01"),AU29&lt;(--"15:00:00")),AZ29-AU29,AZ29+1-AU29),AZ29-AU29)</f>
        <v>0.91249999999999998</v>
      </c>
      <c r="BU29" s="302">
        <f>IF(AND(BA29&gt;(--"00:00:01"),BA29&lt;(--"15:00:00")),IF(AND(AZ29&gt;(--"00:00:01"),AZ29&lt;(--"15:00:00")),BA29-AZ29,BA29+1-AZ29),BA29-AZ29)</f>
        <v>7.6388888888888618E-3</v>
      </c>
      <c r="BV29" s="299">
        <f>AV29</f>
        <v>0</v>
      </c>
      <c r="BW29" s="301"/>
      <c r="BX29" s="299" t="str">
        <f>IF(AV29="T Status",IF(AV29&lt;&gt;T29,"X",""),"")</f>
        <v/>
      </c>
      <c r="BY29" s="301"/>
      <c r="BZ29" s="299" t="str">
        <f>IF(X29&lt;&gt;"",IF(CC29="X","Driver Delay",IF(CA29="X","Paperwork Delay",IF(CB29="X","Late freight late sort",IF(CD29="X","Chiamare Control Room",IF(CE29="X","Chiamare Control Room",IF(CF29="X","Chiamare Control Room","")))))),"")</f>
        <v>Chiamare Control Room</v>
      </c>
      <c r="CA29" s="302" t="str">
        <f>IF(K29="",IF(IF(AND(G29&gt;(--"00:00:01"),G29&lt;(--"15:00:00")),IF(AND(AT29&gt;(--"08:00:00"),AT29&lt;(--"23:59:59")),G29+1-AT29,G29-AT29),G29-AT29)&gt;(--"00:20:00"),"","X"),"")</f>
        <v/>
      </c>
      <c r="CB29" s="299" t="str">
        <f>IF(K29="",IF(BP29&gt;=(--"00:20:00"),"","X"),"")</f>
        <v/>
      </c>
      <c r="CC29" s="299" t="str">
        <f>IF(OR(AV29="Autista non presente",AV29="Dati driver non presenti"),"X","")</f>
        <v/>
      </c>
      <c r="CD29" s="299" t="str">
        <f>IF(K29="",IF(AND(CC29="",BS29&lt;(--"00:20:00")),"X",""),"")</f>
        <v/>
      </c>
      <c r="CE29" s="299" t="str">
        <f>IF(K29="",IF(BT29&gt;(--"00:15:00"),"X",""),IF(AZ29&lt;&gt;"",IF(G29-AZ29&gt;(--"00:30:00"),"X",""),""))</f>
        <v>X</v>
      </c>
      <c r="CF29" s="299" t="str">
        <f>IF(AND(CA29="",CB29="",CC29="",CD29="",CE29=""),"X","")</f>
        <v/>
      </c>
      <c r="CG29" s="301"/>
      <c r="CH29" s="299" t="str">
        <f>IF(BT29&gt;(--"00:15:00"),"X","")</f>
        <v>X</v>
      </c>
      <c r="CI29" s="302">
        <f>AY29</f>
        <v>0</v>
      </c>
      <c r="CJ29" s="299" t="str">
        <f>IF(AND(CH29&lt;&gt;"",CI29&lt;&gt;"",LEFT(B29,3)="ITD"),AP29,"")</f>
        <v/>
      </c>
      <c r="CK29" s="305" t="str">
        <f>IF(CJ29&lt;&gt;"",BT29,"")</f>
        <v/>
      </c>
      <c r="CL29" s="301"/>
      <c r="CM29" s="305" t="str">
        <f>IFERROR(VLOOKUP(Q29,'Elenco Casse'!$D$4:$F$292,3,FALSE),"")</f>
        <v/>
      </c>
      <c r="CN29" s="301"/>
      <c r="CO29" s="305" t="str">
        <f>IFERROR(VLOOKUP(E29,Outlist!$A$5:$H$120,8,FALSE),"")</f>
        <v>ENB15284</v>
      </c>
      <c r="CP29" s="305" t="str">
        <f>IFERROR(IF(VLOOKUP($E29,Outlist!$A$5:$S$120,19,FALSE)&lt;&gt;0,"Y",""),"")</f>
        <v/>
      </c>
      <c r="CQ29" s="301"/>
      <c r="CR29" s="305" t="str">
        <f>CONCATENATE($B29,$E29,$G29)</f>
        <v>ERN00921LYS 10.9375</v>
      </c>
      <c r="CS29" s="301"/>
      <c r="CT29" s="305">
        <f>VLOOKUP(Out_Table[[#This Row],[Destination             ORANGE (From Planning)]],Outlist!$A$5:$W$120,22,FALSE)</f>
        <v>0</v>
      </c>
    </row>
    <row r="30" spans="1:98" s="20" customFormat="1" ht="15">
      <c r="A30" s="305" t="str">
        <f>$CR30</f>
        <v>ERN14393KR90.263888888890506</v>
      </c>
      <c r="B30" s="351" t="str">
        <f>IFERROR(VLOOKUP(E30,Outlist!$A$5:$AC$120,2,FALSE),"")</f>
        <v>ERN14393</v>
      </c>
      <c r="C30" s="352" t="str">
        <f>IFERROR(IF(LEFT(B30,3)='STAT 77'!$X$2,_xlfn.XLOOKUP(B30,'STAT 77'!C:C,'STAT 77'!B:B),_xlfn.XLOOKUP(B30,'STAT 77'!B:B,'STAT 77'!C:C)),"NON TROVATO")</f>
        <v>ERN07123</v>
      </c>
      <c r="D30" s="4"/>
      <c r="E30" s="352" t="str">
        <f>IFERROR(IF(Outlist!$A76&lt;&gt;"",Outlist!$A76,""),"")</f>
        <v>KR9</v>
      </c>
      <c r="F30" s="352" t="str">
        <f>IFERROR(VLOOKUP(E30,'Cambio O2P'!C:E,2,FALSE),"")</f>
        <v>ATHA</v>
      </c>
      <c r="G30" s="353">
        <f>IFERROR(VLOOKUP(E30,Outlist!$A$5:$AC$120,5,FALSE)-INT(VLOOKUP(E30,Outlist!$A$5:$AC$120,5,FALSE)),"")</f>
        <v>0.26388888889050577</v>
      </c>
      <c r="H30" s="294">
        <f ca="1">IFERROR(IF(AND('INformazioni per calcoli'!$AB$3&lt;(--"14:30"),'INformazioni per calcoli'!$AB$3&gt;(--"10:00")),"",IF($B30="","",IF($X30&lt;&gt;"","Mezzo Chiuso",IF($W30="","Non al Carico",IF($K30="Safe Parking","Safe Parking", IF(OR($BF30='INformazioni per calcoli'!$AF$8,$BF30='INformazioni per calcoli'!$AC$8,$BF30='INformazioni per calcoli'!$AD$8,$BF30='INformazioni per calcoli'!$AE$8,$BF30='INformazioni per calcoli'!$AG$8,$BF30='INformazioni per calcoli'!$AH$8,$BF30='INformazioni per calcoli'!$AI$8,$BF30='INformazioni per calcoli'!$AJ$8),IF($G30-'INformazioni per calcoli'!$AB$6-'INformazioni per calcoli'!$AB$3+$J30&lt;0,"LFLS",$G30-'INformazioni per calcoli'!$AB$6-'INformazioni per calcoli'!$AB$3+$J30), IF(OR($BF30='INformazioni per calcoli'!$AF$6,$BF30='INformazioni per calcoli'!$AD$6,$BF30='INformazioni per calcoli'!$AE$6,$BF30='INformazioni per calcoli'!$AG$6),IF($G30-'INformazioni per calcoli'!$AB$8-'INformazioni per calcoli'!$AB$3+$J30&lt;0,"LFLS",$G30-'INformazioni per calcoli'!$AB$8-'INformazioni per calcoli'!$AB$3+$J30), IF($G30-'INformazioni per calcoli'!$AB$7-'INformazioni per calcoli'!$AB$3+$J30&lt;0,"LFLS",$G30-'INformazioni per calcoli'!$AB$7-'INformazioni per calcoli'!$AB$3+$J30)))))))),"")</f>
        <v>7.675925926087615E-2</v>
      </c>
      <c r="I30" s="17">
        <f ca="1">IFERROR(IF($H30&lt;&gt;"",IF($H30="Safe Parking","",IF($W30&lt;&gt;"",IF(AND($U30="X",$V30="X"),$H30-(--"00:30"),""),IF($X30&lt;&gt;"","Mezzo Chiuso","Non al carico"))),""),"")</f>
        <v>5.5925925927542822E-2</v>
      </c>
      <c r="J30" s="306">
        <f ca="1">IFERROR(IF($B30&lt;&gt;"",IF(AND('INformazioni per calcoli'!$AB$3&lt;(--"15:00"),'INformazioni per calcoli'!$AB$3&gt;(--"00:00")),0,IF($G30&lt;(--"18:30"),"+1",0)),""),"")</f>
        <v>0</v>
      </c>
      <c r="K30" s="27">
        <f>IF(E30&lt;&gt;"",IFERROR(VLOOKUP(E30,Outlist!$A$5:$AC$120,22,FALSE),""),"")</f>
        <v>0</v>
      </c>
      <c r="L30" s="352" t="str">
        <f>IF(E30&lt;&gt;"",IFERROR(VLOOKUP(E30,Outlist!$A$5:$AC$120,3,FALSE),""),"")</f>
        <v>Eurofast International Transports Srl</v>
      </c>
      <c r="M30" s="4" t="str">
        <f>IFERROR(_xlfn.XLOOKUP($Q30,'Elenco Casse'!$D:$D,'Elenco Casse'!$E:$E),"")</f>
        <v>Eurofast International Transports Srl</v>
      </c>
      <c r="N30" s="4">
        <f>IFERROR(_xlfn.XLOOKUP($Q30,'Elenco Casse'!$D:$D,'Elenco Casse'!$F:$F),"")</f>
        <v>0</v>
      </c>
      <c r="O30" s="4" t="str">
        <f>IF($L30&lt;&gt;"","TT-2/3","")</f>
        <v>TT-2/3</v>
      </c>
      <c r="P30" s="296" t="str">
        <f>IFERROR(IF(VLOOKUP(E30,Outlist!$A$5:$AC$120,21,FALSE)="YES","Linea Variata",""),"")</f>
        <v/>
      </c>
      <c r="Q30" s="355" t="s">
        <v>516</v>
      </c>
      <c r="R30" s="23" t="s">
        <v>420</v>
      </c>
      <c r="S30" s="25" t="str">
        <f>IFERROR(IF(VLOOKUP(E30,Outlist!$A$5:$AC$120,7,FALSE)="X","SUBCO",""),"")</f>
        <v>SUBCO</v>
      </c>
      <c r="T30" s="25"/>
      <c r="U30" s="23" t="s">
        <v>61</v>
      </c>
      <c r="V30" s="23" t="s">
        <v>61</v>
      </c>
      <c r="W30" s="26">
        <v>324</v>
      </c>
      <c r="X30" s="27"/>
      <c r="Y30" s="25"/>
      <c r="Z30" s="25"/>
      <c r="AA30" s="25" t="s">
        <v>40</v>
      </c>
      <c r="AB30" s="57"/>
      <c r="AC30" s="25"/>
      <c r="AD30" s="25" t="s">
        <v>487</v>
      </c>
      <c r="AE30" s="57"/>
      <c r="AF30" s="57"/>
      <c r="AG30" s="25"/>
      <c r="AH30" s="57"/>
      <c r="AI30" s="339"/>
      <c r="AJ30" s="339"/>
      <c r="AK30" s="297" t="str">
        <f>IF(X30&lt;&gt;"",CONCATENATE(IF(AA30&lt;&gt;"",CONCATENATE(Z30," ",AA30," ",BI30),""),IF(AD30&lt;&gt;"",CONCATENATE(","," ",AC30," ",AD30," ",BJ30),""),IF(AG30&lt;&gt;"",CONCATENATE(","," ",AF30," ",AG30," ",BK30),""),IF(AJ30&lt;&gt;"",CONCATENATE(","," ","DD"," ",BL30),"")," ",IF(AI30&lt;&gt;"",CONCATENATE(" - ",AI30," Bag"),"")),"")</f>
        <v/>
      </c>
      <c r="AL30" s="287"/>
      <c r="AM30" s="287"/>
      <c r="AN30" s="287"/>
      <c r="AO30" s="287"/>
      <c r="AP30" s="370">
        <f>IFERROR(VLOOKUP($E30,Outlist!$A$5:$V$120,20,FALSE),"")</f>
        <v>0</v>
      </c>
      <c r="AQ30" s="288" t="str">
        <f>IFERROR(IF(VLOOKUP($A30,#REF!,8,FALSE)&lt;&gt;"",VLOOKUP($A30,#REF!,8,FALSE),""),"")</f>
        <v/>
      </c>
      <c r="AS30" s="24"/>
      <c r="AT30" s="24"/>
      <c r="AU30" s="27"/>
      <c r="AV30" s="27"/>
      <c r="AX30" s="20" t="str">
        <f>IFERROR(IF(Out_Table[[#This Row],[Cancellazione linea]]="Cancellata","yes",""),"")</f>
        <v/>
      </c>
      <c r="AY30" s="72"/>
      <c r="AZ30" s="27"/>
      <c r="BA30" s="32"/>
      <c r="BB30" s="72"/>
      <c r="BC30" s="72" t="str">
        <f>IFERROR(VLOOKUP(Out_Table[[#This Row],[Aggiornamento STATUS]],'INformazioni per calcoli'!$Y$70:$AA$76,2,FALSE),"")</f>
        <v/>
      </c>
      <c r="BD30" s="289"/>
      <c r="BE30" s="289"/>
      <c r="BF30" s="47" t="str">
        <f>LEFT($E30,3)</f>
        <v>KR9</v>
      </c>
      <c r="BG30" s="298" t="str">
        <f>IF(Out_Table[[#This Row],[Ora Uscita    (GH)]]&lt;&gt;"","x","")</f>
        <v/>
      </c>
      <c r="BH30" s="299">
        <f>VLOOKUP($O30,'INformazioni per calcoli'!$Y$20:$AA$23,3,FALSE)</f>
        <v>14</v>
      </c>
      <c r="BI30" s="299">
        <f>MROUND(Out_Table[[#This Row],[Mtr. Trailer]]*AB30,0.5)</f>
        <v>0</v>
      </c>
      <c r="BJ30" s="299">
        <f>MROUND(Out_Table[[#This Row],[Mtr. Trailer]]*AE30,0.5)</f>
        <v>0</v>
      </c>
      <c r="BK30" s="299">
        <f>MROUND(Out_Table[[#This Row],[Mtr. Trailer]]*AH30,0.5)</f>
        <v>0</v>
      </c>
      <c r="BL30" s="300">
        <f>Out_Table[[#This Row],[Double Deck trailer N° bumpers]]</f>
        <v>0</v>
      </c>
      <c r="BM30" s="301"/>
      <c r="BN30" s="299" t="str">
        <f>B30</f>
        <v>ERN14393</v>
      </c>
      <c r="BO30" s="299" t="str">
        <f>E30</f>
        <v>KR9</v>
      </c>
      <c r="BP30" s="302">
        <f>IF(AND(G30&gt;(--"00:00:01"),G30&lt;(--"15:00:00")),IF(AND(X30&gt;(--"00:00:01"),X30&lt;(--"15:00:00")),G30-X30,G30+1-X30),G30-X30)</f>
        <v>1.2638888888905058</v>
      </c>
      <c r="BQ30" s="303">
        <f>AE30+AF30+AH30+AJ30</f>
        <v>0</v>
      </c>
      <c r="BR30" s="304" t="str">
        <f>IF(OR(BP30&lt;=(--"00:20:00"),BQ30&gt;=100%),"OK","Not OK")</f>
        <v>Not OK</v>
      </c>
      <c r="BS30" s="302">
        <f>IF(AND(G30&gt;(--"00:00:01"),G30&lt;(--"15:00:00")),IF(AND(AU30&gt;(--"00:00:01"),AU30&lt;(--"15:00:00")),G30-AU30,G30+1-AU30),G30-AU30)</f>
        <v>1.2638888888905058</v>
      </c>
      <c r="BT30" s="302">
        <f>IF(AND(AZ30&gt;(--"00:00:01"),AZ30&lt;(--"15:00:00")),IF(AND(AU30&gt;(--"00:00:01"),AU30&lt;(--"15:00:00")),AZ30-AU30,AZ30+1-AU30),AZ30-AU30)</f>
        <v>0</v>
      </c>
      <c r="BU30" s="302">
        <f>IF(AND(BA30&gt;(--"00:00:01"),BA30&lt;(--"15:00:00")),IF(AND(AZ30&gt;(--"00:00:01"),AZ30&lt;(--"15:00:00")),BA30-AZ30,BA30+1-AZ30),BA30-AZ30)</f>
        <v>0</v>
      </c>
      <c r="BV30" s="299">
        <f>AV30</f>
        <v>0</v>
      </c>
      <c r="BW30" s="301"/>
      <c r="BX30" s="299" t="str">
        <f>IF(AV30="T Status",IF(AV30&lt;&gt;T30,"X",""),"")</f>
        <v/>
      </c>
      <c r="BY30" s="301"/>
      <c r="BZ30" s="299" t="str">
        <f>IF(X30&lt;&gt;"",IF(CC30="X","Driver Delay",IF(CA30="X","Paperwork Delay",IF(CB30="X","Late freight late sort",IF(CD30="X","Chiamare Control Room",IF(CE30="X","Chiamare Control Room",IF(CF30="X","Chiamare Control Room","")))))),"")</f>
        <v/>
      </c>
      <c r="CA30" s="302" t="str">
        <f>IF(K30="",IF(IF(AND(G30&gt;(--"00:00:01"),G30&lt;(--"15:00:00")),IF(AND(AT30&gt;(--"08:00:00"),AT30&lt;(--"23:59:59")),G30+1-AT30,G30-AT30),G30-AT30)&gt;(--"00:20:00"),"","X"),"")</f>
        <v/>
      </c>
      <c r="CB30" s="299" t="str">
        <f>IF(K30="",IF(BP30&gt;=(--"00:20:00"),"","X"),"")</f>
        <v/>
      </c>
      <c r="CC30" s="299" t="str">
        <f>IF(OR(AV30="Autista non presente",AV30="Dati driver non presenti"),"X","")</f>
        <v/>
      </c>
      <c r="CD30" s="299" t="str">
        <f>IF(K30="",IF(AND(CC30="",BS30&lt;(--"00:20:00")),"X",""),"")</f>
        <v/>
      </c>
      <c r="CE30" s="299" t="str">
        <f>IF(K30="",IF(BT30&gt;(--"00:15:00"),"X",""),IF(AZ30&lt;&gt;"",IF(G30-AZ30&gt;(--"00:30:00"),"X",""),""))</f>
        <v/>
      </c>
      <c r="CF30" s="299" t="str">
        <f>IF(AND(CA30="",CB30="",CC30="",CD30="",CE30=""),"X","")</f>
        <v>X</v>
      </c>
      <c r="CG30" s="301"/>
      <c r="CH30" s="299" t="str">
        <f>IF(BT30&gt;(--"00:15:00"),"X","")</f>
        <v/>
      </c>
      <c r="CI30" s="302">
        <f>AY30</f>
        <v>0</v>
      </c>
      <c r="CJ30" s="299" t="str">
        <f>IF(AND(CH30&lt;&gt;"",CI30&lt;&gt;"",LEFT(B30,3)="ITD"),AP30,"")</f>
        <v/>
      </c>
      <c r="CK30" s="305" t="str">
        <f>IF(CJ30&lt;&gt;"",BT30,"")</f>
        <v/>
      </c>
      <c r="CL30" s="301"/>
      <c r="CM30" s="305" t="str">
        <f>IFERROR(VLOOKUP(Q30,'Elenco Casse'!$D$4:$F$292,3,FALSE),"")</f>
        <v/>
      </c>
      <c r="CN30" s="301"/>
      <c r="CO30" s="305" t="str">
        <f>IFERROR(VLOOKUP(E30,Outlist!$A$5:$H$120,8,FALSE),"")</f>
        <v>P56793</v>
      </c>
      <c r="CP30" s="305" t="str">
        <f>IFERROR(IF(VLOOKUP($E30,Outlist!$A$5:$S$120,19,FALSE)&lt;&gt;0,"Y",""),"")</f>
        <v/>
      </c>
      <c r="CQ30" s="301"/>
      <c r="CR30" s="305" t="str">
        <f>CONCATENATE($B30,$E30,$G30)</f>
        <v>ERN14393KR90.263888888890506</v>
      </c>
      <c r="CS30" s="301"/>
      <c r="CT30" s="305">
        <f>VLOOKUP(Out_Table[[#This Row],[Destination             ORANGE (From Planning)]],Outlist!$A$5:$W$120,22,FALSE)</f>
        <v>0</v>
      </c>
    </row>
    <row r="31" spans="1:98" s="20" customFormat="1" ht="30.75">
      <c r="A31" s="305" t="str">
        <f>$CR31</f>
        <v>ERN17451BZQ 10.114583333335759</v>
      </c>
      <c r="B31" s="351" t="str">
        <f>IFERROR(VLOOKUP(E31,Outlist!$A$5:$AC$120,2,FALSE),"")</f>
        <v>ERN17451</v>
      </c>
      <c r="C31" s="352" t="str">
        <f>IFERROR(IF(LEFT(B31,3)='STAT 77'!$X$2,_xlfn.XLOOKUP(B31,'STAT 77'!C:C,'STAT 77'!B:B),_xlfn.XLOOKUP(B31,'STAT 77'!B:B,'STAT 77'!C:C)),"NON TROVATO")</f>
        <v>ERN06538</v>
      </c>
      <c r="D31" s="4"/>
      <c r="E31" s="352" t="str">
        <f>IFERROR(IF(Outlist!$A18&lt;&gt;"",Outlist!$A18,""),"")</f>
        <v>BZQ 1</v>
      </c>
      <c r="F31" s="352" t="str">
        <f>IFERROR(VLOOKUP(E31,'Cambio O2P'!C:E,2,FALSE),"")</f>
        <v/>
      </c>
      <c r="G31" s="353">
        <f>IFERROR(VLOOKUP(E31,Outlist!$A$5:$AC$120,5,FALSE)-INT(VLOOKUP(E31,Outlist!$A$5:$AC$120,5,FALSE)),"")</f>
        <v>0.11458333333575865</v>
      </c>
      <c r="H31" s="294" t="str">
        <f ca="1">IFERROR(IF(AND('INformazioni per calcoli'!$AB$3&lt;(--"14:30"),'INformazioni per calcoli'!$AB$3&gt;(--"10:00")),"",IF($B31="","",IF($X31&lt;&gt;"","Mezzo Chiuso",IF($W31="","Non al Carico",IF($K31="Safe Parking","Safe Parking", IF(OR($BF31='INformazioni per calcoli'!$AF$8,$BF31='INformazioni per calcoli'!$AC$8,$BF31='INformazioni per calcoli'!$AD$8,$BF31='INformazioni per calcoli'!$AE$8,$BF31='INformazioni per calcoli'!$AG$8,$BF31='INformazioni per calcoli'!$AH$8,$BF31='INformazioni per calcoli'!$AI$8,$BF31='INformazioni per calcoli'!$AJ$8),IF($G31-'INformazioni per calcoli'!$AB$6-'INformazioni per calcoli'!$AB$3+$J31&lt;0,"LFLS",$G31-'INformazioni per calcoli'!$AB$6-'INformazioni per calcoli'!$AB$3+$J31), IF(OR($BF31='INformazioni per calcoli'!$AF$6,$BF31='INformazioni per calcoli'!$AD$6,$BF31='INformazioni per calcoli'!$AE$6,$BF31='INformazioni per calcoli'!$AG$6),IF($G31-'INformazioni per calcoli'!$AB$8-'INformazioni per calcoli'!$AB$3+$J31&lt;0,"LFLS",$G31-'INformazioni per calcoli'!$AB$8-'INformazioni per calcoli'!$AB$3+$J31), IF($G31-'INformazioni per calcoli'!$AB$7-'INformazioni per calcoli'!$AB$3+$J31&lt;0,"LFLS",$G31-'INformazioni per calcoli'!$AB$7-'INformazioni per calcoli'!$AB$3+$J31)))))))),"")</f>
        <v>Mezzo Chiuso</v>
      </c>
      <c r="I31" s="17" t="str">
        <f ca="1">IFERROR(IF($H31&lt;&gt;"",IF($H31="Safe Parking","",IF($W31&lt;&gt;"",IF(AND($U31="X",$V31="X"),$H31-(--"00:30"),""),IF($X31&lt;&gt;"","Mezzo Chiuso","Non al carico"))),""),"")</f>
        <v/>
      </c>
      <c r="J31" s="306">
        <f ca="1">IFERROR(IF($B31&lt;&gt;"",IF(AND('INformazioni per calcoli'!$AB$3&lt;(--"15:00"),'INformazioni per calcoli'!$AB$3&gt;(--"00:00")),0,IF($G31&lt;(--"18:30"),"+1",0)),""),"")</f>
        <v>0</v>
      </c>
      <c r="K31" s="27">
        <f>IF(E31&lt;&gt;"",IFERROR(VLOOKUP(E31,Outlist!$A$5:$AC$120,22,FALSE),""),"")</f>
        <v>0</v>
      </c>
      <c r="L31" s="352" t="str">
        <f>IF(E31&lt;&gt;"",IFERROR(VLOOKUP(E31,Outlist!$A$5:$AC$120,3,FALSE),""),"")</f>
        <v>N.T.S. Bv (New Team Services Bv)</v>
      </c>
      <c r="M31" s="4" t="str">
        <f>IFERROR(_xlfn.XLOOKUP($Q31,'Elenco Casse'!$D:$D,'Elenco Casse'!$E:$E),"")</f>
        <v/>
      </c>
      <c r="N31" s="4" t="str">
        <f>IFERROR(_xlfn.XLOOKUP($Q31,'Elenco Casse'!$D:$D,'Elenco Casse'!$F:$F),"")</f>
        <v/>
      </c>
      <c r="O31" s="4" t="str">
        <f>IF($L31&lt;&gt;"","TT-2/3","")</f>
        <v>TT-2/3</v>
      </c>
      <c r="P31" s="296" t="str">
        <f>IFERROR(IF(VLOOKUP(E31,Outlist!$A$5:$AC$120,21,FALSE)="YES","Linea Variata",""),"")</f>
        <v/>
      </c>
      <c r="Q31" s="355" t="s">
        <v>517</v>
      </c>
      <c r="R31" s="23" t="s">
        <v>420</v>
      </c>
      <c r="S31" s="25" t="str">
        <f>IFERROR(IF(VLOOKUP(E31,Outlist!$A$5:$AC$120,7,FALSE)="X","SUBCO",""),"")</f>
        <v/>
      </c>
      <c r="T31" s="25"/>
      <c r="U31" s="23" t="s">
        <v>61</v>
      </c>
      <c r="V31" s="23"/>
      <c r="W31" s="26">
        <v>332</v>
      </c>
      <c r="X31" s="27">
        <v>5.5555555555555558E-3</v>
      </c>
      <c r="Y31" s="25" t="s">
        <v>518</v>
      </c>
      <c r="Z31" s="25"/>
      <c r="AA31" s="25" t="s">
        <v>40</v>
      </c>
      <c r="AB31" s="57">
        <v>1</v>
      </c>
      <c r="AC31" s="25"/>
      <c r="AD31" s="25"/>
      <c r="AE31" s="57"/>
      <c r="AF31" s="57"/>
      <c r="AG31" s="25"/>
      <c r="AH31" s="57"/>
      <c r="AI31" s="339">
        <v>17</v>
      </c>
      <c r="AJ31" s="339"/>
      <c r="AK31" s="297" t="str">
        <f>IF(X31&lt;&gt;"",CONCATENATE(IF(AA31&lt;&gt;"",CONCATENATE(Z31," ",AA31," ",BI31),""),IF(AD31&lt;&gt;"",CONCATENATE(","," ",AC31," ",AD31," ",BJ31),""),IF(AG31&lt;&gt;"",CONCATENATE(","," ",AF31," ",AG31," ",BK31),""),IF(AJ31&lt;&gt;"",CONCATENATE(","," ","DD"," ",BL31),"")," ",IF(AI31&lt;&gt;"",CONCATENATE(" - ",AI31," Bag"),"")),"")</f>
        <v xml:space="preserve"> LL 14  - 17 Bag</v>
      </c>
      <c r="AL31" s="287" t="s">
        <v>421</v>
      </c>
      <c r="AM31" s="287"/>
      <c r="AN31" s="287"/>
      <c r="AO31" s="287"/>
      <c r="AP31" s="370">
        <f>IFERROR(VLOOKUP($E31,Outlist!$A$5:$V$120,20,FALSE),"")</f>
        <v>0</v>
      </c>
      <c r="AQ31" s="288" t="s">
        <v>519</v>
      </c>
      <c r="AR31" s="430">
        <v>9.7222222222222224E-3</v>
      </c>
      <c r="AS31" s="24">
        <v>1.7361111111111112E-2</v>
      </c>
      <c r="AT31" s="24">
        <v>1.8055555555555554E-2</v>
      </c>
      <c r="AU31" s="27"/>
      <c r="AV31" s="27"/>
      <c r="AW31" s="20" t="s">
        <v>443</v>
      </c>
      <c r="AX31" s="20" t="str">
        <f>IFERROR(IF(Out_Table[[#This Row],[Cancellazione linea]]="Cancellata","yes",""),"")</f>
        <v/>
      </c>
      <c r="AY31" s="72"/>
      <c r="AZ31" s="27"/>
      <c r="BA31" s="32">
        <v>9.4444444444444442E-2</v>
      </c>
      <c r="BB31" s="72"/>
      <c r="BC31" s="72" t="str">
        <f>IFERROR(VLOOKUP(Out_Table[[#This Row],[Aggiornamento STATUS]],'INformazioni per calcoli'!$Y$70:$AA$76,2,FALSE),"")</f>
        <v/>
      </c>
      <c r="BD31" s="289"/>
      <c r="BE31" s="289"/>
      <c r="BF31" s="47" t="str">
        <f>LEFT($E31,3)</f>
        <v>BZQ</v>
      </c>
      <c r="BG31" s="298" t="str">
        <f>IF(Out_Table[[#This Row],[Ora Uscita    (GH)]]&lt;&gt;"","x","")</f>
        <v>x</v>
      </c>
      <c r="BH31" s="299">
        <f>VLOOKUP($O31,'INformazioni per calcoli'!$Y$20:$AA$23,3,FALSE)</f>
        <v>14</v>
      </c>
      <c r="BI31" s="299">
        <f>MROUND(Out_Table[[#This Row],[Mtr. Trailer]]*AB31,0.5)</f>
        <v>14</v>
      </c>
      <c r="BJ31" s="299">
        <f>MROUND(Out_Table[[#This Row],[Mtr. Trailer]]*AE31,0.5)</f>
        <v>0</v>
      </c>
      <c r="BK31" s="299">
        <f>MROUND(Out_Table[[#This Row],[Mtr. Trailer]]*AH31,0.5)</f>
        <v>0</v>
      </c>
      <c r="BL31" s="300">
        <f>Out_Table[[#This Row],[Double Deck trailer N° bumpers]]</f>
        <v>0</v>
      </c>
      <c r="BM31" s="301"/>
      <c r="BN31" s="299" t="str">
        <f>B31</f>
        <v>ERN17451</v>
      </c>
      <c r="BO31" s="299" t="str">
        <f>E31</f>
        <v>BZQ 1</v>
      </c>
      <c r="BP31" s="302">
        <f>IF(AND(G31&gt;(--"00:00:01"),G31&lt;(--"15:00:00")),IF(AND(X31&gt;(--"00:00:01"),X31&lt;(--"15:00:00")),G31-X31,G31+1-X31),G31-X31)</f>
        <v>0.1090277777802031</v>
      </c>
      <c r="BQ31" s="303">
        <f>AE31+AF31+AH31+AJ31</f>
        <v>0</v>
      </c>
      <c r="BR31" s="304" t="str">
        <f>IF(OR(BP31&lt;=(--"00:20:00"),BQ31&gt;=100%),"OK","Not OK")</f>
        <v>Not OK</v>
      </c>
      <c r="BS31" s="302">
        <f>IF(AND(G31&gt;(--"00:00:01"),G31&lt;(--"15:00:00")),IF(AND(AU31&gt;(--"00:00:01"),AU31&lt;(--"15:00:00")),G31-AU31,G31+1-AU31),G31-AU31)</f>
        <v>1.1145833333357587</v>
      </c>
      <c r="BT31" s="302">
        <f>IF(AND(AZ31&gt;(--"00:00:01"),AZ31&lt;(--"15:00:00")),IF(AND(AU31&gt;(--"00:00:01"),AU31&lt;(--"15:00:00")),AZ31-AU31,AZ31+1-AU31),AZ31-AU31)</f>
        <v>0</v>
      </c>
      <c r="BU31" s="302">
        <f>IF(AND(BA31&gt;(--"00:00:01"),BA31&lt;(--"15:00:00")),IF(AND(AZ31&gt;(--"00:00:01"),AZ31&lt;(--"15:00:00")),BA31-AZ31,BA31+1-AZ31),BA31-AZ31)</f>
        <v>1.0944444444444446</v>
      </c>
      <c r="BV31" s="299">
        <f>AV31</f>
        <v>0</v>
      </c>
      <c r="BW31" s="301"/>
      <c r="BX31" s="299" t="str">
        <f>IF(AV31="T Status",IF(AV31&lt;&gt;T31,"X",""),"")</f>
        <v/>
      </c>
      <c r="BY31" s="301"/>
      <c r="BZ31" s="299" t="str">
        <f>IF(X31&lt;&gt;"",IF(CC31="X","Driver Delay",IF(CA31="X","Paperwork Delay",IF(CB31="X","Late freight late sort",IF(CD31="X","Chiamare Control Room",IF(CE31="X","Chiamare Control Room",IF(CF31="X","Chiamare Control Room","")))))),"")</f>
        <v>Chiamare Control Room</v>
      </c>
      <c r="CA31" s="302" t="str">
        <f>IF(K31="",IF(IF(AND(G31&gt;(--"00:00:01"),G31&lt;(--"15:00:00")),IF(AND(AT31&gt;(--"08:00:00"),AT31&lt;(--"23:59:59")),G31+1-AT31,G31-AT31),G31-AT31)&gt;(--"00:20:00"),"","X"),"")</f>
        <v/>
      </c>
      <c r="CB31" s="299" t="str">
        <f>IF(K31="",IF(BP31&gt;=(--"00:20:00"),"","X"),"")</f>
        <v/>
      </c>
      <c r="CC31" s="299" t="str">
        <f>IF(OR(AV31="Autista non presente",AV31="Dati driver non presenti"),"X","")</f>
        <v/>
      </c>
      <c r="CD31" s="299" t="str">
        <f>IF(K31="",IF(AND(CC31="",BS31&lt;(--"00:20:00")),"X",""),"")</f>
        <v/>
      </c>
      <c r="CE31" s="299" t="str">
        <f>IF(K31="",IF(BT31&gt;(--"00:15:00"),"X",""),IF(AZ31&lt;&gt;"",IF(G31-AZ31&gt;(--"00:30:00"),"X",""),""))</f>
        <v/>
      </c>
      <c r="CF31" s="299" t="str">
        <f>IF(AND(CA31="",CB31="",CC31="",CD31="",CE31=""),"X","")</f>
        <v>X</v>
      </c>
      <c r="CG31" s="301"/>
      <c r="CH31" s="299" t="str">
        <f>IF(BT31&gt;(--"00:15:00"),"X","")</f>
        <v/>
      </c>
      <c r="CI31" s="302">
        <f>AY31</f>
        <v>0</v>
      </c>
      <c r="CJ31" s="299" t="str">
        <f>IF(AND(CH31&lt;&gt;"",CI31&lt;&gt;"",LEFT(B31,3)="ITD"),AP31,"")</f>
        <v/>
      </c>
      <c r="CK31" s="305" t="str">
        <f>IF(CJ31&lt;&gt;"",BT31,"")</f>
        <v/>
      </c>
      <c r="CL31" s="301"/>
      <c r="CM31" s="305" t="str">
        <f>IFERROR(VLOOKUP(Q31,'Elenco Casse'!$D$4:$F$292,3,FALSE),"")</f>
        <v/>
      </c>
      <c r="CN31" s="301"/>
      <c r="CO31" s="305" t="str">
        <f>IFERROR(VLOOKUP(E31,Outlist!$A$5:$H$120,8,FALSE),"")</f>
        <v>ENB15376</v>
      </c>
      <c r="CP31" s="305" t="str">
        <f>IFERROR(IF(VLOOKUP($E31,Outlist!$A$5:$S$120,19,FALSE)&lt;&gt;0,"Y",""),"")</f>
        <v>Y</v>
      </c>
      <c r="CQ31" s="301"/>
      <c r="CR31" s="305" t="str">
        <f>CONCATENATE($B31,$E31,$G31)</f>
        <v>ERN17451BZQ 10.114583333335759</v>
      </c>
      <c r="CS31" s="301"/>
      <c r="CT31" s="305">
        <f>VLOOKUP(Out_Table[[#This Row],[Destination             ORANGE (From Planning)]],Outlist!$A$5:$W$120,22,FALSE)</f>
        <v>0</v>
      </c>
    </row>
    <row r="32" spans="1:98" s="20" customFormat="1" ht="30.75">
      <c r="A32" s="305" t="str">
        <f>$CR32</f>
        <v>ERN18812HNJ 10.0833333333357587</v>
      </c>
      <c r="B32" s="351" t="str">
        <f>IFERROR(VLOOKUP(E32,Outlist!$A$5:$AC$120,2,FALSE),"")</f>
        <v>ERN18812</v>
      </c>
      <c r="C32" s="352" t="str">
        <f>IFERROR(IF(LEFT(B32,3)='STAT 77'!$X$2,_xlfn.XLOOKUP(B32,'STAT 77'!C:C,'STAT 77'!B:B),_xlfn.XLOOKUP(B32,'STAT 77'!B:B,'STAT 77'!C:C)),"NON TROVATO")</f>
        <v>ERN09522</v>
      </c>
      <c r="D32" s="4"/>
      <c r="E32" s="352" t="str">
        <f>IFERROR(IF(Outlist!$A16&lt;&gt;"",Outlist!$A16,""),"")</f>
        <v>HNJ 1</v>
      </c>
      <c r="F32" s="352" t="str">
        <f>IFERROR(VLOOKUP(E32,'Cambio O2P'!C:E,2,FALSE),"")</f>
        <v/>
      </c>
      <c r="G32" s="353">
        <f>IFERROR(VLOOKUP(E32,Outlist!$A$5:$AC$120,5,FALSE)-INT(VLOOKUP(E32,Outlist!$A$5:$AC$120,5,FALSE)),"")</f>
        <v>8.3333333335758653E-2</v>
      </c>
      <c r="H32" s="294" t="str">
        <f ca="1">IFERROR(IF(AND('INformazioni per calcoli'!$AB$3&lt;(--"14:30"),'INformazioni per calcoli'!$AB$3&gt;(--"10:00")),"",IF($B32="","",IF($X32&lt;&gt;"","Mezzo Chiuso",IF($W32="","Non al Carico",IF($K32="Safe Parking","Safe Parking", IF(OR($BF32='INformazioni per calcoli'!$AF$8,$BF32='INformazioni per calcoli'!$AC$8,$BF32='INformazioni per calcoli'!$AD$8,$BF32='INformazioni per calcoli'!$AE$8,$BF32='INformazioni per calcoli'!$AG$8,$BF32='INformazioni per calcoli'!$AH$8,$BF32='INformazioni per calcoli'!$AI$8,$BF32='INformazioni per calcoli'!$AJ$8),IF($G32-'INformazioni per calcoli'!$AB$6-'INformazioni per calcoli'!$AB$3+$J32&lt;0,"LFLS",$G32-'INformazioni per calcoli'!$AB$6-'INformazioni per calcoli'!$AB$3+$J32), IF(OR($BF32='INformazioni per calcoli'!$AF$6,$BF32='INformazioni per calcoli'!$AD$6,$BF32='INformazioni per calcoli'!$AE$6,$BF32='INformazioni per calcoli'!$AG$6),IF($G32-'INformazioni per calcoli'!$AB$8-'INformazioni per calcoli'!$AB$3+$J32&lt;0,"LFLS",$G32-'INformazioni per calcoli'!$AB$8-'INformazioni per calcoli'!$AB$3+$J32), IF($G32-'INformazioni per calcoli'!$AB$7-'INformazioni per calcoli'!$AB$3+$J32&lt;0,"LFLS",$G32-'INformazioni per calcoli'!$AB$7-'INformazioni per calcoli'!$AB$3+$J32)))))))),"")</f>
        <v>Mezzo Chiuso</v>
      </c>
      <c r="I32" s="17" t="str">
        <f ca="1">IFERROR(IF($H32&lt;&gt;"",IF($H32="Safe Parking","",IF($W32&lt;&gt;"",IF(AND($U32="X",$V32="X"),$H32-(--"00:30"),""),IF($X32&lt;&gt;"","Mezzo Chiuso","Non al carico"))),""),"")</f>
        <v/>
      </c>
      <c r="J32" s="306">
        <f ca="1">IFERROR(IF($B32&lt;&gt;"",IF(AND('INformazioni per calcoli'!$AB$3&lt;(--"15:00"),'INformazioni per calcoli'!$AB$3&gt;(--"00:00")),0,IF($G32&lt;(--"18:30"),"+1",0)),""),"")</f>
        <v>0</v>
      </c>
      <c r="K32" s="27">
        <f>IF(E32&lt;&gt;"",IFERROR(VLOOKUP(E32,Outlist!$A$5:$AC$120,22,FALSE),""),"")</f>
        <v>0</v>
      </c>
      <c r="L32" s="352" t="str">
        <f>IF(E32&lt;&gt;"",IFERROR(VLOOKUP(E32,Outlist!$A$5:$AC$120,3,FALSE),""),"")</f>
        <v>Ewals Cargo Care Logistics Bv</v>
      </c>
      <c r="M32" s="4" t="str">
        <f>IFERROR(_xlfn.XLOOKUP($Q32,'Elenco Casse'!$D:$D,'Elenco Casse'!$E:$E),"")</f>
        <v/>
      </c>
      <c r="N32" s="4" t="str">
        <f>IFERROR(_xlfn.XLOOKUP($Q32,'Elenco Casse'!$D:$D,'Elenco Casse'!$F:$F),"")</f>
        <v/>
      </c>
      <c r="O32" s="4" t="str">
        <f>IF($L32&lt;&gt;"","TT-2/3","")</f>
        <v>TT-2/3</v>
      </c>
      <c r="P32" s="296" t="str">
        <f>IFERROR(IF(VLOOKUP(E32,Outlist!$A$5:$AC$120,21,FALSE)="YES","Linea Variata",""),"")</f>
        <v/>
      </c>
      <c r="Q32" s="355" t="s">
        <v>520</v>
      </c>
      <c r="R32" s="23" t="s">
        <v>420</v>
      </c>
      <c r="S32" s="25" t="str">
        <f>IFERROR(IF(VLOOKUP(E32,Outlist!$A$5:$AC$120,7,FALSE)="X","SUBCO",""),"")</f>
        <v/>
      </c>
      <c r="T32" s="25"/>
      <c r="U32" s="23" t="s">
        <v>61</v>
      </c>
      <c r="V32" s="23"/>
      <c r="W32" s="26">
        <v>333</v>
      </c>
      <c r="X32" s="27">
        <v>3.5416666666666666E-2</v>
      </c>
      <c r="Y32" s="25" t="s">
        <v>521</v>
      </c>
      <c r="Z32" s="25"/>
      <c r="AA32" s="25" t="s">
        <v>40</v>
      </c>
      <c r="AB32" s="57">
        <v>0.7</v>
      </c>
      <c r="AC32" s="25"/>
      <c r="AD32" s="25"/>
      <c r="AE32" s="57"/>
      <c r="AF32" s="57"/>
      <c r="AG32" s="25"/>
      <c r="AH32" s="57"/>
      <c r="AI32" s="339">
        <v>7</v>
      </c>
      <c r="AJ32" s="339"/>
      <c r="AK32" s="297" t="str">
        <f>IF(X32&lt;&gt;"",CONCATENATE(IF(AA32&lt;&gt;"",CONCATENATE(Z32," ",AA32," ",BI32),""),IF(AD32&lt;&gt;"",CONCATENATE(","," ",AC32," ",AD32," ",BJ32),""),IF(AG32&lt;&gt;"",CONCATENATE(","," ",AF32," ",AG32," ",BK32),""),IF(AJ32&lt;&gt;"",CONCATENATE(","," ","DD"," ",BL32),"")," ",IF(AI32&lt;&gt;"",CONCATENATE(" - ",AI32," Bag"),"")),"")</f>
        <v xml:space="preserve"> LL 10  - 7 Bag</v>
      </c>
      <c r="AL32" s="287" t="s">
        <v>421</v>
      </c>
      <c r="AM32" s="287"/>
      <c r="AN32" s="287"/>
      <c r="AO32" s="287"/>
      <c r="AP32" s="370">
        <f>IFERROR(VLOOKUP($E32,Outlist!$A$5:$V$120,20,FALSE),"")</f>
        <v>0</v>
      </c>
      <c r="AQ32" s="288" t="s">
        <v>522</v>
      </c>
      <c r="AR32" s="430">
        <v>3.6805555555555557E-2</v>
      </c>
      <c r="AS32" s="24">
        <v>4.4444444444444446E-2</v>
      </c>
      <c r="AT32" s="24">
        <v>4.4444444444444446E-2</v>
      </c>
      <c r="AU32" s="27"/>
      <c r="AV32" s="27"/>
      <c r="AW32" s="20" t="s">
        <v>443</v>
      </c>
      <c r="AX32" s="20" t="str">
        <f>IFERROR(IF(Out_Table[[#This Row],[Cancellazione linea]]="Cancellata","yes",""),"")</f>
        <v/>
      </c>
      <c r="AY32" s="72"/>
      <c r="AZ32" s="27">
        <v>5.9722222222222225E-2</v>
      </c>
      <c r="BA32" s="32" t="s">
        <v>61</v>
      </c>
      <c r="BB32" s="72"/>
      <c r="BC32" s="72" t="str">
        <f>IFERROR(VLOOKUP(Out_Table[[#This Row],[Aggiornamento STATUS]],'INformazioni per calcoli'!$Y$70:$AA$76,2,FALSE),"")</f>
        <v/>
      </c>
      <c r="BD32" s="289"/>
      <c r="BE32" s="289"/>
      <c r="BF32" s="47" t="str">
        <f>LEFT($E32,3)</f>
        <v>HNJ</v>
      </c>
      <c r="BG32" s="298" t="str">
        <f>IF(Out_Table[[#This Row],[Ora Uscita    (GH)]]&lt;&gt;"","x","")</f>
        <v>x</v>
      </c>
      <c r="BH32" s="299">
        <f>VLOOKUP($O32,'INformazioni per calcoli'!$Y$20:$AA$23,3,FALSE)</f>
        <v>14</v>
      </c>
      <c r="BI32" s="299">
        <f>MROUND(Out_Table[[#This Row],[Mtr. Trailer]]*AB32,0.5)</f>
        <v>10</v>
      </c>
      <c r="BJ32" s="299">
        <f>MROUND(Out_Table[[#This Row],[Mtr. Trailer]]*AE32,0.5)</f>
        <v>0</v>
      </c>
      <c r="BK32" s="299">
        <f>MROUND(Out_Table[[#This Row],[Mtr. Trailer]]*AH32,0.5)</f>
        <v>0</v>
      </c>
      <c r="BL32" s="300">
        <f>Out_Table[[#This Row],[Double Deck trailer N° bumpers]]</f>
        <v>0</v>
      </c>
      <c r="BM32" s="301"/>
      <c r="BN32" s="299" t="str">
        <f>B32</f>
        <v>ERN18812</v>
      </c>
      <c r="BO32" s="299" t="str">
        <f>E32</f>
        <v>HNJ 1</v>
      </c>
      <c r="BP32" s="302">
        <f>IF(AND(G32&gt;(--"00:00:01"),G32&lt;(--"15:00:00")),IF(AND(X32&gt;(--"00:00:01"),X32&lt;(--"15:00:00")),G32-X32,G32+1-X32),G32-X32)</f>
        <v>4.7916666669091987E-2</v>
      </c>
      <c r="BQ32" s="303">
        <f>AE32+AF32+AH32+AJ32</f>
        <v>0</v>
      </c>
      <c r="BR32" s="304" t="str">
        <f>IF(OR(BP32&lt;=(--"00:20:00"),BQ32&gt;=100%),"OK","Not OK")</f>
        <v>Not OK</v>
      </c>
      <c r="BS32" s="302">
        <f>IF(AND(G32&gt;(--"00:00:01"),G32&lt;(--"15:00:00")),IF(AND(AU32&gt;(--"00:00:01"),AU32&lt;(--"15:00:00")),G32-AU32,G32+1-AU32),G32-AU32)</f>
        <v>1.0833333333357587</v>
      </c>
      <c r="BT32" s="302">
        <f>IF(AND(AZ32&gt;(--"00:00:01"),AZ32&lt;(--"15:00:00")),IF(AND(AU32&gt;(--"00:00:01"),AU32&lt;(--"15:00:00")),AZ32-AU32,AZ32+1-AU32),AZ32-AU32)</f>
        <v>1.0597222222222222</v>
      </c>
      <c r="BU32" s="302" t="e">
        <f>IF(AND(BA32&gt;(--"00:00:01"),BA32&lt;(--"15:00:00")),IF(AND(AZ32&gt;(--"00:00:01"),AZ32&lt;(--"15:00:00")),BA32-AZ32,BA32+1-AZ32),BA32-AZ32)</f>
        <v>#VALUE!</v>
      </c>
      <c r="BV32" s="299">
        <f>AV32</f>
        <v>0</v>
      </c>
      <c r="BW32" s="301"/>
      <c r="BX32" s="299" t="str">
        <f>IF(AV32="T Status",IF(AV32&lt;&gt;T32,"X",""),"")</f>
        <v/>
      </c>
      <c r="BY32" s="301"/>
      <c r="BZ32" s="299" t="str">
        <f>IF(X32&lt;&gt;"",IF(CC32="X","Driver Delay",IF(CA32="X","Paperwork Delay",IF(CB32="X","Late freight late sort",IF(CD32="X","Chiamare Control Room",IF(CE32="X","Chiamare Control Room",IF(CF32="X","Chiamare Control Room","")))))),"")</f>
        <v>Chiamare Control Room</v>
      </c>
      <c r="CA32" s="302" t="str">
        <f>IF(K32="",IF(IF(AND(G32&gt;(--"00:00:01"),G32&lt;(--"15:00:00")),IF(AND(AT32&gt;(--"08:00:00"),AT32&lt;(--"23:59:59")),G32+1-AT32,G32-AT32),G32-AT32)&gt;(--"00:20:00"),"","X"),"")</f>
        <v/>
      </c>
      <c r="CB32" s="299" t="str">
        <f>IF(K32="",IF(BP32&gt;=(--"00:20:00"),"","X"),"")</f>
        <v/>
      </c>
      <c r="CC32" s="299" t="str">
        <f>IF(OR(AV32="Autista non presente",AV32="Dati driver non presenti"),"X","")</f>
        <v/>
      </c>
      <c r="CD32" s="299" t="str">
        <f>IF(K32="",IF(AND(CC32="",BS32&lt;(--"00:20:00")),"X",""),"")</f>
        <v/>
      </c>
      <c r="CE32" s="299" t="str">
        <f>IF(K32="",IF(BT32&gt;(--"00:15:00"),"X",""),IF(AZ32&lt;&gt;"",IF(G32-AZ32&gt;(--"00:30:00"),"X",""),""))</f>
        <v>X</v>
      </c>
      <c r="CF32" s="299" t="str">
        <f>IF(AND(CA32="",CB32="",CC32="",CD32="",CE32=""),"X","")</f>
        <v/>
      </c>
      <c r="CG32" s="301"/>
      <c r="CH32" s="299" t="str">
        <f>IF(BT32&gt;(--"00:15:00"),"X","")</f>
        <v>X</v>
      </c>
      <c r="CI32" s="302">
        <f>AY32</f>
        <v>0</v>
      </c>
      <c r="CJ32" s="299" t="str">
        <f>IF(AND(CH32&lt;&gt;"",CI32&lt;&gt;"",LEFT(B32,3)="ITD"),AP32,"")</f>
        <v/>
      </c>
      <c r="CK32" s="305" t="str">
        <f>IF(CJ32&lt;&gt;"",BT32,"")</f>
        <v/>
      </c>
      <c r="CL32" s="301"/>
      <c r="CM32" s="305" t="str">
        <f>IFERROR(VLOOKUP(Q32,'Elenco Casse'!$D$4:$F$292,3,FALSE),"")</f>
        <v/>
      </c>
      <c r="CN32" s="301"/>
      <c r="CO32" s="305" t="str">
        <f>IFERROR(VLOOKUP(E32,Outlist!$A$5:$H$120,8,FALSE),"")</f>
        <v>ENB16211</v>
      </c>
      <c r="CP32" s="305" t="str">
        <f>IFERROR(IF(VLOOKUP($E32,Outlist!$A$5:$S$120,19,FALSE)&lt;&gt;0,"Y",""),"")</f>
        <v>Y</v>
      </c>
      <c r="CQ32" s="301"/>
      <c r="CR32" s="305" t="str">
        <f>CONCATENATE($B32,$E32,$G32)</f>
        <v>ERN18812HNJ 10.0833333333357587</v>
      </c>
      <c r="CS32" s="301"/>
      <c r="CT32" s="305">
        <f>VLOOKUP(Out_Table[[#This Row],[Destination             ORANGE (From Planning)]],Outlist!$A$5:$W$120,22,FALSE)</f>
        <v>0</v>
      </c>
    </row>
    <row r="33" spans="1:98" s="20" customFormat="1" ht="15">
      <c r="A33" s="305" t="str">
        <f>$CR33</f>
        <v>ERN19145DFT 10.416666666664241</v>
      </c>
      <c r="B33" s="351" t="str">
        <f>IFERROR(VLOOKUP(E33,Outlist!$A$5:$AC$120,2,FALSE),"")</f>
        <v>ERN19145</v>
      </c>
      <c r="C33" s="352" t="str">
        <f>IFERROR(IF(LEFT(B33,3)='STAT 77'!$X$2,_xlfn.XLOOKUP(B33,'STAT 77'!C:C,'STAT 77'!B:B),_xlfn.XLOOKUP(B33,'STAT 77'!B:B,'STAT 77'!C:C)),"NON TROVATO")</f>
        <v>ERN09688</v>
      </c>
      <c r="D33" s="4"/>
      <c r="E33" s="352" t="str">
        <f>IFERROR(IF(Outlist!$A13&lt;&gt;"",Outlist!$A13,""),"")</f>
        <v>DFT 1</v>
      </c>
      <c r="F33" s="352" t="str">
        <f>IFERROR(VLOOKUP(E33,'Cambio O2P'!C:E,2,FALSE),"")</f>
        <v/>
      </c>
      <c r="G33" s="353">
        <f>IFERROR(VLOOKUP(E33,Outlist!$A$5:$AC$120,5,FALSE)-INT(VLOOKUP(E33,Outlist!$A$5:$AC$120,5,FALSE)),"")</f>
        <v>0.41666666666424135</v>
      </c>
      <c r="H33" s="294">
        <f ca="1">IFERROR(IF(AND('INformazioni per calcoli'!$AB$3&lt;(--"14:30"),'INformazioni per calcoli'!$AB$3&gt;(--"10:00")),"",IF($B33="","",IF($X33&lt;&gt;"","Mezzo Chiuso",IF($W33="","Non al Carico",IF($K33="Safe Parking","Safe Parking", IF(OR($BF33='INformazioni per calcoli'!$AF$8,$BF33='INformazioni per calcoli'!$AC$8,$BF33='INformazioni per calcoli'!$AD$8,$BF33='INformazioni per calcoli'!$AE$8,$BF33='INformazioni per calcoli'!$AG$8,$BF33='INformazioni per calcoli'!$AH$8,$BF33='INformazioni per calcoli'!$AI$8,$BF33='INformazioni per calcoli'!$AJ$8),IF($G33-'INformazioni per calcoli'!$AB$6-'INformazioni per calcoli'!$AB$3+$J33&lt;0,"LFLS",$G33-'INformazioni per calcoli'!$AB$6-'INformazioni per calcoli'!$AB$3+$J33), IF(OR($BF33='INformazioni per calcoli'!$AF$6,$BF33='INformazioni per calcoli'!$AD$6,$BF33='INformazioni per calcoli'!$AE$6,$BF33='INformazioni per calcoli'!$AG$6),IF($G33-'INformazioni per calcoli'!$AB$8-'INformazioni per calcoli'!$AB$3+$J33&lt;0,"LFLS",$G33-'INformazioni per calcoli'!$AB$8-'INformazioni per calcoli'!$AB$3+$J33), IF($G33-'INformazioni per calcoli'!$AB$7-'INformazioni per calcoli'!$AB$3+$J33&lt;0,"LFLS",$G33-'INformazioni per calcoli'!$AB$7-'INformazioni per calcoli'!$AB$3+$J33)))))))),"")</f>
        <v>0.2295370370346117</v>
      </c>
      <c r="I33" s="17" t="str">
        <f ca="1">IFERROR(IF($H33&lt;&gt;"",IF($H33="Safe Parking","",IF($W33&lt;&gt;"",IF(AND($U33="X",$V33="X"),$H33-(--"00:30"),""),IF($X33&lt;&gt;"","Mezzo Chiuso","Non al carico"))),""),"")</f>
        <v/>
      </c>
      <c r="J33" s="306">
        <f ca="1">IFERROR(IF($B33&lt;&gt;"",IF(AND('INformazioni per calcoli'!$AB$3&lt;(--"15:00"),'INformazioni per calcoli'!$AB$3&gt;(--"00:00")),0,IF($G33&lt;(--"18:30"),"+1",0)),""),"")</f>
        <v>0</v>
      </c>
      <c r="K33" s="27">
        <f>IF(E33&lt;&gt;"",IFERROR(VLOOKUP(E33,Outlist!$A$5:$AC$120,22,FALSE),""),"")</f>
        <v>0</v>
      </c>
      <c r="L33" s="352" t="str">
        <f>IF(E33&lt;&gt;"",IFERROR(VLOOKUP(E33,Outlist!$A$5:$AC$120,3,FALSE),""),"")</f>
        <v>T Service Spa</v>
      </c>
      <c r="M33" s="4" t="str">
        <f>IFERROR(_xlfn.XLOOKUP($Q33,'Elenco Casse'!$D:$D,'Elenco Casse'!$E:$E),"")</f>
        <v/>
      </c>
      <c r="N33" s="4" t="str">
        <f>IFERROR(_xlfn.XLOOKUP($Q33,'Elenco Casse'!$D:$D,'Elenco Casse'!$F:$F),"")</f>
        <v/>
      </c>
      <c r="O33" s="4" t="str">
        <f>IF($L33&lt;&gt;"","TT-2/3","")</f>
        <v>TT-2/3</v>
      </c>
      <c r="P33" s="296" t="str">
        <f>IFERROR(IF(VLOOKUP(E33,Outlist!$A$5:$AC$120,21,FALSE)="YES","Linea Variata",""),"")</f>
        <v/>
      </c>
      <c r="Q33" s="355" t="s">
        <v>523</v>
      </c>
      <c r="R33" s="23" t="s">
        <v>420</v>
      </c>
      <c r="S33" s="25" t="str">
        <f>IFERROR(IF(VLOOKUP(E33,Outlist!$A$5:$AC$120,7,FALSE)="X","SUBCO",""),"")</f>
        <v/>
      </c>
      <c r="T33" s="25"/>
      <c r="U33" s="23" t="s">
        <v>61</v>
      </c>
      <c r="V33" s="23"/>
      <c r="W33" s="26">
        <v>334</v>
      </c>
      <c r="X33" s="27"/>
      <c r="Y33" s="25"/>
      <c r="Z33" s="25"/>
      <c r="AA33" s="25" t="s">
        <v>40</v>
      </c>
      <c r="AB33" s="57"/>
      <c r="AC33" s="25"/>
      <c r="AD33" s="25"/>
      <c r="AE33" s="57"/>
      <c r="AF33" s="57"/>
      <c r="AG33" s="25"/>
      <c r="AH33" s="57"/>
      <c r="AI33" s="339"/>
      <c r="AJ33" s="339"/>
      <c r="AK33" s="297" t="str">
        <f>IF(X33&lt;&gt;"",CONCATENATE(IF(AA33&lt;&gt;"",CONCATENATE(Z33," ",AA33," ",BI33),""),IF(AD33&lt;&gt;"",CONCATENATE(","," ",AC33," ",AD33," ",BJ33),""),IF(AG33&lt;&gt;"",CONCATENATE(","," ",AF33," ",AG33," ",BK33),""),IF(AJ33&lt;&gt;"",CONCATENATE(","," ","DD"," ",BL33),"")," ",IF(AI33&lt;&gt;"",CONCATENATE(" - ",AI33," Bag"),"")),"")</f>
        <v/>
      </c>
      <c r="AL33" s="287"/>
      <c r="AM33" s="287"/>
      <c r="AN33" s="287"/>
      <c r="AO33" s="287"/>
      <c r="AP33" s="370">
        <f>IFERROR(VLOOKUP($E33,Outlist!$A$5:$V$120,20,FALSE),"")</f>
        <v>0</v>
      </c>
      <c r="AQ33" s="288" t="str">
        <f>IFERROR(IF(VLOOKUP($A33,#REF!,8,FALSE)&lt;&gt;"",VLOOKUP($A33,#REF!,8,FALSE),""),"")</f>
        <v/>
      </c>
      <c r="AS33" s="24"/>
      <c r="AT33" s="24"/>
      <c r="AU33" s="27"/>
      <c r="AV33" s="27"/>
      <c r="AX33" s="20" t="str">
        <f>IFERROR(IF(Out_Table[[#This Row],[Cancellazione linea]]="Cancellata","yes",""),"")</f>
        <v/>
      </c>
      <c r="AY33" s="72"/>
      <c r="AZ33" s="27"/>
      <c r="BA33" s="32"/>
      <c r="BB33" s="72"/>
      <c r="BC33" s="72" t="str">
        <f>IFERROR(VLOOKUP(Out_Table[[#This Row],[Aggiornamento STATUS]],'INformazioni per calcoli'!$Y$70:$AA$76,2,FALSE),"")</f>
        <v/>
      </c>
      <c r="BD33" s="289"/>
      <c r="BE33" s="289"/>
      <c r="BF33" s="47" t="str">
        <f>LEFT($E33,3)</f>
        <v>DFT</v>
      </c>
      <c r="BG33" s="298" t="str">
        <f>IF(Out_Table[[#This Row],[Ora Uscita    (GH)]]&lt;&gt;"","x","")</f>
        <v/>
      </c>
      <c r="BH33" s="299">
        <f>VLOOKUP($O33,'INformazioni per calcoli'!$Y$20:$AA$23,3,FALSE)</f>
        <v>14</v>
      </c>
      <c r="BI33" s="299">
        <f>MROUND(Out_Table[[#This Row],[Mtr. Trailer]]*AB33,0.5)</f>
        <v>0</v>
      </c>
      <c r="BJ33" s="299">
        <f>MROUND(Out_Table[[#This Row],[Mtr. Trailer]]*AE33,0.5)</f>
        <v>0</v>
      </c>
      <c r="BK33" s="299">
        <f>MROUND(Out_Table[[#This Row],[Mtr. Trailer]]*AH33,0.5)</f>
        <v>0</v>
      </c>
      <c r="BL33" s="300">
        <f>Out_Table[[#This Row],[Double Deck trailer N° bumpers]]</f>
        <v>0</v>
      </c>
      <c r="BM33" s="301"/>
      <c r="BN33" s="299" t="str">
        <f>B33</f>
        <v>ERN19145</v>
      </c>
      <c r="BO33" s="299" t="str">
        <f>E33</f>
        <v>DFT 1</v>
      </c>
      <c r="BP33" s="302">
        <f>IF(AND(G33&gt;(--"00:00:01"),G33&lt;(--"15:00:00")),IF(AND(X33&gt;(--"00:00:01"),X33&lt;(--"15:00:00")),G33-X33,G33+1-X33),G33-X33)</f>
        <v>1.4166666666642413</v>
      </c>
      <c r="BQ33" s="303">
        <f>AE33+AF33+AH33+AJ33</f>
        <v>0</v>
      </c>
      <c r="BR33" s="304" t="str">
        <f>IF(OR(BP33&lt;=(--"00:20:00"),BQ33&gt;=100%),"OK","Not OK")</f>
        <v>Not OK</v>
      </c>
      <c r="BS33" s="302">
        <f>IF(AND(G33&gt;(--"00:00:01"),G33&lt;(--"15:00:00")),IF(AND(AU33&gt;(--"00:00:01"),AU33&lt;(--"15:00:00")),G33-AU33,G33+1-AU33),G33-AU33)</f>
        <v>1.4166666666642413</v>
      </c>
      <c r="BT33" s="302">
        <f>IF(AND(AZ33&gt;(--"00:00:01"),AZ33&lt;(--"15:00:00")),IF(AND(AU33&gt;(--"00:00:01"),AU33&lt;(--"15:00:00")),AZ33-AU33,AZ33+1-AU33),AZ33-AU33)</f>
        <v>0</v>
      </c>
      <c r="BU33" s="302">
        <f>IF(AND(BA33&gt;(--"00:00:01"),BA33&lt;(--"15:00:00")),IF(AND(AZ33&gt;(--"00:00:01"),AZ33&lt;(--"15:00:00")),BA33-AZ33,BA33+1-AZ33),BA33-AZ33)</f>
        <v>0</v>
      </c>
      <c r="BV33" s="299">
        <f>AV33</f>
        <v>0</v>
      </c>
      <c r="BW33" s="301"/>
      <c r="BX33" s="299" t="str">
        <f>IF(AV33="T Status",IF(AV33&lt;&gt;T33,"X",""),"")</f>
        <v/>
      </c>
      <c r="BY33" s="301"/>
      <c r="BZ33" s="299" t="str">
        <f>IF(X33&lt;&gt;"",IF(CC33="X","Driver Delay",IF(CA33="X","Paperwork Delay",IF(CB33="X","Late freight late sort",IF(CD33="X","Chiamare Control Room",IF(CE33="X","Chiamare Control Room",IF(CF33="X","Chiamare Control Room","")))))),"")</f>
        <v/>
      </c>
      <c r="CA33" s="302" t="str">
        <f>IF(K33="",IF(IF(AND(G33&gt;(--"00:00:01"),G33&lt;(--"15:00:00")),IF(AND(AT33&gt;(--"08:00:00"),AT33&lt;(--"23:59:59")),G33+1-AT33,G33-AT33),G33-AT33)&gt;(--"00:20:00"),"","X"),"")</f>
        <v/>
      </c>
      <c r="CB33" s="299" t="str">
        <f>IF(K33="",IF(BP33&gt;=(--"00:20:00"),"","X"),"")</f>
        <v/>
      </c>
      <c r="CC33" s="299" t="str">
        <f>IF(OR(AV33="Autista non presente",AV33="Dati driver non presenti"),"X","")</f>
        <v/>
      </c>
      <c r="CD33" s="299" t="str">
        <f>IF(K33="",IF(AND(CC33="",BS33&lt;(--"00:20:00")),"X",""),"")</f>
        <v/>
      </c>
      <c r="CE33" s="299" t="str">
        <f>IF(K33="",IF(BT33&gt;(--"00:15:00"),"X",""),IF(AZ33&lt;&gt;"",IF(G33-AZ33&gt;(--"00:30:00"),"X",""),""))</f>
        <v/>
      </c>
      <c r="CF33" s="299" t="str">
        <f>IF(AND(CA33="",CB33="",CC33="",CD33="",CE33=""),"X","")</f>
        <v>X</v>
      </c>
      <c r="CG33" s="301"/>
      <c r="CH33" s="299" t="str">
        <f>IF(BT33&gt;(--"00:15:00"),"X","")</f>
        <v/>
      </c>
      <c r="CI33" s="302">
        <f>AY33</f>
        <v>0</v>
      </c>
      <c r="CJ33" s="299" t="str">
        <f>IF(AND(CH33&lt;&gt;"",CI33&lt;&gt;"",LEFT(B33,3)="ITD"),AP33,"")</f>
        <v/>
      </c>
      <c r="CK33" s="305" t="str">
        <f>IF(CJ33&lt;&gt;"",BT33,"")</f>
        <v/>
      </c>
      <c r="CL33" s="301"/>
      <c r="CM33" s="305" t="str">
        <f>IFERROR(VLOOKUP(Q33,'Elenco Casse'!$D$4:$F$292,3,FALSE),"")</f>
        <v/>
      </c>
      <c r="CN33" s="301"/>
      <c r="CO33" s="305" t="str">
        <f>IFERROR(VLOOKUP(E33,Outlist!$A$5:$H$120,8,FALSE),"")</f>
        <v>ENB15470</v>
      </c>
      <c r="CP33" s="305" t="str">
        <f>IFERROR(IF(VLOOKUP($E33,Outlist!$A$5:$S$120,19,FALSE)&lt;&gt;0,"Y",""),"")</f>
        <v/>
      </c>
      <c r="CQ33" s="301"/>
      <c r="CR33" s="305" t="str">
        <f>CONCATENATE($B33,$E33,$G33)</f>
        <v>ERN19145DFT 10.416666666664241</v>
      </c>
      <c r="CS33" s="301"/>
      <c r="CT33" s="305">
        <f>VLOOKUP(Out_Table[[#This Row],[Destination             ORANGE (From Planning)]],Outlist!$A$5:$W$120,22,FALSE)</f>
        <v>0</v>
      </c>
    </row>
    <row r="34" spans="1:98" s="20" customFormat="1" ht="30.75">
      <c r="A34" s="305" t="str">
        <f>$CR34</f>
        <v>ERN16770DNG 20.104166666664241</v>
      </c>
      <c r="B34" s="351" t="str">
        <f>IFERROR(VLOOKUP(E34,Outlist!$A$5:$AC$120,2,FALSE),"")</f>
        <v>ERN16770</v>
      </c>
      <c r="C34" s="352" t="str">
        <f>IFERROR(IF(LEFT(B34,3)='STAT 77'!$X$2,_xlfn.XLOOKUP(B34,'STAT 77'!C:C,'STAT 77'!B:B),_xlfn.XLOOKUP(B34,'STAT 77'!B:B,'STAT 77'!C:C)),"NON TROVATO")</f>
        <v>ERN08550</v>
      </c>
      <c r="D34" s="4"/>
      <c r="E34" s="352" t="str">
        <f>IFERROR(IF(Outlist!$A6&lt;&gt;"",Outlist!$A6,""),"")</f>
        <v>DNG 2</v>
      </c>
      <c r="F34" s="352" t="str">
        <f>IFERROR(VLOOKUP(E34,'Cambio O2P'!C:E,2,FALSE),"")</f>
        <v/>
      </c>
      <c r="G34" s="353">
        <f>IFERROR(VLOOKUP(E34,Outlist!$A$5:$AC$120,5,FALSE)-INT(VLOOKUP(E34,Outlist!$A$5:$AC$120,5,FALSE)),"")</f>
        <v>0.10416666666424135</v>
      </c>
      <c r="H34" s="294" t="str">
        <f ca="1">IFERROR(IF(AND('INformazioni per calcoli'!$AB$3&lt;(--"14:30"),'INformazioni per calcoli'!$AB$3&gt;(--"10:00")),"",IF($B34="","",IF($X34&lt;&gt;"","Mezzo Chiuso",IF($W34="","Non al Carico",IF($K34="Safe Parking","Safe Parking", IF(OR($BF34='INformazioni per calcoli'!$AF$8,$BF34='INformazioni per calcoli'!$AC$8,$BF34='INformazioni per calcoli'!$AD$8,$BF34='INformazioni per calcoli'!$AE$8,$BF34='INformazioni per calcoli'!$AG$8,$BF34='INformazioni per calcoli'!$AH$8,$BF34='INformazioni per calcoli'!$AI$8,$BF34='INformazioni per calcoli'!$AJ$8),IF($G34-'INformazioni per calcoli'!$AB$6-'INformazioni per calcoli'!$AB$3+$J34&lt;0,"LFLS",$G34-'INformazioni per calcoli'!$AB$6-'INformazioni per calcoli'!$AB$3+$J34), IF(OR($BF34='INformazioni per calcoli'!$AF$6,$BF34='INformazioni per calcoli'!$AD$6,$BF34='INformazioni per calcoli'!$AE$6,$BF34='INformazioni per calcoli'!$AG$6),IF($G34-'INformazioni per calcoli'!$AB$8-'INformazioni per calcoli'!$AB$3+$J34&lt;0,"LFLS",$G34-'INformazioni per calcoli'!$AB$8-'INformazioni per calcoli'!$AB$3+$J34), IF($G34-'INformazioni per calcoli'!$AB$7-'INformazioni per calcoli'!$AB$3+$J34&lt;0,"LFLS",$G34-'INformazioni per calcoli'!$AB$7-'INformazioni per calcoli'!$AB$3+$J34)))))))),"")</f>
        <v>Mezzo Chiuso</v>
      </c>
      <c r="I34" s="17" t="str">
        <f ca="1">IFERROR(IF($H34&lt;&gt;"",IF($H34="Safe Parking","",IF($W34&lt;&gt;"",IF(AND($U34="X",$V34="X"),$H34-(--"00:30"),""),IF($X34&lt;&gt;"","Mezzo Chiuso","Non al carico"))),""),"")</f>
        <v/>
      </c>
      <c r="J34" s="306">
        <f ca="1">IFERROR(IF($B34&lt;&gt;"",IF(AND('INformazioni per calcoli'!$AB$3&lt;(--"15:00"),'INformazioni per calcoli'!$AB$3&gt;(--"00:00")),0,IF($G34&lt;(--"18:30"),"+1",0)),""),"")</f>
        <v>0</v>
      </c>
      <c r="K34" s="27">
        <f>IF(E34&lt;&gt;"",IFERROR(VLOOKUP(E34,Outlist!$A$5:$AC$120,22,FALSE),""),"")</f>
        <v>0</v>
      </c>
      <c r="L34" s="352" t="str">
        <f>IF(E34&lt;&gt;"",IFERROR(VLOOKUP(E34,Outlist!$A$5:$AC$120,3,FALSE),""),"")</f>
        <v>Ravitex Srl</v>
      </c>
      <c r="M34" s="4" t="str">
        <f>IFERROR(_xlfn.XLOOKUP($Q34,'Elenco Casse'!$D:$D,'Elenco Casse'!$E:$E),"")</f>
        <v>Ravitex Srl</v>
      </c>
      <c r="N34" s="4">
        <f>IFERROR(_xlfn.XLOOKUP($Q34,'Elenco Casse'!$D:$D,'Elenco Casse'!$F:$F),"")</f>
        <v>0</v>
      </c>
      <c r="O34" s="4" t="str">
        <f>IF($L34&lt;&gt;"","TT-2/3","")</f>
        <v>TT-2/3</v>
      </c>
      <c r="P34" s="296" t="str">
        <f>IFERROR(IF(VLOOKUP(E34,Outlist!$A$5:$AC$120,21,FALSE)="YES","Linea Variata",""),"")</f>
        <v/>
      </c>
      <c r="Q34" s="355" t="s">
        <v>524</v>
      </c>
      <c r="R34" s="23" t="s">
        <v>420</v>
      </c>
      <c r="S34" s="25" t="str">
        <f>IFERROR(IF(VLOOKUP(E34,Outlist!$A$5:$AC$120,7,FALSE)="X","SUBCO",""),"")</f>
        <v>SUBCO</v>
      </c>
      <c r="T34" s="25"/>
      <c r="U34" s="23" t="s">
        <v>61</v>
      </c>
      <c r="V34" s="23"/>
      <c r="W34" s="26">
        <v>335</v>
      </c>
      <c r="X34" s="27">
        <v>0.96388888888888891</v>
      </c>
      <c r="Y34" s="25" t="s">
        <v>525</v>
      </c>
      <c r="Z34" s="25"/>
      <c r="AA34" s="25" t="s">
        <v>40</v>
      </c>
      <c r="AB34" s="57">
        <v>1</v>
      </c>
      <c r="AC34" s="25"/>
      <c r="AD34" s="25"/>
      <c r="AE34" s="57"/>
      <c r="AF34" s="57"/>
      <c r="AG34" s="25"/>
      <c r="AH34" s="57"/>
      <c r="AI34" s="339">
        <v>13</v>
      </c>
      <c r="AJ34" s="339"/>
      <c r="AK34" s="297" t="str">
        <f>IF(X34&lt;&gt;"",CONCATENATE(IF(AA34&lt;&gt;"",CONCATENATE(Z34," ",AA34," ",BI34),""),IF(AD34&lt;&gt;"",CONCATENATE(","," ",AC34," ",AD34," ",BJ34),""),IF(AG34&lt;&gt;"",CONCATENATE(","," ",AF34," ",AG34," ",BK34),""),IF(AJ34&lt;&gt;"",CONCATENATE(","," ","DD"," ",BL34),"")," ",IF(AI34&lt;&gt;"",CONCATENATE(" - ",AI34," Bag"),"")),"")</f>
        <v xml:space="preserve"> LL 14  - 13 Bag</v>
      </c>
      <c r="AL34" s="287" t="s">
        <v>421</v>
      </c>
      <c r="AM34" s="287"/>
      <c r="AN34" s="287"/>
      <c r="AO34" s="287"/>
      <c r="AP34" s="370">
        <f>IFERROR(VLOOKUP($E34,Outlist!$A$5:$V$120,20,FALSE),"")</f>
        <v>0</v>
      </c>
      <c r="AQ34" s="288" t="s">
        <v>526</v>
      </c>
      <c r="AR34" s="430">
        <v>0.96736111111111112</v>
      </c>
      <c r="AS34" s="24">
        <v>0.97291666666666665</v>
      </c>
      <c r="AT34" s="24">
        <v>0.98055555555555551</v>
      </c>
      <c r="AU34" s="27"/>
      <c r="AV34" s="27"/>
      <c r="AW34" s="20" t="s">
        <v>443</v>
      </c>
      <c r="AX34" s="20" t="str">
        <f>IFERROR(IF(Out_Table[[#This Row],[Cancellazione linea]]="Cancellata","yes",""),"")</f>
        <v/>
      </c>
      <c r="AY34" s="72"/>
      <c r="AZ34" s="27"/>
      <c r="BA34" s="32">
        <v>6.1111111111111109E-2</v>
      </c>
      <c r="BB34" s="72"/>
      <c r="BC34" s="72" t="str">
        <f>IFERROR(VLOOKUP(Out_Table[[#This Row],[Aggiornamento STATUS]],'INformazioni per calcoli'!$Y$70:$AA$76,2,FALSE),"")</f>
        <v/>
      </c>
      <c r="BD34" s="289"/>
      <c r="BE34" s="289"/>
      <c r="BF34" s="47" t="str">
        <f>LEFT($E34,3)</f>
        <v>DNG</v>
      </c>
      <c r="BG34" s="298" t="str">
        <f>IF(Out_Table[[#This Row],[Ora Uscita    (GH)]]&lt;&gt;"","x","")</f>
        <v>x</v>
      </c>
      <c r="BH34" s="299">
        <f>VLOOKUP($O34,'INformazioni per calcoli'!$Y$20:$AA$23,3,FALSE)</f>
        <v>14</v>
      </c>
      <c r="BI34" s="299">
        <f>MROUND(Out_Table[[#This Row],[Mtr. Trailer]]*AB34,0.5)</f>
        <v>14</v>
      </c>
      <c r="BJ34" s="299">
        <f>MROUND(Out_Table[[#This Row],[Mtr. Trailer]]*AE34,0.5)</f>
        <v>0</v>
      </c>
      <c r="BK34" s="299">
        <f>MROUND(Out_Table[[#This Row],[Mtr. Trailer]]*AH34,0.5)</f>
        <v>0</v>
      </c>
      <c r="BL34" s="300">
        <f>Out_Table[[#This Row],[Double Deck trailer N° bumpers]]</f>
        <v>0</v>
      </c>
      <c r="BM34" s="301"/>
      <c r="BN34" s="299" t="str">
        <f>B34</f>
        <v>ERN16770</v>
      </c>
      <c r="BO34" s="299" t="str">
        <f>E34</f>
        <v>DNG 2</v>
      </c>
      <c r="BP34" s="302">
        <f>IF(AND(G34&gt;(--"00:00:01"),G34&lt;(--"15:00:00")),IF(AND(X34&gt;(--"00:00:01"),X34&lt;(--"15:00:00")),G34-X34,G34+1-X34),G34-X34)</f>
        <v>0.14027777777535244</v>
      </c>
      <c r="BQ34" s="303">
        <f>AE34+AF34+AH34+AJ34</f>
        <v>0</v>
      </c>
      <c r="BR34" s="304" t="str">
        <f>IF(OR(BP34&lt;=(--"00:20:00"),BQ34&gt;=100%),"OK","Not OK")</f>
        <v>Not OK</v>
      </c>
      <c r="BS34" s="302">
        <f>IF(AND(G34&gt;(--"00:00:01"),G34&lt;(--"15:00:00")),IF(AND(AU34&gt;(--"00:00:01"),AU34&lt;(--"15:00:00")),G34-AU34,G34+1-AU34),G34-AU34)</f>
        <v>1.1041666666642413</v>
      </c>
      <c r="BT34" s="302">
        <f>IF(AND(AZ34&gt;(--"00:00:01"),AZ34&lt;(--"15:00:00")),IF(AND(AU34&gt;(--"00:00:01"),AU34&lt;(--"15:00:00")),AZ34-AU34,AZ34+1-AU34),AZ34-AU34)</f>
        <v>0</v>
      </c>
      <c r="BU34" s="302">
        <f>IF(AND(BA34&gt;(--"00:00:01"),BA34&lt;(--"15:00:00")),IF(AND(AZ34&gt;(--"00:00:01"),AZ34&lt;(--"15:00:00")),BA34-AZ34,BA34+1-AZ34),BA34-AZ34)</f>
        <v>1.0611111111111111</v>
      </c>
      <c r="BV34" s="299">
        <f>AV34</f>
        <v>0</v>
      </c>
      <c r="BW34" s="301"/>
      <c r="BX34" s="299" t="str">
        <f>IF(AV34="T Status",IF(AV34&lt;&gt;T34,"X",""),"")</f>
        <v/>
      </c>
      <c r="BY34" s="301"/>
      <c r="BZ34" s="299" t="str">
        <f>IF(X34&lt;&gt;"",IF(CC34="X","Driver Delay",IF(CA34="X","Paperwork Delay",IF(CB34="X","Late freight late sort",IF(CD34="X","Chiamare Control Room",IF(CE34="X","Chiamare Control Room",IF(CF34="X","Chiamare Control Room","")))))),"")</f>
        <v>Chiamare Control Room</v>
      </c>
      <c r="CA34" s="302" t="str">
        <f>IF(K34="",IF(IF(AND(G34&gt;(--"00:00:01"),G34&lt;(--"15:00:00")),IF(AND(AT34&gt;(--"08:00:00"),AT34&lt;(--"23:59:59")),G34+1-AT34,G34-AT34),G34-AT34)&gt;(--"00:20:00"),"","X"),"")</f>
        <v/>
      </c>
      <c r="CB34" s="299" t="str">
        <f>IF(K34="",IF(BP34&gt;=(--"00:20:00"),"","X"),"")</f>
        <v/>
      </c>
      <c r="CC34" s="299" t="str">
        <f>IF(OR(AV34="Autista non presente",AV34="Dati driver non presenti"),"X","")</f>
        <v/>
      </c>
      <c r="CD34" s="299" t="str">
        <f>IF(K34="",IF(AND(CC34="",BS34&lt;(--"00:20:00")),"X",""),"")</f>
        <v/>
      </c>
      <c r="CE34" s="299" t="str">
        <f>IF(K34="",IF(BT34&gt;(--"00:15:00"),"X",""),IF(AZ34&lt;&gt;"",IF(G34-AZ34&gt;(--"00:30:00"),"X",""),""))</f>
        <v/>
      </c>
      <c r="CF34" s="299" t="str">
        <f>IF(AND(CA34="",CB34="",CC34="",CD34="",CE34=""),"X","")</f>
        <v>X</v>
      </c>
      <c r="CG34" s="301"/>
      <c r="CH34" s="299" t="str">
        <f>IF(BT34&gt;(--"00:15:00"),"X","")</f>
        <v/>
      </c>
      <c r="CI34" s="302">
        <f>AY34</f>
        <v>0</v>
      </c>
      <c r="CJ34" s="299" t="str">
        <f>IF(AND(CH34&lt;&gt;"",CI34&lt;&gt;"",LEFT(B34,3)="ITD"),AP34,"")</f>
        <v/>
      </c>
      <c r="CK34" s="305" t="str">
        <f>IF(CJ34&lt;&gt;"",BT34,"")</f>
        <v/>
      </c>
      <c r="CL34" s="301"/>
      <c r="CM34" s="305" t="str">
        <f>IFERROR(VLOOKUP(Q34,'Elenco Casse'!$D$4:$F$292,3,FALSE),"")</f>
        <v/>
      </c>
      <c r="CN34" s="301"/>
      <c r="CO34" s="305" t="str">
        <f>IFERROR(VLOOKUP(E34,Outlist!$A$5:$H$120,8,FALSE),"")</f>
        <v>ALLOCATA</v>
      </c>
      <c r="CP34" s="305" t="str">
        <f>IFERROR(IF(VLOOKUP($E34,Outlist!$A$5:$S$120,19,FALSE)&lt;&gt;0,"Y",""),"")</f>
        <v>Y</v>
      </c>
      <c r="CQ34" s="301"/>
      <c r="CR34" s="305" t="str">
        <f>CONCATENATE($B34,$E34,$G34)</f>
        <v>ERN16770DNG 20.104166666664241</v>
      </c>
      <c r="CS34" s="301"/>
      <c r="CT34" s="305">
        <f>VLOOKUP(Out_Table[[#This Row],[Destination             ORANGE (From Planning)]],Outlist!$A$5:$W$120,22,FALSE)</f>
        <v>0</v>
      </c>
    </row>
    <row r="35" spans="1:98" s="20" customFormat="1" ht="15">
      <c r="A35" s="305" t="str">
        <f>$CR35</f>
        <v>ERN18646DNG 70.375</v>
      </c>
      <c r="B35" s="351" t="str">
        <f>IFERROR(VLOOKUP(E35,Outlist!$A$5:$AC$120,2,FALSE),"")</f>
        <v>ERN18646</v>
      </c>
      <c r="C35" s="352" t="str">
        <f>IFERROR(IF(LEFT(B35,3)='STAT 77'!$X$2,_xlfn.XLOOKUP(B35,'STAT 77'!C:C,'STAT 77'!B:B),_xlfn.XLOOKUP(B35,'STAT 77'!B:B,'STAT 77'!C:C)),"NON TROVATO")</f>
        <v>ERN09449</v>
      </c>
      <c r="D35" s="4"/>
      <c r="E35" s="352" t="str">
        <f>IFERROR(IF(Outlist!$A11&lt;&gt;"",Outlist!$A11,""),"")</f>
        <v>DNG 7</v>
      </c>
      <c r="F35" s="352" t="str">
        <f>IFERROR(VLOOKUP(E35,'Cambio O2P'!C:E,2,FALSE),"")</f>
        <v/>
      </c>
      <c r="G35" s="353">
        <f>IFERROR(VLOOKUP(E35,Outlist!$A$5:$AC$120,5,FALSE)-INT(VLOOKUP(E35,Outlist!$A$5:$AC$120,5,FALSE)),"")</f>
        <v>0.375</v>
      </c>
      <c r="H35" s="294">
        <f ca="1">IFERROR(IF(AND('INformazioni per calcoli'!$AB$3&lt;(--"14:30"),'INformazioni per calcoli'!$AB$3&gt;(--"10:00")),"",IF($B35="","",IF($X35&lt;&gt;"","Mezzo Chiuso",IF($W35="","Non al Carico",IF($K35="Safe Parking","Safe Parking", IF(OR($BF35='INformazioni per calcoli'!$AF$8,$BF35='INformazioni per calcoli'!$AC$8,$BF35='INformazioni per calcoli'!$AD$8,$BF35='INformazioni per calcoli'!$AE$8,$BF35='INformazioni per calcoli'!$AG$8,$BF35='INformazioni per calcoli'!$AH$8,$BF35='INformazioni per calcoli'!$AI$8,$BF35='INformazioni per calcoli'!$AJ$8),IF($G35-'INformazioni per calcoli'!$AB$6-'INformazioni per calcoli'!$AB$3+$J35&lt;0,"LFLS",$G35-'INformazioni per calcoli'!$AB$6-'INformazioni per calcoli'!$AB$3+$J35), IF(OR($BF35='INformazioni per calcoli'!$AF$6,$BF35='INformazioni per calcoli'!$AD$6,$BF35='INformazioni per calcoli'!$AE$6,$BF35='INformazioni per calcoli'!$AG$6),IF($G35-'INformazioni per calcoli'!$AB$8-'INformazioni per calcoli'!$AB$3+$J35&lt;0,"LFLS",$G35-'INformazioni per calcoli'!$AB$8-'INformazioni per calcoli'!$AB$3+$J35), IF($G35-'INformazioni per calcoli'!$AB$7-'INformazioni per calcoli'!$AB$3+$J35&lt;0,"LFLS",$G35-'INformazioni per calcoli'!$AB$7-'INformazioni per calcoli'!$AB$3+$J35)))))))),"")</f>
        <v>0.18787037037037035</v>
      </c>
      <c r="I35" s="17" t="str">
        <f ca="1">IFERROR(IF($H35&lt;&gt;"",IF($H35="Safe Parking","",IF($W35&lt;&gt;"",IF(AND($U35="X",$V35="X"),$H35-(--"00:30"),""),IF($X35&lt;&gt;"","Mezzo Chiuso","Non al carico"))),""),"")</f>
        <v/>
      </c>
      <c r="J35" s="306">
        <f ca="1">IFERROR(IF($B35&lt;&gt;"",IF(AND('INformazioni per calcoli'!$AB$3&lt;(--"15:00"),'INformazioni per calcoli'!$AB$3&gt;(--"00:00")),0,IF($G35&lt;(--"18:30"),"+1",0)),""),"")</f>
        <v>0</v>
      </c>
      <c r="K35" s="27">
        <f>IF(E35&lt;&gt;"",IFERROR(VLOOKUP(E35,Outlist!$A$5:$AC$120,22,FALSE),""),"")</f>
        <v>0</v>
      </c>
      <c r="L35" s="352" t="str">
        <f>IF(E35&lt;&gt;"",IFERROR(VLOOKUP(E35,Outlist!$A$5:$AC$120,3,FALSE),""),"")</f>
        <v>Galileo Transport Srl</v>
      </c>
      <c r="M35" s="4" t="str">
        <f>IFERROR(_xlfn.XLOOKUP($Q35,'Elenco Casse'!$D:$D,'Elenco Casse'!$E:$E),"")</f>
        <v/>
      </c>
      <c r="N35" s="4" t="str">
        <f>IFERROR(_xlfn.XLOOKUP($Q35,'Elenco Casse'!$D:$D,'Elenco Casse'!$F:$F),"")</f>
        <v/>
      </c>
      <c r="O35" s="4" t="str">
        <f>IF($L35&lt;&gt;"","TT-2/3","")</f>
        <v>TT-2/3</v>
      </c>
      <c r="P35" s="296" t="str">
        <f>IFERROR(IF(VLOOKUP(E35,Outlist!$A$5:$AC$120,21,FALSE)="YES","Linea Variata",""),"")</f>
        <v/>
      </c>
      <c r="Q35" s="355" t="s">
        <v>527</v>
      </c>
      <c r="R35" s="23" t="s">
        <v>420</v>
      </c>
      <c r="S35" s="25" t="str">
        <f>IFERROR(IF(VLOOKUP(E35,Outlist!$A$5:$AC$120,7,FALSE)="X","SUBCO",""),"")</f>
        <v/>
      </c>
      <c r="T35" s="25"/>
      <c r="U35" s="23" t="s">
        <v>61</v>
      </c>
      <c r="V35" s="23"/>
      <c r="W35" s="26">
        <v>335</v>
      </c>
      <c r="X35" s="27"/>
      <c r="Y35" s="25"/>
      <c r="Z35" s="25"/>
      <c r="AA35" s="25" t="s">
        <v>40</v>
      </c>
      <c r="AB35" s="57"/>
      <c r="AC35" s="25"/>
      <c r="AD35" s="25"/>
      <c r="AE35" s="57"/>
      <c r="AF35" s="57"/>
      <c r="AG35" s="25"/>
      <c r="AH35" s="57"/>
      <c r="AI35" s="339"/>
      <c r="AJ35" s="339"/>
      <c r="AK35" s="297" t="str">
        <f>IF(X35&lt;&gt;"",CONCATENATE(IF(AA35&lt;&gt;"",CONCATENATE(Z35," ",AA35," ",BI35),""),IF(AD35&lt;&gt;"",CONCATENATE(","," ",AC35," ",AD35," ",BJ35),""),IF(AG35&lt;&gt;"",CONCATENATE(","," ",AF35," ",AG35," ",BK35),""),IF(AJ35&lt;&gt;"",CONCATENATE(","," ","DD"," ",BL35),"")," ",IF(AI35&lt;&gt;"",CONCATENATE(" - ",AI35," Bag"),"")),"")</f>
        <v/>
      </c>
      <c r="AL35" s="287"/>
      <c r="AM35" s="287"/>
      <c r="AN35" s="287"/>
      <c r="AO35" s="287"/>
      <c r="AP35" s="370">
        <f>IFERROR(VLOOKUP($E35,Outlist!$A$5:$V$120,20,FALSE),"")</f>
        <v>0</v>
      </c>
      <c r="AQ35" s="288" t="str">
        <f>IFERROR(IF(VLOOKUP($A35,#REF!,8,FALSE)&lt;&gt;"",VLOOKUP($A35,#REF!,8,FALSE),""),"")</f>
        <v/>
      </c>
      <c r="AS35" s="24"/>
      <c r="AT35" s="24"/>
      <c r="AU35" s="27"/>
      <c r="AV35" s="27"/>
      <c r="AX35" s="20" t="str">
        <f>IFERROR(IF(Out_Table[[#This Row],[Cancellazione linea]]="Cancellata","yes",""),"")</f>
        <v/>
      </c>
      <c r="AY35" s="72"/>
      <c r="AZ35" s="27"/>
      <c r="BA35" s="32"/>
      <c r="BB35" s="72"/>
      <c r="BC35" s="72" t="str">
        <f>IFERROR(VLOOKUP(Out_Table[[#This Row],[Aggiornamento STATUS]],'INformazioni per calcoli'!$Y$70:$AA$76,2,FALSE),"")</f>
        <v/>
      </c>
      <c r="BD35" s="289"/>
      <c r="BE35" s="289"/>
      <c r="BF35" s="47" t="str">
        <f>LEFT($E35,3)</f>
        <v>DNG</v>
      </c>
      <c r="BG35" s="298" t="str">
        <f>IF(Out_Table[[#This Row],[Ora Uscita    (GH)]]&lt;&gt;"","x","")</f>
        <v/>
      </c>
      <c r="BH35" s="299">
        <f>VLOOKUP($O35,'INformazioni per calcoli'!$Y$20:$AA$23,3,FALSE)</f>
        <v>14</v>
      </c>
      <c r="BI35" s="299">
        <f>MROUND(Out_Table[[#This Row],[Mtr. Trailer]]*AB35,0.5)</f>
        <v>0</v>
      </c>
      <c r="BJ35" s="299">
        <f>MROUND(Out_Table[[#This Row],[Mtr. Trailer]]*AE35,0.5)</f>
        <v>0</v>
      </c>
      <c r="BK35" s="299">
        <f>MROUND(Out_Table[[#This Row],[Mtr. Trailer]]*AH35,0.5)</f>
        <v>0</v>
      </c>
      <c r="BL35" s="300">
        <f>Out_Table[[#This Row],[Double Deck trailer N° bumpers]]</f>
        <v>0</v>
      </c>
      <c r="BM35" s="301"/>
      <c r="BN35" s="299" t="str">
        <f>B35</f>
        <v>ERN18646</v>
      </c>
      <c r="BO35" s="299" t="str">
        <f>E35</f>
        <v>DNG 7</v>
      </c>
      <c r="BP35" s="302">
        <f>IF(AND(G35&gt;(--"00:00:01"),G35&lt;(--"15:00:00")),IF(AND(X35&gt;(--"00:00:01"),X35&lt;(--"15:00:00")),G35-X35,G35+1-X35),G35-X35)</f>
        <v>1.375</v>
      </c>
      <c r="BQ35" s="303">
        <f>AE35+AF35+AH35+AJ35</f>
        <v>0</v>
      </c>
      <c r="BR35" s="304" t="str">
        <f>IF(OR(BP35&lt;=(--"00:20:00"),BQ35&gt;=100%),"OK","Not OK")</f>
        <v>Not OK</v>
      </c>
      <c r="BS35" s="302">
        <f>IF(AND(G35&gt;(--"00:00:01"),G35&lt;(--"15:00:00")),IF(AND(AU35&gt;(--"00:00:01"),AU35&lt;(--"15:00:00")),G35-AU35,G35+1-AU35),G35-AU35)</f>
        <v>1.375</v>
      </c>
      <c r="BT35" s="302">
        <f>IF(AND(AZ35&gt;(--"00:00:01"),AZ35&lt;(--"15:00:00")),IF(AND(AU35&gt;(--"00:00:01"),AU35&lt;(--"15:00:00")),AZ35-AU35,AZ35+1-AU35),AZ35-AU35)</f>
        <v>0</v>
      </c>
      <c r="BU35" s="302">
        <f>IF(AND(BA35&gt;(--"00:00:01"),BA35&lt;(--"15:00:00")),IF(AND(AZ35&gt;(--"00:00:01"),AZ35&lt;(--"15:00:00")),BA35-AZ35,BA35+1-AZ35),BA35-AZ35)</f>
        <v>0</v>
      </c>
      <c r="BV35" s="299">
        <f>AV35</f>
        <v>0</v>
      </c>
      <c r="BW35" s="301"/>
      <c r="BX35" s="299" t="str">
        <f>IF(AV35="T Status",IF(AV35&lt;&gt;T35,"X",""),"")</f>
        <v/>
      </c>
      <c r="BY35" s="301"/>
      <c r="BZ35" s="299" t="str">
        <f>IF(X35&lt;&gt;"",IF(CC35="X","Driver Delay",IF(CA35="X","Paperwork Delay",IF(CB35="X","Late freight late sort",IF(CD35="X","Chiamare Control Room",IF(CE35="X","Chiamare Control Room",IF(CF35="X","Chiamare Control Room","")))))),"")</f>
        <v/>
      </c>
      <c r="CA35" s="302" t="str">
        <f>IF(K35="",IF(IF(AND(G35&gt;(--"00:00:01"),G35&lt;(--"15:00:00")),IF(AND(AT35&gt;(--"08:00:00"),AT35&lt;(--"23:59:59")),G35+1-AT35,G35-AT35),G35-AT35)&gt;(--"00:20:00"),"","X"),"")</f>
        <v/>
      </c>
      <c r="CB35" s="299" t="str">
        <f>IF(K35="",IF(BP35&gt;=(--"00:20:00"),"","X"),"")</f>
        <v/>
      </c>
      <c r="CC35" s="299" t="str">
        <f>IF(OR(AV35="Autista non presente",AV35="Dati driver non presenti"),"X","")</f>
        <v/>
      </c>
      <c r="CD35" s="299" t="str">
        <f>IF(K35="",IF(AND(CC35="",BS35&lt;(--"00:20:00")),"X",""),"")</f>
        <v/>
      </c>
      <c r="CE35" s="299" t="str">
        <f>IF(K35="",IF(BT35&gt;(--"00:15:00"),"X",""),IF(AZ35&lt;&gt;"",IF(G35-AZ35&gt;(--"00:30:00"),"X",""),""))</f>
        <v/>
      </c>
      <c r="CF35" s="299" t="str">
        <f>IF(AND(CA35="",CB35="",CC35="",CD35="",CE35=""),"X","")</f>
        <v>X</v>
      </c>
      <c r="CG35" s="301"/>
      <c r="CH35" s="299" t="str">
        <f>IF(BT35&gt;(--"00:15:00"),"X","")</f>
        <v/>
      </c>
      <c r="CI35" s="302">
        <f>AY35</f>
        <v>0</v>
      </c>
      <c r="CJ35" s="299" t="str">
        <f>IF(AND(CH35&lt;&gt;"",CI35&lt;&gt;"",LEFT(B35,3)="ITD"),AP35,"")</f>
        <v/>
      </c>
      <c r="CK35" s="305" t="str">
        <f>IF(CJ35&lt;&gt;"",BT35,"")</f>
        <v/>
      </c>
      <c r="CL35" s="301"/>
      <c r="CM35" s="305" t="str">
        <f>IFERROR(VLOOKUP(Q35,'Elenco Casse'!$D$4:$F$292,3,FALSE),"")</f>
        <v/>
      </c>
      <c r="CN35" s="301"/>
      <c r="CO35" s="305" t="str">
        <f>IFERROR(VLOOKUP(E35,Outlist!$A$5:$H$120,8,FALSE),"")</f>
        <v>RENT395</v>
      </c>
      <c r="CP35" s="305" t="str">
        <f>IFERROR(IF(VLOOKUP($E35,Outlist!$A$5:$S$120,19,FALSE)&lt;&gt;0,"Y",""),"")</f>
        <v/>
      </c>
      <c r="CQ35" s="301"/>
      <c r="CR35" s="305" t="str">
        <f>CONCATENATE($B35,$E35,$G35)</f>
        <v>ERN18646DNG 70.375</v>
      </c>
      <c r="CS35" s="301"/>
      <c r="CT35" s="305">
        <f>VLOOKUP(Out_Table[[#This Row],[Destination             ORANGE (From Planning)]],Outlist!$A$5:$W$120,22,FALSE)</f>
        <v>0</v>
      </c>
    </row>
    <row r="36" spans="1:98" s="20" customFormat="1" ht="30.75">
      <c r="A36" s="305" t="str">
        <f>$CR36</f>
        <v>ERN16768DNG 30.104166666664241</v>
      </c>
      <c r="B36" s="351" t="str">
        <f>IFERROR(VLOOKUP(E36,Outlist!$A$5:$AC$120,2,FALSE),"")</f>
        <v>ERN16768</v>
      </c>
      <c r="C36" s="352" t="str">
        <f>IFERROR(IF(LEFT(B36,3)='STAT 77'!$X$2,_xlfn.XLOOKUP(B36,'STAT 77'!C:C,'STAT 77'!B:B),_xlfn.XLOOKUP(B36,'STAT 77'!B:B,'STAT 77'!C:C)),"NON TROVATO")</f>
        <v>ERN08549</v>
      </c>
      <c r="D36" s="4"/>
      <c r="E36" s="352" t="str">
        <f>IFERROR(IF(Outlist!$A7&lt;&gt;"",Outlist!$A7,""),"")</f>
        <v>DNG 3</v>
      </c>
      <c r="F36" s="352" t="str">
        <f>IFERROR(VLOOKUP(E36,'Cambio O2P'!C:E,2,FALSE),"")</f>
        <v/>
      </c>
      <c r="G36" s="353">
        <f>IFERROR(VLOOKUP(E36,Outlist!$A$5:$AC$120,5,FALSE)-INT(VLOOKUP(E36,Outlist!$A$5:$AC$120,5,FALSE)),"")</f>
        <v>0.10416666666424135</v>
      </c>
      <c r="H36" s="294" t="str">
        <f ca="1">IFERROR(IF(AND('INformazioni per calcoli'!$AB$3&lt;(--"14:30"),'INformazioni per calcoli'!$AB$3&gt;(--"10:00")),"",IF($B36="","",IF($X36&lt;&gt;"","Mezzo Chiuso",IF($W36="","Non al Carico",IF($K36="Safe Parking","Safe Parking", IF(OR($BF36='INformazioni per calcoli'!$AF$8,$BF36='INformazioni per calcoli'!$AC$8,$BF36='INformazioni per calcoli'!$AD$8,$BF36='INformazioni per calcoli'!$AE$8,$BF36='INformazioni per calcoli'!$AG$8,$BF36='INformazioni per calcoli'!$AH$8,$BF36='INformazioni per calcoli'!$AI$8,$BF36='INformazioni per calcoli'!$AJ$8),IF($G36-'INformazioni per calcoli'!$AB$6-'INformazioni per calcoli'!$AB$3+$J36&lt;0,"LFLS",$G36-'INformazioni per calcoli'!$AB$6-'INformazioni per calcoli'!$AB$3+$J36), IF(OR($BF36='INformazioni per calcoli'!$AF$6,$BF36='INformazioni per calcoli'!$AD$6,$BF36='INformazioni per calcoli'!$AE$6,$BF36='INformazioni per calcoli'!$AG$6),IF($G36-'INformazioni per calcoli'!$AB$8-'INformazioni per calcoli'!$AB$3+$J36&lt;0,"LFLS",$G36-'INformazioni per calcoli'!$AB$8-'INformazioni per calcoli'!$AB$3+$J36), IF($G36-'INformazioni per calcoli'!$AB$7-'INformazioni per calcoli'!$AB$3+$J36&lt;0,"LFLS",$G36-'INformazioni per calcoli'!$AB$7-'INformazioni per calcoli'!$AB$3+$J36)))))))),"")</f>
        <v>Mezzo Chiuso</v>
      </c>
      <c r="I36" s="17" t="str">
        <f ca="1">IFERROR(IF($H36&lt;&gt;"",IF($H36="Safe Parking","",IF($W36&lt;&gt;"",IF(AND($U36="X",$V36="X"),$H36-(--"00:30"),""),IF($X36&lt;&gt;"","Mezzo Chiuso","Non al carico"))),""),"")</f>
        <v/>
      </c>
      <c r="J36" s="306">
        <f ca="1">IFERROR(IF($B36&lt;&gt;"",IF(AND('INformazioni per calcoli'!$AB$3&lt;(--"15:00"),'INformazioni per calcoli'!$AB$3&gt;(--"00:00")),0,IF($G36&lt;(--"18:30"),"+1",0)),""),"")</f>
        <v>0</v>
      </c>
      <c r="K36" s="27">
        <f>IF(E36&lt;&gt;"",IFERROR(VLOOKUP(E36,Outlist!$A$5:$AC$120,22,FALSE),""),"")</f>
        <v>0</v>
      </c>
      <c r="L36" s="352" t="str">
        <f>IF(E36&lt;&gt;"",IFERROR(VLOOKUP(E36,Outlist!$A$5:$AC$120,3,FALSE),""),"")</f>
        <v>T Service Spa</v>
      </c>
      <c r="M36" s="4" t="str">
        <f>IFERROR(_xlfn.XLOOKUP($Q36,'Elenco Casse'!$D:$D,'Elenco Casse'!$E:$E),"")</f>
        <v/>
      </c>
      <c r="N36" s="4" t="str">
        <f>IFERROR(_xlfn.XLOOKUP($Q36,'Elenco Casse'!$D:$D,'Elenco Casse'!$F:$F),"")</f>
        <v/>
      </c>
      <c r="O36" s="4" t="str">
        <f>IF($L36&lt;&gt;"","TT-2/3","")</f>
        <v>TT-2/3</v>
      </c>
      <c r="P36" s="296" t="str">
        <f>IFERROR(IF(VLOOKUP(E36,Outlist!$A$5:$AC$120,21,FALSE)="YES","Linea Variata",""),"")</f>
        <v/>
      </c>
      <c r="Q36" s="355" t="s">
        <v>528</v>
      </c>
      <c r="R36" s="23" t="s">
        <v>420</v>
      </c>
      <c r="S36" s="25" t="str">
        <f>IFERROR(IF(VLOOKUP(E36,Outlist!$A$5:$AC$120,7,FALSE)="X","SUBCO",""),"")</f>
        <v/>
      </c>
      <c r="T36" s="25"/>
      <c r="U36" s="23" t="s">
        <v>500</v>
      </c>
      <c r="V36" s="23"/>
      <c r="W36" s="26">
        <v>336</v>
      </c>
      <c r="X36" s="27">
        <v>5.5555555555555552E-2</v>
      </c>
      <c r="Y36" s="25" t="s">
        <v>529</v>
      </c>
      <c r="Z36" s="25"/>
      <c r="AA36" s="25" t="s">
        <v>40</v>
      </c>
      <c r="AB36" s="57">
        <v>0.8</v>
      </c>
      <c r="AC36" s="25"/>
      <c r="AD36" s="25"/>
      <c r="AE36" s="57"/>
      <c r="AF36" s="57"/>
      <c r="AG36" s="25"/>
      <c r="AH36" s="57"/>
      <c r="AI36" s="339">
        <v>5</v>
      </c>
      <c r="AJ36" s="339"/>
      <c r="AK36" s="297" t="str">
        <f>IF(X36&lt;&gt;"",CONCATENATE(IF(AA36&lt;&gt;"",CONCATENATE(Z36," ",AA36," ",BI36),""),IF(AD36&lt;&gt;"",CONCATENATE(","," ",AC36," ",AD36," ",BJ36),""),IF(AG36&lt;&gt;"",CONCATENATE(","," ",AF36," ",AG36," ",BK36),""),IF(AJ36&lt;&gt;"",CONCATENATE(","," ","DD"," ",BL36),"")," ",IF(AI36&lt;&gt;"",CONCATENATE(" - ",AI36," Bag"),"")),"")</f>
        <v xml:space="preserve"> LL 11  - 5 Bag</v>
      </c>
      <c r="AL36" s="287" t="s">
        <v>421</v>
      </c>
      <c r="AM36" s="287"/>
      <c r="AN36" s="287"/>
      <c r="AO36" s="287"/>
      <c r="AP36" s="370">
        <f>IFERROR(VLOOKUP($E36,Outlist!$A$5:$V$120,20,FALSE),"")</f>
        <v>0</v>
      </c>
      <c r="AQ36" s="288" t="s">
        <v>530</v>
      </c>
      <c r="AR36" s="430">
        <v>5.8333333333333334E-2</v>
      </c>
      <c r="AS36" s="24">
        <v>6.5972222222222224E-2</v>
      </c>
      <c r="AT36" s="24">
        <v>6.5972222222222224E-2</v>
      </c>
      <c r="AU36" s="27"/>
      <c r="AV36" s="27"/>
      <c r="AW36" s="20" t="s">
        <v>443</v>
      </c>
      <c r="AX36" s="20" t="str">
        <f>IFERROR(IF(Out_Table[[#This Row],[Cancellazione linea]]="Cancellata","yes",""),"")</f>
        <v/>
      </c>
      <c r="AY36" s="72"/>
      <c r="AZ36" s="27">
        <v>7.4305555555555555E-2</v>
      </c>
      <c r="BA36" s="32">
        <v>8.0555555555555561E-2</v>
      </c>
      <c r="BB36" s="72"/>
      <c r="BC36" s="72" t="str">
        <f>IFERROR(VLOOKUP(Out_Table[[#This Row],[Aggiornamento STATUS]],'INformazioni per calcoli'!$Y$70:$AA$76,2,FALSE),"")</f>
        <v/>
      </c>
      <c r="BD36" s="289"/>
      <c r="BE36" s="289"/>
      <c r="BF36" s="47" t="str">
        <f>LEFT($E36,3)</f>
        <v>DNG</v>
      </c>
      <c r="BG36" s="298" t="str">
        <f>IF(Out_Table[[#This Row],[Ora Uscita    (GH)]]&lt;&gt;"","x","")</f>
        <v>x</v>
      </c>
      <c r="BH36" s="299">
        <f>VLOOKUP($O36,'INformazioni per calcoli'!$Y$20:$AA$23,3,FALSE)</f>
        <v>14</v>
      </c>
      <c r="BI36" s="299">
        <f>MROUND(Out_Table[[#This Row],[Mtr. Trailer]]*AB36,0.5)</f>
        <v>11</v>
      </c>
      <c r="BJ36" s="299">
        <f>MROUND(Out_Table[[#This Row],[Mtr. Trailer]]*AE36,0.5)</f>
        <v>0</v>
      </c>
      <c r="BK36" s="299">
        <f>MROUND(Out_Table[[#This Row],[Mtr. Trailer]]*AH36,0.5)</f>
        <v>0</v>
      </c>
      <c r="BL36" s="300">
        <f>Out_Table[[#This Row],[Double Deck trailer N° bumpers]]</f>
        <v>0</v>
      </c>
      <c r="BM36" s="301"/>
      <c r="BN36" s="299" t="str">
        <f>B36</f>
        <v>ERN16768</v>
      </c>
      <c r="BO36" s="299" t="str">
        <f>E36</f>
        <v>DNG 3</v>
      </c>
      <c r="BP36" s="302">
        <f>IF(AND(G36&gt;(--"00:00:01"),G36&lt;(--"15:00:00")),IF(AND(X36&gt;(--"00:00:01"),X36&lt;(--"15:00:00")),G36-X36,G36+1-X36),G36-X36)</f>
        <v>4.8611111108685795E-2</v>
      </c>
      <c r="BQ36" s="303">
        <f>AE36+AF36+AH36+AJ36</f>
        <v>0</v>
      </c>
      <c r="BR36" s="304" t="str">
        <f>IF(OR(BP36&lt;=(--"00:20:00"),BQ36&gt;=100%),"OK","Not OK")</f>
        <v>Not OK</v>
      </c>
      <c r="BS36" s="302">
        <f>IF(AND(G36&gt;(--"00:00:01"),G36&lt;(--"15:00:00")),IF(AND(AU36&gt;(--"00:00:01"),AU36&lt;(--"15:00:00")),G36-AU36,G36+1-AU36),G36-AU36)</f>
        <v>1.1041666666642413</v>
      </c>
      <c r="BT36" s="302">
        <f>IF(AND(AZ36&gt;(--"00:00:01"),AZ36&lt;(--"15:00:00")),IF(AND(AU36&gt;(--"00:00:01"),AU36&lt;(--"15:00:00")),AZ36-AU36,AZ36+1-AU36),AZ36-AU36)</f>
        <v>1.0743055555555556</v>
      </c>
      <c r="BU36" s="302">
        <f>IF(AND(BA36&gt;(--"00:00:01"),BA36&lt;(--"15:00:00")),IF(AND(AZ36&gt;(--"00:00:01"),AZ36&lt;(--"15:00:00")),BA36-AZ36,BA36+1-AZ36),BA36-AZ36)</f>
        <v>6.2500000000000056E-3</v>
      </c>
      <c r="BV36" s="299">
        <f>AV36</f>
        <v>0</v>
      </c>
      <c r="BW36" s="301"/>
      <c r="BX36" s="299" t="str">
        <f>IF(AV36="T Status",IF(AV36&lt;&gt;T36,"X",""),"")</f>
        <v/>
      </c>
      <c r="BY36" s="301"/>
      <c r="BZ36" s="299" t="str">
        <f>IF(X36&lt;&gt;"",IF(CC36="X","Driver Delay",IF(CA36="X","Paperwork Delay",IF(CB36="X","Late freight late sort",IF(CD36="X","Chiamare Control Room",IF(CE36="X","Chiamare Control Room",IF(CF36="X","Chiamare Control Room","")))))),"")</f>
        <v>Chiamare Control Room</v>
      </c>
      <c r="CA36" s="302" t="str">
        <f>IF(K36="",IF(IF(AND(G36&gt;(--"00:00:01"),G36&lt;(--"15:00:00")),IF(AND(AT36&gt;(--"08:00:00"),AT36&lt;(--"23:59:59")),G36+1-AT36,G36-AT36),G36-AT36)&gt;(--"00:20:00"),"","X"),"")</f>
        <v/>
      </c>
      <c r="CB36" s="299" t="str">
        <f>IF(K36="",IF(BP36&gt;=(--"00:20:00"),"","X"),"")</f>
        <v/>
      </c>
      <c r="CC36" s="299" t="str">
        <f>IF(OR(AV36="Autista non presente",AV36="Dati driver non presenti"),"X","")</f>
        <v/>
      </c>
      <c r="CD36" s="299" t="str">
        <f>IF(K36="",IF(AND(CC36="",BS36&lt;(--"00:20:00")),"X",""),"")</f>
        <v/>
      </c>
      <c r="CE36" s="299" t="str">
        <f>IF(K36="",IF(BT36&gt;(--"00:15:00"),"X",""),IF(AZ36&lt;&gt;"",IF(G36-AZ36&gt;(--"00:30:00"),"X",""),""))</f>
        <v>X</v>
      </c>
      <c r="CF36" s="299" t="str">
        <f>IF(AND(CA36="",CB36="",CC36="",CD36="",CE36=""),"X","")</f>
        <v/>
      </c>
      <c r="CG36" s="301"/>
      <c r="CH36" s="299" t="str">
        <f>IF(BT36&gt;(--"00:15:00"),"X","")</f>
        <v>X</v>
      </c>
      <c r="CI36" s="302">
        <f>AY36</f>
        <v>0</v>
      </c>
      <c r="CJ36" s="299" t="str">
        <f>IF(AND(CH36&lt;&gt;"",CI36&lt;&gt;"",LEFT(B36,3)="ITD"),AP36,"")</f>
        <v/>
      </c>
      <c r="CK36" s="305" t="str">
        <f>IF(CJ36&lt;&gt;"",BT36,"")</f>
        <v/>
      </c>
      <c r="CL36" s="301"/>
      <c r="CM36" s="305" t="str">
        <f>IFERROR(VLOOKUP(Q36,'Elenco Casse'!$D$4:$F$292,3,FALSE),"")</f>
        <v/>
      </c>
      <c r="CN36" s="301"/>
      <c r="CO36" s="305" t="str">
        <f>IFERROR(VLOOKUP(E36,Outlist!$A$5:$H$120,8,FALSE),"")</f>
        <v>enbr21046</v>
      </c>
      <c r="CP36" s="305" t="str">
        <f>IFERROR(IF(VLOOKUP($E36,Outlist!$A$5:$S$120,19,FALSE)&lt;&gt;0,"Y",""),"")</f>
        <v>Y</v>
      </c>
      <c r="CQ36" s="301"/>
      <c r="CR36" s="305" t="str">
        <f>CONCATENATE($B36,$E36,$G36)</f>
        <v>ERN16768DNG 30.104166666664241</v>
      </c>
      <c r="CS36" s="301"/>
      <c r="CT36" s="305">
        <f>VLOOKUP(Out_Table[[#This Row],[Destination             ORANGE (From Planning)]],Outlist!$A$5:$W$120,22,FALSE)</f>
        <v>0</v>
      </c>
    </row>
    <row r="37" spans="1:98" s="20" customFormat="1" ht="15">
      <c r="A37" s="305" t="str">
        <f>$CR37</f>
        <v>ITD12655MXP0.357638888888889</v>
      </c>
      <c r="B37" s="284" t="s">
        <v>531</v>
      </c>
      <c r="C37" s="290" t="str">
        <f>IFERROR(IF(LEFT(B37,3)='STAT 77'!$X$2,_xlfn.XLOOKUP(B37,'STAT 77'!C:C,'STAT 77'!B:B),_xlfn.XLOOKUP(B37,'STAT 77'!B:B,'STAT 77'!C:C)),"NON TROVATO")</f>
        <v>ITD32065</v>
      </c>
      <c r="D37" s="25" t="s">
        <v>532</v>
      </c>
      <c r="E37" s="290" t="s">
        <v>238</v>
      </c>
      <c r="F37" s="290" t="str">
        <f>IFERROR(VLOOKUP(E37,'Cambio O2P'!C:E,2,FALSE),"")</f>
        <v>MXPC</v>
      </c>
      <c r="G37" s="285">
        <v>0.3576388888888889</v>
      </c>
      <c r="H37" s="293" t="str">
        <f ca="1">IFERROR(IF(AND('INformazioni per calcoli'!$AB$3&lt;(--"14:30"),'INformazioni per calcoli'!$AB$3&gt;(--"10:00")),"",IF($B37="","",IF($X37&lt;&gt;"","Mezzo Chiuso",IF($W37="","Non al Carico",IF($G37-'INformazioni per calcoli'!$AB$5-'INformazioni per calcoli'!$AB$3+$J37&lt;0,"LFLS",IF($K37&lt;&gt;"","Safe Parking",IF($W37&lt;&gt;"",IF($E37="MXP",$G37-'INformazioni per calcoli'!$AB$6-'INformazioni per calcoli'!$AB$3+$J37,$G37-'INformazioni per calcoli'!$AB$5-'INformazioni per calcoli'!$AB$3+$J37),"Non al carico"))))))),"")</f>
        <v>Mezzo Chiuso</v>
      </c>
      <c r="I37" s="17" t="str">
        <f ca="1">IFERROR(IF($H37&lt;&gt;"",IF($H37="Safe Parking","",IF($W37&lt;&gt;"",IF(AND($U37="X",$V37="X"),$H37-(--"00:30"),""),IF($X37&lt;&gt;"","Mezzo Chiuso","Non al carico"))),""),"")</f>
        <v/>
      </c>
      <c r="J37" s="306">
        <f ca="1">IFERROR(IF($B37&lt;&gt;"",IF(AND('INformazioni per calcoli'!$AB$3&lt;(--"15:00"),'INformazioni per calcoli'!$AB$3&gt;(--"00:00")),0,IF($G37&lt;(--"18:30"),"+1",0)),""),"")</f>
        <v>0</v>
      </c>
      <c r="K37" s="17"/>
      <c r="L37" s="25" t="s">
        <v>430</v>
      </c>
      <c r="M37" s="25" t="str">
        <f>IFERROR(_xlfn.XLOOKUP($Q37,'Elenco Casse'!$D:$D,'Elenco Casse'!$E:$E),"")</f>
        <v>Trans Speedy S.R.L</v>
      </c>
      <c r="N37" s="25">
        <f>IFERROR(_xlfn.XLOOKUP($Q37,'Elenco Casse'!$D:$D,'Elenco Casse'!$F:$F),"")</f>
        <v>0</v>
      </c>
      <c r="O37" s="286" t="s">
        <v>418</v>
      </c>
      <c r="P37" s="295" t="str">
        <f>IFERROR(_xlfn.XLOOKUP($Q37,'Elenco Casse'!$D:$D,'Elenco Casse'!$G:$G),"")</f>
        <v>trailer 80 m3 2/3 axles</v>
      </c>
      <c r="Q37" s="355" t="s">
        <v>533</v>
      </c>
      <c r="R37" s="23" t="s">
        <v>420</v>
      </c>
      <c r="S37" s="25" t="s">
        <v>421</v>
      </c>
      <c r="T37" s="25" t="s">
        <v>534</v>
      </c>
      <c r="U37" s="23" t="s">
        <v>61</v>
      </c>
      <c r="V37" s="23" t="str">
        <f>IF(ISNUMBER(SEARCH("Freight",$T37)),"X","")</f>
        <v/>
      </c>
      <c r="W37" s="26">
        <v>337</v>
      </c>
      <c r="X37" s="27">
        <v>0.14166666666666666</v>
      </c>
      <c r="Y37" s="25" t="s">
        <v>509</v>
      </c>
      <c r="Z37" s="25"/>
      <c r="AA37" s="25" t="s">
        <v>40</v>
      </c>
      <c r="AB37" s="57">
        <v>1</v>
      </c>
      <c r="AC37" s="25"/>
      <c r="AD37" s="25"/>
      <c r="AE37" s="57"/>
      <c r="AF37" s="57"/>
      <c r="AG37" s="25"/>
      <c r="AH37" s="57"/>
      <c r="AI37" s="339">
        <v>29</v>
      </c>
      <c r="AJ37" s="339"/>
      <c r="AK37" s="297" t="str">
        <f>IF(X37&lt;&gt;"",CONCATENATE(IF(AA37&lt;&gt;"",CONCATENATE(Z37," ",AA37," ",BI37),""),IF(AD37&lt;&gt;"",CONCATENATE(","," ",AC37," ",AD37," ",BJ37),""),IF(AG37&lt;&gt;"",CONCATENATE(","," ",AF37," ",AG37," ",BK37),""),IF(AJ37&lt;&gt;"",CONCATENATE(","," ","DD"," ",BL37),"")," ",IF(AI37&lt;&gt;"",CONCATENATE(" - ",AI37," Bag"),"")),"")</f>
        <v xml:space="preserve"> LL 14  - 29 Bag</v>
      </c>
      <c r="AL37" s="287" t="s">
        <v>421</v>
      </c>
      <c r="AM37" s="287"/>
      <c r="AN37" s="287"/>
      <c r="AO37" s="287"/>
      <c r="AP37" s="370" t="str">
        <f>IFERROR(VLOOKUP(#REF!,Outlist!$A$5:$V$120,20,FALSE),"")</f>
        <v/>
      </c>
      <c r="AQ37" s="288" t="str">
        <f>IFERROR(IF(VLOOKUP($A37,#REF!,8,FALSE)&lt;&gt;"",VLOOKUP($A37,#REF!,8,FALSE),""),"")</f>
        <v/>
      </c>
      <c r="AS37" s="24"/>
      <c r="AT37" s="24">
        <v>2.361111111111111E-2</v>
      </c>
      <c r="AU37" s="27"/>
      <c r="AV37" s="27"/>
      <c r="AX37" s="20" t="str">
        <f>IFERROR(IF(Out_Table[[#This Row],[Cancellazione linea]]="Cancellata","yes",""),"")</f>
        <v/>
      </c>
      <c r="AY37" s="72" t="str">
        <f>IF(BA37="",BZ37,IF(AND(BA37&lt;(--"23:59:59"),BA37&gt;(--"15:00:00"),G37&lt;(--"14:00:00"),G37&gt;(--"00:00:01")),"",IF(BA37&gt;G37,BZ37,"")))</f>
        <v>Chiamare Control Room</v>
      </c>
      <c r="AZ37" s="27"/>
      <c r="BA37" s="32"/>
      <c r="BB37" s="72"/>
      <c r="BC37" s="72" t="str">
        <f>IFERROR(VLOOKUP(Out_Table[[#This Row],[Aggiornamento STATUS]],'INformazioni per calcoli'!$Y$70:$AA$76,2,FALSE),"")</f>
        <v/>
      </c>
      <c r="BD37" s="289"/>
      <c r="BE37" s="289"/>
      <c r="BF37" s="47" t="str">
        <f>LEFT($E37,3)</f>
        <v>MXP</v>
      </c>
      <c r="BG37" s="298" t="str">
        <f>IF(Out_Table[[#This Row],[Ora Uscita    (GH)]]&lt;&gt;"","x","")</f>
        <v/>
      </c>
      <c r="BH37" s="299">
        <f>VLOOKUP($O37,'INformazioni per calcoli'!$Y$20:$AA$23,3,FALSE)</f>
        <v>14</v>
      </c>
      <c r="BI37" s="299">
        <f>MROUND(Out_Table[[#This Row],[Mtr. Trailer]]*AB37,0.5)</f>
        <v>14</v>
      </c>
      <c r="BJ37" s="299">
        <f>MROUND(Out_Table[[#This Row],[Mtr. Trailer]]*AE37,0.5)</f>
        <v>0</v>
      </c>
      <c r="BK37" s="299">
        <f>MROUND(Out_Table[[#This Row],[Mtr. Trailer]]*AH37,0.5)</f>
        <v>0</v>
      </c>
      <c r="BL37" s="300">
        <f>Out_Table[[#This Row],[Double Deck trailer N° bumpers]]</f>
        <v>0</v>
      </c>
      <c r="BM37" s="301"/>
      <c r="BN37" s="299" t="str">
        <f>B37</f>
        <v>ITD12655</v>
      </c>
      <c r="BO37" s="299" t="str">
        <f>E37</f>
        <v>MXP</v>
      </c>
      <c r="BP37" s="302">
        <f>IF(AND(G37&gt;(--"00:00:01"),G37&lt;(--"15:00:00")),IF(AND(X37&gt;(--"00:00:01"),X37&lt;(--"15:00:00")),G37-X37,G37+1-X37),G37-X37)</f>
        <v>0.21597222222222223</v>
      </c>
      <c r="BQ37" s="303">
        <f>AE37+AF37+AH37+AJ37</f>
        <v>0</v>
      </c>
      <c r="BR37" s="304" t="str">
        <f>IF(OR(BP37&lt;=(--"00:20:00"),BQ37&gt;=100%),"OK","Not OK")</f>
        <v>Not OK</v>
      </c>
      <c r="BS37" s="302">
        <f>IF(AND(G37&gt;(--"00:00:01"),G37&lt;(--"15:00:00")),IF(AND(AU37&gt;(--"00:00:01"),AU37&lt;(--"15:00:00")),G37-AU37,G37+1-AU37),G37-AU37)</f>
        <v>1.3576388888888888</v>
      </c>
      <c r="BT37" s="302">
        <f>IF(AND(AZ37&gt;(--"00:00:01"),AZ37&lt;(--"15:00:00")),IF(AND(AU37&gt;(--"00:00:01"),AU37&lt;(--"15:00:00")),AZ37-AU37,AZ37+1-AU37),AZ37-AU37)</f>
        <v>0</v>
      </c>
      <c r="BU37" s="302">
        <f>IF(AND(BA37&gt;(--"00:00:01"),BA37&lt;(--"15:00:00")),IF(AND(AZ37&gt;(--"00:00:01"),AZ37&lt;(--"15:00:00")),BA37-AZ37,BA37+1-AZ37),BA37-AZ37)</f>
        <v>0</v>
      </c>
      <c r="BV37" s="299">
        <f>AV37</f>
        <v>0</v>
      </c>
      <c r="BW37" s="301"/>
      <c r="BX37" s="299" t="str">
        <f>IF(AV37="T Status",IF(AV37&lt;&gt;T37,"X",""),"")</f>
        <v/>
      </c>
      <c r="BY37" s="301"/>
      <c r="BZ37" s="299" t="str">
        <f>IF(X37&lt;&gt;"",IF(CC37="X","Driver Delay",IF(CA37="X","Paperwork Delay",IF(CB37="X","Late freight late sort",IF(CD37="X","Chiamare Control Room",IF(CE37="X","Chiamare Control Room",IF(CF37="X","Chiamare Control Room","")))))),"")</f>
        <v>Chiamare Control Room</v>
      </c>
      <c r="CA37" s="302" t="str">
        <f>IF(K37="",IF(IF(AND(G37&gt;(--"00:00:01"),G37&lt;(--"15:00:00")),IF(AND(AT37&gt;(--"08:00:00"),AT37&lt;(--"23:59:59")),G37+1-AT37,G37-AT37),G37-AT37)&gt;(--"00:20:00"),"","X"),"")</f>
        <v/>
      </c>
      <c r="CB37" s="299" t="str">
        <f>IF(K37="",IF(BP37&gt;=(--"00:20:00"),"","X"),"")</f>
        <v/>
      </c>
      <c r="CC37" s="299" t="str">
        <f>IF(OR(AV37="Autista non presente",AV37="Dati driver non presenti"),"X","")</f>
        <v/>
      </c>
      <c r="CD37" s="299" t="str">
        <f>IF(K37="",IF(AND(CC37="",BS37&lt;(--"00:20:00")),"X",""),"")</f>
        <v/>
      </c>
      <c r="CE37" s="299" t="str">
        <f>IF(K37="",IF(BT37&gt;(--"00:15:00"),"X",""),IF(AZ37&lt;&gt;"",IF(G37-AZ37&gt;(--"00:30:00"),"X",""),""))</f>
        <v/>
      </c>
      <c r="CF37" s="299" t="str">
        <f>IF(AND(CA37="",CB37="",CC37="",CD37="",CE37=""),"X","")</f>
        <v>X</v>
      </c>
      <c r="CG37" s="301"/>
      <c r="CH37" s="299" t="str">
        <f>IF(BT37&gt;(--"00:15:00"),"X","")</f>
        <v/>
      </c>
      <c r="CI37" s="302" t="str">
        <f>AY37</f>
        <v>Chiamare Control Room</v>
      </c>
      <c r="CJ37" s="299" t="str">
        <f>IF(AND(CH37&lt;&gt;"",CI37&lt;&gt;"",LEFT(B37,3)="ITD"),AP37,"")</f>
        <v/>
      </c>
      <c r="CK37" s="305" t="str">
        <f>IF(CJ37&lt;&gt;"",BT37,"")</f>
        <v/>
      </c>
      <c r="CL37" s="301"/>
      <c r="CM37" s="305" t="str">
        <f>IFERROR(VLOOKUP(Q37,'Elenco Casse'!$D$4:$F$292,3,FALSE),"")</f>
        <v/>
      </c>
      <c r="CN37" s="301"/>
      <c r="CO37" s="305" t="str">
        <f>IFERROR(VLOOKUP(S37,'Elenco Casse'!$D$4:$F$292,3,FALSE),"")</f>
        <v/>
      </c>
      <c r="CP37" s="305" t="str">
        <f>IFERROR(IF(VLOOKUP($E37,Outlist!$A$5:$S$120,19,FALSE)&lt;&gt;0,"Y",""),"")</f>
        <v/>
      </c>
      <c r="CQ37" s="301"/>
      <c r="CR37" s="305" t="str">
        <f>CONCATENATE($B37,$E37,$G37)</f>
        <v>ITD12655MXP0.357638888888889</v>
      </c>
      <c r="CS37" s="301"/>
      <c r="CT37" s="305" t="e">
        <f>VLOOKUP(Out_Table[[#This Row],[Destination             ORANGE (From Planning)]],Outlist!$A$5:$W$120,22,FALSE)</f>
        <v>#N/A</v>
      </c>
    </row>
    <row r="38" spans="1:98" s="20" customFormat="1" ht="30.75">
      <c r="A38" s="305" t="str">
        <f>$CR38</f>
        <v>ITD12362MXP0.951388888888889</v>
      </c>
      <c r="B38" s="284" t="s">
        <v>535</v>
      </c>
      <c r="C38" s="290" t="str">
        <f>IFERROR(IF(LEFT(B38,3)='STAT 77'!$X$2,_xlfn.XLOOKUP(B38,'STAT 77'!C:C,'STAT 77'!B:B),_xlfn.XLOOKUP(B38,'STAT 77'!B:B,'STAT 77'!C:C)),"NON TROVATO")</f>
        <v>ITD32240</v>
      </c>
      <c r="D38" s="25" t="s">
        <v>536</v>
      </c>
      <c r="E38" s="290" t="s">
        <v>238</v>
      </c>
      <c r="F38" s="290" t="str">
        <f>IFERROR(VLOOKUP(E38,'Cambio O2P'!C:E,2,FALSE),"")</f>
        <v>MXPC</v>
      </c>
      <c r="G38" s="285">
        <v>0.95138888888888884</v>
      </c>
      <c r="H38" s="293" t="str">
        <f ca="1">IFERROR(IF(AND('INformazioni per calcoli'!$AB$3&lt;(--"14:30"),'INformazioni per calcoli'!$AB$3&gt;(--"10:00")),"",IF($B38="","",IF($X38&lt;&gt;"","Mezzo Chiuso",IF($W38="","Non al Carico",IF($G38-'INformazioni per calcoli'!$AB$5-'INformazioni per calcoli'!$AB$3+$J38&lt;0,"LFLS",IF($K38&lt;&gt;"","Safe Parking",IF($W38&lt;&gt;"",IF($E38="MXP",$G38-'INformazioni per calcoli'!$AB$6-'INformazioni per calcoli'!$AB$3+$J38,$G38-'INformazioni per calcoli'!$AB$5-'INformazioni per calcoli'!$AB$3+$J38),"Non al carico"))))))),"")</f>
        <v>Mezzo Chiuso</v>
      </c>
      <c r="I38" s="17" t="str">
        <f ca="1">IFERROR(IF($H38&lt;&gt;"",IF($H38="Safe Parking","",IF($W38&lt;&gt;"",IF(AND($U38="X",$V38="X"),$H38-(--"00:30"),""),IF($X38&lt;&gt;"","Mezzo Chiuso","Non al carico"))),""),"")</f>
        <v/>
      </c>
      <c r="J38" s="306">
        <f ca="1">IFERROR(IF($B38&lt;&gt;"",IF(AND('INformazioni per calcoli'!$AB$3&lt;(--"15:00"),'INformazioni per calcoli'!$AB$3&gt;(--"00:00")),0,IF($G38&lt;(--"18:30"),"+1",0)),""),"")</f>
        <v>0</v>
      </c>
      <c r="K38" s="17"/>
      <c r="L38" s="25" t="s">
        <v>430</v>
      </c>
      <c r="M38" s="25" t="str">
        <f>IFERROR(_xlfn.XLOOKUP($Q38,'Elenco Casse'!$D:$D,'Elenco Casse'!$E:$E),"")</f>
        <v>Trans Speedy S.R.L</v>
      </c>
      <c r="N38" s="25">
        <f>IFERROR(_xlfn.XLOOKUP($Q38,'Elenco Casse'!$D:$D,'Elenco Casse'!$F:$F),"")</f>
        <v>0</v>
      </c>
      <c r="O38" s="286" t="s">
        <v>418</v>
      </c>
      <c r="P38" s="295" t="str">
        <f>IFERROR(_xlfn.XLOOKUP($Q38,'Elenco Casse'!$D:$D,'Elenco Casse'!$G:$G),"")</f>
        <v>trailer 80 m3 2/3 axles</v>
      </c>
      <c r="Q38" s="355" t="s">
        <v>537</v>
      </c>
      <c r="R38" s="23" t="s">
        <v>420</v>
      </c>
      <c r="S38" s="25" t="s">
        <v>421</v>
      </c>
      <c r="T38" s="25" t="s">
        <v>538</v>
      </c>
      <c r="U38" s="23" t="str">
        <f>IF(ISNUMBER(SEARCH("Parcel",$T38)),"X","")</f>
        <v>X</v>
      </c>
      <c r="V38" s="23"/>
      <c r="W38" s="26">
        <v>337</v>
      </c>
      <c r="X38" s="27">
        <v>0.87291666666666667</v>
      </c>
      <c r="Y38" s="25" t="s">
        <v>539</v>
      </c>
      <c r="Z38" s="25"/>
      <c r="AA38" s="25" t="s">
        <v>40</v>
      </c>
      <c r="AB38" s="57">
        <v>1</v>
      </c>
      <c r="AC38" s="25"/>
      <c r="AD38" s="25"/>
      <c r="AE38" s="57"/>
      <c r="AF38" s="57"/>
      <c r="AG38" s="25"/>
      <c r="AH38" s="57"/>
      <c r="AI38" s="339">
        <v>19</v>
      </c>
      <c r="AJ38" s="339"/>
      <c r="AK38" s="297" t="str">
        <f>IF(X38&lt;&gt;"",CONCATENATE(IF(AA38&lt;&gt;"",CONCATENATE(Z38," ",AA38," ",BI38),""),IF(AD38&lt;&gt;"",CONCATENATE(","," ",AC38," ",AD38," ",BJ38),""),IF(AG38&lt;&gt;"",CONCATENATE(","," ",AF38," ",AG38," ",BK38),""),IF(AJ38&lt;&gt;"",CONCATENATE(","," ","DD"," ",BL38),"")," ",IF(AI38&lt;&gt;"",CONCATENATE(" - ",AI38," Bag"),"")),"")</f>
        <v xml:space="preserve"> LL 14  - 19 Bag</v>
      </c>
      <c r="AL38" s="287" t="s">
        <v>421</v>
      </c>
      <c r="AM38" s="287"/>
      <c r="AN38" s="287"/>
      <c r="AO38" s="287"/>
      <c r="AP38" s="370" t="str">
        <f>IFERROR(VLOOKUP(#REF!,Outlist!$A$5:$V$120,20,FALSE),"")</f>
        <v/>
      </c>
      <c r="AQ38" s="288" t="s">
        <v>540</v>
      </c>
      <c r="AS38" s="24"/>
      <c r="AT38" s="24">
        <v>0.8</v>
      </c>
      <c r="AU38" s="27">
        <v>0.9145833333333333</v>
      </c>
      <c r="AV38" s="27"/>
      <c r="AW38" s="20" t="s">
        <v>443</v>
      </c>
      <c r="AX38" s="20" t="str">
        <f>IFERROR(IF(Out_Table[[#This Row],[Cancellazione linea]]="Cancellata","yes",""),"")</f>
        <v/>
      </c>
      <c r="AY38" s="72" t="str">
        <f>IF(BA38="",BZ38,IF(AND(BA38&lt;(--"23:59:59"),BA38&gt;(--"15:00:00"),G38&lt;(--"14:00:00"),G38&gt;(--"00:00:01")),"",IF(BA38&gt;G38,BZ38,"")))</f>
        <v/>
      </c>
      <c r="AZ38" s="27">
        <v>0.93819444444444444</v>
      </c>
      <c r="BA38" s="32">
        <v>0.94930555555555551</v>
      </c>
      <c r="BB38" s="72"/>
      <c r="BC38" s="72" t="str">
        <f>IFERROR(VLOOKUP(Out_Table[[#This Row],[Aggiornamento STATUS]],'INformazioni per calcoli'!$Y$70:$AA$76,2,FALSE),"")</f>
        <v/>
      </c>
      <c r="BD38" s="289"/>
      <c r="BE38" s="289"/>
      <c r="BF38" s="47" t="str">
        <f>LEFT($E38,3)</f>
        <v>MXP</v>
      </c>
      <c r="BG38" s="298" t="str">
        <f>IF(Out_Table[[#This Row],[Ora Uscita    (GH)]]&lt;&gt;"","x","")</f>
        <v>x</v>
      </c>
      <c r="BH38" s="299">
        <f>VLOOKUP($O38,'INformazioni per calcoli'!$Y$20:$AA$23,3,FALSE)</f>
        <v>14</v>
      </c>
      <c r="BI38" s="299">
        <f>MROUND(Out_Table[[#This Row],[Mtr. Trailer]]*AB38,0.5)</f>
        <v>14</v>
      </c>
      <c r="BJ38" s="299">
        <f>MROUND(Out_Table[[#This Row],[Mtr. Trailer]]*AE38,0.5)</f>
        <v>0</v>
      </c>
      <c r="BK38" s="299">
        <f>MROUND(Out_Table[[#This Row],[Mtr. Trailer]]*AH38,0.5)</f>
        <v>0</v>
      </c>
      <c r="BL38" s="300">
        <f>Out_Table[[#This Row],[Double Deck trailer N° bumpers]]</f>
        <v>0</v>
      </c>
      <c r="BM38" s="301"/>
      <c r="BN38" s="299" t="str">
        <f>B38</f>
        <v>ITD12362</v>
      </c>
      <c r="BO38" s="299" t="str">
        <f>E38</f>
        <v>MXP</v>
      </c>
      <c r="BP38" s="302">
        <f>IF(AND(G38&gt;(--"00:00:01"),G38&lt;(--"15:00:00")),IF(AND(X38&gt;(--"00:00:01"),X38&lt;(--"15:00:00")),G38-X38,G38+1-X38),G38-X38)</f>
        <v>7.8472222222222165E-2</v>
      </c>
      <c r="BQ38" s="303">
        <f>AE38+AF38+AH38+AJ38</f>
        <v>0</v>
      </c>
      <c r="BR38" s="304" t="str">
        <f>IF(OR(BP38&lt;=(--"00:20:00"),BQ38&gt;=100%),"OK","Not OK")</f>
        <v>Not OK</v>
      </c>
      <c r="BS38" s="302">
        <f>IF(AND(G38&gt;(--"00:00:01"),G38&lt;(--"15:00:00")),IF(AND(AU38&gt;(--"00:00:01"),AU38&lt;(--"15:00:00")),G38-AU38,G38+1-AU38),G38-AU38)</f>
        <v>3.6805555555555536E-2</v>
      </c>
      <c r="BT38" s="302">
        <f>IF(AND(AZ38&gt;(--"00:00:01"),AZ38&lt;(--"15:00:00")),IF(AND(AU38&gt;(--"00:00:01"),AU38&lt;(--"15:00:00")),AZ38-AU38,AZ38+1-AU38),AZ38-AU38)</f>
        <v>2.3611111111111138E-2</v>
      </c>
      <c r="BU38" s="302">
        <f>IF(AND(BA38&gt;(--"00:00:01"),BA38&lt;(--"15:00:00")),IF(AND(AZ38&gt;(--"00:00:01"),AZ38&lt;(--"15:00:00")),BA38-AZ38,BA38+1-AZ38),BA38-AZ38)</f>
        <v>1.1111111111111072E-2</v>
      </c>
      <c r="BV38" s="299">
        <f>AV38</f>
        <v>0</v>
      </c>
      <c r="BW38" s="301"/>
      <c r="BX38" s="299" t="str">
        <f>IF(AV38="T Status",IF(AV38&lt;&gt;T38,"X",""),"")</f>
        <v/>
      </c>
      <c r="BY38" s="301"/>
      <c r="BZ38" s="299" t="str">
        <f>IF(X38&lt;&gt;"",IF(CC38="X","Driver Delay",IF(CA38="X","Paperwork Delay",IF(CB38="X","Late freight late sort",IF(CD38="X","Chiamare Control Room",IF(CE38="X","Chiamare Control Room",IF(CF38="X","Chiamare Control Room","")))))),"")</f>
        <v>Chiamare Control Room</v>
      </c>
      <c r="CA38" s="302" t="str">
        <f>IF(K38="",IF(IF(AND(G38&gt;(--"00:00:01"),G38&lt;(--"15:00:00")),IF(AND(AT38&gt;(--"08:00:00"),AT38&lt;(--"23:59:59")),G38+1-AT38,G38-AT38),G38-AT38)&gt;(--"00:20:00"),"","X"),"")</f>
        <v/>
      </c>
      <c r="CB38" s="299" t="str">
        <f>IF(K38="",IF(BP38&gt;=(--"00:20:00"),"","X"),"")</f>
        <v/>
      </c>
      <c r="CC38" s="299" t="str">
        <f>IF(OR(AV38="Autista non presente",AV38="Dati driver non presenti"),"X","")</f>
        <v/>
      </c>
      <c r="CD38" s="299" t="str">
        <f>IF(K38="",IF(AND(CC38="",BS38&lt;(--"00:20:00")),"X",""),"")</f>
        <v/>
      </c>
      <c r="CE38" s="299" t="str">
        <f>IF(K38="",IF(BT38&gt;(--"00:15:00"),"X",""),IF(AZ38&lt;&gt;"",IF(G38-AZ38&gt;(--"00:30:00"),"X",""),""))</f>
        <v>X</v>
      </c>
      <c r="CF38" s="299" t="str">
        <f>IF(AND(CA38="",CB38="",CC38="",CD38="",CE38=""),"X","")</f>
        <v/>
      </c>
      <c r="CG38" s="301"/>
      <c r="CH38" s="299" t="str">
        <f>IF(BT38&gt;(--"00:15:00"),"X","")</f>
        <v>X</v>
      </c>
      <c r="CI38" s="302" t="str">
        <f>AY38</f>
        <v/>
      </c>
      <c r="CJ38" s="299" t="str">
        <f>IF(AND(CH38&lt;&gt;"",CI38&lt;&gt;"",LEFT(B38,3)="ITD"),AP38,"")</f>
        <v/>
      </c>
      <c r="CK38" s="305" t="str">
        <f>IF(CJ38&lt;&gt;"",BT38,"")</f>
        <v/>
      </c>
      <c r="CL38" s="301"/>
      <c r="CM38" s="305" t="str">
        <f>IFERROR(VLOOKUP(Q38,'Elenco Casse'!$D$4:$F$292,3,FALSE),"")</f>
        <v/>
      </c>
      <c r="CN38" s="301"/>
      <c r="CO38" s="305" t="str">
        <f>IFERROR(VLOOKUP(S38,'Elenco Casse'!$D$4:$F$292,3,FALSE),"")</f>
        <v/>
      </c>
      <c r="CP38" s="305" t="str">
        <f>IFERROR(IF(VLOOKUP($E38,Outlist!$A$5:$S$120,19,FALSE)&lt;&gt;0,"Y",""),"")</f>
        <v/>
      </c>
      <c r="CQ38" s="301"/>
      <c r="CR38" s="305" t="str">
        <f>CONCATENATE($B38,$E38,$G38)</f>
        <v>ITD12362MXP0.951388888888889</v>
      </c>
      <c r="CS38" s="301"/>
      <c r="CT38" s="305" t="e">
        <f>VLOOKUP(Out_Table[[#This Row],[Destination             ORANGE (From Planning)]],Outlist!$A$5:$W$120,22,FALSE)</f>
        <v>#N/A</v>
      </c>
    </row>
    <row r="39" spans="1:98" s="20" customFormat="1" ht="15">
      <c r="A39" s="305" t="str">
        <f>$CR39</f>
        <v>ITD12622MXP0.270833333333333</v>
      </c>
      <c r="B39" s="284" t="s">
        <v>541</v>
      </c>
      <c r="C39" s="290" t="str">
        <f>IFERROR(IF(LEFT(B39,3)='STAT 77'!$X$2,_xlfn.XLOOKUP(B39,'STAT 77'!C:C,'STAT 77'!B:B),_xlfn.XLOOKUP(B39,'STAT 77'!B:B,'STAT 77'!C:C)),"NON TROVATO")</f>
        <v>ITD32007</v>
      </c>
      <c r="D39" s="25" t="s">
        <v>532</v>
      </c>
      <c r="E39" s="290" t="s">
        <v>238</v>
      </c>
      <c r="F39" s="290" t="str">
        <f>IFERROR(VLOOKUP(E39,'Cambio O2P'!C:E,2,FALSE),"")</f>
        <v>MXPC</v>
      </c>
      <c r="G39" s="285">
        <v>0.27083333333333331</v>
      </c>
      <c r="H39" s="293" t="str">
        <f ca="1">IFERROR(IF(AND('INformazioni per calcoli'!$AB$3&lt;(--"14:30"),'INformazioni per calcoli'!$AB$3&gt;(--"10:00")),"",IF($B39="","",IF($X39&lt;&gt;"","Mezzo Chiuso",IF($W39="","Non al Carico",IF($G39-'INformazioni per calcoli'!$AB$5-'INformazioni per calcoli'!$AB$3+$J39&lt;0,"LFLS",IF($K39&lt;&gt;"","Safe Parking",IF($W39&lt;&gt;"",IF($E39="MXP",$G39-'INformazioni per calcoli'!$AB$6-'INformazioni per calcoli'!$AB$3+$J39,$G39-'INformazioni per calcoli'!$AB$5-'INformazioni per calcoli'!$AB$3+$J39),"Non al carico"))))))),"")</f>
        <v>Mezzo Chiuso</v>
      </c>
      <c r="I39" s="17" t="str">
        <f ca="1">IFERROR(IF($H39&lt;&gt;"",IF($H39="Safe Parking","",IF($W39&lt;&gt;"",IF(AND($U39="X",$V39="X"),$H39-(--"00:30"),""),IF($X39&lt;&gt;"","Mezzo Chiuso","Non al carico"))),""),"")</f>
        <v/>
      </c>
      <c r="J39" s="306">
        <f ca="1">IFERROR(IF($B39&lt;&gt;"",IF(AND('INformazioni per calcoli'!$AB$3&lt;(--"15:00"),'INformazioni per calcoli'!$AB$3&gt;(--"00:00")),0,IF($G39&lt;(--"18:30"),"+1",0)),""),"")</f>
        <v>0</v>
      </c>
      <c r="K39" s="17"/>
      <c r="L39" s="25" t="s">
        <v>436</v>
      </c>
      <c r="M39" s="25" t="str">
        <f>IFERROR(_xlfn.XLOOKUP($Q39,'Elenco Casse'!$D:$D,'Elenco Casse'!$E:$E),"")</f>
        <v>Cornali Autotrasporti Srl</v>
      </c>
      <c r="N39" s="25">
        <f>IFERROR(_xlfn.XLOOKUP($Q39,'Elenco Casse'!$D:$D,'Elenco Casse'!$F:$F),"")</f>
        <v>0</v>
      </c>
      <c r="O39" s="286" t="s">
        <v>542</v>
      </c>
      <c r="P39" s="295" t="str">
        <f>IFERROR(_xlfn.XLOOKUP($Q39,'Elenco Casse'!$D:$D,'Elenco Casse'!$G:$G),"")</f>
        <v>trailer 55 m3 2/3 axes</v>
      </c>
      <c r="Q39" s="355" t="s">
        <v>543</v>
      </c>
      <c r="R39" s="23" t="s">
        <v>420</v>
      </c>
      <c r="S39" s="25" t="s">
        <v>544</v>
      </c>
      <c r="T39" s="25" t="s">
        <v>545</v>
      </c>
      <c r="U39" s="23" t="str">
        <f>IF(ISNUMBER(SEARCH("Parcel",$T39)),"X","")</f>
        <v>X</v>
      </c>
      <c r="V39" s="23" t="str">
        <f>IF(ISNUMBER(SEARCH("Freight",$T39)),"X","")</f>
        <v/>
      </c>
      <c r="W39" s="26">
        <v>338</v>
      </c>
      <c r="X39" s="27">
        <v>0.1423611111111111</v>
      </c>
      <c r="Y39" s="25"/>
      <c r="Z39" s="25"/>
      <c r="AA39" s="25" t="s">
        <v>40</v>
      </c>
      <c r="AB39" s="57">
        <v>1</v>
      </c>
      <c r="AC39" s="25"/>
      <c r="AD39" s="25"/>
      <c r="AE39" s="57"/>
      <c r="AF39" s="57"/>
      <c r="AG39" s="25"/>
      <c r="AH39" s="57"/>
      <c r="AI39" s="339">
        <v>2</v>
      </c>
      <c r="AJ39" s="339"/>
      <c r="AK39" s="572" t="s">
        <v>546</v>
      </c>
      <c r="AL39" s="287" t="s">
        <v>421</v>
      </c>
      <c r="AM39" s="287"/>
      <c r="AN39" s="287"/>
      <c r="AO39" s="287"/>
      <c r="AP39" s="370" t="str">
        <f>IFERROR(VLOOKUP(#REF!,Outlist!$A$5:$V$120,20,FALSE),"")</f>
        <v/>
      </c>
      <c r="AQ39" s="288" t="str">
        <f>IFERROR(IF(VLOOKUP($A39,#REF!,8,FALSE)&lt;&gt;"",VLOOKUP($A39,#REF!,8,FALSE),""),"")</f>
        <v/>
      </c>
      <c r="AS39" s="24"/>
      <c r="AT39" s="24">
        <v>1.3194444444444444E-2</v>
      </c>
      <c r="AU39" s="27"/>
      <c r="AV39" s="27"/>
      <c r="AX39" s="20" t="str">
        <f>IFERROR(IF(Out_Table[[#This Row],[Cancellazione linea]]="Cancellata","yes",""),"")</f>
        <v/>
      </c>
      <c r="AY39" s="72" t="str">
        <f>IF(BA39="",BZ39,IF(AND(BA39&lt;(--"23:59:59"),BA39&gt;(--"15:00:00"),G39&lt;(--"14:00:00"),G39&gt;(--"00:00:01")),"",IF(BA39&gt;G39,BZ39,"")))</f>
        <v>Chiamare Control Room</v>
      </c>
      <c r="AZ39" s="27"/>
      <c r="BA39" s="32"/>
      <c r="BB39" s="72"/>
      <c r="BC39" s="72" t="str">
        <f>IFERROR(VLOOKUP(Out_Table[[#This Row],[Aggiornamento STATUS]],'INformazioni per calcoli'!$Y$70:$AA$76,2,FALSE),"")</f>
        <v/>
      </c>
      <c r="BD39" s="289"/>
      <c r="BE39" s="289"/>
      <c r="BF39" s="47" t="str">
        <f>LEFT($E39,3)</f>
        <v>MXP</v>
      </c>
      <c r="BG39" s="298" t="str">
        <f>IF(Out_Table[[#This Row],[Ora Uscita    (GH)]]&lt;&gt;"","x","")</f>
        <v/>
      </c>
      <c r="BH39" s="299" t="e">
        <f>VLOOKUP($O39,'INformazioni per calcoli'!$Y$20:$AA$23,3,FALSE)</f>
        <v>#N/A</v>
      </c>
      <c r="BI39" s="299" t="e">
        <f>MROUND(Out_Table[[#This Row],[Mtr. Trailer]]*AB39,0.5)</f>
        <v>#N/A</v>
      </c>
      <c r="BJ39" s="299" t="e">
        <f>MROUND(Out_Table[[#This Row],[Mtr. Trailer]]*AE39,0.5)</f>
        <v>#N/A</v>
      </c>
      <c r="BK39" s="299" t="e">
        <f>MROUND(Out_Table[[#This Row],[Mtr. Trailer]]*AH39,0.5)</f>
        <v>#N/A</v>
      </c>
      <c r="BL39" s="300">
        <f>Out_Table[[#This Row],[Double Deck trailer N° bumpers]]</f>
        <v>0</v>
      </c>
      <c r="BM39" s="301"/>
      <c r="BN39" s="299" t="str">
        <f>B39</f>
        <v>ITD12622</v>
      </c>
      <c r="BO39" s="299" t="str">
        <f>E39</f>
        <v>MXP</v>
      </c>
      <c r="BP39" s="302">
        <f>IF(AND(G39&gt;(--"00:00:01"),G39&lt;(--"15:00:00")),IF(AND(X39&gt;(--"00:00:01"),X39&lt;(--"15:00:00")),G39-X39,G39+1-X39),G39-X39)</f>
        <v>0.12847222222222221</v>
      </c>
      <c r="BQ39" s="303">
        <f>AE39+AF39+AH39+AJ39</f>
        <v>0</v>
      </c>
      <c r="BR39" s="304" t="str">
        <f>IF(OR(BP39&lt;=(--"00:20:00"),BQ39&gt;=100%),"OK","Not OK")</f>
        <v>Not OK</v>
      </c>
      <c r="BS39" s="302">
        <f>IF(AND(G39&gt;(--"00:00:01"),G39&lt;(--"15:00:00")),IF(AND(AU39&gt;(--"00:00:01"),AU39&lt;(--"15:00:00")),G39-AU39,G39+1-AU39),G39-AU39)</f>
        <v>1.2708333333333333</v>
      </c>
      <c r="BT39" s="302">
        <f>IF(AND(AZ39&gt;(--"00:00:01"),AZ39&lt;(--"15:00:00")),IF(AND(AU39&gt;(--"00:00:01"),AU39&lt;(--"15:00:00")),AZ39-AU39,AZ39+1-AU39),AZ39-AU39)</f>
        <v>0</v>
      </c>
      <c r="BU39" s="302">
        <f>IF(AND(BA39&gt;(--"00:00:01"),BA39&lt;(--"15:00:00")),IF(AND(AZ39&gt;(--"00:00:01"),AZ39&lt;(--"15:00:00")),BA39-AZ39,BA39+1-AZ39),BA39-AZ39)</f>
        <v>0</v>
      </c>
      <c r="BV39" s="299">
        <f>AV39</f>
        <v>0</v>
      </c>
      <c r="BW39" s="301"/>
      <c r="BX39" s="299" t="str">
        <f>IF(AV39="T Status",IF(AV39&lt;&gt;T39,"X",""),"")</f>
        <v/>
      </c>
      <c r="BY39" s="301"/>
      <c r="BZ39" s="299" t="str">
        <f>IF(X39&lt;&gt;"",IF(CC39="X","Driver Delay",IF(CA39="X","Paperwork Delay",IF(CB39="X","Late freight late sort",IF(CD39="X","Chiamare Control Room",IF(CE39="X","Chiamare Control Room",IF(CF39="X","Chiamare Control Room","")))))),"")</f>
        <v>Chiamare Control Room</v>
      </c>
      <c r="CA39" s="302" t="str">
        <f>IF(K39="",IF(IF(AND(G39&gt;(--"00:00:01"),G39&lt;(--"15:00:00")),IF(AND(AT39&gt;(--"08:00:00"),AT39&lt;(--"23:59:59")),G39+1-AT39,G39-AT39),G39-AT39)&gt;(--"00:20:00"),"","X"),"")</f>
        <v/>
      </c>
      <c r="CB39" s="299" t="str">
        <f>IF(K39="",IF(BP39&gt;=(--"00:20:00"),"","X"),"")</f>
        <v/>
      </c>
      <c r="CC39" s="299" t="str">
        <f>IF(OR(AV39="Autista non presente",AV39="Dati driver non presenti"),"X","")</f>
        <v/>
      </c>
      <c r="CD39" s="299" t="str">
        <f>IF(K39="",IF(AND(CC39="",BS39&lt;(--"00:20:00")),"X",""),"")</f>
        <v/>
      </c>
      <c r="CE39" s="299" t="str">
        <f>IF(K39="",IF(BT39&gt;(--"00:15:00"),"X",""),IF(AZ39&lt;&gt;"",IF(G39-AZ39&gt;(--"00:30:00"),"X",""),""))</f>
        <v/>
      </c>
      <c r="CF39" s="299" t="str">
        <f>IF(AND(CA39="",CB39="",CC39="",CD39="",CE39=""),"X","")</f>
        <v>X</v>
      </c>
      <c r="CG39" s="301"/>
      <c r="CH39" s="299" t="str">
        <f>IF(BT39&gt;(--"00:15:00"),"X","")</f>
        <v/>
      </c>
      <c r="CI39" s="302" t="str">
        <f>AY39</f>
        <v>Chiamare Control Room</v>
      </c>
      <c r="CJ39" s="299" t="str">
        <f>IF(AND(CH39&lt;&gt;"",CI39&lt;&gt;"",LEFT(B39,3)="ITD"),AP39,"")</f>
        <v/>
      </c>
      <c r="CK39" s="305" t="str">
        <f>IF(CJ39&lt;&gt;"",BT39,"")</f>
        <v/>
      </c>
      <c r="CL39" s="301"/>
      <c r="CM39" s="305" t="str">
        <f>IFERROR(VLOOKUP(Q39,'Elenco Casse'!$D$4:$F$292,3,FALSE),"")</f>
        <v/>
      </c>
      <c r="CN39" s="301"/>
      <c r="CO39" s="305" t="str">
        <f>IFERROR(VLOOKUP(S39,'Elenco Casse'!$D$4:$F$292,3,FALSE),"")</f>
        <v/>
      </c>
      <c r="CP39" s="305" t="str">
        <f>IFERROR(IF(VLOOKUP($E39,Outlist!$A$5:$S$120,19,FALSE)&lt;&gt;0,"Y",""),"")</f>
        <v/>
      </c>
      <c r="CQ39" s="301"/>
      <c r="CR39" s="305" t="str">
        <f>CONCATENATE($B39,$E39,$G39)</f>
        <v>ITD12622MXP0.270833333333333</v>
      </c>
      <c r="CS39" s="301"/>
      <c r="CT39" s="305" t="e">
        <f>VLOOKUP(Out_Table[[#This Row],[Destination             ORANGE (From Planning)]],Outlist!$A$5:$W$120,22,FALSE)</f>
        <v>#N/A</v>
      </c>
    </row>
    <row r="40" spans="1:98" s="20" customFormat="1" ht="15">
      <c r="A40" s="305" t="str">
        <f>$CR40</f>
        <v>ERN05729KG4 20.416666666664241</v>
      </c>
      <c r="B40" s="351" t="str">
        <f>IFERROR(VLOOKUP(E40,Outlist!$A$5:$AC$120,2,FALSE),"")</f>
        <v>ERN05729</v>
      </c>
      <c r="C40" s="352" t="str">
        <f>IFERROR(IF(LEFT(B40,3)='STAT 77'!$X$2,_xlfn.XLOOKUP(B40,'STAT 77'!C:C,'STAT 77'!B:B),_xlfn.XLOOKUP(B40,'STAT 77'!B:B,'STAT 77'!C:C)),"NON TROVATO")</f>
        <v>ERN02783</v>
      </c>
      <c r="D40" s="4"/>
      <c r="E40" s="352" t="str">
        <f>IFERROR(IF(Outlist!$A31&lt;&gt;"",Outlist!$A31,""),"")</f>
        <v>KG4 2</v>
      </c>
      <c r="F40" s="352" t="str">
        <f>IFERROR(VLOOKUP(E40,'Cambio O2P'!C:E,2,FALSE),"")</f>
        <v/>
      </c>
      <c r="G40" s="353">
        <f>IFERROR(VLOOKUP(E40,Outlist!$A$5:$AC$120,5,FALSE)-INT(VLOOKUP(E40,Outlist!$A$5:$AC$120,5,FALSE)),"")</f>
        <v>0.41666666666424135</v>
      </c>
      <c r="H40" s="294">
        <f ca="1">IFERROR(IF(AND('INformazioni per calcoli'!$AB$3&lt;(--"14:30"),'INformazioni per calcoli'!$AB$3&gt;(--"10:00")),"",IF($B40="","",IF($X40&lt;&gt;"","Mezzo Chiuso",IF($W40="","Non al Carico",IF($K40="Safe Parking","Safe Parking", IF(OR($BF40='INformazioni per calcoli'!$AF$8,$BF40='INformazioni per calcoli'!$AC$8,$BF40='INformazioni per calcoli'!$AD$8,$BF40='INformazioni per calcoli'!$AE$8,$BF40='INformazioni per calcoli'!$AG$8,$BF40='INformazioni per calcoli'!$AH$8,$BF40='INformazioni per calcoli'!$AI$8,$BF40='INformazioni per calcoli'!$AJ$8),IF($G40-'INformazioni per calcoli'!$AB$6-'INformazioni per calcoli'!$AB$3+$J40&lt;0,"LFLS",$G40-'INformazioni per calcoli'!$AB$6-'INformazioni per calcoli'!$AB$3+$J40), IF(OR($BF40='INformazioni per calcoli'!$AF$6,$BF40='INformazioni per calcoli'!$AD$6,$BF40='INformazioni per calcoli'!$AE$6,$BF40='INformazioni per calcoli'!$AG$6),IF($G40-'INformazioni per calcoli'!$AB$8-'INformazioni per calcoli'!$AB$3+$J40&lt;0,"LFLS",$G40-'INformazioni per calcoli'!$AB$8-'INformazioni per calcoli'!$AB$3+$J40), IF($G40-'INformazioni per calcoli'!$AB$7-'INformazioni per calcoli'!$AB$3+$J40&lt;0,"LFLS",$G40-'INformazioni per calcoli'!$AB$7-'INformazioni per calcoli'!$AB$3+$J40)))))))),"")</f>
        <v>0.18787037036794507</v>
      </c>
      <c r="I40" s="17" t="str">
        <f ca="1">IFERROR(IF($H40&lt;&gt;"",IF($H40="Safe Parking","",IF($W40&lt;&gt;"",IF(AND($U40="X",$V40="X"),$H40-(--"00:30"),""),IF($X40&lt;&gt;"","Mezzo Chiuso","Non al carico"))),""),"")</f>
        <v/>
      </c>
      <c r="J40" s="306">
        <f ca="1">IFERROR(IF($B40&lt;&gt;"",IF(AND('INformazioni per calcoli'!$AB$3&lt;(--"15:00"),'INformazioni per calcoli'!$AB$3&gt;(--"00:00")),0,IF($G40&lt;(--"18:30"),"+1",0)),""),"")</f>
        <v>0</v>
      </c>
      <c r="K40" s="27">
        <f>IF(E40&lt;&gt;"",IFERROR(VLOOKUP(E40,Outlist!$A$5:$AC$120,22,FALSE),""),"")</f>
        <v>0</v>
      </c>
      <c r="L40" s="352" t="str">
        <f>IF(E40&lt;&gt;"",IFERROR(VLOOKUP(E40,Outlist!$A$5:$AC$120,3,FALSE),""),"")</f>
        <v>Matelda Srl</v>
      </c>
      <c r="M40" s="4" t="str">
        <f>IFERROR(_xlfn.XLOOKUP($Q40,'Elenco Casse'!$D:$D,'Elenco Casse'!$E:$E),"")</f>
        <v/>
      </c>
      <c r="N40" s="4" t="str">
        <f>IFERROR(_xlfn.XLOOKUP($Q40,'Elenco Casse'!$D:$D,'Elenco Casse'!$F:$F),"")</f>
        <v/>
      </c>
      <c r="O40" s="4" t="str">
        <f>IF($L40&lt;&gt;"","TT-2/3","")</f>
        <v>TT-2/3</v>
      </c>
      <c r="P40" s="296" t="str">
        <f>IFERROR(IF(VLOOKUP(E40,Outlist!$A$5:$AC$120,21,FALSE)="YES","Linea Variata",""),"")</f>
        <v/>
      </c>
      <c r="Q40" s="355" t="s">
        <v>547</v>
      </c>
      <c r="R40" s="23" t="s">
        <v>420</v>
      </c>
      <c r="S40" s="25" t="str">
        <f>IFERROR(IF(VLOOKUP(E40,Outlist!$A$5:$AC$120,7,FALSE)="X","SUBCO",""),"")</f>
        <v/>
      </c>
      <c r="T40" s="25"/>
      <c r="U40" s="23" t="s">
        <v>61</v>
      </c>
      <c r="V40" s="23"/>
      <c r="W40" s="26">
        <v>339</v>
      </c>
      <c r="X40" s="27"/>
      <c r="Y40" s="25"/>
      <c r="Z40" s="25"/>
      <c r="AA40" s="25" t="s">
        <v>40</v>
      </c>
      <c r="AB40" s="57"/>
      <c r="AC40" s="25"/>
      <c r="AD40" s="25"/>
      <c r="AE40" s="57"/>
      <c r="AF40" s="57"/>
      <c r="AG40" s="25"/>
      <c r="AH40" s="57"/>
      <c r="AI40" s="339"/>
      <c r="AJ40" s="339"/>
      <c r="AK40" s="297" t="str">
        <f>IF(X40&lt;&gt;"",CONCATENATE(IF(AA40&lt;&gt;"",CONCATENATE(Z40," ",AA40," ",BI40),""),IF(AD40&lt;&gt;"",CONCATENATE(","," ",AC40," ",AD40," ",BJ40),""),IF(AG40&lt;&gt;"",CONCATENATE(","," ",AF40," ",AG40," ",BK40),""),IF(AJ40&lt;&gt;"",CONCATENATE(","," ","DD"," ",BL40),"")," ",IF(AI40&lt;&gt;"",CONCATENATE(" - ",AI40," Bag"),"")),"")</f>
        <v/>
      </c>
      <c r="AL40" s="287"/>
      <c r="AM40" s="287"/>
      <c r="AN40" s="287"/>
      <c r="AO40" s="287"/>
      <c r="AP40" s="370">
        <f>IFERROR(VLOOKUP($E40,Outlist!$A$5:$V$120,20,FALSE),"")</f>
        <v>0</v>
      </c>
      <c r="AQ40" s="288" t="str">
        <f>IFERROR(IF(VLOOKUP($A40,#REF!,8,FALSE)&lt;&gt;"",VLOOKUP($A40,#REF!,8,FALSE),""),"")</f>
        <v/>
      </c>
      <c r="AS40" s="24"/>
      <c r="AT40" s="24"/>
      <c r="AU40" s="27"/>
      <c r="AV40" s="27"/>
      <c r="AX40" s="20" t="str">
        <f>IFERROR(IF(Out_Table[[#This Row],[Cancellazione linea]]="Cancellata","yes",""),"")</f>
        <v/>
      </c>
      <c r="AY40" s="72"/>
      <c r="AZ40" s="27"/>
      <c r="BA40" s="32"/>
      <c r="BB40" s="72"/>
      <c r="BC40" s="72" t="str">
        <f>IFERROR(VLOOKUP(Out_Table[[#This Row],[Aggiornamento STATUS]],'INformazioni per calcoli'!$Y$70:$AA$76,2,FALSE),"")</f>
        <v/>
      </c>
      <c r="BD40" s="289"/>
      <c r="BE40" s="289"/>
      <c r="BF40" s="47" t="str">
        <f>LEFT($E40,3)</f>
        <v>KG4</v>
      </c>
      <c r="BG40" s="298" t="str">
        <f>IF(Out_Table[[#This Row],[Ora Uscita    (GH)]]&lt;&gt;"","x","")</f>
        <v/>
      </c>
      <c r="BH40" s="299">
        <f>VLOOKUP($O40,'INformazioni per calcoli'!$Y$20:$AA$23,3,FALSE)</f>
        <v>14</v>
      </c>
      <c r="BI40" s="299">
        <f>MROUND(Out_Table[[#This Row],[Mtr. Trailer]]*AB40,0.5)</f>
        <v>0</v>
      </c>
      <c r="BJ40" s="299">
        <f>MROUND(Out_Table[[#This Row],[Mtr. Trailer]]*AE40,0.5)</f>
        <v>0</v>
      </c>
      <c r="BK40" s="299">
        <f>MROUND(Out_Table[[#This Row],[Mtr. Trailer]]*AH40,0.5)</f>
        <v>0</v>
      </c>
      <c r="BL40" s="300">
        <f>Out_Table[[#This Row],[Double Deck trailer N° bumpers]]</f>
        <v>0</v>
      </c>
      <c r="BM40" s="301"/>
      <c r="BN40" s="299" t="str">
        <f>B40</f>
        <v>ERN05729</v>
      </c>
      <c r="BO40" s="299" t="str">
        <f>E40</f>
        <v>KG4 2</v>
      </c>
      <c r="BP40" s="302">
        <f>IF(AND(G40&gt;(--"00:00:01"),G40&lt;(--"15:00:00")),IF(AND(X40&gt;(--"00:00:01"),X40&lt;(--"15:00:00")),G40-X40,G40+1-X40),G40-X40)</f>
        <v>1.4166666666642413</v>
      </c>
      <c r="BQ40" s="303">
        <f>AE40+AF40+AH40+AJ40</f>
        <v>0</v>
      </c>
      <c r="BR40" s="304" t="str">
        <f>IF(OR(BP40&lt;=(--"00:20:00"),BQ40&gt;=100%),"OK","Not OK")</f>
        <v>Not OK</v>
      </c>
      <c r="BS40" s="302">
        <f>IF(AND(G40&gt;(--"00:00:01"),G40&lt;(--"15:00:00")),IF(AND(AU40&gt;(--"00:00:01"),AU40&lt;(--"15:00:00")),G40-AU40,G40+1-AU40),G40-AU40)</f>
        <v>1.4166666666642413</v>
      </c>
      <c r="BT40" s="302">
        <f>IF(AND(AZ40&gt;(--"00:00:01"),AZ40&lt;(--"15:00:00")),IF(AND(AU40&gt;(--"00:00:01"),AU40&lt;(--"15:00:00")),AZ40-AU40,AZ40+1-AU40),AZ40-AU40)</f>
        <v>0</v>
      </c>
      <c r="BU40" s="302">
        <f>IF(AND(BA40&gt;(--"00:00:01"),BA40&lt;(--"15:00:00")),IF(AND(AZ40&gt;(--"00:00:01"),AZ40&lt;(--"15:00:00")),BA40-AZ40,BA40+1-AZ40),BA40-AZ40)</f>
        <v>0</v>
      </c>
      <c r="BV40" s="299">
        <f>AV40</f>
        <v>0</v>
      </c>
      <c r="BW40" s="301"/>
      <c r="BX40" s="299" t="str">
        <f>IF(AV40="T Status",IF(AV40&lt;&gt;T40,"X",""),"")</f>
        <v/>
      </c>
      <c r="BY40" s="301"/>
      <c r="BZ40" s="299" t="str">
        <f>IF(X40&lt;&gt;"",IF(CC40="X","Driver Delay",IF(CA40="X","Paperwork Delay",IF(CB40="X","Late freight late sort",IF(CD40="X","Chiamare Control Room",IF(CE40="X","Chiamare Control Room",IF(CF40="X","Chiamare Control Room","")))))),"")</f>
        <v/>
      </c>
      <c r="CA40" s="302" t="str">
        <f>IF(K40="",IF(IF(AND(G40&gt;(--"00:00:01"),G40&lt;(--"15:00:00")),IF(AND(AT40&gt;(--"08:00:00"),AT40&lt;(--"23:59:59")),G40+1-AT40,G40-AT40),G40-AT40)&gt;(--"00:20:00"),"","X"),"")</f>
        <v/>
      </c>
      <c r="CB40" s="299" t="str">
        <f>IF(K40="",IF(BP40&gt;=(--"00:20:00"),"","X"),"")</f>
        <v/>
      </c>
      <c r="CC40" s="299" t="str">
        <f>IF(OR(AV40="Autista non presente",AV40="Dati driver non presenti"),"X","")</f>
        <v/>
      </c>
      <c r="CD40" s="299" t="str">
        <f>IF(K40="",IF(AND(CC40="",BS40&lt;(--"00:20:00")),"X",""),"")</f>
        <v/>
      </c>
      <c r="CE40" s="299" t="str">
        <f>IF(K40="",IF(BT40&gt;(--"00:15:00"),"X",""),IF(AZ40&lt;&gt;"",IF(G40-AZ40&gt;(--"00:30:00"),"X",""),""))</f>
        <v/>
      </c>
      <c r="CF40" s="299" t="str">
        <f>IF(AND(CA40="",CB40="",CC40="",CD40="",CE40=""),"X","")</f>
        <v>X</v>
      </c>
      <c r="CG40" s="301"/>
      <c r="CH40" s="299" t="str">
        <f>IF(BT40&gt;(--"00:15:00"),"X","")</f>
        <v/>
      </c>
      <c r="CI40" s="302">
        <f>AY40</f>
        <v>0</v>
      </c>
      <c r="CJ40" s="299" t="str">
        <f>IF(AND(CH40&lt;&gt;"",CI40&lt;&gt;"",LEFT(B40,3)="ITD"),AP40,"")</f>
        <v/>
      </c>
      <c r="CK40" s="305" t="str">
        <f>IF(CJ40&lt;&gt;"",BT40,"")</f>
        <v/>
      </c>
      <c r="CL40" s="301"/>
      <c r="CM40" s="305" t="str">
        <f>IFERROR(VLOOKUP(Q40,'Elenco Casse'!$D$4:$F$292,3,FALSE),"")</f>
        <v/>
      </c>
      <c r="CN40" s="301"/>
      <c r="CO40" s="305" t="str">
        <f>IFERROR(VLOOKUP(E40,Outlist!$A$5:$H$120,8,FALSE),"")</f>
        <v>ENBD20304</v>
      </c>
      <c r="CP40" s="305" t="str">
        <f>IFERROR(IF(VLOOKUP($E40,Outlist!$A$5:$S$120,19,FALSE)&lt;&gt;0,"Y",""),"")</f>
        <v/>
      </c>
      <c r="CQ40" s="301"/>
      <c r="CR40" s="305" t="str">
        <f>CONCATENATE($B40,$E40,$G40)</f>
        <v>ERN05729KG4 20.416666666664241</v>
      </c>
      <c r="CS40" s="301"/>
      <c r="CT40" s="305">
        <f>VLOOKUP(Out_Table[[#This Row],[Destination             ORANGE (From Planning)]],Outlist!$A$5:$W$120,22,FALSE)</f>
        <v>0</v>
      </c>
    </row>
    <row r="41" spans="1:98" s="20" customFormat="1" ht="15">
      <c r="A41" s="305" t="str">
        <f>$CR41</f>
        <v>ERN13502BCN 40.4375</v>
      </c>
      <c r="B41" s="351" t="str">
        <f>IFERROR(VLOOKUP(E41,Outlist!$A$5:$AC$120,2,FALSE),"")</f>
        <v>ERN13502</v>
      </c>
      <c r="C41" s="352" t="str">
        <f>IFERROR(IF(LEFT(B41,3)='STAT 77'!$X$2,_xlfn.XLOOKUP(B41,'STAT 77'!C:C,'STAT 77'!B:B),_xlfn.XLOOKUP(B41,'STAT 77'!B:B,'STAT 77'!C:C)),"NON TROVATO")</f>
        <v>ERN06270</v>
      </c>
      <c r="D41" s="4"/>
      <c r="E41" s="352" t="str">
        <f>IFERROR(IF(Outlist!$A59&lt;&gt;"",Outlist!$A59,""),"")</f>
        <v>BCN 4</v>
      </c>
      <c r="F41" s="352" t="str">
        <f>IFERROR(VLOOKUP(E41,'Cambio O2P'!C:E,2,FALSE),"")</f>
        <v/>
      </c>
      <c r="G41" s="353">
        <f>IFERROR(VLOOKUP(E41,Outlist!$A$5:$AC$120,5,FALSE)-INT(VLOOKUP(E41,Outlist!$A$5:$AC$120,5,FALSE)),"")</f>
        <v>0.4375</v>
      </c>
      <c r="H41" s="294">
        <f ca="1">IFERROR(IF(AND('INformazioni per calcoli'!$AB$3&lt;(--"14:30"),'INformazioni per calcoli'!$AB$3&gt;(--"10:00")),"",IF($B41="","",IF($X41&lt;&gt;"","Mezzo Chiuso",IF($W41="","Non al Carico",IF($K41="Safe Parking","Safe Parking", IF(OR($BF41='INformazioni per calcoli'!$AF$8,$BF41='INformazioni per calcoli'!$AC$8,$BF41='INformazioni per calcoli'!$AD$8,$BF41='INformazioni per calcoli'!$AE$8,$BF41='INformazioni per calcoli'!$AG$8,$BF41='INformazioni per calcoli'!$AH$8,$BF41='INformazioni per calcoli'!$AI$8,$BF41='INformazioni per calcoli'!$AJ$8),IF($G41-'INformazioni per calcoli'!$AB$6-'INformazioni per calcoli'!$AB$3+$J41&lt;0,"LFLS",$G41-'INformazioni per calcoli'!$AB$6-'INformazioni per calcoli'!$AB$3+$J41), IF(OR($BF41='INformazioni per calcoli'!$AF$6,$BF41='INformazioni per calcoli'!$AD$6,$BF41='INformazioni per calcoli'!$AE$6,$BF41='INformazioni per calcoli'!$AG$6),IF($G41-'INformazioni per calcoli'!$AB$8-'INformazioni per calcoli'!$AB$3+$J41&lt;0,"LFLS",$G41-'INformazioni per calcoli'!$AB$8-'INformazioni per calcoli'!$AB$3+$J41), IF($G41-'INformazioni per calcoli'!$AB$7-'INformazioni per calcoli'!$AB$3+$J41&lt;0,"LFLS",$G41-'INformazioni per calcoli'!$AB$7-'INformazioni per calcoli'!$AB$3+$J41)))))))),"")</f>
        <v>0.25037037037037035</v>
      </c>
      <c r="I41" s="17" t="str">
        <f ca="1">IFERROR(IF($H41&lt;&gt;"",IF($H41="Safe Parking","",IF($W41&lt;&gt;"",IF(AND($U41="X",$V41="X"),$H41-(--"00:30"),""),IF($X41&lt;&gt;"","Mezzo Chiuso","Non al carico"))),""),"")</f>
        <v/>
      </c>
      <c r="J41" s="306">
        <f ca="1">IFERROR(IF($B41&lt;&gt;"",IF(AND('INformazioni per calcoli'!$AB$3&lt;(--"15:00"),'INformazioni per calcoli'!$AB$3&gt;(--"00:00")),0,IF($G41&lt;(--"18:30"),"+1",0)),""),"")</f>
        <v>0</v>
      </c>
      <c r="K41" s="27">
        <f>IF(E41&lt;&gt;"",IFERROR(VLOOKUP(E41,Outlist!$A$5:$AC$120,22,FALSE),""),"")</f>
        <v>0</v>
      </c>
      <c r="L41" s="352" t="str">
        <f>IF(E41&lt;&gt;"",IFERROR(VLOOKUP(E41,Outlist!$A$5:$AC$120,3,FALSE),""),"")</f>
        <v>J.V.,Sl Central De Servicios Y Seleccion</v>
      </c>
      <c r="M41" s="4" t="str">
        <f>IFERROR(_xlfn.XLOOKUP($Q41,'Elenco Casse'!$D:$D,'Elenco Casse'!$E:$E),"")</f>
        <v/>
      </c>
      <c r="N41" s="4" t="str">
        <f>IFERROR(_xlfn.XLOOKUP($Q41,'Elenco Casse'!$D:$D,'Elenco Casse'!$F:$F),"")</f>
        <v/>
      </c>
      <c r="O41" s="4" t="str">
        <f>IF($L41&lt;&gt;"","TT-2/3","")</f>
        <v>TT-2/3</v>
      </c>
      <c r="P41" s="296" t="str">
        <f>IFERROR(IF(VLOOKUP(E41,Outlist!$A$5:$AC$120,21,FALSE)="YES","Linea Variata",""),"")</f>
        <v/>
      </c>
      <c r="Q41" s="355" t="s">
        <v>548</v>
      </c>
      <c r="R41" s="23" t="s">
        <v>420</v>
      </c>
      <c r="S41" s="25" t="str">
        <f>IFERROR(IF(VLOOKUP(E41,Outlist!$A$5:$AC$120,7,FALSE)="X","SUBCO",""),"")</f>
        <v/>
      </c>
      <c r="T41" s="25"/>
      <c r="U41" s="23" t="s">
        <v>61</v>
      </c>
      <c r="V41" s="23"/>
      <c r="W41" s="26">
        <v>340</v>
      </c>
      <c r="X41" s="27"/>
      <c r="Y41" s="25"/>
      <c r="Z41" s="25"/>
      <c r="AA41" s="25" t="s">
        <v>40</v>
      </c>
      <c r="AB41" s="57"/>
      <c r="AC41" s="25"/>
      <c r="AD41" s="25"/>
      <c r="AE41" s="57"/>
      <c r="AF41" s="57"/>
      <c r="AG41" s="25"/>
      <c r="AH41" s="57"/>
      <c r="AI41" s="339"/>
      <c r="AJ41" s="339"/>
      <c r="AK41" s="297" t="str">
        <f>IF(X41&lt;&gt;"",CONCATENATE(IF(AA41&lt;&gt;"",CONCATENATE(Z41," ",AA41," ",BI41),""),IF(AD41&lt;&gt;"",CONCATENATE(","," ",AC41," ",AD41," ",BJ41),""),IF(AG41&lt;&gt;"",CONCATENATE(","," ",AF41," ",AG41," ",BK41),""),IF(AJ41&lt;&gt;"",CONCATENATE(","," ","DD"," ",BL41),"")," ",IF(AI41&lt;&gt;"",CONCATENATE(" - ",AI41," Bag"),"")),"")</f>
        <v/>
      </c>
      <c r="AL41" s="287"/>
      <c r="AM41" s="287"/>
      <c r="AN41" s="287"/>
      <c r="AO41" s="287"/>
      <c r="AP41" s="370">
        <f>IFERROR(VLOOKUP($E41,Outlist!$A$5:$V$120,20,FALSE),"")</f>
        <v>0</v>
      </c>
      <c r="AQ41" s="288" t="str">
        <f>IFERROR(IF(VLOOKUP($A41,#REF!,8,FALSE)&lt;&gt;"",VLOOKUP($A41,#REF!,8,FALSE),""),"")</f>
        <v/>
      </c>
      <c r="AS41" s="24"/>
      <c r="AT41" s="24"/>
      <c r="AU41" s="27"/>
      <c r="AV41" s="27"/>
      <c r="AX41" s="20" t="str">
        <f>IFERROR(IF(Out_Table[[#This Row],[Cancellazione linea]]="Cancellata","yes",""),"")</f>
        <v/>
      </c>
      <c r="AY41" s="72"/>
      <c r="AZ41" s="27"/>
      <c r="BA41" s="32"/>
      <c r="BB41" s="72"/>
      <c r="BC41" s="72" t="str">
        <f>IFERROR(VLOOKUP(Out_Table[[#This Row],[Aggiornamento STATUS]],'INformazioni per calcoli'!$Y$70:$AA$76,2,FALSE),"")</f>
        <v/>
      </c>
      <c r="BD41" s="289"/>
      <c r="BE41" s="289"/>
      <c r="BF41" s="47" t="str">
        <f>LEFT($E41,3)</f>
        <v>BCN</v>
      </c>
      <c r="BG41" s="298" t="str">
        <f>IF(Out_Table[[#This Row],[Ora Uscita    (GH)]]&lt;&gt;"","x","")</f>
        <v/>
      </c>
      <c r="BH41" s="299">
        <f>VLOOKUP($O41,'INformazioni per calcoli'!$Y$20:$AA$23,3,FALSE)</f>
        <v>14</v>
      </c>
      <c r="BI41" s="299">
        <f>MROUND(Out_Table[[#This Row],[Mtr. Trailer]]*AB41,0.5)</f>
        <v>0</v>
      </c>
      <c r="BJ41" s="299">
        <f>MROUND(Out_Table[[#This Row],[Mtr. Trailer]]*AE41,0.5)</f>
        <v>0</v>
      </c>
      <c r="BK41" s="299">
        <f>MROUND(Out_Table[[#This Row],[Mtr. Trailer]]*AH41,0.5)</f>
        <v>0</v>
      </c>
      <c r="BL41" s="300">
        <f>Out_Table[[#This Row],[Double Deck trailer N° bumpers]]</f>
        <v>0</v>
      </c>
      <c r="BM41" s="301"/>
      <c r="BN41" s="299" t="str">
        <f>B41</f>
        <v>ERN13502</v>
      </c>
      <c r="BO41" s="299" t="str">
        <f>E41</f>
        <v>BCN 4</v>
      </c>
      <c r="BP41" s="302">
        <f>IF(AND(G41&gt;(--"00:00:01"),G41&lt;(--"15:00:00")),IF(AND(X41&gt;(--"00:00:01"),X41&lt;(--"15:00:00")),G41-X41,G41+1-X41),G41-X41)</f>
        <v>1.4375</v>
      </c>
      <c r="BQ41" s="303">
        <f>AE41+AF41+AH41+AJ41</f>
        <v>0</v>
      </c>
      <c r="BR41" s="304" t="str">
        <f>IF(OR(BP41&lt;=(--"00:20:00"),BQ41&gt;=100%),"OK","Not OK")</f>
        <v>Not OK</v>
      </c>
      <c r="BS41" s="302">
        <f>IF(AND(G41&gt;(--"00:00:01"),G41&lt;(--"15:00:00")),IF(AND(AU41&gt;(--"00:00:01"),AU41&lt;(--"15:00:00")),G41-AU41,G41+1-AU41),G41-AU41)</f>
        <v>1.4375</v>
      </c>
      <c r="BT41" s="302">
        <f>IF(AND(AZ41&gt;(--"00:00:01"),AZ41&lt;(--"15:00:00")),IF(AND(AU41&gt;(--"00:00:01"),AU41&lt;(--"15:00:00")),AZ41-AU41,AZ41+1-AU41),AZ41-AU41)</f>
        <v>0</v>
      </c>
      <c r="BU41" s="302">
        <f>IF(AND(BA41&gt;(--"00:00:01"),BA41&lt;(--"15:00:00")),IF(AND(AZ41&gt;(--"00:00:01"),AZ41&lt;(--"15:00:00")),BA41-AZ41,BA41+1-AZ41),BA41-AZ41)</f>
        <v>0</v>
      </c>
      <c r="BV41" s="299">
        <f>AV41</f>
        <v>0</v>
      </c>
      <c r="BW41" s="301"/>
      <c r="BX41" s="299" t="str">
        <f>IF(AV41="T Status",IF(AV41&lt;&gt;T41,"X",""),"")</f>
        <v/>
      </c>
      <c r="BY41" s="301"/>
      <c r="BZ41" s="299" t="str">
        <f>IF(X41&lt;&gt;"",IF(CC41="X","Driver Delay",IF(CA41="X","Paperwork Delay",IF(CB41="X","Late freight late sort",IF(CD41="X","Chiamare Control Room",IF(CE41="X","Chiamare Control Room",IF(CF41="X","Chiamare Control Room","")))))),"")</f>
        <v/>
      </c>
      <c r="CA41" s="302" t="str">
        <f>IF(K41="",IF(IF(AND(G41&gt;(--"00:00:01"),G41&lt;(--"15:00:00")),IF(AND(AT41&gt;(--"08:00:00"),AT41&lt;(--"23:59:59")),G41+1-AT41,G41-AT41),G41-AT41)&gt;(--"00:20:00"),"","X"),"")</f>
        <v/>
      </c>
      <c r="CB41" s="299" t="str">
        <f>IF(K41="",IF(BP41&gt;=(--"00:20:00"),"","X"),"")</f>
        <v/>
      </c>
      <c r="CC41" s="299" t="str">
        <f>IF(OR(AV41="Autista non presente",AV41="Dati driver non presenti"),"X","")</f>
        <v/>
      </c>
      <c r="CD41" s="299" t="str">
        <f>IF(K41="",IF(AND(CC41="",BS41&lt;(--"00:20:00")),"X",""),"")</f>
        <v/>
      </c>
      <c r="CE41" s="299" t="str">
        <f>IF(K41="",IF(BT41&gt;(--"00:15:00"),"X",""),IF(AZ41&lt;&gt;"",IF(G41-AZ41&gt;(--"00:30:00"),"X",""),""))</f>
        <v/>
      </c>
      <c r="CF41" s="299" t="str">
        <f>IF(AND(CA41="",CB41="",CC41="",CD41="",CE41=""),"X","")</f>
        <v>X</v>
      </c>
      <c r="CG41" s="301"/>
      <c r="CH41" s="299" t="str">
        <f>IF(BT41&gt;(--"00:15:00"),"X","")</f>
        <v/>
      </c>
      <c r="CI41" s="302">
        <f>AY41</f>
        <v>0</v>
      </c>
      <c r="CJ41" s="299" t="str">
        <f>IF(AND(CH41&lt;&gt;"",CI41&lt;&gt;"",LEFT(B41,3)="ITD"),AP41,"")</f>
        <v/>
      </c>
      <c r="CK41" s="305" t="str">
        <f>IF(CJ41&lt;&gt;"",BT41,"")</f>
        <v/>
      </c>
      <c r="CL41" s="301"/>
      <c r="CM41" s="305" t="str">
        <f>IFERROR(VLOOKUP(Q41,'Elenco Casse'!$D$4:$F$292,3,FALSE),"")</f>
        <v/>
      </c>
      <c r="CN41" s="301"/>
      <c r="CO41" s="305" t="str">
        <f>IFERROR(VLOOKUP(E41,Outlist!$A$5:$H$120,8,FALSE),"")</f>
        <v>ENB14356</v>
      </c>
      <c r="CP41" s="305" t="str">
        <f>IFERROR(IF(VLOOKUP($E41,Outlist!$A$5:$S$120,19,FALSE)&lt;&gt;0,"Y",""),"")</f>
        <v/>
      </c>
      <c r="CQ41" s="301"/>
      <c r="CR41" s="305" t="str">
        <f>CONCATENATE($B41,$E41,$G41)</f>
        <v>ERN13502BCN 40.4375</v>
      </c>
      <c r="CS41" s="301"/>
      <c r="CT41" s="305">
        <f>VLOOKUP(Out_Table[[#This Row],[Destination             ORANGE (From Planning)]],Outlist!$A$5:$W$120,22,FALSE)</f>
        <v>0</v>
      </c>
    </row>
    <row r="42" spans="1:98" s="20" customFormat="1" ht="30.75">
      <c r="A42" s="305" t="str">
        <f>$CR42</f>
        <v>ERN15902BCN 20.09375</v>
      </c>
      <c r="B42" s="351" t="str">
        <f>IFERROR(VLOOKUP(E42,Outlist!$A$5:$AC$120,2,FALSE),"")</f>
        <v>ERN15902</v>
      </c>
      <c r="C42" s="352" t="str">
        <f>IFERROR(IF(LEFT(B42,3)='STAT 77'!$X$2,_xlfn.XLOOKUP(B42,'STAT 77'!C:C,'STAT 77'!B:B),_xlfn.XLOOKUP(B42,'STAT 77'!B:B,'STAT 77'!C:C)),"NON TROVATO")</f>
        <v>ERN08119</v>
      </c>
      <c r="D42" s="4"/>
      <c r="E42" s="352" t="str">
        <f>IFERROR(IF(Outlist!$A57&lt;&gt;"",Outlist!$A57,""),"")</f>
        <v>BCN 2</v>
      </c>
      <c r="F42" s="352" t="str">
        <f>IFERROR(VLOOKUP(E42,'Cambio O2P'!C:E,2,FALSE),"")</f>
        <v/>
      </c>
      <c r="G42" s="353">
        <f>IFERROR(VLOOKUP(E42,Outlist!$A$5:$AC$120,5,FALSE)-INT(VLOOKUP(E42,Outlist!$A$5:$AC$120,5,FALSE)),"")</f>
        <v>9.375E-2</v>
      </c>
      <c r="H42" s="294" t="str">
        <f ca="1">IFERROR(IF(AND('INformazioni per calcoli'!$AB$3&lt;(--"14:30"),'INformazioni per calcoli'!$AB$3&gt;(--"10:00")),"",IF($B42="","",IF($X42&lt;&gt;"","Mezzo Chiuso",IF($W42="","Non al Carico",IF($K42="Safe Parking","Safe Parking", IF(OR($BF42='INformazioni per calcoli'!$AF$8,$BF42='INformazioni per calcoli'!$AC$8,$BF42='INformazioni per calcoli'!$AD$8,$BF42='INformazioni per calcoli'!$AE$8,$BF42='INformazioni per calcoli'!$AG$8,$BF42='INformazioni per calcoli'!$AH$8,$BF42='INformazioni per calcoli'!$AI$8,$BF42='INformazioni per calcoli'!$AJ$8),IF($G42-'INformazioni per calcoli'!$AB$6-'INformazioni per calcoli'!$AB$3+$J42&lt;0,"LFLS",$G42-'INformazioni per calcoli'!$AB$6-'INformazioni per calcoli'!$AB$3+$J42), IF(OR($BF42='INformazioni per calcoli'!$AF$6,$BF42='INformazioni per calcoli'!$AD$6,$BF42='INformazioni per calcoli'!$AE$6,$BF42='INformazioni per calcoli'!$AG$6),IF($G42-'INformazioni per calcoli'!$AB$8-'INformazioni per calcoli'!$AB$3+$J42&lt;0,"LFLS",$G42-'INformazioni per calcoli'!$AB$8-'INformazioni per calcoli'!$AB$3+$J42), IF($G42-'INformazioni per calcoli'!$AB$7-'INformazioni per calcoli'!$AB$3+$J42&lt;0,"LFLS",$G42-'INformazioni per calcoli'!$AB$7-'INformazioni per calcoli'!$AB$3+$J42)))))))),"")</f>
        <v>Mezzo Chiuso</v>
      </c>
      <c r="I42" s="17" t="str">
        <f ca="1">IFERROR(IF($H42&lt;&gt;"",IF($H42="Safe Parking","",IF($W42&lt;&gt;"",IF(AND($U42="X",$V42="X"),$H42-(--"00:30"),""),IF($X42&lt;&gt;"","Mezzo Chiuso","Non al carico"))),""),"")</f>
        <v/>
      </c>
      <c r="J42" s="306">
        <f ca="1">IFERROR(IF($B42&lt;&gt;"",IF(AND('INformazioni per calcoli'!$AB$3&lt;(--"15:00"),'INformazioni per calcoli'!$AB$3&gt;(--"00:00")),0,IF($G42&lt;(--"18:30"),"+1",0)),""),"")</f>
        <v>0</v>
      </c>
      <c r="K42" s="27">
        <f>IF(E42&lt;&gt;"",IFERROR(VLOOKUP(E42,Outlist!$A$5:$AC$120,22,FALSE),""),"")</f>
        <v>0</v>
      </c>
      <c r="L42" s="352" t="str">
        <f>IF(E42&lt;&gt;"",IFERROR(VLOOKUP(E42,Outlist!$A$5:$AC$120,3,FALSE),""),"")</f>
        <v>Logistica Grillo, S.L.</v>
      </c>
      <c r="M42" s="4" t="str">
        <f>IFERROR(_xlfn.XLOOKUP($Q42,'Elenco Casse'!$D:$D,'Elenco Casse'!$E:$E),"")</f>
        <v/>
      </c>
      <c r="N42" s="4" t="str">
        <f>IFERROR(_xlfn.XLOOKUP($Q42,'Elenco Casse'!$D:$D,'Elenco Casse'!$F:$F),"")</f>
        <v/>
      </c>
      <c r="O42" s="4" t="str">
        <f>IF($L42&lt;&gt;"","TT-2/3","")</f>
        <v>TT-2/3</v>
      </c>
      <c r="P42" s="296" t="str">
        <f>IFERROR(IF(VLOOKUP(E42,Outlist!$A$5:$AC$120,21,FALSE)="YES","Linea Variata",""),"")</f>
        <v/>
      </c>
      <c r="Q42" s="355" t="s">
        <v>549</v>
      </c>
      <c r="R42" s="23" t="s">
        <v>420</v>
      </c>
      <c r="S42" s="25" t="str">
        <f>IFERROR(IF(VLOOKUP(E42,Outlist!$A$5:$AC$120,7,FALSE)="X","SUBCO",""),"")</f>
        <v>SUBCO</v>
      </c>
      <c r="T42" s="25"/>
      <c r="U42" s="23" t="s">
        <v>61</v>
      </c>
      <c r="V42" s="23"/>
      <c r="W42" s="26">
        <v>340</v>
      </c>
      <c r="X42" s="27">
        <v>0.93611111111111112</v>
      </c>
      <c r="Y42" s="25" t="s">
        <v>518</v>
      </c>
      <c r="Z42" s="25"/>
      <c r="AA42" s="25" t="s">
        <v>40</v>
      </c>
      <c r="AB42" s="57">
        <v>1</v>
      </c>
      <c r="AC42" s="25"/>
      <c r="AD42" s="25"/>
      <c r="AE42" s="57"/>
      <c r="AF42" s="57"/>
      <c r="AG42" s="25"/>
      <c r="AH42" s="57"/>
      <c r="AI42" s="339">
        <v>24</v>
      </c>
      <c r="AJ42" s="339"/>
      <c r="AK42" s="297" t="str">
        <f>IF(X42&lt;&gt;"",CONCATENATE(IF(AA42&lt;&gt;"",CONCATENATE(Z42," ",AA42," ",BI42),""),IF(AD42&lt;&gt;"",CONCATENATE(","," ",AC42," ",AD42," ",BJ42),""),IF(AG42&lt;&gt;"",CONCATENATE(","," ",AF42," ",AG42," ",BK42),""),IF(AJ42&lt;&gt;"",CONCATENATE(","," ","DD"," ",BL42),"")," ",IF(AI42&lt;&gt;"",CONCATENATE(" - ",AI42," Bag"),"")),"")</f>
        <v xml:space="preserve"> LL 14  - 24 Bag</v>
      </c>
      <c r="AL42" s="287" t="s">
        <v>421</v>
      </c>
      <c r="AM42" s="287"/>
      <c r="AN42" s="287"/>
      <c r="AO42" s="287"/>
      <c r="AP42" s="370">
        <f>IFERROR(VLOOKUP($E42,Outlist!$A$5:$V$120,20,FALSE),"")</f>
        <v>0</v>
      </c>
      <c r="AQ42" s="288" t="s">
        <v>550</v>
      </c>
      <c r="AR42" s="430">
        <v>0.93958333333333333</v>
      </c>
      <c r="AS42" s="24">
        <v>0.95</v>
      </c>
      <c r="AT42" s="24">
        <v>0.95138888888888884</v>
      </c>
      <c r="AU42" s="27"/>
      <c r="AV42" s="27"/>
      <c r="AW42" s="20" t="s">
        <v>443</v>
      </c>
      <c r="AX42" s="20" t="str">
        <f>IFERROR(IF(Out_Table[[#This Row],[Cancellazione linea]]="Cancellata","yes",""),"")</f>
        <v/>
      </c>
      <c r="AY42" s="72"/>
      <c r="AZ42" s="27"/>
      <c r="BA42" s="32">
        <v>0.99722222222222223</v>
      </c>
      <c r="BB42" s="72"/>
      <c r="BC42" s="72" t="str">
        <f>IFERROR(VLOOKUP(Out_Table[[#This Row],[Aggiornamento STATUS]],'INformazioni per calcoli'!$Y$70:$AA$76,2,FALSE),"")</f>
        <v/>
      </c>
      <c r="BD42" s="289"/>
      <c r="BE42" s="289"/>
      <c r="BF42" s="47" t="str">
        <f>LEFT($E42,3)</f>
        <v>BCN</v>
      </c>
      <c r="BG42" s="298" t="str">
        <f>IF(Out_Table[[#This Row],[Ora Uscita    (GH)]]&lt;&gt;"","x","")</f>
        <v>x</v>
      </c>
      <c r="BH42" s="299">
        <f>VLOOKUP($O42,'INformazioni per calcoli'!$Y$20:$AA$23,3,FALSE)</f>
        <v>14</v>
      </c>
      <c r="BI42" s="299">
        <f>MROUND(Out_Table[[#This Row],[Mtr. Trailer]]*AB42,0.5)</f>
        <v>14</v>
      </c>
      <c r="BJ42" s="299">
        <f>MROUND(Out_Table[[#This Row],[Mtr. Trailer]]*AE42,0.5)</f>
        <v>0</v>
      </c>
      <c r="BK42" s="299">
        <f>MROUND(Out_Table[[#This Row],[Mtr. Trailer]]*AH42,0.5)</f>
        <v>0</v>
      </c>
      <c r="BL42" s="300">
        <f>Out_Table[[#This Row],[Double Deck trailer N° bumpers]]</f>
        <v>0</v>
      </c>
      <c r="BM42" s="301"/>
      <c r="BN42" s="299" t="str">
        <f>B42</f>
        <v>ERN15902</v>
      </c>
      <c r="BO42" s="299" t="str">
        <f>E42</f>
        <v>BCN 2</v>
      </c>
      <c r="BP42" s="302">
        <f>IF(AND(G42&gt;(--"00:00:01"),G42&lt;(--"15:00:00")),IF(AND(X42&gt;(--"00:00:01"),X42&lt;(--"15:00:00")),G42-X42,G42+1-X42),G42-X42)</f>
        <v>0.15763888888888888</v>
      </c>
      <c r="BQ42" s="303">
        <f>AE42+AF42+AH42+AJ42</f>
        <v>0</v>
      </c>
      <c r="BR42" s="304" t="str">
        <f>IF(OR(BP42&lt;=(--"00:20:00"),BQ42&gt;=100%),"OK","Not OK")</f>
        <v>Not OK</v>
      </c>
      <c r="BS42" s="302">
        <f>IF(AND(G42&gt;(--"00:00:01"),G42&lt;(--"15:00:00")),IF(AND(AU42&gt;(--"00:00:01"),AU42&lt;(--"15:00:00")),G42-AU42,G42+1-AU42),G42-AU42)</f>
        <v>1.09375</v>
      </c>
      <c r="BT42" s="302">
        <f>IF(AND(AZ42&gt;(--"00:00:01"),AZ42&lt;(--"15:00:00")),IF(AND(AU42&gt;(--"00:00:01"),AU42&lt;(--"15:00:00")),AZ42-AU42,AZ42+1-AU42),AZ42-AU42)</f>
        <v>0</v>
      </c>
      <c r="BU42" s="302">
        <f>IF(AND(BA42&gt;(--"00:00:01"),BA42&lt;(--"15:00:00")),IF(AND(AZ42&gt;(--"00:00:01"),AZ42&lt;(--"15:00:00")),BA42-AZ42,BA42+1-AZ42),BA42-AZ42)</f>
        <v>0.99722222222222223</v>
      </c>
      <c r="BV42" s="299">
        <f>AV42</f>
        <v>0</v>
      </c>
      <c r="BW42" s="301"/>
      <c r="BX42" s="299" t="str">
        <f>IF(AV42="T Status",IF(AV42&lt;&gt;T42,"X",""),"")</f>
        <v/>
      </c>
      <c r="BY42" s="301"/>
      <c r="BZ42" s="299" t="str">
        <f>IF(X42&lt;&gt;"",IF(CC42="X","Driver Delay",IF(CA42="X","Paperwork Delay",IF(CB42="X","Late freight late sort",IF(CD42="X","Chiamare Control Room",IF(CE42="X","Chiamare Control Room",IF(CF42="X","Chiamare Control Room","")))))),"")</f>
        <v>Chiamare Control Room</v>
      </c>
      <c r="CA42" s="302" t="str">
        <f>IF(K42="",IF(IF(AND(G42&gt;(--"00:00:01"),G42&lt;(--"15:00:00")),IF(AND(AT42&gt;(--"08:00:00"),AT42&lt;(--"23:59:59")),G42+1-AT42,G42-AT42),G42-AT42)&gt;(--"00:20:00"),"","X"),"")</f>
        <v/>
      </c>
      <c r="CB42" s="299" t="str">
        <f>IF(K42="",IF(BP42&gt;=(--"00:20:00"),"","X"),"")</f>
        <v/>
      </c>
      <c r="CC42" s="299" t="str">
        <f>IF(OR(AV42="Autista non presente",AV42="Dati driver non presenti"),"X","")</f>
        <v/>
      </c>
      <c r="CD42" s="299" t="str">
        <f>IF(K42="",IF(AND(CC42="",BS42&lt;(--"00:20:00")),"X",""),"")</f>
        <v/>
      </c>
      <c r="CE42" s="299" t="str">
        <f>IF(K42="",IF(BT42&gt;(--"00:15:00"),"X",""),IF(AZ42&lt;&gt;"",IF(G42-AZ42&gt;(--"00:30:00"),"X",""),""))</f>
        <v/>
      </c>
      <c r="CF42" s="299" t="str">
        <f>IF(AND(CA42="",CB42="",CC42="",CD42="",CE42=""),"X","")</f>
        <v>X</v>
      </c>
      <c r="CG42" s="301"/>
      <c r="CH42" s="299" t="str">
        <f>IF(BT42&gt;(--"00:15:00"),"X","")</f>
        <v/>
      </c>
      <c r="CI42" s="302">
        <f>AY42</f>
        <v>0</v>
      </c>
      <c r="CJ42" s="299" t="str">
        <f>IF(AND(CH42&lt;&gt;"",CI42&lt;&gt;"",LEFT(B42,3)="ITD"),AP42,"")</f>
        <v/>
      </c>
      <c r="CK42" s="305" t="str">
        <f>IF(CJ42&lt;&gt;"",BT42,"")</f>
        <v/>
      </c>
      <c r="CL42" s="301"/>
      <c r="CM42" s="305" t="str">
        <f>IFERROR(VLOOKUP(Q42,'Elenco Casse'!$D$4:$F$292,3,FALSE),"")</f>
        <v/>
      </c>
      <c r="CN42" s="301"/>
      <c r="CO42" s="305" t="str">
        <f>IFERROR(VLOOKUP(E42,Outlist!$A$5:$H$120,8,FALSE),"")</f>
        <v>r7097bdg</v>
      </c>
      <c r="CP42" s="305" t="str">
        <f>IFERROR(IF(VLOOKUP($E42,Outlist!$A$5:$S$120,19,FALSE)&lt;&gt;0,"Y",""),"")</f>
        <v/>
      </c>
      <c r="CQ42" s="301"/>
      <c r="CR42" s="305" t="str">
        <f>CONCATENATE($B42,$E42,$G42)</f>
        <v>ERN15902BCN 20.09375</v>
      </c>
      <c r="CS42" s="301"/>
      <c r="CT42" s="305">
        <f>VLOOKUP(Out_Table[[#This Row],[Destination             ORANGE (From Planning)]],Outlist!$A$5:$W$120,22,FALSE)</f>
        <v>0</v>
      </c>
    </row>
    <row r="43" spans="1:98" s="20" customFormat="1" ht="30.75">
      <c r="A43" s="305" t="str">
        <f>$CR43</f>
        <v>ERN92396BCN 30.09375</v>
      </c>
      <c r="B43" s="351" t="str">
        <f>IFERROR(VLOOKUP(E43,Outlist!$A$5:$AC$120,2,FALSE),"")</f>
        <v>ERN92396</v>
      </c>
      <c r="C43" s="352" t="str">
        <f>IFERROR(IF(LEFT(B43,3)='STAT 77'!$X$2,_xlfn.XLOOKUP(B43,'STAT 77'!C:C,'STAT 77'!B:B),_xlfn.XLOOKUP(B43,'STAT 77'!B:B,'STAT 77'!C:C)),"NON TROVATO")</f>
        <v>ERN91189</v>
      </c>
      <c r="D43" s="4"/>
      <c r="E43" s="352" t="str">
        <f>IFERROR(IF(Outlist!$A58&lt;&gt;"",Outlist!$A58,""),"")</f>
        <v>BCN 3</v>
      </c>
      <c r="F43" s="352" t="str">
        <f>IFERROR(VLOOKUP(E43,'Cambio O2P'!C:E,2,FALSE),"")</f>
        <v/>
      </c>
      <c r="G43" s="353">
        <f>IFERROR(VLOOKUP(E43,Outlist!$A$5:$AC$120,5,FALSE)-INT(VLOOKUP(E43,Outlist!$A$5:$AC$120,5,FALSE)),"")</f>
        <v>9.375E-2</v>
      </c>
      <c r="H43" s="294" t="str">
        <f ca="1">IFERROR(IF(AND('INformazioni per calcoli'!$AB$3&lt;(--"14:30"),'INformazioni per calcoli'!$AB$3&gt;(--"10:00")),"",IF($B43="","",IF($X43&lt;&gt;"","Mezzo Chiuso",IF($W43="","Non al Carico",IF($K43="Safe Parking","Safe Parking", IF(OR($BF43='INformazioni per calcoli'!$AF$8,$BF43='INformazioni per calcoli'!$AC$8,$BF43='INformazioni per calcoli'!$AD$8,$BF43='INformazioni per calcoli'!$AE$8,$BF43='INformazioni per calcoli'!$AG$8,$BF43='INformazioni per calcoli'!$AH$8,$BF43='INformazioni per calcoli'!$AI$8,$BF43='INformazioni per calcoli'!$AJ$8),IF($G43-'INformazioni per calcoli'!$AB$6-'INformazioni per calcoli'!$AB$3+$J43&lt;0,"LFLS",$G43-'INformazioni per calcoli'!$AB$6-'INformazioni per calcoli'!$AB$3+$J43), IF(OR($BF43='INformazioni per calcoli'!$AF$6,$BF43='INformazioni per calcoli'!$AD$6,$BF43='INformazioni per calcoli'!$AE$6,$BF43='INformazioni per calcoli'!$AG$6),IF($G43-'INformazioni per calcoli'!$AB$8-'INformazioni per calcoli'!$AB$3+$J43&lt;0,"LFLS",$G43-'INformazioni per calcoli'!$AB$8-'INformazioni per calcoli'!$AB$3+$J43), IF($G43-'INformazioni per calcoli'!$AB$7-'INformazioni per calcoli'!$AB$3+$J43&lt;0,"LFLS",$G43-'INformazioni per calcoli'!$AB$7-'INformazioni per calcoli'!$AB$3+$J43)))))))),"")</f>
        <v>Mezzo Chiuso</v>
      </c>
      <c r="I43" s="17" t="str">
        <f ca="1">IFERROR(IF($H43&lt;&gt;"",IF($H43="Safe Parking","",IF($W43&lt;&gt;"",IF(AND($U43="X",$V43="X"),$H43-(--"00:30"),""),IF($X43&lt;&gt;"","Mezzo Chiuso","Non al carico"))),""),"")</f>
        <v/>
      </c>
      <c r="J43" s="306">
        <f ca="1">IFERROR(IF($B43&lt;&gt;"",IF(AND('INformazioni per calcoli'!$AB$3&lt;(--"15:00"),'INformazioni per calcoli'!$AB$3&gt;(--"00:00")),0,IF($G43&lt;(--"18:30"),"+1",0)),""),"")</f>
        <v>0</v>
      </c>
      <c r="K43" s="27">
        <f>IF(E43&lt;&gt;"",IFERROR(VLOOKUP(E43,Outlist!$A$5:$AC$120,22,FALSE),""),"")</f>
        <v>0</v>
      </c>
      <c r="L43" s="352" t="str">
        <f>IF(E43&lt;&gt;"",IFERROR(VLOOKUP(E43,Outlist!$A$5:$AC$120,3,FALSE),""),"")</f>
        <v>Galileo Transport Srl</v>
      </c>
      <c r="M43" s="4" t="str">
        <f>IFERROR(_xlfn.XLOOKUP($Q43,'Elenco Casse'!$D:$D,'Elenco Casse'!$E:$E),"")</f>
        <v/>
      </c>
      <c r="N43" s="4" t="str">
        <f>IFERROR(_xlfn.XLOOKUP($Q43,'Elenco Casse'!$D:$D,'Elenco Casse'!$F:$F),"")</f>
        <v/>
      </c>
      <c r="O43" s="4" t="str">
        <f>IF($L43&lt;&gt;"","TT-2/3","")</f>
        <v>TT-2/3</v>
      </c>
      <c r="P43" s="296" t="str">
        <f>IFERROR(IF(VLOOKUP(E43,Outlist!$A$5:$AC$120,21,FALSE)="YES","Linea Variata",""),"")</f>
        <v/>
      </c>
      <c r="Q43" s="355" t="s">
        <v>551</v>
      </c>
      <c r="R43" s="23" t="s">
        <v>420</v>
      </c>
      <c r="S43" s="25" t="str">
        <f>IFERROR(IF(VLOOKUP(E43,Outlist!$A$5:$AC$120,7,FALSE)="X","SUBCO",""),"")</f>
        <v/>
      </c>
      <c r="T43" s="25"/>
      <c r="U43" s="23" t="s">
        <v>500</v>
      </c>
      <c r="V43" s="23"/>
      <c r="W43" s="26">
        <v>341</v>
      </c>
      <c r="X43" s="27">
        <v>4.3749999999999997E-2</v>
      </c>
      <c r="Y43" s="25" t="s">
        <v>552</v>
      </c>
      <c r="Z43" s="25"/>
      <c r="AA43" s="25" t="s">
        <v>40</v>
      </c>
      <c r="AB43" s="57">
        <v>0.9</v>
      </c>
      <c r="AC43" s="25"/>
      <c r="AD43" s="25"/>
      <c r="AE43" s="57"/>
      <c r="AF43" s="57"/>
      <c r="AG43" s="25"/>
      <c r="AH43" s="57"/>
      <c r="AI43" s="339">
        <v>12</v>
      </c>
      <c r="AJ43" s="339"/>
      <c r="AK43" s="297" t="str">
        <f>IF(X43&lt;&gt;"",CONCATENATE(IF(AA43&lt;&gt;"",CONCATENATE(Z43," ",AA43," ",BI43),""),IF(AD43&lt;&gt;"",CONCATENATE(","," ",AC43," ",AD43," ",BJ43),""),IF(AG43&lt;&gt;"",CONCATENATE(","," ",AF43," ",AG43," ",BK43),""),IF(AJ43&lt;&gt;"",CONCATENATE(","," ","DD"," ",BL43),"")," ",IF(AI43&lt;&gt;"",CONCATENATE(" - ",AI43," Bag"),"")),"")</f>
        <v xml:space="preserve"> LL 12.5  - 12 Bag</v>
      </c>
      <c r="AL43" s="287" t="s">
        <v>421</v>
      </c>
      <c r="AM43" s="287"/>
      <c r="AN43" s="287"/>
      <c r="AO43" s="287"/>
      <c r="AP43" s="370" t="str">
        <f>IFERROR(VLOOKUP($E43,Outlist!$A$5:$V$120,20,FALSE),"")</f>
        <v>VARIABILE</v>
      </c>
      <c r="AQ43" s="288" t="s">
        <v>553</v>
      </c>
      <c r="AR43" s="430">
        <v>4.5138888888888888E-2</v>
      </c>
      <c r="AS43" s="24">
        <v>5.347222222222222E-2</v>
      </c>
      <c r="AT43" s="24">
        <v>5.5555555555555552E-2</v>
      </c>
      <c r="AU43" s="27"/>
      <c r="AV43" s="27"/>
      <c r="AW43" s="20" t="s">
        <v>443</v>
      </c>
      <c r="AX43" s="20" t="str">
        <f>IFERROR(IF(Out_Table[[#This Row],[Cancellazione linea]]="Cancellata","yes",""),"")</f>
        <v/>
      </c>
      <c r="AY43" s="72"/>
      <c r="AZ43" s="27">
        <v>6.3888888888888884E-2</v>
      </c>
      <c r="BA43" s="32">
        <v>7.1527777777777773E-2</v>
      </c>
      <c r="BB43" s="72"/>
      <c r="BC43" s="72" t="str">
        <f>IFERROR(VLOOKUP(Out_Table[[#This Row],[Aggiornamento STATUS]],'INformazioni per calcoli'!$Y$70:$AA$76,2,FALSE),"")</f>
        <v/>
      </c>
      <c r="BD43" s="289"/>
      <c r="BE43" s="289"/>
      <c r="BF43" s="47" t="str">
        <f>LEFT($E43,3)</f>
        <v>BCN</v>
      </c>
      <c r="BG43" s="298" t="str">
        <f>IF(Out_Table[[#This Row],[Ora Uscita    (GH)]]&lt;&gt;"","x","")</f>
        <v>x</v>
      </c>
      <c r="BH43" s="299">
        <f>VLOOKUP($O43,'INformazioni per calcoli'!$Y$20:$AA$23,3,FALSE)</f>
        <v>14</v>
      </c>
      <c r="BI43" s="299">
        <f>MROUND(Out_Table[[#This Row],[Mtr. Trailer]]*AB43,0.5)</f>
        <v>12.5</v>
      </c>
      <c r="BJ43" s="299">
        <f>MROUND(Out_Table[[#This Row],[Mtr. Trailer]]*AE43,0.5)</f>
        <v>0</v>
      </c>
      <c r="BK43" s="299">
        <f>MROUND(Out_Table[[#This Row],[Mtr. Trailer]]*AH43,0.5)</f>
        <v>0</v>
      </c>
      <c r="BL43" s="300">
        <f>Out_Table[[#This Row],[Double Deck trailer N° bumpers]]</f>
        <v>0</v>
      </c>
      <c r="BM43" s="301"/>
      <c r="BN43" s="299" t="str">
        <f>B43</f>
        <v>ERN92396</v>
      </c>
      <c r="BO43" s="299" t="str">
        <f>E43</f>
        <v>BCN 3</v>
      </c>
      <c r="BP43" s="302">
        <f>IF(AND(G43&gt;(--"00:00:01"),G43&lt;(--"15:00:00")),IF(AND(X43&gt;(--"00:00:01"),X43&lt;(--"15:00:00")),G43-X43,G43+1-X43),G43-X43)</f>
        <v>0.05</v>
      </c>
      <c r="BQ43" s="303">
        <f>AE43+AF43+AH43+AJ43</f>
        <v>0</v>
      </c>
      <c r="BR43" s="304" t="str">
        <f>IF(OR(BP43&lt;=(--"00:20:00"),BQ43&gt;=100%),"OK","Not OK")</f>
        <v>Not OK</v>
      </c>
      <c r="BS43" s="302">
        <f>IF(AND(G43&gt;(--"00:00:01"),G43&lt;(--"15:00:00")),IF(AND(AU43&gt;(--"00:00:01"),AU43&lt;(--"15:00:00")),G43-AU43,G43+1-AU43),G43-AU43)</f>
        <v>1.09375</v>
      </c>
      <c r="BT43" s="302">
        <f>IF(AND(AZ43&gt;(--"00:00:01"),AZ43&lt;(--"15:00:00")),IF(AND(AU43&gt;(--"00:00:01"),AU43&lt;(--"15:00:00")),AZ43-AU43,AZ43+1-AU43),AZ43-AU43)</f>
        <v>1.0638888888888889</v>
      </c>
      <c r="BU43" s="302">
        <f>IF(AND(BA43&gt;(--"00:00:01"),BA43&lt;(--"15:00:00")),IF(AND(AZ43&gt;(--"00:00:01"),AZ43&lt;(--"15:00:00")),BA43-AZ43,BA43+1-AZ43),BA43-AZ43)</f>
        <v>7.6388888888888895E-3</v>
      </c>
      <c r="BV43" s="299">
        <f>AV43</f>
        <v>0</v>
      </c>
      <c r="BW43" s="301"/>
      <c r="BX43" s="299" t="str">
        <f>IF(AV43="T Status",IF(AV43&lt;&gt;T43,"X",""),"")</f>
        <v/>
      </c>
      <c r="BY43" s="301"/>
      <c r="BZ43" s="299" t="str">
        <f>IF(X43&lt;&gt;"",IF(CC43="X","Driver Delay",IF(CA43="X","Paperwork Delay",IF(CB43="X","Late freight late sort",IF(CD43="X","Chiamare Control Room",IF(CE43="X","Chiamare Control Room",IF(CF43="X","Chiamare Control Room","")))))),"")</f>
        <v>Chiamare Control Room</v>
      </c>
      <c r="CA43" s="302" t="str">
        <f>IF(K43="",IF(IF(AND(G43&gt;(--"00:00:01"),G43&lt;(--"15:00:00")),IF(AND(AT43&gt;(--"08:00:00"),AT43&lt;(--"23:59:59")),G43+1-AT43,G43-AT43),G43-AT43)&gt;(--"00:20:00"),"","X"),"")</f>
        <v/>
      </c>
      <c r="CB43" s="299" t="str">
        <f>IF(K43="",IF(BP43&gt;=(--"00:20:00"),"","X"),"")</f>
        <v/>
      </c>
      <c r="CC43" s="299" t="str">
        <f>IF(OR(AV43="Autista non presente",AV43="Dati driver non presenti"),"X","")</f>
        <v/>
      </c>
      <c r="CD43" s="299" t="str">
        <f>IF(K43="",IF(AND(CC43="",BS43&lt;(--"00:20:00")),"X",""),"")</f>
        <v/>
      </c>
      <c r="CE43" s="299" t="str">
        <f>IF(K43="",IF(BT43&gt;(--"00:15:00"),"X",""),IF(AZ43&lt;&gt;"",IF(G43-AZ43&gt;(--"00:30:00"),"X",""),""))</f>
        <v>X</v>
      </c>
      <c r="CF43" s="299" t="str">
        <f>IF(AND(CA43="",CB43="",CC43="",CD43="",CE43=""),"X","")</f>
        <v/>
      </c>
      <c r="CG43" s="301"/>
      <c r="CH43" s="299" t="str">
        <f>IF(BT43&gt;(--"00:15:00"),"X","")</f>
        <v>X</v>
      </c>
      <c r="CI43" s="302">
        <f>AY43</f>
        <v>0</v>
      </c>
      <c r="CJ43" s="299" t="str">
        <f>IF(AND(CH43&lt;&gt;"",CI43&lt;&gt;"",LEFT(B43,3)="ITD"),AP43,"")</f>
        <v/>
      </c>
      <c r="CK43" s="305" t="str">
        <f>IF(CJ43&lt;&gt;"",BT43,"")</f>
        <v/>
      </c>
      <c r="CL43" s="301"/>
      <c r="CM43" s="305" t="str">
        <f>IFERROR(VLOOKUP(Q43,'Elenco Casse'!$D$4:$F$292,3,FALSE),"")</f>
        <v/>
      </c>
      <c r="CN43" s="301"/>
      <c r="CO43" s="305" t="str">
        <f>IFERROR(VLOOKUP(E43,Outlist!$A$5:$H$120,8,FALSE),"")</f>
        <v>enbd20373</v>
      </c>
      <c r="CP43" s="305" t="str">
        <f>IFERROR(IF(VLOOKUP($E43,Outlist!$A$5:$S$120,19,FALSE)&lt;&gt;0,"Y",""),"")</f>
        <v>Y</v>
      </c>
      <c r="CQ43" s="301"/>
      <c r="CR43" s="305" t="str">
        <f>CONCATENATE($B43,$E43,$G43)</f>
        <v>ERN92396BCN 30.09375</v>
      </c>
      <c r="CS43" s="301"/>
      <c r="CT43" s="305">
        <f>VLOOKUP(Out_Table[[#This Row],[Destination             ORANGE (From Planning)]],Outlist!$A$5:$W$120,22,FALSE)</f>
        <v>0</v>
      </c>
    </row>
    <row r="44" spans="1:98" s="20" customFormat="1" ht="15">
      <c r="A44" s="305" t="str">
        <f>$CR44</f>
        <v>ERN19135MAD 30.4375</v>
      </c>
      <c r="B44" s="351" t="str">
        <f>IFERROR(VLOOKUP(E44,Outlist!$A$5:$AC$120,2,FALSE),"")</f>
        <v>ERN19135</v>
      </c>
      <c r="C44" s="352" t="str">
        <f>IFERROR(IF(LEFT(B44,3)='STAT 77'!$X$2,_xlfn.XLOOKUP(B44,'STAT 77'!C:C,'STAT 77'!B:B),_xlfn.XLOOKUP(B44,'STAT 77'!B:B,'STAT 77'!C:C)),"NON TROVATO")</f>
        <v>ERN09683</v>
      </c>
      <c r="D44" s="4"/>
      <c r="E44" s="352" t="str">
        <f>IFERROR(IF(Outlist!$A63&lt;&gt;"",Outlist!$A63,""),"")</f>
        <v>MAD 3</v>
      </c>
      <c r="F44" s="352" t="str">
        <f>IFERROR(VLOOKUP(E44,'Cambio O2P'!C:E,2,FALSE),"")</f>
        <v/>
      </c>
      <c r="G44" s="353">
        <f>IFERROR(VLOOKUP(E44,Outlist!$A$5:$AC$120,5,FALSE)-INT(VLOOKUP(E44,Outlist!$A$5:$AC$120,5,FALSE)),"")</f>
        <v>0.4375</v>
      </c>
      <c r="H44" s="294">
        <f ca="1">IFERROR(IF(AND('INformazioni per calcoli'!$AB$3&lt;(--"14:30"),'INformazioni per calcoli'!$AB$3&gt;(--"10:00")),"",IF($B44="","",IF($X44&lt;&gt;"","Mezzo Chiuso",IF($W44="","Non al Carico",IF($K44="Safe Parking","Safe Parking", IF(OR($BF44='INformazioni per calcoli'!$AF$8,$BF44='INformazioni per calcoli'!$AC$8,$BF44='INformazioni per calcoli'!$AD$8,$BF44='INformazioni per calcoli'!$AE$8,$BF44='INformazioni per calcoli'!$AG$8,$BF44='INformazioni per calcoli'!$AH$8,$BF44='INformazioni per calcoli'!$AI$8,$BF44='INformazioni per calcoli'!$AJ$8),IF($G44-'INformazioni per calcoli'!$AB$6-'INformazioni per calcoli'!$AB$3+$J44&lt;0,"LFLS",$G44-'INformazioni per calcoli'!$AB$6-'INformazioni per calcoli'!$AB$3+$J44), IF(OR($BF44='INformazioni per calcoli'!$AF$6,$BF44='INformazioni per calcoli'!$AD$6,$BF44='INformazioni per calcoli'!$AE$6,$BF44='INformazioni per calcoli'!$AG$6),IF($G44-'INformazioni per calcoli'!$AB$8-'INformazioni per calcoli'!$AB$3+$J44&lt;0,"LFLS",$G44-'INformazioni per calcoli'!$AB$8-'INformazioni per calcoli'!$AB$3+$J44), IF($G44-'INformazioni per calcoli'!$AB$7-'INformazioni per calcoli'!$AB$3+$J44&lt;0,"LFLS",$G44-'INformazioni per calcoli'!$AB$7-'INformazioni per calcoli'!$AB$3+$J44)))))))),"")</f>
        <v>0.25037037037037035</v>
      </c>
      <c r="I44" s="17">
        <f ca="1">IFERROR(IF($H44&lt;&gt;"",IF($H44="Safe Parking","",IF($W44&lt;&gt;"",IF(AND($U44="X",$V44="X"),$H44-(--"00:30"),""),IF($X44&lt;&gt;"","Mezzo Chiuso","Non al carico"))),""),"")</f>
        <v>0.22953703703703701</v>
      </c>
      <c r="J44" s="306">
        <f ca="1">IFERROR(IF($B44&lt;&gt;"",IF(AND('INformazioni per calcoli'!$AB$3&lt;(--"15:00"),'INformazioni per calcoli'!$AB$3&gt;(--"00:00")),0,IF($G44&lt;(--"18:30"),"+1",0)),""),"")</f>
        <v>0</v>
      </c>
      <c r="K44" s="27">
        <f>IF(E44&lt;&gt;"",IFERROR(VLOOKUP(E44,Outlist!$A$5:$AC$120,22,FALSE),""),"")</f>
        <v>0</v>
      </c>
      <c r="L44" s="352" t="str">
        <f>IF(E44&lt;&gt;"",IFERROR(VLOOKUP(E44,Outlist!$A$5:$AC$120,3,FALSE),""),"")</f>
        <v>Ravitex Srl</v>
      </c>
      <c r="M44" s="4" t="str">
        <f>IFERROR(_xlfn.XLOOKUP($Q44,'Elenco Casse'!$D:$D,'Elenco Casse'!$E:$E),"")</f>
        <v/>
      </c>
      <c r="N44" s="4" t="str">
        <f>IFERROR(_xlfn.XLOOKUP($Q44,'Elenco Casse'!$D:$D,'Elenco Casse'!$F:$F),"")</f>
        <v/>
      </c>
      <c r="O44" s="4" t="str">
        <f>IF($L44&lt;&gt;"","TT-2/3","")</f>
        <v>TT-2/3</v>
      </c>
      <c r="P44" s="296" t="str">
        <f>IFERROR(IF(VLOOKUP(E44,Outlist!$A$5:$AC$120,21,FALSE)="YES","Linea Variata",""),"")</f>
        <v/>
      </c>
      <c r="Q44" s="355" t="s">
        <v>554</v>
      </c>
      <c r="R44" s="23" t="s">
        <v>420</v>
      </c>
      <c r="S44" s="25" t="str">
        <f>IFERROR(IF(VLOOKUP(E44,Outlist!$A$5:$AC$120,7,FALSE)="X","SUBCO",""),"")</f>
        <v/>
      </c>
      <c r="T44" s="25"/>
      <c r="U44" s="23" t="s">
        <v>61</v>
      </c>
      <c r="V44" s="23" t="s">
        <v>61</v>
      </c>
      <c r="W44" s="26">
        <v>342</v>
      </c>
      <c r="X44" s="27"/>
      <c r="Y44" s="25"/>
      <c r="Z44" s="25"/>
      <c r="AA44" s="25" t="s">
        <v>40</v>
      </c>
      <c r="AB44" s="57"/>
      <c r="AC44" s="25"/>
      <c r="AD44" s="25" t="s">
        <v>487</v>
      </c>
      <c r="AE44" s="57"/>
      <c r="AF44" s="57"/>
      <c r="AG44" s="25"/>
      <c r="AH44" s="57"/>
      <c r="AI44" s="339"/>
      <c r="AJ44" s="339"/>
      <c r="AK44" s="297" t="str">
        <f>IF(X44&lt;&gt;"",CONCATENATE(IF(AA44&lt;&gt;"",CONCATENATE(Z44," ",AA44," ",BI44),""),IF(AD44&lt;&gt;"",CONCATENATE(","," ",AC44," ",AD44," ",BJ44),""),IF(AG44&lt;&gt;"",CONCATENATE(","," ",AF44," ",AG44," ",BK44),""),IF(AJ44&lt;&gt;"",CONCATENATE(","," ","DD"," ",BL44),"")," ",IF(AI44&lt;&gt;"",CONCATENATE(" - ",AI44," Bag"),"")),"")</f>
        <v/>
      </c>
      <c r="AL44" s="287"/>
      <c r="AM44" s="287"/>
      <c r="AN44" s="287"/>
      <c r="AO44" s="287"/>
      <c r="AP44" s="370">
        <f>IFERROR(VLOOKUP($E44,Outlist!$A$5:$V$120,20,FALSE),"")</f>
        <v>0</v>
      </c>
      <c r="AQ44" s="288" t="str">
        <f>IFERROR(IF(VLOOKUP($A44,#REF!,8,FALSE)&lt;&gt;"",VLOOKUP($A44,#REF!,8,FALSE),""),"")</f>
        <v/>
      </c>
      <c r="AS44" s="24"/>
      <c r="AT44" s="24"/>
      <c r="AU44" s="27"/>
      <c r="AV44" s="27"/>
      <c r="AX44" s="20" t="str">
        <f>IFERROR(IF(Out_Table[[#This Row],[Cancellazione linea]]="Cancellata","yes",""),"")</f>
        <v/>
      </c>
      <c r="AY44" s="72"/>
      <c r="AZ44" s="27"/>
      <c r="BA44" s="32"/>
      <c r="BB44" s="72"/>
      <c r="BC44" s="72" t="str">
        <f>IFERROR(VLOOKUP(Out_Table[[#This Row],[Aggiornamento STATUS]],'INformazioni per calcoli'!$Y$70:$AA$76,2,FALSE),"")</f>
        <v/>
      </c>
      <c r="BD44" s="289"/>
      <c r="BE44" s="289"/>
      <c r="BF44" s="47" t="str">
        <f>LEFT($E44,3)</f>
        <v>MAD</v>
      </c>
      <c r="BG44" s="298" t="str">
        <f>IF(Out_Table[[#This Row],[Ora Uscita    (GH)]]&lt;&gt;"","x","")</f>
        <v/>
      </c>
      <c r="BH44" s="299">
        <f>VLOOKUP($O44,'INformazioni per calcoli'!$Y$20:$AA$23,3,FALSE)</f>
        <v>14</v>
      </c>
      <c r="BI44" s="299">
        <f>MROUND(Out_Table[[#This Row],[Mtr. Trailer]]*AB44,0.5)</f>
        <v>0</v>
      </c>
      <c r="BJ44" s="299">
        <f>MROUND(Out_Table[[#This Row],[Mtr. Trailer]]*AE44,0.5)</f>
        <v>0</v>
      </c>
      <c r="BK44" s="299">
        <f>MROUND(Out_Table[[#This Row],[Mtr. Trailer]]*AH44,0.5)</f>
        <v>0</v>
      </c>
      <c r="BL44" s="300">
        <f>Out_Table[[#This Row],[Double Deck trailer N° bumpers]]</f>
        <v>0</v>
      </c>
      <c r="BM44" s="301"/>
      <c r="BN44" s="299" t="str">
        <f>B44</f>
        <v>ERN19135</v>
      </c>
      <c r="BO44" s="299" t="str">
        <f>E44</f>
        <v>MAD 3</v>
      </c>
      <c r="BP44" s="302">
        <f>IF(AND(G44&gt;(--"00:00:01"),G44&lt;(--"15:00:00")),IF(AND(X44&gt;(--"00:00:01"),X44&lt;(--"15:00:00")),G44-X44,G44+1-X44),G44-X44)</f>
        <v>1.4375</v>
      </c>
      <c r="BQ44" s="303">
        <f>AE44+AF44+AH44+AJ44</f>
        <v>0</v>
      </c>
      <c r="BR44" s="304" t="str">
        <f>IF(OR(BP44&lt;=(--"00:20:00"),BQ44&gt;=100%),"OK","Not OK")</f>
        <v>Not OK</v>
      </c>
      <c r="BS44" s="302">
        <f>IF(AND(G44&gt;(--"00:00:01"),G44&lt;(--"15:00:00")),IF(AND(AU44&gt;(--"00:00:01"),AU44&lt;(--"15:00:00")),G44-AU44,G44+1-AU44),G44-AU44)</f>
        <v>1.4375</v>
      </c>
      <c r="BT44" s="302">
        <f>IF(AND(AZ44&gt;(--"00:00:01"),AZ44&lt;(--"15:00:00")),IF(AND(AU44&gt;(--"00:00:01"),AU44&lt;(--"15:00:00")),AZ44-AU44,AZ44+1-AU44),AZ44-AU44)</f>
        <v>0</v>
      </c>
      <c r="BU44" s="302">
        <f>IF(AND(BA44&gt;(--"00:00:01"),BA44&lt;(--"15:00:00")),IF(AND(AZ44&gt;(--"00:00:01"),AZ44&lt;(--"15:00:00")),BA44-AZ44,BA44+1-AZ44),BA44-AZ44)</f>
        <v>0</v>
      </c>
      <c r="BV44" s="299">
        <f>AV44</f>
        <v>0</v>
      </c>
      <c r="BW44" s="301"/>
      <c r="BX44" s="299" t="str">
        <f>IF(AV44="T Status",IF(AV44&lt;&gt;T44,"X",""),"")</f>
        <v/>
      </c>
      <c r="BY44" s="301"/>
      <c r="BZ44" s="299" t="str">
        <f>IF(X44&lt;&gt;"",IF(CC44="X","Driver Delay",IF(CA44="X","Paperwork Delay",IF(CB44="X","Late freight late sort",IF(CD44="X","Chiamare Control Room",IF(CE44="X","Chiamare Control Room",IF(CF44="X","Chiamare Control Room","")))))),"")</f>
        <v/>
      </c>
      <c r="CA44" s="302" t="str">
        <f>IF(K44="",IF(IF(AND(G44&gt;(--"00:00:01"),G44&lt;(--"15:00:00")),IF(AND(AT44&gt;(--"08:00:00"),AT44&lt;(--"23:59:59")),G44+1-AT44,G44-AT44),G44-AT44)&gt;(--"00:20:00"),"","X"),"")</f>
        <v/>
      </c>
      <c r="CB44" s="299" t="str">
        <f>IF(K44="",IF(BP44&gt;=(--"00:20:00"),"","X"),"")</f>
        <v/>
      </c>
      <c r="CC44" s="299" t="str">
        <f>IF(OR(AV44="Autista non presente",AV44="Dati driver non presenti"),"X","")</f>
        <v/>
      </c>
      <c r="CD44" s="299" t="str">
        <f>IF(K44="",IF(AND(CC44="",BS44&lt;(--"00:20:00")),"X",""),"")</f>
        <v/>
      </c>
      <c r="CE44" s="299" t="str">
        <f>IF(K44="",IF(BT44&gt;(--"00:15:00"),"X",""),IF(AZ44&lt;&gt;"",IF(G44-AZ44&gt;(--"00:30:00"),"X",""),""))</f>
        <v/>
      </c>
      <c r="CF44" s="299" t="str">
        <f>IF(AND(CA44="",CB44="",CC44="",CD44="",CE44=""),"X","")</f>
        <v>X</v>
      </c>
      <c r="CG44" s="301"/>
      <c r="CH44" s="299" t="str">
        <f>IF(BT44&gt;(--"00:15:00"),"X","")</f>
        <v/>
      </c>
      <c r="CI44" s="302">
        <f>AY44</f>
        <v>0</v>
      </c>
      <c r="CJ44" s="299" t="str">
        <f>IF(AND(CH44&lt;&gt;"",CI44&lt;&gt;"",LEFT(B44,3)="ITD"),AP44,"")</f>
        <v/>
      </c>
      <c r="CK44" s="305" t="str">
        <f>IF(CJ44&lt;&gt;"",BT44,"")</f>
        <v/>
      </c>
      <c r="CL44" s="301"/>
      <c r="CM44" s="305" t="str">
        <f>IFERROR(VLOOKUP(Q44,'Elenco Casse'!$D$4:$F$292,3,FALSE),"")</f>
        <v/>
      </c>
      <c r="CN44" s="301"/>
      <c r="CO44" s="305" t="str">
        <f>IFERROR(VLOOKUP(E44,Outlist!$A$5:$H$120,8,FALSE),"")</f>
        <v>ENBR22040</v>
      </c>
      <c r="CP44" s="305" t="str">
        <f>IFERROR(IF(VLOOKUP($E44,Outlist!$A$5:$S$120,19,FALSE)&lt;&gt;0,"Y",""),"")</f>
        <v/>
      </c>
      <c r="CQ44" s="301"/>
      <c r="CR44" s="305" t="str">
        <f>CONCATENATE($B44,$E44,$G44)</f>
        <v>ERN19135MAD 30.4375</v>
      </c>
      <c r="CS44" s="301"/>
      <c r="CT44" s="305">
        <f>VLOOKUP(Out_Table[[#This Row],[Destination             ORANGE (From Planning)]],Outlist!$A$5:$W$120,22,FALSE)</f>
        <v>0</v>
      </c>
    </row>
    <row r="45" spans="1:98" s="20" customFormat="1" ht="30.75">
      <c r="A45" s="305" t="str">
        <f>$CR45</f>
        <v>ERN15904MAD 20.0833333333357587</v>
      </c>
      <c r="B45" s="351" t="str">
        <f>IFERROR(VLOOKUP(E45,Outlist!$A$5:$AC$120,2,FALSE),"")</f>
        <v>ERN15904</v>
      </c>
      <c r="C45" s="352" t="str">
        <f>IFERROR(IF(LEFT(B45,3)='STAT 77'!$X$2,_xlfn.XLOOKUP(B45,'STAT 77'!C:C,'STAT 77'!B:B),_xlfn.XLOOKUP(B45,'STAT 77'!B:B,'STAT 77'!C:C)),"NON TROVATO")</f>
        <v>ERN08121</v>
      </c>
      <c r="D45" s="4"/>
      <c r="E45" s="352" t="str">
        <f>IFERROR(IF(Outlist!$A62&lt;&gt;"",Outlist!$A62,""),"")</f>
        <v>MAD 2</v>
      </c>
      <c r="F45" s="352" t="str">
        <f>IFERROR(VLOOKUP(E45,'Cambio O2P'!C:E,2,FALSE),"")</f>
        <v/>
      </c>
      <c r="G45" s="353">
        <f>IFERROR(VLOOKUP(E45,Outlist!$A$5:$AC$120,5,FALSE)-INT(VLOOKUP(E45,Outlist!$A$5:$AC$120,5,FALSE)),"")</f>
        <v>8.3333333335758653E-2</v>
      </c>
      <c r="H45" s="294" t="str">
        <f ca="1">IFERROR(IF(AND('INformazioni per calcoli'!$AB$3&lt;(--"14:30"),'INformazioni per calcoli'!$AB$3&gt;(--"10:00")),"",IF($B45="","",IF($X45&lt;&gt;"","Mezzo Chiuso",IF($W45="","Non al Carico",IF($K45="Safe Parking","Safe Parking", IF(OR($BF45='INformazioni per calcoli'!$AF$8,$BF45='INformazioni per calcoli'!$AC$8,$BF45='INformazioni per calcoli'!$AD$8,$BF45='INformazioni per calcoli'!$AE$8,$BF45='INformazioni per calcoli'!$AG$8,$BF45='INformazioni per calcoli'!$AH$8,$BF45='INformazioni per calcoli'!$AI$8,$BF45='INformazioni per calcoli'!$AJ$8),IF($G45-'INformazioni per calcoli'!$AB$6-'INformazioni per calcoli'!$AB$3+$J45&lt;0,"LFLS",$G45-'INformazioni per calcoli'!$AB$6-'INformazioni per calcoli'!$AB$3+$J45), IF(OR($BF45='INformazioni per calcoli'!$AF$6,$BF45='INformazioni per calcoli'!$AD$6,$BF45='INformazioni per calcoli'!$AE$6,$BF45='INformazioni per calcoli'!$AG$6),IF($G45-'INformazioni per calcoli'!$AB$8-'INformazioni per calcoli'!$AB$3+$J45&lt;0,"LFLS",$G45-'INformazioni per calcoli'!$AB$8-'INformazioni per calcoli'!$AB$3+$J45), IF($G45-'INformazioni per calcoli'!$AB$7-'INformazioni per calcoli'!$AB$3+$J45&lt;0,"LFLS",$G45-'INformazioni per calcoli'!$AB$7-'INformazioni per calcoli'!$AB$3+$J45)))))))),"")</f>
        <v>Mezzo Chiuso</v>
      </c>
      <c r="I45" s="17" t="str">
        <f ca="1">IFERROR(IF($H45&lt;&gt;"",IF($H45="Safe Parking","",IF($W45&lt;&gt;"",IF(AND($U45="X",$V45="X"),$H45-(--"00:30"),""),IF($X45&lt;&gt;"","Mezzo Chiuso","Non al carico"))),""),"")</f>
        <v/>
      </c>
      <c r="J45" s="306">
        <f ca="1">IFERROR(IF($B45&lt;&gt;"",IF(AND('INformazioni per calcoli'!$AB$3&lt;(--"15:00"),'INformazioni per calcoli'!$AB$3&gt;(--"00:00")),0,IF($G45&lt;(--"18:30"),"+1",0)),""),"")</f>
        <v>0</v>
      </c>
      <c r="K45" s="27">
        <f>IF(E45&lt;&gt;"",IFERROR(VLOOKUP(E45,Outlist!$A$5:$AC$120,22,FALSE),""),"")</f>
        <v>0</v>
      </c>
      <c r="L45" s="352" t="str">
        <f>IF(E45&lt;&gt;"",IFERROR(VLOOKUP(E45,Outlist!$A$5:$AC$120,3,FALSE),""),"")</f>
        <v>Logistica Grillo, S.L.</v>
      </c>
      <c r="M45" s="4" t="str">
        <f>IFERROR(_xlfn.XLOOKUP($Q45,'Elenco Casse'!$D:$D,'Elenco Casse'!$E:$E),"")</f>
        <v/>
      </c>
      <c r="N45" s="4" t="str">
        <f>IFERROR(_xlfn.XLOOKUP($Q45,'Elenco Casse'!$D:$D,'Elenco Casse'!$F:$F),"")</f>
        <v/>
      </c>
      <c r="O45" s="4" t="str">
        <f>IF($L45&lt;&gt;"","TT-2/3","")</f>
        <v>TT-2/3</v>
      </c>
      <c r="P45" s="296" t="str">
        <f>IFERROR(IF(VLOOKUP(E45,Outlist!$A$5:$AC$120,21,FALSE)="YES","Linea Variata",""),"")</f>
        <v/>
      </c>
      <c r="Q45" s="355" t="s">
        <v>555</v>
      </c>
      <c r="R45" s="23" t="s">
        <v>420</v>
      </c>
      <c r="S45" s="25" t="str">
        <f>IFERROR(IF(VLOOKUP(E45,Outlist!$A$5:$AC$120,7,FALSE)="X","SUBCO",""),"")</f>
        <v/>
      </c>
      <c r="T45" s="25"/>
      <c r="U45" s="23" t="s">
        <v>61</v>
      </c>
      <c r="V45" s="23"/>
      <c r="W45" s="26">
        <v>342</v>
      </c>
      <c r="X45" s="27">
        <v>0.8979166666666667</v>
      </c>
      <c r="Y45" s="25" t="s">
        <v>494</v>
      </c>
      <c r="Z45" s="25"/>
      <c r="AA45" s="25" t="s">
        <v>40</v>
      </c>
      <c r="AB45" s="57">
        <v>1</v>
      </c>
      <c r="AC45" s="25"/>
      <c r="AD45" s="25"/>
      <c r="AE45" s="57"/>
      <c r="AF45" s="57"/>
      <c r="AG45" s="25"/>
      <c r="AH45" s="57"/>
      <c r="AI45" s="339">
        <v>12</v>
      </c>
      <c r="AJ45" s="339"/>
      <c r="AK45" s="297" t="str">
        <f>IF(X45&lt;&gt;"",CONCATENATE(IF(AA45&lt;&gt;"",CONCATENATE(Z45," ",AA45," ",BI45),""),IF(AD45&lt;&gt;"",CONCATENATE(","," ",AC45," ",AD45," ",BJ45),""),IF(AG45&lt;&gt;"",CONCATENATE(","," ",AF45," ",AG45," ",BK45),""),IF(AJ45&lt;&gt;"",CONCATENATE(","," ","DD"," ",BL45),"")," ",IF(AI45&lt;&gt;"",CONCATENATE(" - ",AI45," Bag"),"")),"")</f>
        <v xml:space="preserve"> LL 14  - 12 Bag</v>
      </c>
      <c r="AL45" s="287" t="s">
        <v>421</v>
      </c>
      <c r="AM45" s="287"/>
      <c r="AN45" s="287"/>
      <c r="AO45" s="287"/>
      <c r="AP45" s="370">
        <f>IFERROR(VLOOKUP($E45,Outlist!$A$5:$V$120,20,FALSE),"")</f>
        <v>0</v>
      </c>
      <c r="AQ45" s="288" t="s">
        <v>556</v>
      </c>
      <c r="AR45" s="430">
        <v>0.89930555555555558</v>
      </c>
      <c r="AS45" s="24">
        <v>0.90208333333333335</v>
      </c>
      <c r="AT45" s="24">
        <v>0.90625</v>
      </c>
      <c r="AU45" s="27"/>
      <c r="AV45" s="27"/>
      <c r="AW45" s="20" t="s">
        <v>443</v>
      </c>
      <c r="AX45" s="20" t="str">
        <f>IFERROR(IF(Out_Table[[#This Row],[Cancellazione linea]]="Cancellata","yes",""),"")</f>
        <v/>
      </c>
      <c r="AY45" s="72"/>
      <c r="AZ45" s="27">
        <v>2.361111111111111E-2</v>
      </c>
      <c r="BA45" s="32">
        <v>3.0555555555555555E-2</v>
      </c>
      <c r="BB45" s="72"/>
      <c r="BC45" s="72" t="str">
        <f>IFERROR(VLOOKUP(Out_Table[[#This Row],[Aggiornamento STATUS]],'INformazioni per calcoli'!$Y$70:$AA$76,2,FALSE),"")</f>
        <v/>
      </c>
      <c r="BD45" s="289"/>
      <c r="BE45" s="289"/>
      <c r="BF45" s="47" t="str">
        <f>LEFT($E45,3)</f>
        <v>MAD</v>
      </c>
      <c r="BG45" s="298" t="str">
        <f>IF(Out_Table[[#This Row],[Ora Uscita    (GH)]]&lt;&gt;"","x","")</f>
        <v>x</v>
      </c>
      <c r="BH45" s="299">
        <f>VLOOKUP($O45,'INformazioni per calcoli'!$Y$20:$AA$23,3,FALSE)</f>
        <v>14</v>
      </c>
      <c r="BI45" s="299">
        <f>MROUND(Out_Table[[#This Row],[Mtr. Trailer]]*AB45,0.5)</f>
        <v>14</v>
      </c>
      <c r="BJ45" s="299">
        <f>MROUND(Out_Table[[#This Row],[Mtr. Trailer]]*AE45,0.5)</f>
        <v>0</v>
      </c>
      <c r="BK45" s="299">
        <f>MROUND(Out_Table[[#This Row],[Mtr. Trailer]]*AH45,0.5)</f>
        <v>0</v>
      </c>
      <c r="BL45" s="300">
        <f>Out_Table[[#This Row],[Double Deck trailer N° bumpers]]</f>
        <v>0</v>
      </c>
      <c r="BM45" s="301"/>
      <c r="BN45" s="299" t="str">
        <f>B45</f>
        <v>ERN15904</v>
      </c>
      <c r="BO45" s="299" t="str">
        <f>E45</f>
        <v>MAD 2</v>
      </c>
      <c r="BP45" s="302">
        <f>IF(AND(G45&gt;(--"00:00:01"),G45&lt;(--"15:00:00")),IF(AND(X45&gt;(--"00:00:01"),X45&lt;(--"15:00:00")),G45-X45,G45+1-X45),G45-X45)</f>
        <v>0.18541666666909196</v>
      </c>
      <c r="BQ45" s="303">
        <f>AE45+AF45+AH45+AJ45</f>
        <v>0</v>
      </c>
      <c r="BR45" s="304" t="str">
        <f>IF(OR(BP45&lt;=(--"00:20:00"),BQ45&gt;=100%),"OK","Not OK")</f>
        <v>Not OK</v>
      </c>
      <c r="BS45" s="302">
        <f>IF(AND(G45&gt;(--"00:00:01"),G45&lt;(--"15:00:00")),IF(AND(AU45&gt;(--"00:00:01"),AU45&lt;(--"15:00:00")),G45-AU45,G45+1-AU45),G45-AU45)</f>
        <v>1.0833333333357587</v>
      </c>
      <c r="BT45" s="302">
        <f>IF(AND(AZ45&gt;(--"00:00:01"),AZ45&lt;(--"15:00:00")),IF(AND(AU45&gt;(--"00:00:01"),AU45&lt;(--"15:00:00")),AZ45-AU45,AZ45+1-AU45),AZ45-AU45)</f>
        <v>1.023611111111111</v>
      </c>
      <c r="BU45" s="302">
        <f>IF(AND(BA45&gt;(--"00:00:01"),BA45&lt;(--"15:00:00")),IF(AND(AZ45&gt;(--"00:00:01"),AZ45&lt;(--"15:00:00")),BA45-AZ45,BA45+1-AZ45),BA45-AZ45)</f>
        <v>6.9444444444444441E-3</v>
      </c>
      <c r="BV45" s="299">
        <f>AV45</f>
        <v>0</v>
      </c>
      <c r="BW45" s="301"/>
      <c r="BX45" s="299" t="str">
        <f>IF(AV45="T Status",IF(AV45&lt;&gt;T45,"X",""),"")</f>
        <v/>
      </c>
      <c r="BY45" s="301"/>
      <c r="BZ45" s="299" t="str">
        <f>IF(X45&lt;&gt;"",IF(CC45="X","Driver Delay",IF(CA45="X","Paperwork Delay",IF(CB45="X","Late freight late sort",IF(CD45="X","Chiamare Control Room",IF(CE45="X","Chiamare Control Room",IF(CF45="X","Chiamare Control Room","")))))),"")</f>
        <v>Chiamare Control Room</v>
      </c>
      <c r="CA45" s="302" t="str">
        <f>IF(K45="",IF(IF(AND(G45&gt;(--"00:00:01"),G45&lt;(--"15:00:00")),IF(AND(AT45&gt;(--"08:00:00"),AT45&lt;(--"23:59:59")),G45+1-AT45,G45-AT45),G45-AT45)&gt;(--"00:20:00"),"","X"),"")</f>
        <v/>
      </c>
      <c r="CB45" s="299" t="str">
        <f>IF(K45="",IF(BP45&gt;=(--"00:20:00"),"","X"),"")</f>
        <v/>
      </c>
      <c r="CC45" s="299" t="str">
        <f>IF(OR(AV45="Autista non presente",AV45="Dati driver non presenti"),"X","")</f>
        <v/>
      </c>
      <c r="CD45" s="299" t="str">
        <f>IF(K45="",IF(AND(CC45="",BS45&lt;(--"00:20:00")),"X",""),"")</f>
        <v/>
      </c>
      <c r="CE45" s="299" t="str">
        <f>IF(K45="",IF(BT45&gt;(--"00:15:00"),"X",""),IF(AZ45&lt;&gt;"",IF(G45-AZ45&gt;(--"00:30:00"),"X",""),""))</f>
        <v>X</v>
      </c>
      <c r="CF45" s="299" t="str">
        <f>IF(AND(CA45="",CB45="",CC45="",CD45="",CE45=""),"X","")</f>
        <v/>
      </c>
      <c r="CG45" s="301"/>
      <c r="CH45" s="299" t="str">
        <f>IF(BT45&gt;(--"00:15:00"),"X","")</f>
        <v>X</v>
      </c>
      <c r="CI45" s="302">
        <f>AY45</f>
        <v>0</v>
      </c>
      <c r="CJ45" s="299" t="str">
        <f>IF(AND(CH45&lt;&gt;"",CI45&lt;&gt;"",LEFT(B45,3)="ITD"),AP45,"")</f>
        <v/>
      </c>
      <c r="CK45" s="305" t="str">
        <f>IF(CJ45&lt;&gt;"",BT45,"")</f>
        <v/>
      </c>
      <c r="CL45" s="301"/>
      <c r="CM45" s="305" t="str">
        <f>IFERROR(VLOOKUP(Q45,'Elenco Casse'!$D$4:$F$292,3,FALSE),"")</f>
        <v/>
      </c>
      <c r="CN45" s="301"/>
      <c r="CO45" s="305" t="str">
        <f>IFERROR(VLOOKUP(E45,Outlist!$A$5:$H$120,8,FALSE),"")</f>
        <v>ENBD20172</v>
      </c>
      <c r="CP45" s="305" t="str">
        <f>IFERROR(IF(VLOOKUP($E45,Outlist!$A$5:$S$120,19,FALSE)&lt;&gt;0,"Y",""),"")</f>
        <v>Y</v>
      </c>
      <c r="CQ45" s="301"/>
      <c r="CR45" s="305" t="str">
        <f>CONCATENATE($B45,$E45,$G45)</f>
        <v>ERN15904MAD 20.0833333333357587</v>
      </c>
      <c r="CS45" s="301"/>
      <c r="CT45" s="305">
        <f>VLOOKUP(Out_Table[[#This Row],[Destination             ORANGE (From Planning)]],Outlist!$A$5:$W$120,22,FALSE)</f>
        <v>0</v>
      </c>
    </row>
    <row r="46" spans="1:98" s="20" customFormat="1" ht="15">
      <c r="A46" s="305" t="str">
        <f>$CR46</f>
        <v>ERN92347MAD 40.4375</v>
      </c>
      <c r="B46" s="351" t="str">
        <f>IFERROR(VLOOKUP(E46,Outlist!$A$5:$AC$120,2,FALSE),"")</f>
        <v>ERN92347</v>
      </c>
      <c r="C46" s="352" t="str">
        <f>IFERROR(IF(LEFT(B46,3)='STAT 77'!$X$2,_xlfn.XLOOKUP(B46,'STAT 77'!C:C,'STAT 77'!B:B),_xlfn.XLOOKUP(B46,'STAT 77'!B:B,'STAT 77'!C:C)),"NON TROVATO")</f>
        <v>ERN91158</v>
      </c>
      <c r="D46" s="4"/>
      <c r="E46" s="352" t="str">
        <f>IFERROR(IF(Outlist!$A64&lt;&gt;"",Outlist!$A64,""),"")</f>
        <v>MAD 4</v>
      </c>
      <c r="F46" s="352" t="str">
        <f>IFERROR(VLOOKUP(E46,'Cambio O2P'!C:E,2,FALSE),"")</f>
        <v/>
      </c>
      <c r="G46" s="353">
        <f>IFERROR(VLOOKUP(E46,Outlist!$A$5:$AC$120,5,FALSE)-INT(VLOOKUP(E46,Outlist!$A$5:$AC$120,5,FALSE)),"")</f>
        <v>0.4375</v>
      </c>
      <c r="H46" s="294" t="str">
        <f ca="1">IFERROR(IF(AND('INformazioni per calcoli'!$AB$3&lt;(--"14:30"),'INformazioni per calcoli'!$AB$3&gt;(--"10:00")),"",IF($B46="","",IF($X46&lt;&gt;"","Mezzo Chiuso",IF($W46="","Non al Carico",IF($K46="Safe Parking","Safe Parking", IF(OR($BF46='INformazioni per calcoli'!$AF$8,$BF46='INformazioni per calcoli'!$AC$8,$BF46='INformazioni per calcoli'!$AD$8,$BF46='INformazioni per calcoli'!$AE$8,$BF46='INformazioni per calcoli'!$AG$8,$BF46='INformazioni per calcoli'!$AH$8,$BF46='INformazioni per calcoli'!$AI$8,$BF46='INformazioni per calcoli'!$AJ$8),IF($G46-'INformazioni per calcoli'!$AB$6-'INformazioni per calcoli'!$AB$3+$J46&lt;0,"LFLS",$G46-'INformazioni per calcoli'!$AB$6-'INformazioni per calcoli'!$AB$3+$J46), IF(OR($BF46='INformazioni per calcoli'!$AF$6,$BF46='INformazioni per calcoli'!$AD$6,$BF46='INformazioni per calcoli'!$AE$6,$BF46='INformazioni per calcoli'!$AG$6),IF($G46-'INformazioni per calcoli'!$AB$8-'INformazioni per calcoli'!$AB$3+$J46&lt;0,"LFLS",$G46-'INformazioni per calcoli'!$AB$8-'INformazioni per calcoli'!$AB$3+$J46), IF($G46-'INformazioni per calcoli'!$AB$7-'INformazioni per calcoli'!$AB$3+$J46&lt;0,"LFLS",$G46-'INformazioni per calcoli'!$AB$7-'INformazioni per calcoli'!$AB$3+$J46)))))))),"")</f>
        <v>Mezzo Chiuso</v>
      </c>
      <c r="I46" s="17" t="str">
        <f ca="1">IFERROR(IF($H46&lt;&gt;"",IF($H46="Safe Parking","",IF($W46&lt;&gt;"",IF(AND($U46="X",$V46="X"),$H46-(--"00:30"),""),IF($X46&lt;&gt;"","Mezzo Chiuso","Non al carico"))),""),"")</f>
        <v/>
      </c>
      <c r="J46" s="306">
        <f ca="1">IFERROR(IF($B46&lt;&gt;"",IF(AND('INformazioni per calcoli'!$AB$3&lt;(--"15:00"),'INformazioni per calcoli'!$AB$3&gt;(--"00:00")),0,IF($G46&lt;(--"18:30"),"+1",0)),""),"")</f>
        <v>0</v>
      </c>
      <c r="K46" s="27">
        <f>IF(E46&lt;&gt;"",IFERROR(VLOOKUP(E46,Outlist!$A$5:$AC$120,22,FALSE),""),"")</f>
        <v>0</v>
      </c>
      <c r="L46" s="352" t="str">
        <f>IF(E46&lt;&gt;"",IFERROR(VLOOKUP(E46,Outlist!$A$5:$AC$120,3,FALSE),""),"")</f>
        <v>T Service Spa</v>
      </c>
      <c r="M46" s="4" t="str">
        <f>IFERROR(_xlfn.XLOOKUP($Q46,'Elenco Casse'!$D:$D,'Elenco Casse'!$E:$E),"")</f>
        <v>Tservice S.P.A.</v>
      </c>
      <c r="N46" s="4">
        <f>IFERROR(_xlfn.XLOOKUP($Q46,'Elenco Casse'!$D:$D,'Elenco Casse'!$F:$F),"")</f>
        <v>0</v>
      </c>
      <c r="O46" s="4" t="str">
        <f>IF($L46&lt;&gt;"","TT-2/3","")</f>
        <v>TT-2/3</v>
      </c>
      <c r="P46" s="296" t="str">
        <f>IFERROR(IF(VLOOKUP(E46,Outlist!$A$5:$AC$120,21,FALSE)="YES","Linea Variata",""),"")</f>
        <v/>
      </c>
      <c r="Q46" s="355" t="s">
        <v>557</v>
      </c>
      <c r="R46" s="23" t="s">
        <v>420</v>
      </c>
      <c r="S46" s="25" t="str">
        <f>IFERROR(IF(VLOOKUP(E46,Outlist!$A$5:$AC$120,7,FALSE)="X","SUBCO",""),"")</f>
        <v>SUBCO</v>
      </c>
      <c r="T46" s="25"/>
      <c r="U46" s="23" t="s">
        <v>500</v>
      </c>
      <c r="V46" s="23"/>
      <c r="W46" s="26">
        <v>343</v>
      </c>
      <c r="X46" s="27">
        <v>0.11388888888888889</v>
      </c>
      <c r="Y46" s="25" t="s">
        <v>518</v>
      </c>
      <c r="Z46" s="25"/>
      <c r="AA46" s="25" t="s">
        <v>40</v>
      </c>
      <c r="AB46" s="57">
        <v>1</v>
      </c>
      <c r="AC46" s="25"/>
      <c r="AD46" s="25"/>
      <c r="AE46" s="57"/>
      <c r="AF46" s="57"/>
      <c r="AG46" s="25"/>
      <c r="AH46" s="57"/>
      <c r="AI46" s="339">
        <v>12</v>
      </c>
      <c r="AJ46" s="339"/>
      <c r="AK46" s="297" t="str">
        <f>IF(X46&lt;&gt;"",CONCATENATE(IF(AA46&lt;&gt;"",CONCATENATE(Z46," ",AA46," ",BI46),""),IF(AD46&lt;&gt;"",CONCATENATE(","," ",AC46," ",AD46," ",BJ46),""),IF(AG46&lt;&gt;"",CONCATENATE(","," ",AF46," ",AG46," ",BK46),""),IF(AJ46&lt;&gt;"",CONCATENATE(","," ","DD"," ",BL46),"")," ",IF(AI46&lt;&gt;"",CONCATENATE(" - ",AI46," Bag"),"")),"")</f>
        <v xml:space="preserve"> LL 14  - 12 Bag</v>
      </c>
      <c r="AL46" s="287" t="s">
        <v>421</v>
      </c>
      <c r="AM46" s="287"/>
      <c r="AN46" s="287"/>
      <c r="AO46" s="287"/>
      <c r="AP46" s="370">
        <f>IFERROR(VLOOKUP($E46,Outlist!$A$5:$V$120,20,FALSE),"")</f>
        <v>0</v>
      </c>
      <c r="AQ46" s="288" t="str">
        <f>IFERROR(IF(VLOOKUP($A46,#REF!,8,FALSE)&lt;&gt;"",VLOOKUP($A46,#REF!,8,FALSE),""),"")</f>
        <v/>
      </c>
      <c r="AR46" s="430">
        <v>0.13055555555555556</v>
      </c>
      <c r="AS46" s="24">
        <v>0.13680555555555557</v>
      </c>
      <c r="AT46" s="24">
        <v>0.1388888888888889</v>
      </c>
      <c r="AU46" s="27"/>
      <c r="AV46" s="27"/>
      <c r="AX46" s="20" t="str">
        <f>IFERROR(IF(Out_Table[[#This Row],[Cancellazione linea]]="Cancellata","yes",""),"")</f>
        <v/>
      </c>
      <c r="AY46" s="72"/>
      <c r="AZ46" s="27"/>
      <c r="BA46" s="32"/>
      <c r="BB46" s="72"/>
      <c r="BC46" s="72" t="str">
        <f>IFERROR(VLOOKUP(Out_Table[[#This Row],[Aggiornamento STATUS]],'INformazioni per calcoli'!$Y$70:$AA$76,2,FALSE),"")</f>
        <v/>
      </c>
      <c r="BD46" s="289"/>
      <c r="BE46" s="289"/>
      <c r="BF46" s="47" t="str">
        <f>LEFT($E46,3)</f>
        <v>MAD</v>
      </c>
      <c r="BG46" s="298" t="str">
        <f>IF(Out_Table[[#This Row],[Ora Uscita    (GH)]]&lt;&gt;"","x","")</f>
        <v/>
      </c>
      <c r="BH46" s="299">
        <f>VLOOKUP($O46,'INformazioni per calcoli'!$Y$20:$AA$23,3,FALSE)</f>
        <v>14</v>
      </c>
      <c r="BI46" s="299">
        <f>MROUND(Out_Table[[#This Row],[Mtr. Trailer]]*AB46,0.5)</f>
        <v>14</v>
      </c>
      <c r="BJ46" s="299">
        <f>MROUND(Out_Table[[#This Row],[Mtr. Trailer]]*AE46,0.5)</f>
        <v>0</v>
      </c>
      <c r="BK46" s="299">
        <f>MROUND(Out_Table[[#This Row],[Mtr. Trailer]]*AH46,0.5)</f>
        <v>0</v>
      </c>
      <c r="BL46" s="300">
        <f>Out_Table[[#This Row],[Double Deck trailer N° bumpers]]</f>
        <v>0</v>
      </c>
      <c r="BM46" s="301"/>
      <c r="BN46" s="299" t="str">
        <f>B46</f>
        <v>ERN92347</v>
      </c>
      <c r="BO46" s="299" t="str">
        <f>E46</f>
        <v>MAD 4</v>
      </c>
      <c r="BP46" s="302">
        <f>IF(AND(G46&gt;(--"00:00:01"),G46&lt;(--"15:00:00")),IF(AND(X46&gt;(--"00:00:01"),X46&lt;(--"15:00:00")),G46-X46,G46+1-X46),G46-X46)</f>
        <v>0.32361111111111113</v>
      </c>
      <c r="BQ46" s="303">
        <f>AE46+AF46+AH46+AJ46</f>
        <v>0</v>
      </c>
      <c r="BR46" s="304" t="str">
        <f>IF(OR(BP46&lt;=(--"00:20:00"),BQ46&gt;=100%),"OK","Not OK")</f>
        <v>Not OK</v>
      </c>
      <c r="BS46" s="302">
        <f>IF(AND(G46&gt;(--"00:00:01"),G46&lt;(--"15:00:00")),IF(AND(AU46&gt;(--"00:00:01"),AU46&lt;(--"15:00:00")),G46-AU46,G46+1-AU46),G46-AU46)</f>
        <v>1.4375</v>
      </c>
      <c r="BT46" s="302">
        <f>IF(AND(AZ46&gt;(--"00:00:01"),AZ46&lt;(--"15:00:00")),IF(AND(AU46&gt;(--"00:00:01"),AU46&lt;(--"15:00:00")),AZ46-AU46,AZ46+1-AU46),AZ46-AU46)</f>
        <v>0</v>
      </c>
      <c r="BU46" s="302">
        <f>IF(AND(BA46&gt;(--"00:00:01"),BA46&lt;(--"15:00:00")),IF(AND(AZ46&gt;(--"00:00:01"),AZ46&lt;(--"15:00:00")),BA46-AZ46,BA46+1-AZ46),BA46-AZ46)</f>
        <v>0</v>
      </c>
      <c r="BV46" s="299">
        <f>AV46</f>
        <v>0</v>
      </c>
      <c r="BW46" s="301"/>
      <c r="BX46" s="299" t="str">
        <f>IF(AV46="T Status",IF(AV46&lt;&gt;T46,"X",""),"")</f>
        <v/>
      </c>
      <c r="BY46" s="301"/>
      <c r="BZ46" s="299" t="str">
        <f>IF(X46&lt;&gt;"",IF(CC46="X","Driver Delay",IF(CA46="X","Paperwork Delay",IF(CB46="X","Late freight late sort",IF(CD46="X","Chiamare Control Room",IF(CE46="X","Chiamare Control Room",IF(CF46="X","Chiamare Control Room","")))))),"")</f>
        <v>Chiamare Control Room</v>
      </c>
      <c r="CA46" s="302" t="str">
        <f>IF(K46="",IF(IF(AND(G46&gt;(--"00:00:01"),G46&lt;(--"15:00:00")),IF(AND(AT46&gt;(--"08:00:00"),AT46&lt;(--"23:59:59")),G46+1-AT46,G46-AT46),G46-AT46)&gt;(--"00:20:00"),"","X"),"")</f>
        <v/>
      </c>
      <c r="CB46" s="299" t="str">
        <f>IF(K46="",IF(BP46&gt;=(--"00:20:00"),"","X"),"")</f>
        <v/>
      </c>
      <c r="CC46" s="299" t="str">
        <f>IF(OR(AV46="Autista non presente",AV46="Dati driver non presenti"),"X","")</f>
        <v/>
      </c>
      <c r="CD46" s="299" t="str">
        <f>IF(K46="",IF(AND(CC46="",BS46&lt;(--"00:20:00")),"X",""),"")</f>
        <v/>
      </c>
      <c r="CE46" s="299" t="str">
        <f>IF(K46="",IF(BT46&gt;(--"00:15:00"),"X",""),IF(AZ46&lt;&gt;"",IF(G46-AZ46&gt;(--"00:30:00"),"X",""),""))</f>
        <v/>
      </c>
      <c r="CF46" s="299" t="str">
        <f>IF(AND(CA46="",CB46="",CC46="",CD46="",CE46=""),"X","")</f>
        <v>X</v>
      </c>
      <c r="CG46" s="301"/>
      <c r="CH46" s="299" t="str">
        <f>IF(BT46&gt;(--"00:15:00"),"X","")</f>
        <v/>
      </c>
      <c r="CI46" s="302">
        <f>AY46</f>
        <v>0</v>
      </c>
      <c r="CJ46" s="299" t="str">
        <f>IF(AND(CH46&lt;&gt;"",CI46&lt;&gt;"",LEFT(B46,3)="ITD"),AP46,"")</f>
        <v/>
      </c>
      <c r="CK46" s="305" t="str">
        <f>IF(CJ46&lt;&gt;"",BT46,"")</f>
        <v/>
      </c>
      <c r="CL46" s="301"/>
      <c r="CM46" s="305" t="str">
        <f>IFERROR(VLOOKUP(Q46,'Elenco Casse'!$D$4:$F$292,3,FALSE),"")</f>
        <v/>
      </c>
      <c r="CN46" s="301"/>
      <c r="CO46" s="305" t="str">
        <f>IFERROR(VLOOKUP(E46,Outlist!$A$5:$H$120,8,FALSE),"")</f>
        <v>xa783ww</v>
      </c>
      <c r="CP46" s="305" t="str">
        <f>IFERROR(IF(VLOOKUP($E46,Outlist!$A$5:$S$120,19,FALSE)&lt;&gt;0,"Y",""),"")</f>
        <v/>
      </c>
      <c r="CQ46" s="301"/>
      <c r="CR46" s="305" t="str">
        <f>CONCATENATE($B46,$E46,$G46)</f>
        <v>ERN92347MAD 40.4375</v>
      </c>
      <c r="CS46" s="301"/>
      <c r="CT46" s="305">
        <f>VLOOKUP(Out_Table[[#This Row],[Destination             ORANGE (From Planning)]],Outlist!$A$5:$W$120,22,FALSE)</f>
        <v>0</v>
      </c>
    </row>
    <row r="47" spans="1:98" s="20" customFormat="1" ht="30.75">
      <c r="A47" s="305" t="str">
        <f>$CR47</f>
        <v>ERN9XXXEXTRA QAR0.09375</v>
      </c>
      <c r="B47" s="351" t="s">
        <v>558</v>
      </c>
      <c r="C47" s="352" t="str">
        <f ca="1">IFERROR(IF(LEFT(B47,3)='STAT 77'!$X$2,_xlfn.XLOOKUP(B47,'STAT 77'!C:C,'STAT 77'!B:B),_xlfn.XLOOKUP(B47,'STAT 77'!B:B,'STAT 77'!C:C)),"NON TROVATO")</f>
        <v>NON TROVATO</v>
      </c>
      <c r="D47" s="4"/>
      <c r="E47" s="352" t="str">
        <f>IFERROR(IF(Outlist!$A81&lt;&gt;"",Outlist!$A81,""),"")</f>
        <v>EXTRA QAR</v>
      </c>
      <c r="F47" s="352" t="str">
        <f>IFERROR(VLOOKUP(E47,'Cambio O2P'!C:E,2,FALSE),"")</f>
        <v/>
      </c>
      <c r="G47" s="353">
        <f>IFERROR(VLOOKUP(E47,Outlist!$A$5:$AC$120,5,FALSE)-INT(VLOOKUP(E47,Outlist!$A$5:$AC$120,5,FALSE)),"")</f>
        <v>9.375E-2</v>
      </c>
      <c r="H47" s="294" t="str">
        <f ca="1">IFERROR(IF(AND('INformazioni per calcoli'!$AB$3&lt;(--"14:30"),'INformazioni per calcoli'!$AB$3&gt;(--"10:00")),"",IF($B47="","",IF($X47&lt;&gt;"","Mezzo Chiuso",IF($W47="","Non al Carico",IF($K47="Safe Parking","Safe Parking", IF(OR($BF47='INformazioni per calcoli'!$AF$8,$BF47='INformazioni per calcoli'!$AC$8,$BF47='INformazioni per calcoli'!$AD$8,$BF47='INformazioni per calcoli'!$AE$8,$BF47='INformazioni per calcoli'!$AG$8,$BF47='INformazioni per calcoli'!$AH$8,$BF47='INformazioni per calcoli'!$AI$8,$BF47='INformazioni per calcoli'!$AJ$8),IF($G47-'INformazioni per calcoli'!$AB$6-'INformazioni per calcoli'!$AB$3+$J47&lt;0,"LFLS",$G47-'INformazioni per calcoli'!$AB$6-'INformazioni per calcoli'!$AB$3+$J47), IF(OR($BF47='INformazioni per calcoli'!$AF$6,$BF47='INformazioni per calcoli'!$AD$6,$BF47='INformazioni per calcoli'!$AE$6,$BF47='INformazioni per calcoli'!$AG$6),IF($G47-'INformazioni per calcoli'!$AB$8-'INformazioni per calcoli'!$AB$3+$J47&lt;0,"LFLS",$G47-'INformazioni per calcoli'!$AB$8-'INformazioni per calcoli'!$AB$3+$J47), IF($G47-'INformazioni per calcoli'!$AB$7-'INformazioni per calcoli'!$AB$3+$J47&lt;0,"LFLS",$G47-'INformazioni per calcoli'!$AB$7-'INformazioni per calcoli'!$AB$3+$J47)))))))),"")</f>
        <v>Mezzo Chiuso</v>
      </c>
      <c r="I47" s="17" t="str">
        <f ca="1">IFERROR(IF($H47&lt;&gt;"",IF($H47="Safe Parking","",IF($W47&lt;&gt;"",IF(AND($U47="X",$V47="X"),$H47-(--"00:30"),""),IF($X47&lt;&gt;"","Mezzo Chiuso","Non al carico"))),""),"")</f>
        <v/>
      </c>
      <c r="J47" s="354">
        <f ca="1">IFERROR(IF($G47="","",IF(INT(VLOOKUP($E47,Outlist!$A$5:$E$120,5,FALSE))&gt;'INformazioni per calcoli'!$AB$2,INT(VLOOKUP($E47,Outlist!$A$5:$E$120,5,FALSE))-INT('INformazioni per calcoli'!$AB$2),0)),"")</f>
        <v>0</v>
      </c>
      <c r="K47" s="27">
        <f>IF(E47&lt;&gt;"",IFERROR(VLOOKUP(E47,Outlist!$A$5:$AC$120,22,FALSE),""),"")</f>
        <v>0</v>
      </c>
      <c r="L47" s="352" t="str">
        <f>IF(E47&lt;&gt;"",IFERROR(VLOOKUP(E47,Outlist!$A$5:$AC$120,3,FALSE),""),"")</f>
        <v>Maracana Srl</v>
      </c>
      <c r="M47" s="4" t="str">
        <f>IFERROR(_xlfn.XLOOKUP($Q47,'Elenco Casse'!$D:$D,'Elenco Casse'!$E:$E),"")</f>
        <v/>
      </c>
      <c r="N47" s="4" t="str">
        <f>IFERROR(_xlfn.XLOOKUP($Q47,'Elenco Casse'!$D:$D,'Elenco Casse'!$F:$F),"")</f>
        <v/>
      </c>
      <c r="O47" s="4" t="str">
        <f>IF($L47&lt;&gt;"","TT-2/3","")</f>
        <v>TT-2/3</v>
      </c>
      <c r="P47" s="296" t="str">
        <f>IFERROR(IF(VLOOKUP(E47,Outlist!$A$5:$AC$120,21,FALSE)="YES","Linea Variata",""),"")</f>
        <v/>
      </c>
      <c r="Q47" s="355" t="s">
        <v>559</v>
      </c>
      <c r="R47" s="23" t="s">
        <v>420</v>
      </c>
      <c r="S47" s="25" t="str">
        <f>IFERROR(IF(VLOOKUP(E47,Outlist!$A$5:$AC$120,7,FALSE)="X","SUBCO",""),"")</f>
        <v/>
      </c>
      <c r="T47" s="25"/>
      <c r="U47" s="23" t="s">
        <v>61</v>
      </c>
      <c r="V47" s="23"/>
      <c r="W47" s="26">
        <v>344</v>
      </c>
      <c r="X47" s="27">
        <v>5.8333333333333334E-2</v>
      </c>
      <c r="Y47" s="25" t="s">
        <v>560</v>
      </c>
      <c r="Z47" s="25"/>
      <c r="AA47" s="25" t="s">
        <v>40</v>
      </c>
      <c r="AB47" s="57">
        <v>0.4</v>
      </c>
      <c r="AC47" s="25"/>
      <c r="AD47" s="25"/>
      <c r="AE47" s="57"/>
      <c r="AF47" s="57"/>
      <c r="AG47" s="25"/>
      <c r="AH47" s="57"/>
      <c r="AI47" s="339">
        <v>6</v>
      </c>
      <c r="AJ47" s="339"/>
      <c r="AK47" s="297" t="str">
        <f>IF(X47&lt;&gt;"",CONCATENATE(IF(AA47&lt;&gt;"",CONCATENATE(Z47," ",AA47," ",BI47),""),IF(AD47&lt;&gt;"",CONCATENATE(","," ",AC47," ",AD47," ",BJ47),""),IF(AG47&lt;&gt;"",CONCATENATE(","," ",AF47," ",AG47," ",BK47),""),IF(AJ47&lt;&gt;"",CONCATENATE(","," ","DD"," ",BL47),"")," ",IF(AI47&lt;&gt;"",CONCATENATE(" - ",AI47," Bag"),"")),"")</f>
        <v xml:space="preserve"> LL 5.5  - 6 Bag</v>
      </c>
      <c r="AL47" s="287" t="s">
        <v>421</v>
      </c>
      <c r="AM47" s="287"/>
      <c r="AN47" s="287"/>
      <c r="AO47" s="287"/>
      <c r="AP47" s="370">
        <f>IFERROR(VLOOKUP($E47,Outlist!$A$5:$V$120,20,FALSE),"")</f>
        <v>0</v>
      </c>
      <c r="AQ47" s="288" t="s">
        <v>561</v>
      </c>
      <c r="AR47" s="430">
        <v>6.805555555555555E-2</v>
      </c>
      <c r="AS47" s="24">
        <v>7.3611111111111113E-2</v>
      </c>
      <c r="AT47" s="24">
        <v>7.4305555555555555E-2</v>
      </c>
      <c r="AU47" s="27"/>
      <c r="AV47" s="27"/>
      <c r="AW47" s="20" t="s">
        <v>443</v>
      </c>
      <c r="AX47" s="20" t="str">
        <f>IFERROR(IF(Out_Table[[#This Row],[Cancellazione linea]]="Cancellata","yes",""),"")</f>
        <v/>
      </c>
      <c r="AY47" s="72"/>
      <c r="AZ47" s="27">
        <v>7.7777777777777779E-2</v>
      </c>
      <c r="BA47" s="32">
        <v>8.4722222222222227E-2</v>
      </c>
      <c r="BB47" s="72"/>
      <c r="BC47" s="72" t="str">
        <f>IFERROR(VLOOKUP(Out_Table[[#This Row],[Aggiornamento STATUS]],'INformazioni per calcoli'!$Y$70:$AA$76,2,FALSE),"")</f>
        <v/>
      </c>
      <c r="BD47" s="289"/>
      <c r="BE47" s="289"/>
      <c r="BF47" s="47" t="str">
        <f>LEFT($E47,3)</f>
        <v>EXT</v>
      </c>
      <c r="BG47" s="298" t="str">
        <f>IF(Out_Table[[#This Row],[Ora Uscita    (GH)]]&lt;&gt;"","x","")</f>
        <v>x</v>
      </c>
      <c r="BH47" s="299">
        <f>VLOOKUP($O47,'INformazioni per calcoli'!$Y$20:$AA$23,3,FALSE)</f>
        <v>14</v>
      </c>
      <c r="BI47" s="299">
        <f>MROUND(Out_Table[[#This Row],[Mtr. Trailer]]*AB47,0.5)</f>
        <v>5.5</v>
      </c>
      <c r="BJ47" s="299">
        <f>MROUND(Out_Table[[#This Row],[Mtr. Trailer]]*AE47,0.5)</f>
        <v>0</v>
      </c>
      <c r="BK47" s="299">
        <f>MROUND(Out_Table[[#This Row],[Mtr. Trailer]]*AH47,0.5)</f>
        <v>0</v>
      </c>
      <c r="BL47" s="300">
        <f>Out_Table[[#This Row],[Double Deck trailer N° bumpers]]</f>
        <v>0</v>
      </c>
      <c r="BM47" s="301"/>
      <c r="BN47" s="299" t="str">
        <f>B47</f>
        <v>ERN9XXX</v>
      </c>
      <c r="BO47" s="299" t="str">
        <f>E47</f>
        <v>EXTRA QAR</v>
      </c>
      <c r="BP47" s="302">
        <f>IF(AND(G47&gt;(--"00:00:01"),G47&lt;(--"15:00:00")),IF(AND(X47&gt;(--"00:00:01"),X47&lt;(--"15:00:00")),G47-X47,G47+1-X47),G47-X47)</f>
        <v>3.5416666666666666E-2</v>
      </c>
      <c r="BQ47" s="303">
        <f>AE47+AF47+AH47+AJ47</f>
        <v>0</v>
      </c>
      <c r="BR47" s="304" t="str">
        <f>IF(OR(BP47&lt;=(--"00:20:00"),BQ47&gt;=100%),"OK","Not OK")</f>
        <v>Not OK</v>
      </c>
      <c r="BS47" s="302">
        <f>IF(AND(G47&gt;(--"00:00:01"),G47&lt;(--"15:00:00")),IF(AND(AU47&gt;(--"00:00:01"),AU47&lt;(--"15:00:00")),G47-AU47,G47+1-AU47),G47-AU47)</f>
        <v>1.09375</v>
      </c>
      <c r="BT47" s="302">
        <f>IF(AND(AZ47&gt;(--"00:00:01"),AZ47&lt;(--"15:00:00")),IF(AND(AU47&gt;(--"00:00:01"),AU47&lt;(--"15:00:00")),AZ47-AU47,AZ47+1-AU47),AZ47-AU47)</f>
        <v>1.0777777777777777</v>
      </c>
      <c r="BU47" s="302">
        <f>IF(AND(BA47&gt;(--"00:00:01"),BA47&lt;(--"15:00:00")),IF(AND(AZ47&gt;(--"00:00:01"),AZ47&lt;(--"15:00:00")),BA47-AZ47,BA47+1-AZ47),BA47-AZ47)</f>
        <v>6.9444444444444475E-3</v>
      </c>
      <c r="BV47" s="299">
        <f>AV47</f>
        <v>0</v>
      </c>
      <c r="BW47" s="301"/>
      <c r="BX47" s="299" t="str">
        <f>IF(AV47="T Status",IF(AV47&lt;&gt;T47,"X",""),"")</f>
        <v/>
      </c>
      <c r="BY47" s="301"/>
      <c r="BZ47" s="299" t="str">
        <f>IF(X47&lt;&gt;"",IF(CC47="X","Driver Delay",IF(CA47="X","Paperwork Delay",IF(CB47="X","Late freight late sort",IF(CD47="X","Chiamare Control Room",IF(CE47="X","Chiamare Control Room",IF(CF47="X","Chiamare Control Room","")))))),"")</f>
        <v>Chiamare Control Room</v>
      </c>
      <c r="CA47" s="302" t="str">
        <f>IF(K47="",IF(IF(AND(G47&gt;(--"00:00:01"),G47&lt;(--"15:00:00")),IF(AND(AT47&gt;(--"08:00:00"),AT47&lt;(--"23:59:59")),G47+1-AT47,G47-AT47),G47-AT47)&gt;(--"00:20:00"),"","X"),"")</f>
        <v/>
      </c>
      <c r="CB47" s="299" t="str">
        <f>IF(K47="",IF(BP47&gt;=(--"00:20:00"),"","X"),"")</f>
        <v/>
      </c>
      <c r="CC47" s="299" t="str">
        <f>IF(OR(AV47="Autista non presente",AV47="Dati driver non presenti"),"X","")</f>
        <v/>
      </c>
      <c r="CD47" s="299" t="str">
        <f>IF(K47="",IF(AND(CC47="",BS47&lt;(--"00:20:00")),"X",""),"")</f>
        <v/>
      </c>
      <c r="CE47" s="299" t="str">
        <f>IF(K47="",IF(BT47&gt;(--"00:15:00"),"X",""),IF(AZ47&lt;&gt;"",IF(G47-AZ47&gt;(--"00:30:00"),"X",""),""))</f>
        <v/>
      </c>
      <c r="CF47" s="299" t="str">
        <f>IF(AND(CA47="",CB47="",CC47="",CD47="",CE47=""),"X","")</f>
        <v>X</v>
      </c>
      <c r="CG47" s="301"/>
      <c r="CH47" s="299" t="str">
        <f>IF(BT47&gt;(--"00:15:00"),"X","")</f>
        <v>X</v>
      </c>
      <c r="CI47" s="302">
        <f>AY47</f>
        <v>0</v>
      </c>
      <c r="CJ47" s="299" t="str">
        <f>IF(AND(CH47&lt;&gt;"",CI47&lt;&gt;"",LEFT(B47,3)="ITD"),AP47,"")</f>
        <v/>
      </c>
      <c r="CK47" s="305" t="str">
        <f>IF(CJ47&lt;&gt;"",BT47,"")</f>
        <v/>
      </c>
      <c r="CL47" s="301"/>
      <c r="CM47" s="305" t="str">
        <f>IFERROR(VLOOKUP(Q47,'Elenco Casse'!$D$4:$F$292,3,FALSE),"")</f>
        <v/>
      </c>
      <c r="CN47" s="301"/>
      <c r="CO47" s="305" t="str">
        <f>IFERROR(VLOOKUP(E47,Outlist!$A$5:$H$120,8,FALSE),"")</f>
        <v>ENBR21210</v>
      </c>
      <c r="CP47" s="305" t="str">
        <f>IFERROR(IF(VLOOKUP($E47,Outlist!$A$5:$S$120,19,FALSE)&lt;&gt;0,"Y",""),"")</f>
        <v>Y</v>
      </c>
      <c r="CQ47" s="301"/>
      <c r="CR47" s="305" t="str">
        <f>CONCATENATE($B47,$E47,$G47)</f>
        <v>ERN9XXXEXTRA QAR0.09375</v>
      </c>
      <c r="CS47" s="301"/>
      <c r="CT47" s="305">
        <f>VLOOKUP(Out_Table[[#This Row],[Destination             ORANGE (From Planning)]],Outlist!$A$5:$W$120,22,FALSE)</f>
        <v>0</v>
      </c>
    </row>
    <row r="48" spans="1:98" s="20" customFormat="1" ht="15">
      <c r="A48" s="305" t="str">
        <f>$CR48</f>
        <v>ERN92353QAR 50.416666666664241</v>
      </c>
      <c r="B48" s="351" t="str">
        <f>IFERROR(VLOOKUP(E48,Outlist!$A$5:$AC$120,2,FALSE),"")</f>
        <v>ERN92353</v>
      </c>
      <c r="C48" s="352" t="str">
        <f>IFERROR(IF(LEFT(B48,3)='STAT 77'!$X$2,_xlfn.XLOOKUP(B48,'STAT 77'!C:C,'STAT 77'!B:B),_xlfn.XLOOKUP(B48,'STAT 77'!B:B,'STAT 77'!C:C)),"NON TROVATO")</f>
        <v>ERN91161</v>
      </c>
      <c r="D48" s="4"/>
      <c r="E48" s="352" t="str">
        <f>IFERROR(IF(Outlist!$A25&lt;&gt;"",Outlist!$A25,""),"")</f>
        <v>QAR 5</v>
      </c>
      <c r="F48" s="352" t="str">
        <f>IFERROR(VLOOKUP(E48,'Cambio O2P'!C:E,2,FALSE),"")</f>
        <v/>
      </c>
      <c r="G48" s="353">
        <f>IFERROR(VLOOKUP(E48,Outlist!$A$5:$AC$120,5,FALSE)-INT(VLOOKUP(E48,Outlist!$A$5:$AC$120,5,FALSE)),"")</f>
        <v>0.41666666666424135</v>
      </c>
      <c r="H48" s="294">
        <f ca="1">IFERROR(IF(AND('INformazioni per calcoli'!$AB$3&lt;(--"14:30"),'INformazioni per calcoli'!$AB$3&gt;(--"10:00")),"",IF($B48="","",IF($X48&lt;&gt;"","Mezzo Chiuso",IF($W48="","Non al Carico",IF($K48="Safe Parking","Safe Parking", IF(OR($BF48='INformazioni per calcoli'!$AF$8,$BF48='INformazioni per calcoli'!$AC$8,$BF48='INformazioni per calcoli'!$AD$8,$BF48='INformazioni per calcoli'!$AE$8,$BF48='INformazioni per calcoli'!$AG$8,$BF48='INformazioni per calcoli'!$AH$8,$BF48='INformazioni per calcoli'!$AI$8,$BF48='INformazioni per calcoli'!$AJ$8),IF($G48-'INformazioni per calcoli'!$AB$6-'INformazioni per calcoli'!$AB$3+$J48&lt;0,"LFLS",$G48-'INformazioni per calcoli'!$AB$6-'INformazioni per calcoli'!$AB$3+$J48), IF(OR($BF48='INformazioni per calcoli'!$AF$6,$BF48='INformazioni per calcoli'!$AD$6,$BF48='INformazioni per calcoli'!$AE$6,$BF48='INformazioni per calcoli'!$AG$6),IF($G48-'INformazioni per calcoli'!$AB$8-'INformazioni per calcoli'!$AB$3+$J48&lt;0,"LFLS",$G48-'INformazioni per calcoli'!$AB$8-'INformazioni per calcoli'!$AB$3+$J48), IF($G48-'INformazioni per calcoli'!$AB$7-'INformazioni per calcoli'!$AB$3+$J48&lt;0,"LFLS",$G48-'INformazioni per calcoli'!$AB$7-'INformazioni per calcoli'!$AB$3+$J48)))))))),"")</f>
        <v>0.2295370370346117</v>
      </c>
      <c r="I48" s="17" t="str">
        <f ca="1">IFERROR(IF($H48&lt;&gt;"",IF($H48="Safe Parking","",IF($W48&lt;&gt;"",IF(AND($U48="X",$V48="X"),$H48-(--"00:30"),""),IF($X48&lt;&gt;"","Mezzo Chiuso","Non al carico"))),""),"")</f>
        <v/>
      </c>
      <c r="J48" s="306">
        <f ca="1">IFERROR(IF($B48&lt;&gt;"",IF(AND('INformazioni per calcoli'!$AB$3&lt;(--"15:00"),'INformazioni per calcoli'!$AB$3&gt;(--"00:00")),0,IF($G48&lt;(--"18:30"),"+1",0)),""),"")</f>
        <v>0</v>
      </c>
      <c r="K48" s="27">
        <f>IF(E48&lt;&gt;"",IFERROR(VLOOKUP(E48,Outlist!$A$5:$AC$120,22,FALSE),""),"")</f>
        <v>0</v>
      </c>
      <c r="L48" s="352" t="str">
        <f>IF(E48&lt;&gt;"",IFERROR(VLOOKUP(E48,Outlist!$A$5:$AC$120,3,FALSE),""),"")</f>
        <v>Etb Freight International Kft.</v>
      </c>
      <c r="M48" s="4" t="str">
        <f>IFERROR(_xlfn.XLOOKUP($Q48,'Elenco Casse'!$D:$D,'Elenco Casse'!$E:$E),"")</f>
        <v/>
      </c>
      <c r="N48" s="4" t="str">
        <f>IFERROR(_xlfn.XLOOKUP($Q48,'Elenco Casse'!$D:$D,'Elenco Casse'!$F:$F),"")</f>
        <v/>
      </c>
      <c r="O48" s="4" t="str">
        <f>IF($L48&lt;&gt;"","TT-2/3","")</f>
        <v>TT-2/3</v>
      </c>
      <c r="P48" s="296" t="str">
        <f>IFERROR(IF(VLOOKUP(E48,Outlist!$A$5:$AC$120,21,FALSE)="YES","Linea Variata",""),"")</f>
        <v/>
      </c>
      <c r="Q48" s="355" t="s">
        <v>562</v>
      </c>
      <c r="R48" s="23" t="s">
        <v>420</v>
      </c>
      <c r="S48" s="25" t="str">
        <f>IFERROR(IF(VLOOKUP(E48,Outlist!$A$5:$AC$120,7,FALSE)="X","SUBCO",""),"")</f>
        <v>SUBCO</v>
      </c>
      <c r="T48" s="25"/>
      <c r="U48" s="23" t="s">
        <v>61</v>
      </c>
      <c r="V48" s="23"/>
      <c r="W48" s="26">
        <v>345</v>
      </c>
      <c r="X48" s="27"/>
      <c r="Y48" s="25"/>
      <c r="Z48" s="25"/>
      <c r="AA48" s="25" t="s">
        <v>40</v>
      </c>
      <c r="AB48" s="57"/>
      <c r="AC48" s="25"/>
      <c r="AD48" s="25"/>
      <c r="AE48" s="57"/>
      <c r="AF48" s="57"/>
      <c r="AG48" s="25"/>
      <c r="AH48" s="57"/>
      <c r="AI48" s="339"/>
      <c r="AJ48" s="339"/>
      <c r="AK48" s="297" t="str">
        <f>IF(X48&lt;&gt;"",CONCATENATE(IF(AA48&lt;&gt;"",CONCATENATE(Z48," ",AA48," ",BI48),""),IF(AD48&lt;&gt;"",CONCATENATE(","," ",AC48," ",AD48," ",BJ48),""),IF(AG48&lt;&gt;"",CONCATENATE(","," ",AF48," ",AG48," ",BK48),""),IF(AJ48&lt;&gt;"",CONCATENATE(","," ","DD"," ",BL48),"")," ",IF(AI48&lt;&gt;"",CONCATENATE(" - ",AI48," Bag"),"")),"")</f>
        <v/>
      </c>
      <c r="AL48" s="287"/>
      <c r="AM48" s="287"/>
      <c r="AN48" s="287"/>
      <c r="AO48" s="287"/>
      <c r="AP48" s="370">
        <f>IFERROR(VLOOKUP($E48,Outlist!$A$5:$V$120,20,FALSE),"")</f>
        <v>0</v>
      </c>
      <c r="AQ48" s="288" t="str">
        <f>IFERROR(IF(VLOOKUP($A48,#REF!,8,FALSE)&lt;&gt;"",VLOOKUP($A48,#REF!,8,FALSE),""),"")</f>
        <v/>
      </c>
      <c r="AS48" s="24"/>
      <c r="AT48" s="24"/>
      <c r="AU48" s="27"/>
      <c r="AV48" s="27"/>
      <c r="AX48" s="20" t="str">
        <f>IFERROR(IF(Out_Table[[#This Row],[Cancellazione linea]]="Cancellata","yes",""),"")</f>
        <v/>
      </c>
      <c r="AY48" s="72"/>
      <c r="AZ48" s="27"/>
      <c r="BA48" s="32"/>
      <c r="BB48" s="72"/>
      <c r="BC48" s="72" t="str">
        <f>IFERROR(VLOOKUP(Out_Table[[#This Row],[Aggiornamento STATUS]],'INformazioni per calcoli'!$Y$70:$AA$76,2,FALSE),"")</f>
        <v/>
      </c>
      <c r="BD48" s="289"/>
      <c r="BE48" s="289"/>
      <c r="BF48" s="47" t="str">
        <f>LEFT($E48,3)</f>
        <v>QAR</v>
      </c>
      <c r="BG48" s="298" t="str">
        <f>IF(Out_Table[[#This Row],[Ora Uscita    (GH)]]&lt;&gt;"","x","")</f>
        <v/>
      </c>
      <c r="BH48" s="299">
        <f>VLOOKUP($O48,'INformazioni per calcoli'!$Y$20:$AA$23,3,FALSE)</f>
        <v>14</v>
      </c>
      <c r="BI48" s="299">
        <f>MROUND(Out_Table[[#This Row],[Mtr. Trailer]]*AB48,0.5)</f>
        <v>0</v>
      </c>
      <c r="BJ48" s="299">
        <f>MROUND(Out_Table[[#This Row],[Mtr. Trailer]]*AE48,0.5)</f>
        <v>0</v>
      </c>
      <c r="BK48" s="299">
        <f>MROUND(Out_Table[[#This Row],[Mtr. Trailer]]*AH48,0.5)</f>
        <v>0</v>
      </c>
      <c r="BL48" s="300">
        <f>Out_Table[[#This Row],[Double Deck trailer N° bumpers]]</f>
        <v>0</v>
      </c>
      <c r="BM48" s="301"/>
      <c r="BN48" s="299" t="str">
        <f>B48</f>
        <v>ERN92353</v>
      </c>
      <c r="BO48" s="299" t="str">
        <f>E48</f>
        <v>QAR 5</v>
      </c>
      <c r="BP48" s="302">
        <f>IF(AND(G48&gt;(--"00:00:01"),G48&lt;(--"15:00:00")),IF(AND(X48&gt;(--"00:00:01"),X48&lt;(--"15:00:00")),G48-X48,G48+1-X48),G48-X48)</f>
        <v>1.4166666666642413</v>
      </c>
      <c r="BQ48" s="303">
        <f>AE48+AF48+AH48+AJ48</f>
        <v>0</v>
      </c>
      <c r="BR48" s="304" t="str">
        <f>IF(OR(BP48&lt;=(--"00:20:00"),BQ48&gt;=100%),"OK","Not OK")</f>
        <v>Not OK</v>
      </c>
      <c r="BS48" s="302">
        <f>IF(AND(G48&gt;(--"00:00:01"),G48&lt;(--"15:00:00")),IF(AND(AU48&gt;(--"00:00:01"),AU48&lt;(--"15:00:00")),G48-AU48,G48+1-AU48),G48-AU48)</f>
        <v>1.4166666666642413</v>
      </c>
      <c r="BT48" s="302">
        <f>IF(AND(AZ48&gt;(--"00:00:01"),AZ48&lt;(--"15:00:00")),IF(AND(AU48&gt;(--"00:00:01"),AU48&lt;(--"15:00:00")),AZ48-AU48,AZ48+1-AU48),AZ48-AU48)</f>
        <v>0</v>
      </c>
      <c r="BU48" s="302">
        <f>IF(AND(BA48&gt;(--"00:00:01"),BA48&lt;(--"15:00:00")),IF(AND(AZ48&gt;(--"00:00:01"),AZ48&lt;(--"15:00:00")),BA48-AZ48,BA48+1-AZ48),BA48-AZ48)</f>
        <v>0</v>
      </c>
      <c r="BV48" s="299">
        <f>AV48</f>
        <v>0</v>
      </c>
      <c r="BW48" s="301"/>
      <c r="BX48" s="299" t="str">
        <f>IF(AV48="T Status",IF(AV48&lt;&gt;T48,"X",""),"")</f>
        <v/>
      </c>
      <c r="BY48" s="301"/>
      <c r="BZ48" s="299" t="str">
        <f>IF(X48&lt;&gt;"",IF(CC48="X","Driver Delay",IF(CA48="X","Paperwork Delay",IF(CB48="X","Late freight late sort",IF(CD48="X","Chiamare Control Room",IF(CE48="X","Chiamare Control Room",IF(CF48="X","Chiamare Control Room","")))))),"")</f>
        <v/>
      </c>
      <c r="CA48" s="302" t="str">
        <f>IF(K48="",IF(IF(AND(G48&gt;(--"00:00:01"),G48&lt;(--"15:00:00")),IF(AND(AT48&gt;(--"08:00:00"),AT48&lt;(--"23:59:59")),G48+1-AT48,G48-AT48),G48-AT48)&gt;(--"00:20:00"),"","X"),"")</f>
        <v/>
      </c>
      <c r="CB48" s="299" t="str">
        <f>IF(K48="",IF(BP48&gt;=(--"00:20:00"),"","X"),"")</f>
        <v/>
      </c>
      <c r="CC48" s="299" t="str">
        <f>IF(OR(AV48="Autista non presente",AV48="Dati driver non presenti"),"X","")</f>
        <v/>
      </c>
      <c r="CD48" s="299" t="str">
        <f>IF(K48="",IF(AND(CC48="",BS48&lt;(--"00:20:00")),"X",""),"")</f>
        <v/>
      </c>
      <c r="CE48" s="299" t="str">
        <f>IF(K48="",IF(BT48&gt;(--"00:15:00"),"X",""),IF(AZ48&lt;&gt;"",IF(G48-AZ48&gt;(--"00:30:00"),"X",""),""))</f>
        <v/>
      </c>
      <c r="CF48" s="299" t="str">
        <f>IF(AND(CA48="",CB48="",CC48="",CD48="",CE48=""),"X","")</f>
        <v>X</v>
      </c>
      <c r="CG48" s="301"/>
      <c r="CH48" s="299" t="str">
        <f>IF(BT48&gt;(--"00:15:00"),"X","")</f>
        <v/>
      </c>
      <c r="CI48" s="302">
        <f>AY48</f>
        <v>0</v>
      </c>
      <c r="CJ48" s="299" t="str">
        <f>IF(AND(CH48&lt;&gt;"",CI48&lt;&gt;"",LEFT(B48,3)="ITD"),AP48,"")</f>
        <v/>
      </c>
      <c r="CK48" s="305" t="str">
        <f>IF(CJ48&lt;&gt;"",BT48,"")</f>
        <v/>
      </c>
      <c r="CL48" s="301"/>
      <c r="CM48" s="305" t="str">
        <f>IFERROR(VLOOKUP(Q48,'Elenco Casse'!$D$4:$F$292,3,FALSE),"")</f>
        <v/>
      </c>
      <c r="CN48" s="301"/>
      <c r="CO48" s="305" t="str">
        <f>IFERROR(VLOOKUP(E48,Outlist!$A$5:$H$120,8,FALSE),"")</f>
        <v>AEDX252</v>
      </c>
      <c r="CP48" s="305" t="str">
        <f>IFERROR(IF(VLOOKUP($E48,Outlist!$A$5:$S$120,19,FALSE)&lt;&gt;0,"Y",""),"")</f>
        <v/>
      </c>
      <c r="CQ48" s="301"/>
      <c r="CR48" s="305" t="str">
        <f>CONCATENATE($B48,$E48,$G48)</f>
        <v>ERN92353QAR 50.416666666664241</v>
      </c>
      <c r="CS48" s="301"/>
      <c r="CT48" s="305">
        <f>VLOOKUP(Out_Table[[#This Row],[Destination             ORANGE (From Planning)]],Outlist!$A$5:$W$120,22,FALSE)</f>
        <v>0</v>
      </c>
    </row>
    <row r="49" spans="1:98" s="20" customFormat="1" ht="30.75">
      <c r="A49" s="305" t="str">
        <f>$CR49</f>
        <v>ERN17085QAR 30.09375</v>
      </c>
      <c r="B49" s="351" t="str">
        <f>IFERROR(VLOOKUP(E49,Outlist!$A$5:$AC$120,2,FALSE),"")</f>
        <v>ERN17085</v>
      </c>
      <c r="C49" s="352" t="str">
        <f>IFERROR(IF(LEFT(B49,3)='STAT 77'!$X$2,_xlfn.XLOOKUP(B49,'STAT 77'!C:C,'STAT 77'!B:B),_xlfn.XLOOKUP(B49,'STAT 77'!B:B,'STAT 77'!C:C)),"NON TROVATO")</f>
        <v>ERN08693</v>
      </c>
      <c r="D49" s="4"/>
      <c r="E49" s="352" t="str">
        <f>IFERROR(IF(Outlist!$A23&lt;&gt;"",Outlist!$A23,""),"")</f>
        <v>QAR 3</v>
      </c>
      <c r="F49" s="352" t="str">
        <f>IFERROR(VLOOKUP(E49,'Cambio O2P'!C:E,2,FALSE),"")</f>
        <v/>
      </c>
      <c r="G49" s="353">
        <f>IFERROR(VLOOKUP(E49,Outlist!$A$5:$AC$120,5,FALSE)-INT(VLOOKUP(E49,Outlist!$A$5:$AC$120,5,FALSE)),"")</f>
        <v>9.375E-2</v>
      </c>
      <c r="H49" s="294" t="str">
        <f ca="1">IFERROR(IF(AND('INformazioni per calcoli'!$AB$3&lt;(--"14:30"),'INformazioni per calcoli'!$AB$3&gt;(--"10:00")),"",IF($B49="","",IF($X49&lt;&gt;"","Mezzo Chiuso",IF($W49="","Non al Carico",IF($K49="Safe Parking","Safe Parking", IF(OR($BF49='INformazioni per calcoli'!$AF$8,$BF49='INformazioni per calcoli'!$AC$8,$BF49='INformazioni per calcoli'!$AD$8,$BF49='INformazioni per calcoli'!$AE$8,$BF49='INformazioni per calcoli'!$AG$8,$BF49='INformazioni per calcoli'!$AH$8,$BF49='INformazioni per calcoli'!$AI$8,$BF49='INformazioni per calcoli'!$AJ$8),IF($G49-'INformazioni per calcoli'!$AB$6-'INformazioni per calcoli'!$AB$3+$J49&lt;0,"LFLS",$G49-'INformazioni per calcoli'!$AB$6-'INformazioni per calcoli'!$AB$3+$J49), IF(OR($BF49='INformazioni per calcoli'!$AF$6,$BF49='INformazioni per calcoli'!$AD$6,$BF49='INformazioni per calcoli'!$AE$6,$BF49='INformazioni per calcoli'!$AG$6),IF($G49-'INformazioni per calcoli'!$AB$8-'INformazioni per calcoli'!$AB$3+$J49&lt;0,"LFLS",$G49-'INformazioni per calcoli'!$AB$8-'INformazioni per calcoli'!$AB$3+$J49), IF($G49-'INformazioni per calcoli'!$AB$7-'INformazioni per calcoli'!$AB$3+$J49&lt;0,"LFLS",$G49-'INformazioni per calcoli'!$AB$7-'INformazioni per calcoli'!$AB$3+$J49)))))))),"")</f>
        <v>Mezzo Chiuso</v>
      </c>
      <c r="I49" s="17" t="str">
        <f ca="1">IFERROR(IF($H49&lt;&gt;"",IF($H49="Safe Parking","",IF($W49&lt;&gt;"",IF(AND($U49="X",$V49="X"),$H49-(--"00:30"),""),IF($X49&lt;&gt;"","Mezzo Chiuso","Non al carico"))),""),"")</f>
        <v/>
      </c>
      <c r="J49" s="306">
        <f ca="1">IFERROR(IF($B49&lt;&gt;"",IF(AND('INformazioni per calcoli'!$AB$3&lt;(--"15:00"),'INformazioni per calcoli'!$AB$3&gt;(--"00:00")),0,IF($G49&lt;(--"18:30"),"+1",0)),""),"")</f>
        <v>0</v>
      </c>
      <c r="K49" s="27">
        <f>IF(E49&lt;&gt;"",IFERROR(VLOOKUP(E49,Outlist!$A$5:$AC$120,22,FALSE),""),"")</f>
        <v>0</v>
      </c>
      <c r="L49" s="352" t="str">
        <f>IF(E49&lt;&gt;"",IFERROR(VLOOKUP(E49,Outlist!$A$5:$AC$120,3,FALSE),""),"")</f>
        <v>Fedex Express Netherlands Bv Rno Own Nl</v>
      </c>
      <c r="M49" s="4" t="str">
        <f>IFERROR(_xlfn.XLOOKUP($Q49,'Elenco Casse'!$D:$D,'Elenco Casse'!$E:$E),"")</f>
        <v/>
      </c>
      <c r="N49" s="4" t="str">
        <f>IFERROR(_xlfn.XLOOKUP($Q49,'Elenco Casse'!$D:$D,'Elenco Casse'!$F:$F),"")</f>
        <v/>
      </c>
      <c r="O49" s="4" t="str">
        <f>IF($L49&lt;&gt;"","TT-2/3","")</f>
        <v>TT-2/3</v>
      </c>
      <c r="P49" s="296" t="str">
        <f>IFERROR(IF(VLOOKUP(E49,Outlist!$A$5:$AC$120,21,FALSE)="YES","Linea Variata",""),"")</f>
        <v/>
      </c>
      <c r="Q49" s="355" t="s">
        <v>563</v>
      </c>
      <c r="R49" s="23" t="s">
        <v>420</v>
      </c>
      <c r="S49" s="25" t="s">
        <v>500</v>
      </c>
      <c r="T49" s="25"/>
      <c r="U49" s="23" t="s">
        <v>61</v>
      </c>
      <c r="V49" s="23"/>
      <c r="W49" s="26">
        <v>345</v>
      </c>
      <c r="X49" s="27">
        <v>0.97361111111111109</v>
      </c>
      <c r="Y49" s="25" t="s">
        <v>465</v>
      </c>
      <c r="Z49" s="25"/>
      <c r="AA49" s="25" t="s">
        <v>40</v>
      </c>
      <c r="AB49" s="57">
        <v>1</v>
      </c>
      <c r="AC49" s="25"/>
      <c r="AD49" s="25"/>
      <c r="AE49" s="57"/>
      <c r="AF49" s="57"/>
      <c r="AG49" s="25"/>
      <c r="AH49" s="57"/>
      <c r="AI49" s="339">
        <v>4</v>
      </c>
      <c r="AJ49" s="339"/>
      <c r="AK49" s="297" t="str">
        <f>IF(X49&lt;&gt;"",CONCATENATE(IF(AA49&lt;&gt;"",CONCATENATE(Z49," ",AA49," ",BI49),""),IF(AD49&lt;&gt;"",CONCATENATE(","," ",AC49," ",AD49," ",BJ49),""),IF(AG49&lt;&gt;"",CONCATENATE(","," ",AF49," ",AG49," ",BK49),""),IF(AJ49&lt;&gt;"",CONCATENATE(","," ","DD"," ",BL49),"")," ",IF(AI49&lt;&gt;"",CONCATENATE(" - ",AI49," Bag"),"")),"")</f>
        <v xml:space="preserve"> LL 14  - 4 Bag</v>
      </c>
      <c r="AL49" s="287" t="s">
        <v>421</v>
      </c>
      <c r="AM49" s="287"/>
      <c r="AN49" s="287"/>
      <c r="AO49" s="287"/>
      <c r="AP49" s="370">
        <f>IFERROR(VLOOKUP($E49,Outlist!$A$5:$V$120,20,FALSE),"")</f>
        <v>0</v>
      </c>
      <c r="AQ49" s="288" t="s">
        <v>564</v>
      </c>
      <c r="AR49" s="430">
        <v>0.9819444444444444</v>
      </c>
      <c r="AS49" s="24">
        <v>0.98888888888888893</v>
      </c>
      <c r="AT49" s="24">
        <v>0.99722222222222223</v>
      </c>
      <c r="AU49" s="27"/>
      <c r="AV49" s="27"/>
      <c r="AW49" s="20" t="s">
        <v>443</v>
      </c>
      <c r="AX49" s="20" t="str">
        <f>IFERROR(IF(Out_Table[[#This Row],[Cancellazione linea]]="Cancellata","yes",""),"")</f>
        <v/>
      </c>
      <c r="AY49" s="72"/>
      <c r="AZ49" s="27">
        <v>9.0277777777777769E-3</v>
      </c>
      <c r="BA49" s="32">
        <v>1.5277777777777777E-2</v>
      </c>
      <c r="BB49" s="72"/>
      <c r="BC49" s="72" t="str">
        <f>IFERROR(VLOOKUP(Out_Table[[#This Row],[Aggiornamento STATUS]],'INformazioni per calcoli'!$Y$70:$AA$76,2,FALSE),"")</f>
        <v/>
      </c>
      <c r="BD49" s="289"/>
      <c r="BE49" s="289"/>
      <c r="BF49" s="47" t="str">
        <f>LEFT($E49,3)</f>
        <v>QAR</v>
      </c>
      <c r="BG49" s="298" t="str">
        <f>IF(Out_Table[[#This Row],[Ora Uscita    (GH)]]&lt;&gt;"","x","")</f>
        <v>x</v>
      </c>
      <c r="BH49" s="299">
        <f>VLOOKUP($O49,'INformazioni per calcoli'!$Y$20:$AA$23,3,FALSE)</f>
        <v>14</v>
      </c>
      <c r="BI49" s="299">
        <f>MROUND(Out_Table[[#This Row],[Mtr. Trailer]]*AB49,0.5)</f>
        <v>14</v>
      </c>
      <c r="BJ49" s="299">
        <f>MROUND(Out_Table[[#This Row],[Mtr. Trailer]]*AE49,0.5)</f>
        <v>0</v>
      </c>
      <c r="BK49" s="299">
        <f>MROUND(Out_Table[[#This Row],[Mtr. Trailer]]*AH49,0.5)</f>
        <v>0</v>
      </c>
      <c r="BL49" s="300">
        <f>Out_Table[[#This Row],[Double Deck trailer N° bumpers]]</f>
        <v>0</v>
      </c>
      <c r="BM49" s="301"/>
      <c r="BN49" s="299" t="str">
        <f>B49</f>
        <v>ERN17085</v>
      </c>
      <c r="BO49" s="299" t="str">
        <f>E49</f>
        <v>QAR 3</v>
      </c>
      <c r="BP49" s="302">
        <f>IF(AND(G49&gt;(--"00:00:01"),G49&lt;(--"15:00:00")),IF(AND(X49&gt;(--"00:00:01"),X49&lt;(--"15:00:00")),G49-X49,G49+1-X49),G49-X49)</f>
        <v>0.12013888888888891</v>
      </c>
      <c r="BQ49" s="303">
        <f>AE49+AF49+AH49+AJ49</f>
        <v>0</v>
      </c>
      <c r="BR49" s="304" t="str">
        <f>IF(OR(BP49&lt;=(--"00:20:00"),BQ49&gt;=100%),"OK","Not OK")</f>
        <v>Not OK</v>
      </c>
      <c r="BS49" s="302">
        <f>IF(AND(G49&gt;(--"00:00:01"),G49&lt;(--"15:00:00")),IF(AND(AU49&gt;(--"00:00:01"),AU49&lt;(--"15:00:00")),G49-AU49,G49+1-AU49),G49-AU49)</f>
        <v>1.09375</v>
      </c>
      <c r="BT49" s="302">
        <f>IF(AND(AZ49&gt;(--"00:00:01"),AZ49&lt;(--"15:00:00")),IF(AND(AU49&gt;(--"00:00:01"),AU49&lt;(--"15:00:00")),AZ49-AU49,AZ49+1-AU49),AZ49-AU49)</f>
        <v>1.0090277777777779</v>
      </c>
      <c r="BU49" s="302">
        <f>IF(AND(BA49&gt;(--"00:00:01"),BA49&lt;(--"15:00:00")),IF(AND(AZ49&gt;(--"00:00:01"),AZ49&lt;(--"15:00:00")),BA49-AZ49,BA49+1-AZ49),BA49-AZ49)</f>
        <v>6.2500000000000003E-3</v>
      </c>
      <c r="BV49" s="299">
        <f>AV49</f>
        <v>0</v>
      </c>
      <c r="BW49" s="301"/>
      <c r="BX49" s="299" t="str">
        <f>IF(AV49="T Status",IF(AV49&lt;&gt;T49,"X",""),"")</f>
        <v/>
      </c>
      <c r="BY49" s="301"/>
      <c r="BZ49" s="299" t="str">
        <f>IF(X49&lt;&gt;"",IF(CC49="X","Driver Delay",IF(CA49="X","Paperwork Delay",IF(CB49="X","Late freight late sort",IF(CD49="X","Chiamare Control Room",IF(CE49="X","Chiamare Control Room",IF(CF49="X","Chiamare Control Room","")))))),"")</f>
        <v>Chiamare Control Room</v>
      </c>
      <c r="CA49" s="302" t="str">
        <f>IF(K49="",IF(IF(AND(G49&gt;(--"00:00:01"),G49&lt;(--"15:00:00")),IF(AND(AT49&gt;(--"08:00:00"),AT49&lt;(--"23:59:59")),G49+1-AT49,G49-AT49),G49-AT49)&gt;(--"00:20:00"),"","X"),"")</f>
        <v/>
      </c>
      <c r="CB49" s="299" t="str">
        <f>IF(K49="",IF(BP49&gt;=(--"00:20:00"),"","X"),"")</f>
        <v/>
      </c>
      <c r="CC49" s="299" t="str">
        <f>IF(OR(AV49="Autista non presente",AV49="Dati driver non presenti"),"X","")</f>
        <v/>
      </c>
      <c r="CD49" s="299" t="str">
        <f>IF(K49="",IF(AND(CC49="",BS49&lt;(--"00:20:00")),"X",""),"")</f>
        <v/>
      </c>
      <c r="CE49" s="299" t="str">
        <f>IF(K49="",IF(BT49&gt;(--"00:15:00"),"X",""),IF(AZ49&lt;&gt;"",IF(G49-AZ49&gt;(--"00:30:00"),"X",""),""))</f>
        <v>X</v>
      </c>
      <c r="CF49" s="299" t="str">
        <f>IF(AND(CA49="",CB49="",CC49="",CD49="",CE49=""),"X","")</f>
        <v/>
      </c>
      <c r="CG49" s="301"/>
      <c r="CH49" s="299" t="str">
        <f>IF(BT49&gt;(--"00:15:00"),"X","")</f>
        <v>X</v>
      </c>
      <c r="CI49" s="302">
        <f>AY49</f>
        <v>0</v>
      </c>
      <c r="CJ49" s="299" t="str">
        <f>IF(AND(CH49&lt;&gt;"",CI49&lt;&gt;"",LEFT(B49,3)="ITD"),AP49,"")</f>
        <v/>
      </c>
      <c r="CK49" s="305" t="str">
        <f>IF(CJ49&lt;&gt;"",BT49,"")</f>
        <v/>
      </c>
      <c r="CL49" s="301"/>
      <c r="CM49" s="305" t="str">
        <f>IFERROR(VLOOKUP(Q49,'Elenco Casse'!$D$4:$F$292,3,FALSE),"")</f>
        <v/>
      </c>
      <c r="CN49" s="301"/>
      <c r="CO49" s="305" t="str">
        <f>IFERROR(VLOOKUP(E49,Outlist!$A$5:$H$120,8,FALSE),"")</f>
        <v>enbr21355</v>
      </c>
      <c r="CP49" s="305" t="str">
        <f>IFERROR(IF(VLOOKUP($E49,Outlist!$A$5:$S$120,19,FALSE)&lt;&gt;0,"Y",""),"")</f>
        <v>Y</v>
      </c>
      <c r="CQ49" s="301"/>
      <c r="CR49" s="305" t="str">
        <f>CONCATENATE($B49,$E49,$G49)</f>
        <v>ERN17085QAR 30.09375</v>
      </c>
      <c r="CS49" s="301"/>
      <c r="CT49" s="305">
        <f>VLOOKUP(Out_Table[[#This Row],[Destination             ORANGE (From Planning)]],Outlist!$A$5:$W$120,22,FALSE)</f>
        <v>0</v>
      </c>
    </row>
    <row r="50" spans="1:98" s="20" customFormat="1" ht="15">
      <c r="A50" s="305" t="str">
        <f>$CR50</f>
        <v>ERN19361ATH 30.263888888890506</v>
      </c>
      <c r="B50" s="351" t="str">
        <f>IFERROR(VLOOKUP(E50,Outlist!$A$5:$AC$120,2,FALSE),"")</f>
        <v>ERN19361</v>
      </c>
      <c r="C50" s="352" t="str">
        <f>IFERROR(IF(LEFT(B50,3)='STAT 77'!$X$2,_xlfn.XLOOKUP(B50,'STAT 77'!C:C,'STAT 77'!B:B),_xlfn.XLOOKUP(B50,'STAT 77'!B:B,'STAT 77'!C:C)),"NON TROVATO")</f>
        <v>ERN09788</v>
      </c>
      <c r="D50" s="4"/>
      <c r="E50" s="352" t="str">
        <f>IFERROR(IF(Outlist!$A71&lt;&gt;"",Outlist!$A71,""),"")</f>
        <v>ATH 3</v>
      </c>
      <c r="F50" s="352" t="str">
        <f>IFERROR(VLOOKUP(E50,'Cambio O2P'!C:E,2,FALSE),"")</f>
        <v/>
      </c>
      <c r="G50" s="353">
        <f>IFERROR(VLOOKUP(E50,Outlist!$A$5:$AC$120,5,FALSE)-INT(VLOOKUP(E50,Outlist!$A$5:$AC$120,5,FALSE)),"")</f>
        <v>0.26388888889050577</v>
      </c>
      <c r="H50" s="294">
        <f ca="1">IFERROR(IF(AND('INformazioni per calcoli'!$AB$3&lt;(--"14:30"),'INformazioni per calcoli'!$AB$3&gt;(--"10:00")),"",IF($B50="","",IF($X50&lt;&gt;"","Mezzo Chiuso",IF($W50="","Non al Carico",IF($K50="Safe Parking","Safe Parking", IF(OR($BF50='INformazioni per calcoli'!$AF$8,$BF50='INformazioni per calcoli'!$AC$8,$BF50='INformazioni per calcoli'!$AD$8,$BF50='INformazioni per calcoli'!$AE$8,$BF50='INformazioni per calcoli'!$AG$8,$BF50='INformazioni per calcoli'!$AH$8,$BF50='INformazioni per calcoli'!$AI$8,$BF50='INformazioni per calcoli'!$AJ$8),IF($G50-'INformazioni per calcoli'!$AB$6-'INformazioni per calcoli'!$AB$3+$J50&lt;0,"LFLS",$G50-'INformazioni per calcoli'!$AB$6-'INformazioni per calcoli'!$AB$3+$J50), IF(OR($BF50='INformazioni per calcoli'!$AF$6,$BF50='INformazioni per calcoli'!$AD$6,$BF50='INformazioni per calcoli'!$AE$6,$BF50='INformazioni per calcoli'!$AG$6),IF($G50-'INformazioni per calcoli'!$AB$8-'INformazioni per calcoli'!$AB$3+$J50&lt;0,"LFLS",$G50-'INformazioni per calcoli'!$AB$8-'INformazioni per calcoli'!$AB$3+$J50), IF($G50-'INformazioni per calcoli'!$AB$7-'INformazioni per calcoli'!$AB$3+$J50&lt;0,"LFLS",$G50-'INformazioni per calcoli'!$AB$7-'INformazioni per calcoli'!$AB$3+$J50)))))))),"")</f>
        <v>9.0648148149765018E-2</v>
      </c>
      <c r="I50" s="17">
        <f ca="1">IFERROR(IF($H50&lt;&gt;"",IF($H50="Safe Parking","",IF($W50&lt;&gt;"",IF(AND($U50="X",$V50="X"),$H50-(--"00:30"),""),IF($X50&lt;&gt;"","Mezzo Chiuso","Non al carico"))),""),"")</f>
        <v>6.9814814816431689E-2</v>
      </c>
      <c r="J50" s="306">
        <f ca="1">IFERROR(IF($B50&lt;&gt;"",IF(AND('INformazioni per calcoli'!$AB$3&lt;(--"15:00"),'INformazioni per calcoli'!$AB$3&gt;(--"00:00")),0,IF($G50&lt;(--"18:30"),"+1",0)),""),"")</f>
        <v>0</v>
      </c>
      <c r="K50" s="27">
        <f>IF(E50&lt;&gt;"",IFERROR(VLOOKUP(E50,Outlist!$A$5:$AC$120,22,FALSE),""),"")</f>
        <v>0</v>
      </c>
      <c r="L50" s="352" t="str">
        <f>IF(E50&lt;&gt;"",IFERROR(VLOOKUP(E50,Outlist!$A$5:$AC$120,3,FALSE),""),"")</f>
        <v>Eurofast International Transports Srl</v>
      </c>
      <c r="M50" s="4" t="str">
        <f>IFERROR(_xlfn.XLOOKUP($Q50,'Elenco Casse'!$D:$D,'Elenco Casse'!$E:$E),"")</f>
        <v>Eurofast International Transports Srl</v>
      </c>
      <c r="N50" s="4">
        <f>IFERROR(_xlfn.XLOOKUP($Q50,'Elenco Casse'!$D:$D,'Elenco Casse'!$F:$F),"")</f>
        <v>0</v>
      </c>
      <c r="O50" s="4" t="str">
        <f>IF($L50&lt;&gt;"","TT-2/3","")</f>
        <v>TT-2/3</v>
      </c>
      <c r="P50" s="296" t="str">
        <f>IFERROR(IF(VLOOKUP(E50,Outlist!$A$5:$AC$120,21,FALSE)="YES","Linea Variata",""),"")</f>
        <v/>
      </c>
      <c r="Q50" s="355" t="s">
        <v>565</v>
      </c>
      <c r="R50" s="23" t="s">
        <v>420</v>
      </c>
      <c r="S50" s="25" t="str">
        <f>IFERROR(IF(VLOOKUP(E50,Outlist!$A$5:$AC$120,7,FALSE)="X","SUBCO",""),"")</f>
        <v>SUBCO</v>
      </c>
      <c r="T50" s="25"/>
      <c r="U50" s="23" t="s">
        <v>61</v>
      </c>
      <c r="V50" s="23" t="s">
        <v>61</v>
      </c>
      <c r="W50" s="26">
        <v>346</v>
      </c>
      <c r="X50" s="27"/>
      <c r="Y50" s="25"/>
      <c r="Z50" s="25"/>
      <c r="AA50" s="25" t="s">
        <v>40</v>
      </c>
      <c r="AB50" s="57"/>
      <c r="AC50" s="25"/>
      <c r="AD50" s="25"/>
      <c r="AE50" s="57"/>
      <c r="AF50" s="57"/>
      <c r="AG50" s="25"/>
      <c r="AH50" s="57"/>
      <c r="AI50" s="339"/>
      <c r="AJ50" s="339"/>
      <c r="AK50" s="297" t="str">
        <f>IF(X50&lt;&gt;"",CONCATENATE(IF(AA50&lt;&gt;"",CONCATENATE(Z50," ",AA50," ",BI50),""),IF(AD50&lt;&gt;"",CONCATENATE(","," ",AC50," ",AD50," ",BJ50),""),IF(AG50&lt;&gt;"",CONCATENATE(","," ",AF50," ",AG50," ",BK50),""),IF(AJ50&lt;&gt;"",CONCATENATE(","," ","DD"," ",BL50),"")," ",IF(AI50&lt;&gt;"",CONCATENATE(" - ",AI50," Bag"),"")),"")</f>
        <v/>
      </c>
      <c r="AL50" s="287"/>
      <c r="AM50" s="287"/>
      <c r="AN50" s="287"/>
      <c r="AO50" s="287"/>
      <c r="AP50" s="370">
        <f>IFERROR(VLOOKUP($E50,Outlist!$A$5:$V$120,20,FALSE),"")</f>
        <v>0</v>
      </c>
      <c r="AQ50" s="288" t="str">
        <f>IFERROR(IF(VLOOKUP($A50,#REF!,8,FALSE)&lt;&gt;"",VLOOKUP($A50,#REF!,8,FALSE),""),"")</f>
        <v/>
      </c>
      <c r="AS50" s="24"/>
      <c r="AT50" s="24"/>
      <c r="AU50" s="27"/>
      <c r="AV50" s="27"/>
      <c r="AX50" s="20" t="str">
        <f>IFERROR(IF(Out_Table[[#This Row],[Cancellazione linea]]="Cancellata","yes",""),"")</f>
        <v/>
      </c>
      <c r="AY50" s="72"/>
      <c r="AZ50" s="27"/>
      <c r="BA50" s="32"/>
      <c r="BB50" s="72"/>
      <c r="BC50" s="72" t="str">
        <f>IFERROR(VLOOKUP(Out_Table[[#This Row],[Aggiornamento STATUS]],'INformazioni per calcoli'!$Y$70:$AA$76,2,FALSE),"")</f>
        <v/>
      </c>
      <c r="BD50" s="289"/>
      <c r="BE50" s="289"/>
      <c r="BF50" s="47" t="str">
        <f>LEFT($E50,3)</f>
        <v>ATH</v>
      </c>
      <c r="BG50" s="298" t="str">
        <f>IF(Out_Table[[#This Row],[Ora Uscita    (GH)]]&lt;&gt;"","x","")</f>
        <v/>
      </c>
      <c r="BH50" s="299">
        <f>VLOOKUP($O50,'INformazioni per calcoli'!$Y$20:$AA$23,3,FALSE)</f>
        <v>14</v>
      </c>
      <c r="BI50" s="299">
        <f>MROUND(Out_Table[[#This Row],[Mtr. Trailer]]*AB50,0.5)</f>
        <v>0</v>
      </c>
      <c r="BJ50" s="299">
        <f>MROUND(Out_Table[[#This Row],[Mtr. Trailer]]*AE50,0.5)</f>
        <v>0</v>
      </c>
      <c r="BK50" s="299">
        <f>MROUND(Out_Table[[#This Row],[Mtr. Trailer]]*AH50,0.5)</f>
        <v>0</v>
      </c>
      <c r="BL50" s="300">
        <f>Out_Table[[#This Row],[Double Deck trailer N° bumpers]]</f>
        <v>0</v>
      </c>
      <c r="BM50" s="301"/>
      <c r="BN50" s="299" t="str">
        <f>B50</f>
        <v>ERN19361</v>
      </c>
      <c r="BO50" s="299" t="str">
        <f>E50</f>
        <v>ATH 3</v>
      </c>
      <c r="BP50" s="302">
        <f>IF(AND(G50&gt;(--"00:00:01"),G50&lt;(--"15:00:00")),IF(AND(X50&gt;(--"00:00:01"),X50&lt;(--"15:00:00")),G50-X50,G50+1-X50),G50-X50)</f>
        <v>1.2638888888905058</v>
      </c>
      <c r="BQ50" s="303">
        <f>AE50+AF50+AH50+AJ50</f>
        <v>0</v>
      </c>
      <c r="BR50" s="304" t="str">
        <f>IF(OR(BP50&lt;=(--"00:20:00"),BQ50&gt;=100%),"OK","Not OK")</f>
        <v>Not OK</v>
      </c>
      <c r="BS50" s="302">
        <f>IF(AND(G50&gt;(--"00:00:01"),G50&lt;(--"15:00:00")),IF(AND(AU50&gt;(--"00:00:01"),AU50&lt;(--"15:00:00")),G50-AU50,G50+1-AU50),G50-AU50)</f>
        <v>1.2638888888905058</v>
      </c>
      <c r="BT50" s="302">
        <f>IF(AND(AZ50&gt;(--"00:00:01"),AZ50&lt;(--"15:00:00")),IF(AND(AU50&gt;(--"00:00:01"),AU50&lt;(--"15:00:00")),AZ50-AU50,AZ50+1-AU50),AZ50-AU50)</f>
        <v>0</v>
      </c>
      <c r="BU50" s="302">
        <f>IF(AND(BA50&gt;(--"00:00:01"),BA50&lt;(--"15:00:00")),IF(AND(AZ50&gt;(--"00:00:01"),AZ50&lt;(--"15:00:00")),BA50-AZ50,BA50+1-AZ50),BA50-AZ50)</f>
        <v>0</v>
      </c>
      <c r="BV50" s="299">
        <f>AV50</f>
        <v>0</v>
      </c>
      <c r="BW50" s="301"/>
      <c r="BX50" s="299" t="str">
        <f>IF(AV50="T Status",IF(AV50&lt;&gt;T50,"X",""),"")</f>
        <v/>
      </c>
      <c r="BY50" s="301"/>
      <c r="BZ50" s="299" t="str">
        <f>IF(X50&lt;&gt;"",IF(CC50="X","Driver Delay",IF(CA50="X","Paperwork Delay",IF(CB50="X","Late freight late sort",IF(CD50="X","Chiamare Control Room",IF(CE50="X","Chiamare Control Room",IF(CF50="X","Chiamare Control Room","")))))),"")</f>
        <v/>
      </c>
      <c r="CA50" s="302" t="str">
        <f>IF(K50="",IF(IF(AND(G50&gt;(--"00:00:01"),G50&lt;(--"15:00:00")),IF(AND(AT50&gt;(--"08:00:00"),AT50&lt;(--"23:59:59")),G50+1-AT50,G50-AT50),G50-AT50)&gt;(--"00:20:00"),"","X"),"")</f>
        <v/>
      </c>
      <c r="CB50" s="299" t="str">
        <f>IF(K50="",IF(BP50&gt;=(--"00:20:00"),"","X"),"")</f>
        <v/>
      </c>
      <c r="CC50" s="299" t="str">
        <f>IF(OR(AV50="Autista non presente",AV50="Dati driver non presenti"),"X","")</f>
        <v/>
      </c>
      <c r="CD50" s="299" t="str">
        <f>IF(K50="",IF(AND(CC50="",BS50&lt;(--"00:20:00")),"X",""),"")</f>
        <v/>
      </c>
      <c r="CE50" s="299" t="str">
        <f>IF(K50="",IF(BT50&gt;(--"00:15:00"),"X",""),IF(AZ50&lt;&gt;"",IF(G50-AZ50&gt;(--"00:30:00"),"X",""),""))</f>
        <v/>
      </c>
      <c r="CF50" s="299" t="str">
        <f>IF(AND(CA50="",CB50="",CC50="",CD50="",CE50=""),"X","")</f>
        <v>X</v>
      </c>
      <c r="CG50" s="301"/>
      <c r="CH50" s="299" t="str">
        <f>IF(BT50&gt;(--"00:15:00"),"X","")</f>
        <v/>
      </c>
      <c r="CI50" s="302">
        <f>AY50</f>
        <v>0</v>
      </c>
      <c r="CJ50" s="299" t="str">
        <f>IF(AND(CH50&lt;&gt;"",CI50&lt;&gt;"",LEFT(B50,3)="ITD"),AP50,"")</f>
        <v/>
      </c>
      <c r="CK50" s="305" t="str">
        <f>IF(CJ50&lt;&gt;"",BT50,"")</f>
        <v/>
      </c>
      <c r="CL50" s="301"/>
      <c r="CM50" s="305" t="str">
        <f>IFERROR(VLOOKUP(Q50,'Elenco Casse'!$D$4:$F$292,3,FALSE),"")</f>
        <v/>
      </c>
      <c r="CN50" s="301"/>
      <c r="CO50" s="305" t="str">
        <f>IFERROR(VLOOKUP(E50,Outlist!$A$5:$H$120,8,FALSE),"")</f>
        <v>P58812</v>
      </c>
      <c r="CP50" s="305" t="str">
        <f>IFERROR(IF(VLOOKUP($E50,Outlist!$A$5:$S$120,19,FALSE)&lt;&gt;0,"Y",""),"")</f>
        <v/>
      </c>
      <c r="CQ50" s="301"/>
      <c r="CR50" s="305" t="str">
        <f>CONCATENATE($B50,$E50,$G50)</f>
        <v>ERN19361ATH 30.263888888890506</v>
      </c>
      <c r="CS50" s="301"/>
      <c r="CT50" s="305">
        <f>VLOOKUP(Out_Table[[#This Row],[Destination             ORANGE (From Planning)]],Outlist!$A$5:$W$120,22,FALSE)</f>
        <v>0</v>
      </c>
    </row>
    <row r="51" spans="1:98" s="20" customFormat="1" ht="15">
      <c r="A51" s="305" t="str">
        <f>$CR51</f>
        <v>ITD12287REM0.190972222222222</v>
      </c>
      <c r="B51" s="284" t="s">
        <v>566</v>
      </c>
      <c r="C51" s="290" t="str">
        <f>IFERROR(IF(LEFT(B51,3)='STAT 77'!$X$2,_xlfn.XLOOKUP(B51,'STAT 77'!C:C,'STAT 77'!B:B),_xlfn.XLOOKUP(B51,'STAT 77'!B:B,'STAT 77'!C:C)),"NON TROVATO")</f>
        <v>ITD31298</v>
      </c>
      <c r="D51" s="25" t="s">
        <v>567</v>
      </c>
      <c r="E51" s="290" t="s">
        <v>568</v>
      </c>
      <c r="F51" s="290" t="str">
        <f>IFERROR(VLOOKUP(E51,'Cambio O2P'!C:E,2,FALSE),"")</f>
        <v>QEZA</v>
      </c>
      <c r="G51" s="285">
        <v>0.19097222222222221</v>
      </c>
      <c r="H51" s="293">
        <f ca="1">IFERROR(IF(AND('INformazioni per calcoli'!$AB$3&lt;(--"14:30"),'INformazioni per calcoli'!$AB$3&gt;(--"10:00")),"",IF($B51="","",IF($X51&lt;&gt;"","Mezzo Chiuso",IF($W51="","Non al Carico",IF($G51-'INformazioni per calcoli'!$AB$5-'INformazioni per calcoli'!$AB$3+$J51&lt;0,"LFLS",IF($K51&lt;&gt;"","Safe Parking",IF($W51&lt;&gt;"",IF($E51="MXP",$G51-'INformazioni per calcoli'!$AB$6-'INformazioni per calcoli'!$AB$3+$J51,$G51-'INformazioni per calcoli'!$AB$5-'INformazioni per calcoli'!$AB$3+$J51),"Non al carico"))))))),"")</f>
        <v>3.1620370370370354E-2</v>
      </c>
      <c r="I51" s="17"/>
      <c r="J51" s="306">
        <f ca="1">IFERROR(IF($B51&lt;&gt;"",IF(AND('INformazioni per calcoli'!$AB$3&lt;(--"15:00"),'INformazioni per calcoli'!$AB$3&gt;(--"00:00")),0,IF($G51&lt;(--"18:30"),"+1",0)),""),"")</f>
        <v>0</v>
      </c>
      <c r="K51" s="17"/>
      <c r="L51" s="25" t="s">
        <v>446</v>
      </c>
      <c r="M51" s="25" t="str">
        <f>IFERROR(_xlfn.XLOOKUP($Q51,'Elenco Casse'!$D:$D,'Elenco Casse'!$E:$E),"")</f>
        <v>Transeuropa S.R.L.</v>
      </c>
      <c r="N51" s="25">
        <f>IFERROR(_xlfn.XLOOKUP($Q51,'Elenco Casse'!$D:$D,'Elenco Casse'!$F:$F),"")</f>
        <v>0</v>
      </c>
      <c r="O51" s="286" t="s">
        <v>418</v>
      </c>
      <c r="P51" s="295" t="str">
        <f>IFERROR(_xlfn.XLOOKUP($Q51,'Elenco Casse'!$D:$D,'Elenco Casse'!$G:$G),"")</f>
        <v>trailer 80 m3 2/3 axes</v>
      </c>
      <c r="Q51" s="355" t="s">
        <v>569</v>
      </c>
      <c r="R51" s="23" t="s">
        <v>420</v>
      </c>
      <c r="S51" s="25" t="s">
        <v>421</v>
      </c>
      <c r="T51" s="25" t="s">
        <v>570</v>
      </c>
      <c r="U51" s="23" t="str">
        <f>IF(ISNUMBER(SEARCH("Parcel",$T51)),"X","")</f>
        <v>X</v>
      </c>
      <c r="V51" s="23" t="str">
        <f>IF(ISNUMBER(SEARCH("Freight",$T51)),"X","")</f>
        <v>X</v>
      </c>
      <c r="W51" s="26">
        <v>707</v>
      </c>
      <c r="X51" s="27"/>
      <c r="Y51" s="25"/>
      <c r="Z51" s="25"/>
      <c r="AA51" s="25" t="s">
        <v>40</v>
      </c>
      <c r="AB51" s="57">
        <v>0.2</v>
      </c>
      <c r="AC51" s="25"/>
      <c r="AD51" s="25" t="s">
        <v>487</v>
      </c>
      <c r="AE51" s="57"/>
      <c r="AF51" s="57"/>
      <c r="AG51" s="25" t="s">
        <v>488</v>
      </c>
      <c r="AH51" s="57"/>
      <c r="AI51" s="339"/>
      <c r="AJ51" s="339"/>
      <c r="AK51" s="297" t="str">
        <f>IF(X51&lt;&gt;"",CONCATENATE(IF(AA51&lt;&gt;"",CONCATENATE(Z51," ",AA51," ",BI51),""),IF(AD51&lt;&gt;"",CONCATENATE(","," ",AC51," ",AD51," ",BJ51),""),IF(AG51&lt;&gt;"",CONCATENATE(","," ",AF51," ",AG51," ",BK51),""),IF(AJ51&lt;&gt;"",CONCATENATE(","," ","DD"," ",BL51),"")," ",IF(AI51&lt;&gt;"",CONCATENATE(" - ",AI51," Bag"),"")),"")</f>
        <v/>
      </c>
      <c r="AL51" s="287"/>
      <c r="AM51" s="287"/>
      <c r="AN51" s="287"/>
      <c r="AO51" s="287"/>
      <c r="AP51" s="370" t="str">
        <f>IFERROR(VLOOKUP(#REF!,Outlist!$A$5:$V$120,20,FALSE),"")</f>
        <v/>
      </c>
      <c r="AQ51" s="288" t="str">
        <f>IFERROR(IF(VLOOKUP($A51,#REF!,8,FALSE)&lt;&gt;"",VLOOKUP($A51,#REF!,8,FALSE),""),"")</f>
        <v/>
      </c>
      <c r="AS51" s="24"/>
      <c r="AT51" s="24">
        <v>0.46875</v>
      </c>
      <c r="AU51" s="27"/>
      <c r="AV51" s="27"/>
      <c r="AX51" s="20" t="str">
        <f>IFERROR(IF(Out_Table[[#This Row],[Cancellazione linea]]="Cancellata","yes",""),"")</f>
        <v/>
      </c>
      <c r="AY51" s="72" t="str">
        <f>IF(BA51="",BZ51,IF(AND(BA51&lt;(--"23:59:59"),BA51&gt;(--"15:00:00"),G51&lt;(--"14:00:00"),G51&gt;(--"00:00:01")),"",IF(BA51&gt;G51,BZ51,"")))</f>
        <v/>
      </c>
      <c r="AZ51" s="27"/>
      <c r="BA51" s="32"/>
      <c r="BB51" s="72"/>
      <c r="BC51" s="72" t="str">
        <f>IFERROR(VLOOKUP(Out_Table[[#This Row],[Aggiornamento STATUS]],'INformazioni per calcoli'!$Y$70:$AA$76,2,FALSE),"")</f>
        <v/>
      </c>
      <c r="BD51" s="289"/>
      <c r="BE51" s="289"/>
      <c r="BF51" s="47" t="str">
        <f>LEFT($E51,3)</f>
        <v>REM</v>
      </c>
      <c r="BG51" s="298" t="str">
        <f>IF(Out_Table[[#This Row],[Ora Uscita    (GH)]]&lt;&gt;"","x","")</f>
        <v/>
      </c>
      <c r="BH51" s="299">
        <f>VLOOKUP($O51,'INformazioni per calcoli'!$Y$20:$AA$23,3,FALSE)</f>
        <v>14</v>
      </c>
      <c r="BI51" s="299">
        <f>MROUND(Out_Table[[#This Row],[Mtr. Trailer]]*AB51,0.5)</f>
        <v>3</v>
      </c>
      <c r="BJ51" s="299">
        <f>MROUND(Out_Table[[#This Row],[Mtr. Trailer]]*AE51,0.5)</f>
        <v>0</v>
      </c>
      <c r="BK51" s="299">
        <f>MROUND(Out_Table[[#This Row],[Mtr. Trailer]]*AH51,0.5)</f>
        <v>0</v>
      </c>
      <c r="BL51" s="300">
        <f>Out_Table[[#This Row],[Double Deck trailer N° bumpers]]</f>
        <v>0</v>
      </c>
      <c r="BM51" s="301"/>
      <c r="BN51" s="299" t="str">
        <f>B51</f>
        <v>ITD12287</v>
      </c>
      <c r="BO51" s="299" t="str">
        <f>E51</f>
        <v>REM</v>
      </c>
      <c r="BP51" s="302">
        <f>IF(AND(G51&gt;(--"00:00:01"),G51&lt;(--"15:00:00")),IF(AND(X51&gt;(--"00:00:01"),X51&lt;(--"15:00:00")),G51-X51,G51+1-X51),G51-X51)</f>
        <v>1.1909722222222223</v>
      </c>
      <c r="BQ51" s="303">
        <f>AE51+AF51+AH51+AJ51</f>
        <v>0</v>
      </c>
      <c r="BR51" s="304" t="str">
        <f>IF(OR(BP51&lt;=(--"00:20:00"),BQ51&gt;=100%),"OK","Not OK")</f>
        <v>Not OK</v>
      </c>
      <c r="BS51" s="302">
        <f>IF(AND(G51&gt;(--"00:00:01"),G51&lt;(--"15:00:00")),IF(AND(AU51&gt;(--"00:00:01"),AU51&lt;(--"15:00:00")),G51-AU51,G51+1-AU51),G51-AU51)</f>
        <v>1.1909722222222223</v>
      </c>
      <c r="BT51" s="302">
        <f>IF(AND(AZ51&gt;(--"00:00:01"),AZ51&lt;(--"15:00:00")),IF(AND(AU51&gt;(--"00:00:01"),AU51&lt;(--"15:00:00")),AZ51-AU51,AZ51+1-AU51),AZ51-AU51)</f>
        <v>0</v>
      </c>
      <c r="BU51" s="302">
        <f>IF(AND(BA51&gt;(--"00:00:01"),BA51&lt;(--"15:00:00")),IF(AND(AZ51&gt;(--"00:00:01"),AZ51&lt;(--"15:00:00")),BA51-AZ51,BA51+1-AZ51),BA51-AZ51)</f>
        <v>0</v>
      </c>
      <c r="BV51" s="299">
        <f>AV51</f>
        <v>0</v>
      </c>
      <c r="BW51" s="301"/>
      <c r="BX51" s="299" t="str">
        <f>IF(AV51="T Status",IF(AV51&lt;&gt;T51,"X",""),"")</f>
        <v/>
      </c>
      <c r="BY51" s="301"/>
      <c r="BZ51" s="299" t="str">
        <f>IF(X51&lt;&gt;"",IF(CC51="X","Driver Delay",IF(CA51="X","Paperwork Delay",IF(CB51="X","Late freight late sort",IF(CD51="X","Chiamare Control Room",IF(CE51="X","Chiamare Control Room",IF(CF51="X","Chiamare Control Room","")))))),"")</f>
        <v/>
      </c>
      <c r="CA51" s="302" t="str">
        <f>IF(K51="",IF(IF(AND(G51&gt;(--"00:00:01"),G51&lt;(--"15:00:00")),IF(AND(AT51&gt;(--"08:00:00"),AT51&lt;(--"23:59:59")),G51+1-AT51,G51-AT51),G51-AT51)&gt;(--"00:20:00"),"","X"),"")</f>
        <v/>
      </c>
      <c r="CB51" s="299" t="str">
        <f>IF(K51="",IF(BP51&gt;=(--"00:20:00"),"","X"),"")</f>
        <v/>
      </c>
      <c r="CC51" s="299" t="str">
        <f>IF(OR(AV51="Autista non presente",AV51="Dati driver non presenti"),"X","")</f>
        <v/>
      </c>
      <c r="CD51" s="299" t="str">
        <f>IF(K51="",IF(AND(CC51="",BS51&lt;(--"00:20:00")),"X",""),"")</f>
        <v/>
      </c>
      <c r="CE51" s="299" t="str">
        <f>IF(K51="",IF(BT51&gt;(--"00:15:00"),"X",""),IF(AZ51&lt;&gt;"",IF(G51-AZ51&gt;(--"00:30:00"),"X",""),""))</f>
        <v/>
      </c>
      <c r="CF51" s="299" t="str">
        <f>IF(AND(CA51="",CB51="",CC51="",CD51="",CE51=""),"X","")</f>
        <v>X</v>
      </c>
      <c r="CG51" s="301"/>
      <c r="CH51" s="299" t="str">
        <f>IF(BT51&gt;(--"00:15:00"),"X","")</f>
        <v/>
      </c>
      <c r="CI51" s="302" t="str">
        <f>AY51</f>
        <v/>
      </c>
      <c r="CJ51" s="299" t="str">
        <f>IF(AND(CH51&lt;&gt;"",CI51&lt;&gt;"",LEFT(B51,3)="ITD"),AP51,"")</f>
        <v/>
      </c>
      <c r="CK51" s="305" t="str">
        <f>IF(CJ51&lt;&gt;"",BT51,"")</f>
        <v/>
      </c>
      <c r="CL51" s="301"/>
      <c r="CM51" s="305" t="str">
        <f>IFERROR(VLOOKUP(Q51,'Elenco Casse'!$D$4:$F$292,3,FALSE),"")</f>
        <v/>
      </c>
      <c r="CN51" s="301"/>
      <c r="CO51" s="305" t="str">
        <f>IFERROR(VLOOKUP(S51,'Elenco Casse'!$D$4:$F$292,3,FALSE),"")</f>
        <v/>
      </c>
      <c r="CP51" s="305" t="str">
        <f>IFERROR(IF(VLOOKUP($E51,Outlist!$A$5:$S$120,19,FALSE)&lt;&gt;0,"Y",""),"")</f>
        <v/>
      </c>
      <c r="CQ51" s="301"/>
      <c r="CR51" s="305" t="str">
        <f>CONCATENATE($B51,$E51,$G51)</f>
        <v>ITD12287REM0.190972222222222</v>
      </c>
      <c r="CS51" s="301"/>
      <c r="CT51" s="305" t="e">
        <f>VLOOKUP(Out_Table[[#This Row],[Destination             ORANGE (From Planning)]],Outlist!$A$5:$W$120,22,FALSE)</f>
        <v>#N/A</v>
      </c>
    </row>
    <row r="52" spans="1:98" s="20" customFormat="1" ht="15">
      <c r="A52" s="305" t="str">
        <f>$CR52</f>
        <v>ITD12263VBS0.229166666666667</v>
      </c>
      <c r="B52" s="284" t="s">
        <v>571</v>
      </c>
      <c r="C52" s="290" t="str">
        <f>IFERROR(IF(LEFT(B52,3)='STAT 77'!$X$2,_xlfn.XLOOKUP(B52,'STAT 77'!C:C,'STAT 77'!B:B),_xlfn.XLOOKUP(B52,'STAT 77'!B:B,'STAT 77'!C:C)),"NON TROVATO")</f>
        <v>ITD31238</v>
      </c>
      <c r="D52" s="25" t="s">
        <v>572</v>
      </c>
      <c r="E52" s="290" t="s">
        <v>573</v>
      </c>
      <c r="F52" s="290" t="str">
        <f>IFERROR(VLOOKUP(E52,'Cambio O2P'!C:E,2,FALSE),"")</f>
        <v>VBST8</v>
      </c>
      <c r="G52" s="285">
        <v>0.22916666666666666</v>
      </c>
      <c r="H52" s="293">
        <f ca="1">IFERROR(IF(AND('INformazioni per calcoli'!$AB$3&lt;(--"14:30"),'INformazioni per calcoli'!$AB$3&gt;(--"10:00")),"",IF($B52="","",IF($X52&lt;&gt;"","Mezzo Chiuso",IF($W52="","Non al Carico",IF($G52-'INformazioni per calcoli'!$AB$5-'INformazioni per calcoli'!$AB$3+$J52&lt;0,"LFLS",IF($K52&lt;&gt;"","Safe Parking",IF($W52&lt;&gt;"",IF($E52="MXP",$G52-'INformazioni per calcoli'!$AB$6-'INformazioni per calcoli'!$AB$3+$J52,$G52-'INformazioni per calcoli'!$AB$5-'INformazioni per calcoli'!$AB$3+$J52),"Non al carico"))))))),"")</f>
        <v>6.9814814814814802E-2</v>
      </c>
      <c r="I52" s="17" t="str">
        <f ca="1">IFERROR(IF($H52&lt;&gt;"",IF($H52="Safe Parking","",IF($W52&lt;&gt;"",IF(AND($U52="X",$V52="X"),$H52-(--"00:30"),""),IF($X52&lt;&gt;"","Mezzo Chiuso","Non al carico"))),""),"")</f>
        <v/>
      </c>
      <c r="J52" s="306">
        <f ca="1">IFERROR(IF($B52&lt;&gt;"",IF(AND('INformazioni per calcoli'!$AB$3&lt;(--"15:00"),'INformazioni per calcoli'!$AB$3&gt;(--"00:00")),0,IF($G52&lt;(--"18:30"),"+1",0)),""),"")</f>
        <v>0</v>
      </c>
      <c r="K52" s="27"/>
      <c r="L52" s="25" t="s">
        <v>427</v>
      </c>
      <c r="M52" s="25" t="str">
        <f>IFERROR(_xlfn.XLOOKUP($Q52,'Elenco Casse'!$D:$D,'Elenco Casse'!$E:$E),"")</f>
        <v/>
      </c>
      <c r="N52" s="25" t="str">
        <f>IFERROR(_xlfn.XLOOKUP($Q52,'Elenco Casse'!$D:$D,'Elenco Casse'!$F:$F),"")</f>
        <v/>
      </c>
      <c r="O52" s="286" t="s">
        <v>418</v>
      </c>
      <c r="P52" s="295" t="str">
        <f>IFERROR(_xlfn.XLOOKUP($Q52,'Elenco Casse'!$D:$D,'Elenco Casse'!$G:$G),"")</f>
        <v/>
      </c>
      <c r="Q52" s="355" t="s">
        <v>574</v>
      </c>
      <c r="R52" s="23" t="s">
        <v>420</v>
      </c>
      <c r="S52" s="25" t="s">
        <v>421</v>
      </c>
      <c r="T52" s="25" t="s">
        <v>432</v>
      </c>
      <c r="U52" s="23" t="str">
        <f>IF(ISNUMBER(SEARCH("Parcel",$T52)),"X","")</f>
        <v>X</v>
      </c>
      <c r="V52" s="23" t="str">
        <f>IF(ISNUMBER(SEARCH("Freight",$T52)),"X","")</f>
        <v/>
      </c>
      <c r="W52" s="26">
        <v>348</v>
      </c>
      <c r="X52" s="27"/>
      <c r="Y52" s="25"/>
      <c r="Z52" s="25"/>
      <c r="AA52" s="25" t="s">
        <v>40</v>
      </c>
      <c r="AB52" s="57"/>
      <c r="AC52" s="25"/>
      <c r="AD52" s="25"/>
      <c r="AE52" s="57"/>
      <c r="AF52" s="57"/>
      <c r="AG52" s="25"/>
      <c r="AH52" s="57"/>
      <c r="AI52" s="339"/>
      <c r="AJ52" s="339"/>
      <c r="AK52" s="297" t="str">
        <f>IF(X52&lt;&gt;"",CONCATENATE(IF(AA52&lt;&gt;"",CONCATENATE(Z52," ",AA52," ",BI52),""),IF(AD52&lt;&gt;"",CONCATENATE(","," ",AC52," ",AD52," ",BJ52),""),IF(AG52&lt;&gt;"",CONCATENATE(","," ",AF52," ",AG52," ",BK52),""),IF(AJ52&lt;&gt;"",CONCATENATE(","," ","DD"," ",BL52),"")," ",IF(AI52&lt;&gt;"",CONCATENATE(" - ",AI52," Bag"),"")),"")</f>
        <v/>
      </c>
      <c r="AL52" s="287"/>
      <c r="AM52" s="287"/>
      <c r="AN52" s="287"/>
      <c r="AO52" s="287"/>
      <c r="AP52" s="370">
        <f>IFERROR(VLOOKUP($E49,Outlist!$A$5:$V$120,20,FALSE),"")</f>
        <v>0</v>
      </c>
      <c r="AQ52" s="288" t="str">
        <f>IFERROR(IF(VLOOKUP($A52,#REF!,8,FALSE)&lt;&gt;"",VLOOKUP($A52,#REF!,8,FALSE),""),"")</f>
        <v/>
      </c>
      <c r="AS52" s="24"/>
      <c r="AT52" s="24">
        <v>2.0833333333333333E-3</v>
      </c>
      <c r="AU52" s="27"/>
      <c r="AV52" s="27"/>
      <c r="AX52" s="20" t="str">
        <f>IFERROR(IF(Out_Table[[#This Row],[Cancellazione linea]]="Cancellata","yes",""),"")</f>
        <v/>
      </c>
      <c r="AY52" s="72" t="str">
        <f>IF(BA52="",BZ52,IF(AND(BA52&lt;(--"23:59:59"),BA52&gt;(--"15:00:00"),G52&lt;(--"14:00:00"),G52&gt;(--"00:00:01")),"",IF(BA52&gt;G52,BZ52,"")))</f>
        <v/>
      </c>
      <c r="AZ52" s="27"/>
      <c r="BA52" s="32"/>
      <c r="BB52" s="72"/>
      <c r="BC52" s="72" t="str">
        <f>IFERROR(VLOOKUP(Out_Table[[#This Row],[Aggiornamento STATUS]],'INformazioni per calcoli'!$Y$70:$AA$76,2,FALSE),"")</f>
        <v/>
      </c>
      <c r="BD52" s="289"/>
      <c r="BE52" s="289"/>
      <c r="BF52" s="47" t="str">
        <f>LEFT($E52,3)</f>
        <v>VBS</v>
      </c>
      <c r="BG52" s="298" t="str">
        <f>IF(Out_Table[[#This Row],[Ora Uscita    (GH)]]&lt;&gt;"","x","")</f>
        <v/>
      </c>
      <c r="BH52" s="299">
        <f>VLOOKUP($O52,'INformazioni per calcoli'!$Y$20:$AA$23,3,FALSE)</f>
        <v>14</v>
      </c>
      <c r="BI52" s="299">
        <f>MROUND(Out_Table[[#This Row],[Mtr. Trailer]]*AB52,0.5)</f>
        <v>0</v>
      </c>
      <c r="BJ52" s="299">
        <f>MROUND(Out_Table[[#This Row],[Mtr. Trailer]]*AE52,0.5)</f>
        <v>0</v>
      </c>
      <c r="BK52" s="299">
        <f>MROUND(Out_Table[[#This Row],[Mtr. Trailer]]*AH52,0.5)</f>
        <v>0</v>
      </c>
      <c r="BL52" s="300">
        <f>Out_Table[[#This Row],[Double Deck trailer N° bumpers]]</f>
        <v>0</v>
      </c>
      <c r="BM52" s="301"/>
      <c r="BN52" s="299" t="str">
        <f>B52</f>
        <v>ITD12263</v>
      </c>
      <c r="BO52" s="299" t="str">
        <f>E52</f>
        <v>VBS</v>
      </c>
      <c r="BP52" s="302">
        <f>IF(AND(G52&gt;(--"00:00:01"),G52&lt;(--"15:00:00")),IF(AND(X52&gt;(--"00:00:01"),X52&lt;(--"15:00:00")),G52-X52,G52+1-X52),G52-X52)</f>
        <v>1.2291666666666667</v>
      </c>
      <c r="BQ52" s="303">
        <f>AE52+AF52+AH52+AJ52</f>
        <v>0</v>
      </c>
      <c r="BR52" s="304" t="str">
        <f>IF(OR(BP52&lt;=(--"00:20:00"),BQ52&gt;=100%),"OK","Not OK")</f>
        <v>Not OK</v>
      </c>
      <c r="BS52" s="302">
        <f>IF(AND(G52&gt;(--"00:00:01"),G52&lt;(--"15:00:00")),IF(AND(AU52&gt;(--"00:00:01"),AU52&lt;(--"15:00:00")),G52-AU52,G52+1-AU52),G52-AU52)</f>
        <v>1.2291666666666667</v>
      </c>
      <c r="BT52" s="302">
        <f>IF(AND(AZ52&gt;(--"00:00:01"),AZ52&lt;(--"15:00:00")),IF(AND(AU52&gt;(--"00:00:01"),AU52&lt;(--"15:00:00")),AZ52-AU52,AZ52+1-AU52),AZ52-AU52)</f>
        <v>0</v>
      </c>
      <c r="BU52" s="302">
        <f>IF(AND(BA52&gt;(--"00:00:01"),BA52&lt;(--"15:00:00")),IF(AND(AZ52&gt;(--"00:00:01"),AZ52&lt;(--"15:00:00")),BA52-AZ52,BA52+1-AZ52),BA52-AZ52)</f>
        <v>0</v>
      </c>
      <c r="BV52" s="299">
        <f>AV52</f>
        <v>0</v>
      </c>
      <c r="BW52" s="301"/>
      <c r="BX52" s="299" t="str">
        <f>IF(AV52="T Status",IF(AV52&lt;&gt;T52,"X",""),"")</f>
        <v/>
      </c>
      <c r="BY52" s="301"/>
      <c r="BZ52" s="299" t="str">
        <f>IF(X52&lt;&gt;"",IF(CC52="X","Driver Delay",IF(CA52="X","Paperwork Delay",IF(CB52="X","Late freight late sort",IF(CD52="X","Chiamare Control Room",IF(CE52="X","Chiamare Control Room",IF(CF52="X","Chiamare Control Room","")))))),"")</f>
        <v/>
      </c>
      <c r="CA52" s="302" t="str">
        <f>IF(K52="",IF(IF(AND(G52&gt;(--"00:00:01"),G52&lt;(--"15:00:00")),IF(AND(AT52&gt;(--"08:00:00"),AT52&lt;(--"23:59:59")),G52+1-AT52,G52-AT52),G52-AT52)&gt;(--"00:20:00"),"","X"),"")</f>
        <v/>
      </c>
      <c r="CB52" s="299" t="str">
        <f>IF(K52="",IF(BP52&gt;=(--"00:20:00"),"","X"),"")</f>
        <v/>
      </c>
      <c r="CC52" s="299" t="str">
        <f>IF(OR(AV52="Autista non presente",AV52="Dati driver non presenti"),"X","")</f>
        <v/>
      </c>
      <c r="CD52" s="299" t="str">
        <f>IF(K52="",IF(AND(CC52="",BS52&lt;(--"00:20:00")),"X",""),"")</f>
        <v/>
      </c>
      <c r="CE52" s="299" t="str">
        <f>IF(K52="",IF(BT52&gt;(--"00:15:00"),"X",""),IF(AZ52&lt;&gt;"",IF(G52-AZ52&gt;(--"00:30:00"),"X",""),""))</f>
        <v/>
      </c>
      <c r="CF52" s="299" t="str">
        <f>IF(AND(CA52="",CB52="",CC52="",CD52="",CE52=""),"X","")</f>
        <v>X</v>
      </c>
      <c r="CG52" s="301"/>
      <c r="CH52" s="299" t="str">
        <f>IF(BT52&gt;(--"00:15:00"),"X","")</f>
        <v/>
      </c>
      <c r="CI52" s="302" t="str">
        <f>AY52</f>
        <v/>
      </c>
      <c r="CJ52" s="299" t="str">
        <f>IF(AND(CH52&lt;&gt;"",CI52&lt;&gt;"",LEFT(B52,3)="ITD"),AP52,"")</f>
        <v/>
      </c>
      <c r="CK52" s="305" t="str">
        <f>IF(CJ52&lt;&gt;"",BT52,"")</f>
        <v/>
      </c>
      <c r="CL52" s="301"/>
      <c r="CM52" s="305" t="str">
        <f>IFERROR(VLOOKUP(Q52,'Elenco Casse'!$D$4:$F$292,3,FALSE),"")</f>
        <v/>
      </c>
      <c r="CN52" s="301"/>
      <c r="CO52" s="305" t="str">
        <f>IFERROR(VLOOKUP(S52,'Elenco Casse'!$D$4:$F$292,3,FALSE),"")</f>
        <v/>
      </c>
      <c r="CP52" s="305" t="str">
        <f>IFERROR(IF(VLOOKUP($E52,Outlist!$A$5:$S$120,19,FALSE)&lt;&gt;0,"Y",""),"")</f>
        <v/>
      </c>
      <c r="CQ52" s="301"/>
      <c r="CR52" s="305" t="str">
        <f>CONCATENATE($B52,$E52,$G52)</f>
        <v>ITD12263VBS0.229166666666667</v>
      </c>
      <c r="CS52" s="301"/>
      <c r="CT52" s="305" t="e">
        <f>VLOOKUP(Out_Table[[#This Row],[Destination             ORANGE (From Planning)]],Outlist!$A$5:$W$120,22,FALSE)</f>
        <v>#N/A</v>
      </c>
    </row>
    <row r="53" spans="1:98" s="20" customFormat="1" ht="30.75">
      <c r="A53" s="305" t="str">
        <f>$CR53</f>
        <v>ITD12885VBS0.125</v>
      </c>
      <c r="B53" s="284" t="s">
        <v>575</v>
      </c>
      <c r="C53" s="290" t="str">
        <f>IFERROR(IF(LEFT(B53,3)='STAT 77'!$X$2,_xlfn.XLOOKUP(B53,'STAT 77'!C:C,'STAT 77'!B:B),_xlfn.XLOOKUP(B53,'STAT 77'!B:B,'STAT 77'!C:C)),"NON TROVATO")</f>
        <v>ITD32510</v>
      </c>
      <c r="D53" s="25" t="s">
        <v>576</v>
      </c>
      <c r="E53" s="290" t="s">
        <v>573</v>
      </c>
      <c r="F53" s="290" t="str">
        <f>IFERROR(VLOOKUP(E53,'Cambio O2P'!C:E,2,FALSE),"")</f>
        <v>VBST8</v>
      </c>
      <c r="G53" s="285">
        <v>0.125</v>
      </c>
      <c r="H53" s="293" t="str">
        <f ca="1">IFERROR(IF(AND('INformazioni per calcoli'!$AB$3&lt;(--"14:30"),'INformazioni per calcoli'!$AB$3&gt;(--"10:00")),"",IF($B53="","",IF($X53&lt;&gt;"","Mezzo Chiuso",IF($W53="","Non al Carico",IF($G53-'INformazioni per calcoli'!$AB$5-'INformazioni per calcoli'!$AB$3+$J53&lt;0,"LFLS",IF($K53&lt;&gt;"","Safe Parking",IF($W53&lt;&gt;"",IF($E53="MXP",$G53-'INformazioni per calcoli'!$AB$6-'INformazioni per calcoli'!$AB$3+$J53,$G53-'INformazioni per calcoli'!$AB$5-'INformazioni per calcoli'!$AB$3+$J53),"Non al carico"))))))),"")</f>
        <v>Mezzo Chiuso</v>
      </c>
      <c r="I53" s="17" t="str">
        <f ca="1">IFERROR(IF($H53&lt;&gt;"",IF($H53="Safe Parking","",IF($W53&lt;&gt;"",IF(AND($U53="X",$V53="X"),$H53-(--"00:30"),""),IF($X53&lt;&gt;"","Mezzo Chiuso","Non al carico"))),""),"")</f>
        <v/>
      </c>
      <c r="J53" s="306">
        <f ca="1">IFERROR(IF($B53&lt;&gt;"",IF(AND('INformazioni per calcoli'!$AB$3&lt;(--"15:00"),'INformazioni per calcoli'!$AB$3&gt;(--"00:00")),0,IF($G53&lt;(--"18:30"),"+1",0)),""),"")</f>
        <v>0</v>
      </c>
      <c r="K53" s="27"/>
      <c r="L53" s="25" t="s">
        <v>427</v>
      </c>
      <c r="M53" s="25" t="str">
        <f>IFERROR(_xlfn.XLOOKUP($Q53,'Elenco Casse'!$D:$D,'Elenco Casse'!$E:$E),"")</f>
        <v/>
      </c>
      <c r="N53" s="25" t="str">
        <f>IFERROR(_xlfn.XLOOKUP($Q53,'Elenco Casse'!$D:$D,'Elenco Casse'!$F:$F),"")</f>
        <v/>
      </c>
      <c r="O53" s="286" t="s">
        <v>418</v>
      </c>
      <c r="P53" s="295" t="str">
        <f>IFERROR(_xlfn.XLOOKUP($Q53,'Elenco Casse'!$D:$D,'Elenco Casse'!$G:$G),"")</f>
        <v/>
      </c>
      <c r="Q53" s="355" t="s">
        <v>577</v>
      </c>
      <c r="R53" s="23" t="s">
        <v>420</v>
      </c>
      <c r="S53" s="25" t="s">
        <v>421</v>
      </c>
      <c r="T53" s="25" t="s">
        <v>432</v>
      </c>
      <c r="U53" s="23" t="str">
        <f>IF(ISNUMBER(SEARCH("Parcel",$T53)),"X","")</f>
        <v>X</v>
      </c>
      <c r="V53" s="23" t="str">
        <f>IF(ISNUMBER(SEARCH("Freight",$T53)),"X","")</f>
        <v/>
      </c>
      <c r="W53" s="26">
        <v>348</v>
      </c>
      <c r="X53" s="27">
        <v>0.90208333333333335</v>
      </c>
      <c r="Y53" s="25" t="s">
        <v>578</v>
      </c>
      <c r="Z53" s="25"/>
      <c r="AA53" s="25" t="s">
        <v>40</v>
      </c>
      <c r="AB53" s="57">
        <v>1</v>
      </c>
      <c r="AC53" s="25"/>
      <c r="AD53" s="25"/>
      <c r="AE53" s="57"/>
      <c r="AF53" s="57"/>
      <c r="AG53" s="25"/>
      <c r="AH53" s="57"/>
      <c r="AI53" s="339">
        <v>16</v>
      </c>
      <c r="AJ53" s="339"/>
      <c r="AK53" s="297" t="str">
        <f>IF(X53&lt;&gt;"",CONCATENATE(IF(AA53&lt;&gt;"",CONCATENATE(Z53," ",AA53," ",BI53),""),IF(AD53&lt;&gt;"",CONCATENATE(","," ",AC53," ",AD53," ",BJ53),""),IF(AG53&lt;&gt;"",CONCATENATE(","," ",AF53," ",AG53," ",BK53),""),IF(AJ53&lt;&gt;"",CONCATENATE(","," ","DD"," ",BL53),"")," ",IF(AI53&lt;&gt;"",CONCATENATE(" - ",AI53," Bag"),"")),"")</f>
        <v xml:space="preserve"> LL 14  - 16 Bag</v>
      </c>
      <c r="AL53" s="287" t="s">
        <v>421</v>
      </c>
      <c r="AM53" s="287"/>
      <c r="AN53" s="287"/>
      <c r="AO53" s="287"/>
      <c r="AP53" s="370">
        <f>IFERROR(VLOOKUP($E50,Outlist!$A$5:$V$120,20,FALSE),"")</f>
        <v>0</v>
      </c>
      <c r="AQ53" s="288" t="s">
        <v>579</v>
      </c>
      <c r="AS53" s="24"/>
      <c r="AT53" s="24">
        <v>0.59027777777777779</v>
      </c>
      <c r="AU53" s="27">
        <v>0.10208333333333333</v>
      </c>
      <c r="AV53" s="27"/>
      <c r="AW53" s="20" t="s">
        <v>443</v>
      </c>
      <c r="AX53" s="20" t="str">
        <f>IFERROR(IF(Out_Table[[#This Row],[Cancellazione linea]]="Cancellata","yes",""),"")</f>
        <v/>
      </c>
      <c r="AY53" s="72" t="str">
        <f>IF(BA53="",BZ53,IF(AND(BA53&lt;(--"23:59:59"),BA53&gt;(--"15:00:00"),G53&lt;(--"14:00:00"),G53&gt;(--"00:00:01")),"",IF(BA53&gt;G53,BZ53,"")))</f>
        <v/>
      </c>
      <c r="AZ53" s="27"/>
      <c r="BA53" s="32">
        <v>0.1111111111111111</v>
      </c>
      <c r="BB53" s="72"/>
      <c r="BC53" s="72" t="str">
        <f>IFERROR(VLOOKUP(Out_Table[[#This Row],[Aggiornamento STATUS]],'INformazioni per calcoli'!$Y$70:$AA$76,2,FALSE),"")</f>
        <v/>
      </c>
      <c r="BD53" s="289"/>
      <c r="BE53" s="289"/>
      <c r="BF53" s="47" t="str">
        <f>LEFT($E53,3)</f>
        <v>VBS</v>
      </c>
      <c r="BG53" s="298" t="str">
        <f>IF(Out_Table[[#This Row],[Ora Uscita    (GH)]]&lt;&gt;"","x","")</f>
        <v>x</v>
      </c>
      <c r="BH53" s="299">
        <f>VLOOKUP($O53,'INformazioni per calcoli'!$Y$20:$AA$23,3,FALSE)</f>
        <v>14</v>
      </c>
      <c r="BI53" s="299">
        <f>MROUND(Out_Table[[#This Row],[Mtr. Trailer]]*AB53,0.5)</f>
        <v>14</v>
      </c>
      <c r="BJ53" s="299">
        <f>MROUND(Out_Table[[#This Row],[Mtr. Trailer]]*AE53,0.5)</f>
        <v>0</v>
      </c>
      <c r="BK53" s="299">
        <f>MROUND(Out_Table[[#This Row],[Mtr. Trailer]]*AH53,0.5)</f>
        <v>0</v>
      </c>
      <c r="BL53" s="300">
        <f>Out_Table[[#This Row],[Double Deck trailer N° bumpers]]</f>
        <v>0</v>
      </c>
      <c r="BM53" s="301"/>
      <c r="BN53" s="299" t="str">
        <f>B53</f>
        <v>ITD12885</v>
      </c>
      <c r="BO53" s="299" t="str">
        <f>E53</f>
        <v>VBS</v>
      </c>
      <c r="BP53" s="302">
        <f>IF(AND(G53&gt;(--"00:00:01"),G53&lt;(--"15:00:00")),IF(AND(X53&gt;(--"00:00:01"),X53&lt;(--"15:00:00")),G53-X53,G53+1-X53),G53-X53)</f>
        <v>0.22291666666666665</v>
      </c>
      <c r="BQ53" s="303">
        <f>AE53+AF53+AH53+AJ53</f>
        <v>0</v>
      </c>
      <c r="BR53" s="304" t="str">
        <f>IF(OR(BP53&lt;=(--"00:20:00"),BQ53&gt;=100%),"OK","Not OK")</f>
        <v>Not OK</v>
      </c>
      <c r="BS53" s="302">
        <f>IF(AND(G53&gt;(--"00:00:01"),G53&lt;(--"15:00:00")),IF(AND(AU53&gt;(--"00:00:01"),AU53&lt;(--"15:00:00")),G53-AU53,G53+1-AU53),G53-AU53)</f>
        <v>2.2916666666666669E-2</v>
      </c>
      <c r="BT53" s="302">
        <f>IF(AND(AZ53&gt;(--"00:00:01"),AZ53&lt;(--"15:00:00")),IF(AND(AU53&gt;(--"00:00:01"),AU53&lt;(--"15:00:00")),AZ53-AU53,AZ53+1-AU53),AZ53-AU53)</f>
        <v>-0.10208333333333333</v>
      </c>
      <c r="BU53" s="302">
        <f>IF(AND(BA53&gt;(--"00:00:01"),BA53&lt;(--"15:00:00")),IF(AND(AZ53&gt;(--"00:00:01"),AZ53&lt;(--"15:00:00")),BA53-AZ53,BA53+1-AZ53),BA53-AZ53)</f>
        <v>1.1111111111111112</v>
      </c>
      <c r="BV53" s="299">
        <f>AV53</f>
        <v>0</v>
      </c>
      <c r="BW53" s="301"/>
      <c r="BX53" s="299" t="str">
        <f>IF(AV53="T Status",IF(AV53&lt;&gt;T53,"X",""),"")</f>
        <v/>
      </c>
      <c r="BY53" s="301"/>
      <c r="BZ53" s="299" t="str">
        <f>IF(X53&lt;&gt;"",IF(CC53="X","Driver Delay",IF(CA53="X","Paperwork Delay",IF(CB53="X","Late freight late sort",IF(CD53="X","Chiamare Control Room",IF(CE53="X","Chiamare Control Room",IF(CF53="X","Chiamare Control Room","")))))),"")</f>
        <v>Chiamare Control Room</v>
      </c>
      <c r="CA53" s="302" t="str">
        <f>IF(K53="",IF(IF(AND(G53&gt;(--"00:00:01"),G53&lt;(--"15:00:00")),IF(AND(AT53&gt;(--"08:00:00"),AT53&lt;(--"23:59:59")),G53+1-AT53,G53-AT53),G53-AT53)&gt;(--"00:20:00"),"","X"),"")</f>
        <v/>
      </c>
      <c r="CB53" s="299" t="str">
        <f>IF(K53="",IF(BP53&gt;=(--"00:20:00"),"","X"),"")</f>
        <v/>
      </c>
      <c r="CC53" s="299" t="str">
        <f>IF(OR(AV53="Autista non presente",AV53="Dati driver non presenti"),"X","")</f>
        <v/>
      </c>
      <c r="CD53" s="299" t="str">
        <f>IF(K53="",IF(AND(CC53="",BS53&lt;(--"00:20:00")),"X",""),"")</f>
        <v/>
      </c>
      <c r="CE53" s="299" t="str">
        <f>IF(K53="",IF(BT53&gt;(--"00:15:00"),"X",""),IF(AZ53&lt;&gt;"",IF(G53-AZ53&gt;(--"00:30:00"),"X",""),""))</f>
        <v/>
      </c>
      <c r="CF53" s="299" t="str">
        <f>IF(AND(CA53="",CB53="",CC53="",CD53="",CE53=""),"X","")</f>
        <v>X</v>
      </c>
      <c r="CG53" s="301"/>
      <c r="CH53" s="299" t="str">
        <f>IF(BT53&gt;(--"00:15:00"),"X","")</f>
        <v/>
      </c>
      <c r="CI53" s="302" t="str">
        <f>AY53</f>
        <v/>
      </c>
      <c r="CJ53" s="299" t="str">
        <f>IF(AND(CH53&lt;&gt;"",CI53&lt;&gt;"",LEFT(B53,3)="ITD"),AP53,"")</f>
        <v/>
      </c>
      <c r="CK53" s="305" t="str">
        <f>IF(CJ53&lt;&gt;"",BT53,"")</f>
        <v/>
      </c>
      <c r="CL53" s="301"/>
      <c r="CM53" s="305" t="str">
        <f>IFERROR(VLOOKUP(Q53,'Elenco Casse'!$D$4:$F$292,3,FALSE),"")</f>
        <v/>
      </c>
      <c r="CN53" s="301"/>
      <c r="CO53" s="305" t="str">
        <f>IFERROR(VLOOKUP(S53,'Elenco Casse'!$D$4:$F$292,3,FALSE),"")</f>
        <v/>
      </c>
      <c r="CP53" s="305" t="str">
        <f>IFERROR(IF(VLOOKUP($E53,Outlist!$A$5:$S$120,19,FALSE)&lt;&gt;0,"Y",""),"")</f>
        <v/>
      </c>
      <c r="CQ53" s="301"/>
      <c r="CR53" s="305" t="str">
        <f>CONCATENATE($B53,$E53,$G53)</f>
        <v>ITD12885VBS0.125</v>
      </c>
      <c r="CS53" s="301"/>
      <c r="CT53" s="305" t="e">
        <f>VLOOKUP(Out_Table[[#This Row],[Destination             ORANGE (From Planning)]],Outlist!$A$5:$W$120,22,FALSE)</f>
        <v>#N/A</v>
      </c>
    </row>
    <row r="54" spans="1:98" s="20" customFormat="1" ht="30.75">
      <c r="A54" s="305" t="str">
        <f>$CR54</f>
        <v>ITD12415VBS0.166666666666667</v>
      </c>
      <c r="B54" s="284" t="s">
        <v>580</v>
      </c>
      <c r="C54" s="290" t="str">
        <f>IFERROR(IF(LEFT(B54,3)='STAT 77'!$X$2,_xlfn.XLOOKUP(B54,'STAT 77'!C:C,'STAT 77'!B:B),_xlfn.XLOOKUP(B54,'STAT 77'!B:B,'STAT 77'!C:C)),"NON TROVATO")</f>
        <v>ITD31584</v>
      </c>
      <c r="D54" s="25" t="s">
        <v>581</v>
      </c>
      <c r="E54" s="290" t="s">
        <v>573</v>
      </c>
      <c r="F54" s="290" t="str">
        <f>IFERROR(VLOOKUP(E54,'Cambio O2P'!C:E,2,FALSE),"")</f>
        <v>VBST8</v>
      </c>
      <c r="G54" s="285">
        <v>0.16666666666666666</v>
      </c>
      <c r="H54" s="293" t="str">
        <f ca="1">IFERROR(IF(AND('INformazioni per calcoli'!$AB$3&lt;(--"14:30"),'INformazioni per calcoli'!$AB$3&gt;(--"10:00")),"",IF($B54="","",IF($X54&lt;&gt;"","Mezzo Chiuso",IF($W54="","Non al Carico",IF($G54-'INformazioni per calcoli'!$AB$5-'INformazioni per calcoli'!$AB$3+$J54&lt;0,"LFLS",IF($K54&lt;&gt;"","Safe Parking",IF($W54&lt;&gt;"",IF($E54="MXP",$G54-'INformazioni per calcoli'!$AB$6-'INformazioni per calcoli'!$AB$3+$J54,$G54-'INformazioni per calcoli'!$AB$5-'INformazioni per calcoli'!$AB$3+$J54),"Non al carico"))))))),"")</f>
        <v>Mezzo Chiuso</v>
      </c>
      <c r="I54" s="17" t="str">
        <f ca="1">IFERROR(IF($H54&lt;&gt;"",IF($H54="Safe Parking","",IF($W54&lt;&gt;"",IF(AND($U54="X",$V54="X"),$H54-(--"00:30"),""),IF($X54&lt;&gt;"","Mezzo Chiuso","Non al carico"))),""),"")</f>
        <v/>
      </c>
      <c r="J54" s="306">
        <f ca="1">IFERROR(IF($B54&lt;&gt;"",IF(AND('INformazioni per calcoli'!$AB$3&lt;(--"15:00"),'INformazioni per calcoli'!$AB$3&gt;(--"00:00")),0,IF($G54&lt;(--"18:30"),"+1",0)),""),"")</f>
        <v>0</v>
      </c>
      <c r="K54" s="17"/>
      <c r="L54" s="25" t="s">
        <v>430</v>
      </c>
      <c r="M54" s="25" t="str">
        <f>IFERROR(_xlfn.XLOOKUP($Q54,'Elenco Casse'!$D:$D,'Elenco Casse'!$E:$E),"")</f>
        <v>Trans Speedy S.R.L</v>
      </c>
      <c r="N54" s="25">
        <f>IFERROR(_xlfn.XLOOKUP($Q54,'Elenco Casse'!$D:$D,'Elenco Casse'!$F:$F),"")</f>
        <v>0</v>
      </c>
      <c r="O54" s="286" t="s">
        <v>418</v>
      </c>
      <c r="P54" s="295" t="str">
        <f>IFERROR(_xlfn.XLOOKUP($Q54,'Elenco Casse'!$D:$D,'Elenco Casse'!$G:$G),"")</f>
        <v>trailer 80 m3 2/3 axles</v>
      </c>
      <c r="Q54" s="355" t="s">
        <v>582</v>
      </c>
      <c r="R54" s="23" t="s">
        <v>420</v>
      </c>
      <c r="S54" s="25" t="s">
        <v>421</v>
      </c>
      <c r="T54" s="25" t="s">
        <v>432</v>
      </c>
      <c r="U54" s="23" t="str">
        <f>IF(ISNUMBER(SEARCH("Parcel",$T54)),"X","")</f>
        <v>X</v>
      </c>
      <c r="V54" s="23" t="str">
        <f>IF(ISNUMBER(SEARCH("Freight",$T54)),"X","")</f>
        <v/>
      </c>
      <c r="W54" s="26">
        <v>349</v>
      </c>
      <c r="X54" s="27">
        <v>5.4166666666666669E-2</v>
      </c>
      <c r="Y54" s="25" t="s">
        <v>583</v>
      </c>
      <c r="Z54" s="25"/>
      <c r="AA54" s="25" t="s">
        <v>40</v>
      </c>
      <c r="AB54" s="57">
        <v>1</v>
      </c>
      <c r="AC54" s="25"/>
      <c r="AD54" s="25"/>
      <c r="AE54" s="57"/>
      <c r="AF54" s="57"/>
      <c r="AG54" s="25"/>
      <c r="AH54" s="57"/>
      <c r="AI54" s="339">
        <v>12</v>
      </c>
      <c r="AJ54" s="339"/>
      <c r="AK54" s="297" t="str">
        <f>IF(X54&lt;&gt;"",CONCATENATE(IF(AA54&lt;&gt;"",CONCATENATE(Z54," ",AA54," ",BI54),""),IF(AD54&lt;&gt;"",CONCATENATE(","," ",AC54," ",AD54," ",BJ54),""),IF(AG54&lt;&gt;"",CONCATENATE(","," ",AF54," ",AG54," ",BK54),""),IF(AJ54&lt;&gt;"",CONCATENATE(","," ","DD"," ",BL54),"")," ",IF(AI54&lt;&gt;"",CONCATENATE(" - ",AI54," Bag"),"")),"")</f>
        <v xml:space="preserve"> LL 14  - 12 Bag</v>
      </c>
      <c r="AL54" s="287" t="s">
        <v>421</v>
      </c>
      <c r="AM54" s="287"/>
      <c r="AN54" s="287"/>
      <c r="AO54" s="287"/>
      <c r="AP54" s="370" t="str">
        <f>IFERROR(VLOOKUP($E51,Outlist!$A$5:$V$120,20,FALSE),"")</f>
        <v/>
      </c>
      <c r="AQ54" s="288" t="str">
        <f>IFERROR(IF(VLOOKUP($A54,#REF!,8,FALSE)&lt;&gt;"",VLOOKUP($A54,#REF!,8,FALSE),""),"")</f>
        <v/>
      </c>
      <c r="AS54" s="24"/>
      <c r="AT54" s="24">
        <v>0.93958333333333333</v>
      </c>
      <c r="AU54" s="27">
        <v>0.1361111111111111</v>
      </c>
      <c r="AV54" s="27"/>
      <c r="AX54" s="20" t="str">
        <f>IFERROR(IF(Out_Table[[#This Row],[Cancellazione linea]]="Cancellata","yes",""),"")</f>
        <v/>
      </c>
      <c r="AY54" s="72" t="str">
        <f>IF(BA54="",BZ54,IF(AND(BA54&lt;(--"23:59:59"),BA54&gt;(--"15:00:00"),G54&lt;(--"14:00:00"),G54&gt;(--"00:00:01")),"",IF(BA54&gt;G54,BZ54,"")))</f>
        <v>Chiamare Control Room</v>
      </c>
      <c r="AZ54" s="27"/>
      <c r="BA54" s="32"/>
      <c r="BB54" s="72"/>
      <c r="BC54" s="72" t="str">
        <f>IFERROR(VLOOKUP(Out_Table[[#This Row],[Aggiornamento STATUS]],'INformazioni per calcoli'!$Y$70:$AA$76,2,FALSE),"")</f>
        <v/>
      </c>
      <c r="BD54" s="289"/>
      <c r="BE54" s="289"/>
      <c r="BF54" s="47" t="str">
        <f>LEFT($E54,3)</f>
        <v>VBS</v>
      </c>
      <c r="BG54" s="298" t="str">
        <f>IF(Out_Table[[#This Row],[Ora Uscita    (GH)]]&lt;&gt;"","x","")</f>
        <v/>
      </c>
      <c r="BH54" s="299">
        <f>VLOOKUP($O54,'INformazioni per calcoli'!$Y$20:$AA$23,3,FALSE)</f>
        <v>14</v>
      </c>
      <c r="BI54" s="299">
        <f>MROUND(Out_Table[[#This Row],[Mtr. Trailer]]*AB54,0.5)</f>
        <v>14</v>
      </c>
      <c r="BJ54" s="299">
        <f>MROUND(Out_Table[[#This Row],[Mtr. Trailer]]*AE54,0.5)</f>
        <v>0</v>
      </c>
      <c r="BK54" s="299">
        <f>MROUND(Out_Table[[#This Row],[Mtr. Trailer]]*AH54,0.5)</f>
        <v>0</v>
      </c>
      <c r="BL54" s="300">
        <f>Out_Table[[#This Row],[Double Deck trailer N° bumpers]]</f>
        <v>0</v>
      </c>
      <c r="BM54" s="301"/>
      <c r="BN54" s="299" t="str">
        <f>B54</f>
        <v>ITD12415</v>
      </c>
      <c r="BO54" s="299" t="str">
        <f>E54</f>
        <v>VBS</v>
      </c>
      <c r="BP54" s="302">
        <f>IF(AND(G54&gt;(--"00:00:01"),G54&lt;(--"15:00:00")),IF(AND(X54&gt;(--"00:00:01"),X54&lt;(--"15:00:00")),G54-X54,G54+1-X54),G54-X54)</f>
        <v>0.11249999999999999</v>
      </c>
      <c r="BQ54" s="303">
        <f>AE54+AF54+AH54+AJ54</f>
        <v>0</v>
      </c>
      <c r="BR54" s="304" t="str">
        <f>IF(OR(BP54&lt;=(--"00:20:00"),BQ54&gt;=100%),"OK","Not OK")</f>
        <v>Not OK</v>
      </c>
      <c r="BS54" s="302">
        <f>IF(AND(G54&gt;(--"00:00:01"),G54&lt;(--"15:00:00")),IF(AND(AU54&gt;(--"00:00:01"),AU54&lt;(--"15:00:00")),G54-AU54,G54+1-AU54),G54-AU54)</f>
        <v>3.0555555555555558E-2</v>
      </c>
      <c r="BT54" s="302">
        <f>IF(AND(AZ54&gt;(--"00:00:01"),AZ54&lt;(--"15:00:00")),IF(AND(AU54&gt;(--"00:00:01"),AU54&lt;(--"15:00:00")),AZ54-AU54,AZ54+1-AU54),AZ54-AU54)</f>
        <v>-0.1361111111111111</v>
      </c>
      <c r="BU54" s="302">
        <f>IF(AND(BA54&gt;(--"00:00:01"),BA54&lt;(--"15:00:00")),IF(AND(AZ54&gt;(--"00:00:01"),AZ54&lt;(--"15:00:00")),BA54-AZ54,BA54+1-AZ54),BA54-AZ54)</f>
        <v>0</v>
      </c>
      <c r="BV54" s="299">
        <f>AV54</f>
        <v>0</v>
      </c>
      <c r="BW54" s="301"/>
      <c r="BX54" s="299" t="str">
        <f>IF(AV54="T Status",IF(AV54&lt;&gt;T54,"X",""),"")</f>
        <v/>
      </c>
      <c r="BY54" s="301"/>
      <c r="BZ54" s="299" t="str">
        <f>IF(X54&lt;&gt;"",IF(CC54="X","Driver Delay",IF(CA54="X","Paperwork Delay",IF(CB54="X","Late freight late sort",IF(CD54="X","Chiamare Control Room",IF(CE54="X","Chiamare Control Room",IF(CF54="X","Chiamare Control Room","")))))),"")</f>
        <v>Chiamare Control Room</v>
      </c>
      <c r="CA54" s="302" t="str">
        <f>IF(K54="",IF(IF(AND(G54&gt;(--"00:00:01"),G54&lt;(--"15:00:00")),IF(AND(AT54&gt;(--"08:00:00"),AT54&lt;(--"23:59:59")),G54+1-AT54,G54-AT54),G54-AT54)&gt;(--"00:20:00"),"","X"),"")</f>
        <v/>
      </c>
      <c r="CB54" s="299" t="str">
        <f>IF(K54="",IF(BP54&gt;=(--"00:20:00"),"","X"),"")</f>
        <v/>
      </c>
      <c r="CC54" s="299" t="str">
        <f>IF(OR(AV54="Autista non presente",AV54="Dati driver non presenti"),"X","")</f>
        <v/>
      </c>
      <c r="CD54" s="299" t="str">
        <f>IF(K54="",IF(AND(CC54="",BS54&lt;(--"00:20:00")),"X",""),"")</f>
        <v/>
      </c>
      <c r="CE54" s="299" t="str">
        <f>IF(K54="",IF(BT54&gt;(--"00:15:00"),"X",""),IF(AZ54&lt;&gt;"",IF(G54-AZ54&gt;(--"00:30:00"),"X",""),""))</f>
        <v/>
      </c>
      <c r="CF54" s="299" t="str">
        <f>IF(AND(CA54="",CB54="",CC54="",CD54="",CE54=""),"X","")</f>
        <v>X</v>
      </c>
      <c r="CG54" s="301"/>
      <c r="CH54" s="299" t="str">
        <f>IF(BT54&gt;(--"00:15:00"),"X","")</f>
        <v/>
      </c>
      <c r="CI54" s="302" t="str">
        <f>AY54</f>
        <v>Chiamare Control Room</v>
      </c>
      <c r="CJ54" s="299" t="str">
        <f>IF(AND(CH54&lt;&gt;"",CI54&lt;&gt;"",LEFT(B54,3)="ITD"),AP54,"")</f>
        <v/>
      </c>
      <c r="CK54" s="305" t="str">
        <f>IF(CJ54&lt;&gt;"",BT54,"")</f>
        <v/>
      </c>
      <c r="CL54" s="301"/>
      <c r="CM54" s="305" t="str">
        <f>IFERROR(VLOOKUP(Q54,'Elenco Casse'!$D$4:$F$292,3,FALSE),"")</f>
        <v/>
      </c>
      <c r="CN54" s="301"/>
      <c r="CO54" s="305" t="str">
        <f>IFERROR(VLOOKUP(S54,'Elenco Casse'!$D$4:$F$292,3,FALSE),"")</f>
        <v/>
      </c>
      <c r="CP54" s="305" t="str">
        <f>IFERROR(IF(VLOOKUP($E54,Outlist!$A$5:$S$120,19,FALSE)&lt;&gt;0,"Y",""),"")</f>
        <v/>
      </c>
      <c r="CQ54" s="301"/>
      <c r="CR54" s="305" t="str">
        <f>CONCATENATE($B54,$E54,$G54)</f>
        <v>ITD12415VBS0.166666666666667</v>
      </c>
      <c r="CS54" s="301"/>
      <c r="CT54" s="305" t="e">
        <f>VLOOKUP(Out_Table[[#This Row],[Destination             ORANGE (From Planning)]],Outlist!$A$5:$W$120,22,FALSE)</f>
        <v>#N/A</v>
      </c>
    </row>
    <row r="55" spans="1:98" s="20" customFormat="1" ht="15">
      <c r="A55" s="305" t="str">
        <f>$CR55</f>
        <v>ITD12337QVA0.270833333333333</v>
      </c>
      <c r="B55" s="284" t="s">
        <v>584</v>
      </c>
      <c r="C55" s="290" t="str">
        <f>IFERROR(IF(LEFT(B55,3)='STAT 77'!$X$2,_xlfn.XLOOKUP(B55,'STAT 77'!C:C,'STAT 77'!B:B),_xlfn.XLOOKUP(B55,'STAT 77'!B:B,'STAT 77'!C:C)),"NON TROVATO")</f>
        <v>ITD31426</v>
      </c>
      <c r="D55" s="25" t="s">
        <v>585</v>
      </c>
      <c r="E55" s="290" t="s">
        <v>586</v>
      </c>
      <c r="F55" s="290" t="str">
        <f>IFERROR(VLOOKUP(E55,'Cambio O2P'!C:E,2,FALSE),"")</f>
        <v>QVAT8</v>
      </c>
      <c r="G55" s="285">
        <v>0.27083333333333331</v>
      </c>
      <c r="H55" s="293" t="str">
        <f ca="1">IFERROR(IF(AND('INformazioni per calcoli'!$AB$3&lt;(--"14:30"),'INformazioni per calcoli'!$AB$3&gt;(--"10:00")),"",IF($B55="","",IF($X55&lt;&gt;"","Mezzo Chiuso",IF($W55="","Non al Carico",IF($G55-'INformazioni per calcoli'!$AB$5-'INformazioni per calcoli'!$AB$3+$J55&lt;0,"LFLS",IF($K55&lt;&gt;"","Safe Parking",IF($W55&lt;&gt;"",IF($E55="MXP",$G55-'INformazioni per calcoli'!$AB$6-'INformazioni per calcoli'!$AB$3+$J55,$G55-'INformazioni per calcoli'!$AB$5-'INformazioni per calcoli'!$AB$3+$J55),"Non al carico"))))))),"")</f>
        <v>Mezzo Chiuso</v>
      </c>
      <c r="I55" s="17" t="str">
        <f ca="1">IFERROR(IF($H55&lt;&gt;"",IF($H55="Safe Parking","",IF($W55&lt;&gt;"",IF(AND($U55="X",$V55="X"),$H55-(--"00:30"),""),IF($X55&lt;&gt;"","Mezzo Chiuso","Non al carico"))),""),"")</f>
        <v/>
      </c>
      <c r="J55" s="306">
        <f ca="1">IFERROR(IF($B55&lt;&gt;"",IF(AND('INformazioni per calcoli'!$AB$3&lt;(--"15:00"),'INformazioni per calcoli'!$AB$3&gt;(--"00:00")),0,IF($G55&lt;(--"18:30"),"+1",0)),""),"")</f>
        <v>0</v>
      </c>
      <c r="K55" s="27"/>
      <c r="L55" s="25" t="s">
        <v>430</v>
      </c>
      <c r="M55" s="25" t="str">
        <f>IFERROR(_xlfn.XLOOKUP($Q55,'Elenco Casse'!$D:$D,'Elenco Casse'!$E:$E),"")</f>
        <v>Trans Speedy S.R.L</v>
      </c>
      <c r="N55" s="25">
        <f>IFERROR(_xlfn.XLOOKUP($Q55,'Elenco Casse'!$D:$D,'Elenco Casse'!$F:$F),"")</f>
        <v>0</v>
      </c>
      <c r="O55" s="286" t="s">
        <v>418</v>
      </c>
      <c r="P55" s="295" t="str">
        <f>IFERROR(_xlfn.XLOOKUP($Q55,'Elenco Casse'!$D:$D,'Elenco Casse'!$G:$G),"")</f>
        <v>trailer 80 m3 2/3 axles</v>
      </c>
      <c r="Q55" s="355" t="s">
        <v>587</v>
      </c>
      <c r="R55" s="23" t="s">
        <v>420</v>
      </c>
      <c r="S55" s="25" t="s">
        <v>421</v>
      </c>
      <c r="T55" s="25" t="s">
        <v>432</v>
      </c>
      <c r="U55" s="23" t="str">
        <f>IF(ISNUMBER(SEARCH("Parcel",$T55)),"X","")</f>
        <v>X</v>
      </c>
      <c r="V55" s="23" t="str">
        <f>IF(ISNUMBER(SEARCH("Freight",$T55)),"X","")</f>
        <v/>
      </c>
      <c r="W55" s="26">
        <v>350</v>
      </c>
      <c r="X55" s="27">
        <v>0.13194444444444445</v>
      </c>
      <c r="Y55" s="25" t="s">
        <v>588</v>
      </c>
      <c r="Z55" s="25"/>
      <c r="AA55" s="25" t="s">
        <v>40</v>
      </c>
      <c r="AB55" s="57">
        <v>1</v>
      </c>
      <c r="AC55" s="25"/>
      <c r="AD55" s="25"/>
      <c r="AE55" s="57"/>
      <c r="AF55" s="57"/>
      <c r="AG55" s="25"/>
      <c r="AH55" s="57"/>
      <c r="AI55" s="339">
        <v>12</v>
      </c>
      <c r="AJ55" s="339"/>
      <c r="AK55" s="297" t="str">
        <f>IF(X55&lt;&gt;"",CONCATENATE(IF(AA55&lt;&gt;"",CONCATENATE(Z55," ",AA55," ",BI55),""),IF(AD55&lt;&gt;"",CONCATENATE(","," ",AC55," ",AD55," ",BJ55),""),IF(AG55&lt;&gt;"",CONCATENATE(","," ",AF55," ",AG55," ",BK55),""),IF(AJ55&lt;&gt;"",CONCATENATE(","," ","DD"," ",BL55),"")," ",IF(AI55&lt;&gt;"",CONCATENATE(" - ",AI55," Bag"),"")),"")</f>
        <v xml:space="preserve"> LL 14  - 12 Bag</v>
      </c>
      <c r="AL55" s="287" t="s">
        <v>421</v>
      </c>
      <c r="AM55" s="287"/>
      <c r="AN55" s="287"/>
      <c r="AO55" s="287"/>
      <c r="AP55" s="370" t="str">
        <f>IFERROR(VLOOKUP($E52,Outlist!$A$5:$V$120,20,FALSE),"")</f>
        <v/>
      </c>
      <c r="AQ55" s="288" t="str">
        <f>IFERROR(IF(VLOOKUP($A55,#REF!,8,FALSE)&lt;&gt;"",VLOOKUP($A55,#REF!,8,FALSE),""),"")</f>
        <v/>
      </c>
      <c r="AS55" s="24"/>
      <c r="AT55" s="24">
        <v>1.8055555555555554E-2</v>
      </c>
      <c r="AU55" s="27"/>
      <c r="AV55" s="27"/>
      <c r="AX55" s="20" t="str">
        <f>IFERROR(IF(Out_Table[[#This Row],[Cancellazione linea]]="Cancellata","yes",""),"")</f>
        <v/>
      </c>
      <c r="AY55" s="72" t="str">
        <f>IF(BA55="",BZ55,IF(AND(BA55&lt;(--"23:59:59"),BA55&gt;(--"15:00:00"),G55&lt;(--"14:00:00"),G55&gt;(--"00:00:01")),"",IF(BA55&gt;G55,BZ55,"")))</f>
        <v>Chiamare Control Room</v>
      </c>
      <c r="AZ55" s="27"/>
      <c r="BA55" s="32"/>
      <c r="BB55" s="72"/>
      <c r="BC55" s="72" t="str">
        <f>IFERROR(VLOOKUP(Out_Table[[#This Row],[Aggiornamento STATUS]],'INformazioni per calcoli'!$Y$70:$AA$76,2,FALSE),"")</f>
        <v/>
      </c>
      <c r="BD55" s="289"/>
      <c r="BE55" s="289"/>
      <c r="BF55" s="47" t="str">
        <f>LEFT($E55,3)</f>
        <v>QVA</v>
      </c>
      <c r="BG55" s="298" t="str">
        <f>IF(Out_Table[[#This Row],[Ora Uscita    (GH)]]&lt;&gt;"","x","")</f>
        <v/>
      </c>
      <c r="BH55" s="299">
        <f>VLOOKUP($O55,'INformazioni per calcoli'!$Y$20:$AA$23,3,FALSE)</f>
        <v>14</v>
      </c>
      <c r="BI55" s="299">
        <f>MROUND(Out_Table[[#This Row],[Mtr. Trailer]]*AB55,0.5)</f>
        <v>14</v>
      </c>
      <c r="BJ55" s="299">
        <f>MROUND(Out_Table[[#This Row],[Mtr. Trailer]]*AE55,0.5)</f>
        <v>0</v>
      </c>
      <c r="BK55" s="299">
        <f>MROUND(Out_Table[[#This Row],[Mtr. Trailer]]*AH55,0.5)</f>
        <v>0</v>
      </c>
      <c r="BL55" s="300">
        <f>Out_Table[[#This Row],[Double Deck trailer N° bumpers]]</f>
        <v>0</v>
      </c>
      <c r="BM55" s="301"/>
      <c r="BN55" s="299" t="str">
        <f>B55</f>
        <v>ITD12337</v>
      </c>
      <c r="BO55" s="299" t="str">
        <f>E55</f>
        <v>QVA</v>
      </c>
      <c r="BP55" s="302">
        <f>IF(AND(G55&gt;(--"00:00:01"),G55&lt;(--"15:00:00")),IF(AND(X55&gt;(--"00:00:01"),X55&lt;(--"15:00:00")),G55-X55,G55+1-X55),G55-X55)</f>
        <v>0.13888888888888887</v>
      </c>
      <c r="BQ55" s="303">
        <f>AE55+AF55+AH55+AJ55</f>
        <v>0</v>
      </c>
      <c r="BR55" s="304" t="str">
        <f>IF(OR(BP55&lt;=(--"00:20:00"),BQ55&gt;=100%),"OK","Not OK")</f>
        <v>Not OK</v>
      </c>
      <c r="BS55" s="302">
        <f>IF(AND(G55&gt;(--"00:00:01"),G55&lt;(--"15:00:00")),IF(AND(AU55&gt;(--"00:00:01"),AU55&lt;(--"15:00:00")),G55-AU55,G55+1-AU55),G55-AU55)</f>
        <v>1.2708333333333333</v>
      </c>
      <c r="BT55" s="302">
        <f>IF(AND(AZ55&gt;(--"00:00:01"),AZ55&lt;(--"15:00:00")),IF(AND(AU55&gt;(--"00:00:01"),AU55&lt;(--"15:00:00")),AZ55-AU55,AZ55+1-AU55),AZ55-AU55)</f>
        <v>0</v>
      </c>
      <c r="BU55" s="302">
        <f>IF(AND(BA55&gt;(--"00:00:01"),BA55&lt;(--"15:00:00")),IF(AND(AZ55&gt;(--"00:00:01"),AZ55&lt;(--"15:00:00")),BA55-AZ55,BA55+1-AZ55),BA55-AZ55)</f>
        <v>0</v>
      </c>
      <c r="BV55" s="299">
        <f>AV55</f>
        <v>0</v>
      </c>
      <c r="BW55" s="301"/>
      <c r="BX55" s="299" t="str">
        <f>IF(AV55="T Status",IF(AV55&lt;&gt;T55,"X",""),"")</f>
        <v/>
      </c>
      <c r="BY55" s="301"/>
      <c r="BZ55" s="299" t="str">
        <f>IF(X55&lt;&gt;"",IF(CC55="X","Driver Delay",IF(CA55="X","Paperwork Delay",IF(CB55="X","Late freight late sort",IF(CD55="X","Chiamare Control Room",IF(CE55="X","Chiamare Control Room",IF(CF55="X","Chiamare Control Room","")))))),"")</f>
        <v>Chiamare Control Room</v>
      </c>
      <c r="CA55" s="302" t="str">
        <f>IF(K55="",IF(IF(AND(G55&gt;(--"00:00:01"),G55&lt;(--"15:00:00")),IF(AND(AT55&gt;(--"08:00:00"),AT55&lt;(--"23:59:59")),G55+1-AT55,G55-AT55),G55-AT55)&gt;(--"00:20:00"),"","X"),"")</f>
        <v/>
      </c>
      <c r="CB55" s="299" t="str">
        <f>IF(K55="",IF(BP55&gt;=(--"00:20:00"),"","X"),"")</f>
        <v/>
      </c>
      <c r="CC55" s="299" t="str">
        <f>IF(OR(AV55="Autista non presente",AV55="Dati driver non presenti"),"X","")</f>
        <v/>
      </c>
      <c r="CD55" s="299" t="str">
        <f>IF(K55="",IF(AND(CC55="",BS55&lt;(--"00:20:00")),"X",""),"")</f>
        <v/>
      </c>
      <c r="CE55" s="299" t="str">
        <f>IF(K55="",IF(BT55&gt;(--"00:15:00"),"X",""),IF(AZ55&lt;&gt;"",IF(G55-AZ55&gt;(--"00:30:00"),"X",""),""))</f>
        <v/>
      </c>
      <c r="CF55" s="299" t="str">
        <f>IF(AND(CA55="",CB55="",CC55="",CD55="",CE55=""),"X","")</f>
        <v>X</v>
      </c>
      <c r="CG55" s="301"/>
      <c r="CH55" s="299" t="str">
        <f>IF(BT55&gt;(--"00:15:00"),"X","")</f>
        <v/>
      </c>
      <c r="CI55" s="302" t="str">
        <f>AY55</f>
        <v>Chiamare Control Room</v>
      </c>
      <c r="CJ55" s="299" t="str">
        <f>IF(AND(CH55&lt;&gt;"",CI55&lt;&gt;"",LEFT(B55,3)="ITD"),AP55,"")</f>
        <v/>
      </c>
      <c r="CK55" s="305" t="str">
        <f>IF(CJ55&lt;&gt;"",BT55,"")</f>
        <v/>
      </c>
      <c r="CL55" s="301"/>
      <c r="CM55" s="305" t="str">
        <f>IFERROR(VLOOKUP(Q55,'Elenco Casse'!$D$4:$F$292,3,FALSE),"")</f>
        <v/>
      </c>
      <c r="CN55" s="301"/>
      <c r="CO55" s="305" t="str">
        <f>IFERROR(VLOOKUP(S55,'Elenco Casse'!$D$4:$F$292,3,FALSE),"")</f>
        <v/>
      </c>
      <c r="CP55" s="305" t="str">
        <f>IFERROR(IF(VLOOKUP($E55,Outlist!$A$5:$S$120,19,FALSE)&lt;&gt;0,"Y",""),"")</f>
        <v/>
      </c>
      <c r="CQ55" s="301"/>
      <c r="CR55" s="305" t="str">
        <f>CONCATENATE($B55,$E55,$G55)</f>
        <v>ITD12337QVA0.270833333333333</v>
      </c>
      <c r="CS55" s="301"/>
      <c r="CT55" s="305" t="e">
        <f>VLOOKUP(Out_Table[[#This Row],[Destination             ORANGE (From Planning)]],Outlist!$A$5:$W$120,22,FALSE)</f>
        <v>#N/A</v>
      </c>
    </row>
    <row r="56" spans="1:98" s="20" customFormat="1" ht="15">
      <c r="A56" s="305" t="str">
        <f>$CR56</f>
        <v>ITD12413GOA0.25</v>
      </c>
      <c r="B56" s="284" t="s">
        <v>589</v>
      </c>
      <c r="C56" s="290" t="str">
        <f>IFERROR(IF(LEFT(B56,3)='STAT 77'!$X$2,_xlfn.XLOOKUP(B56,'STAT 77'!C:C,'STAT 77'!B:B),_xlfn.XLOOKUP(B56,'STAT 77'!B:B,'STAT 77'!C:C)),"NON TROVATO")</f>
        <v>ITD31580</v>
      </c>
      <c r="D56" s="25" t="s">
        <v>590</v>
      </c>
      <c r="E56" s="290" t="s">
        <v>591</v>
      </c>
      <c r="F56" s="290" t="str">
        <f>IFERROR(VLOOKUP(E56,'Cambio O2P'!C:E,2,FALSE),"")</f>
        <v>GOAT8</v>
      </c>
      <c r="G56" s="285">
        <v>0.25</v>
      </c>
      <c r="H56" s="293">
        <f ca="1">IFERROR(IF(AND('INformazioni per calcoli'!$AB$3&lt;(--"14:30"),'INformazioni per calcoli'!$AB$3&gt;(--"10:00")),"",IF($B56="","",IF($X56&lt;&gt;"","Mezzo Chiuso",IF($W56="","Non al Carico",IF($G56-'INformazioni per calcoli'!$AB$5-'INformazioni per calcoli'!$AB$3+$J56&lt;0,"LFLS",IF($K56&lt;&gt;"","Safe Parking",IF($W56&lt;&gt;"",IF($E56="MXP",$G56-'INformazioni per calcoli'!$AB$6-'INformazioni per calcoli'!$AB$3+$J56,$G56-'INformazioni per calcoli'!$AB$5-'INformazioni per calcoli'!$AB$3+$J56),"Non al carico"))))))),"")</f>
        <v>9.0648148148148144E-2</v>
      </c>
      <c r="I56" s="17" t="str">
        <f ca="1">IFERROR(IF($H56&lt;&gt;"",IF($H56="Safe Parking","",IF($W56&lt;&gt;"",IF(AND($U56="X",$V56="X"),$H56-(--"00:30"),""),IF($X56&lt;&gt;"","Mezzo Chiuso","Non al carico"))),""),"")</f>
        <v/>
      </c>
      <c r="J56" s="306">
        <f ca="1">IFERROR(IF($B56&lt;&gt;"",IF(AND('INformazioni per calcoli'!$AB$3&lt;(--"15:00"),'INformazioni per calcoli'!$AB$3&gt;(--"00:00")),0,IF($G56&lt;(--"18:30"),"+1",0)),""),"")</f>
        <v>0</v>
      </c>
      <c r="K56" s="17"/>
      <c r="L56" s="25" t="s">
        <v>592</v>
      </c>
      <c r="M56" s="25" t="str">
        <f>IFERROR(_xlfn.XLOOKUP($Q56,'Elenco Casse'!$D:$D,'Elenco Casse'!$E:$E),"")</f>
        <v>S.T.I. S.R.L.</v>
      </c>
      <c r="N56" s="25">
        <f>IFERROR(_xlfn.XLOOKUP($Q56,'Elenco Casse'!$D:$D,'Elenco Casse'!$F:$F),"")</f>
        <v>0</v>
      </c>
      <c r="O56" s="286" t="s">
        <v>418</v>
      </c>
      <c r="P56" s="295" t="str">
        <f>IFERROR(_xlfn.XLOOKUP($Q56,'Elenco Casse'!$D:$D,'Elenco Casse'!$G:$G),"")</f>
        <v>trailer 80 m3 2/3 axles</v>
      </c>
      <c r="Q56" s="355" t="s">
        <v>593</v>
      </c>
      <c r="R56" s="23" t="s">
        <v>420</v>
      </c>
      <c r="S56" s="25" t="s">
        <v>421</v>
      </c>
      <c r="T56" s="25" t="s">
        <v>432</v>
      </c>
      <c r="U56" s="23" t="str">
        <f>IF(ISNUMBER(SEARCH("Parcel",$T56)),"X","")</f>
        <v>X</v>
      </c>
      <c r="V56" s="23" t="str">
        <f>IF(ISNUMBER(SEARCH("Freight",$T56)),"X","")</f>
        <v/>
      </c>
      <c r="W56" s="26">
        <v>351</v>
      </c>
      <c r="X56" s="27"/>
      <c r="Y56" s="25"/>
      <c r="Z56" s="25"/>
      <c r="AA56" s="25" t="s">
        <v>40</v>
      </c>
      <c r="AB56" s="57"/>
      <c r="AC56" s="25"/>
      <c r="AD56" s="25"/>
      <c r="AE56" s="57"/>
      <c r="AF56" s="57"/>
      <c r="AG56" s="25"/>
      <c r="AH56" s="57"/>
      <c r="AI56" s="339"/>
      <c r="AJ56" s="339"/>
      <c r="AK56" s="297" t="str">
        <f>IF(X56&lt;&gt;"",CONCATENATE(IF(AA56&lt;&gt;"",CONCATENATE(Z56," ",AA56," ",BI56),""),IF(AD56&lt;&gt;"",CONCATENATE(","," ",AC56," ",AD56," ",BJ56),""),IF(AG56&lt;&gt;"",CONCATENATE(","," ",AF56," ",AG56," ",BK56),""),IF(AJ56&lt;&gt;"",CONCATENATE(","," ","DD"," ",BL56),"")," ",IF(AI56&lt;&gt;"",CONCATENATE(" - ",AI56," Bag"),"")),"")</f>
        <v/>
      </c>
      <c r="AL56" s="287"/>
      <c r="AM56" s="287"/>
      <c r="AN56" s="287"/>
      <c r="AO56" s="287"/>
      <c r="AP56" s="370" t="str">
        <f>IFERROR(VLOOKUP(#REF!,Outlist!$A$5:$V$120,20,FALSE),"")</f>
        <v/>
      </c>
      <c r="AQ56" s="288" t="str">
        <f>IFERROR(IF(VLOOKUP($A56,#REF!,8,FALSE)&lt;&gt;"",VLOOKUP($A56,#REF!,8,FALSE),""),"")</f>
        <v/>
      </c>
      <c r="AS56" s="24"/>
      <c r="AT56" s="24">
        <v>1.7361111111111112E-2</v>
      </c>
      <c r="AU56" s="27"/>
      <c r="AV56" s="27"/>
      <c r="AX56" s="20" t="str">
        <f>IFERROR(IF(Out_Table[[#This Row],[Cancellazione linea]]="Cancellata","yes",""),"")</f>
        <v/>
      </c>
      <c r="AY56" s="72" t="str">
        <f>IF(BA56="",BZ56,IF(AND(BA56&lt;(--"23:59:59"),BA56&gt;(--"15:00:00"),G56&lt;(--"14:00:00"),G56&gt;(--"00:00:01")),"",IF(BA56&gt;G56,BZ56,"")))</f>
        <v/>
      </c>
      <c r="AZ56" s="27"/>
      <c r="BA56" s="32"/>
      <c r="BB56" s="72"/>
      <c r="BC56" s="72" t="str">
        <f>IFERROR(VLOOKUP(Out_Table[[#This Row],[Aggiornamento STATUS]],'INformazioni per calcoli'!$Y$70:$AA$76,2,FALSE),"")</f>
        <v/>
      </c>
      <c r="BD56" s="289"/>
      <c r="BE56" s="289"/>
      <c r="BF56" s="47" t="str">
        <f>LEFT($E56,3)</f>
        <v>GOA</v>
      </c>
      <c r="BG56" s="298" t="str">
        <f>IF(Out_Table[[#This Row],[Ora Uscita    (GH)]]&lt;&gt;"","x","")</f>
        <v/>
      </c>
      <c r="BH56" s="299">
        <f>VLOOKUP($O56,'INformazioni per calcoli'!$Y$20:$AA$23,3,FALSE)</f>
        <v>14</v>
      </c>
      <c r="BI56" s="299">
        <f>MROUND(Out_Table[[#This Row],[Mtr. Trailer]]*AB56,0.5)</f>
        <v>0</v>
      </c>
      <c r="BJ56" s="299">
        <f>MROUND(Out_Table[[#This Row],[Mtr. Trailer]]*AE56,0.5)</f>
        <v>0</v>
      </c>
      <c r="BK56" s="299">
        <f>MROUND(Out_Table[[#This Row],[Mtr. Trailer]]*AH56,0.5)</f>
        <v>0</v>
      </c>
      <c r="BL56" s="300">
        <f>Out_Table[[#This Row],[Double Deck trailer N° bumpers]]</f>
        <v>0</v>
      </c>
      <c r="BM56" s="301"/>
      <c r="BN56" s="299" t="str">
        <f>B56</f>
        <v>ITD12413</v>
      </c>
      <c r="BO56" s="299" t="str">
        <f>E56</f>
        <v>GOA</v>
      </c>
      <c r="BP56" s="302">
        <f>IF(AND(G56&gt;(--"00:00:01"),G56&lt;(--"15:00:00")),IF(AND(X56&gt;(--"00:00:01"),X56&lt;(--"15:00:00")),G56-X56,G56+1-X56),G56-X56)</f>
        <v>1.25</v>
      </c>
      <c r="BQ56" s="303">
        <f>AE56+AF56+AH56+AJ56</f>
        <v>0</v>
      </c>
      <c r="BR56" s="304" t="str">
        <f>IF(OR(BP56&lt;=(--"00:20:00"),BQ56&gt;=100%),"OK","Not OK")</f>
        <v>Not OK</v>
      </c>
      <c r="BS56" s="302">
        <f>IF(AND(G56&gt;(--"00:00:01"),G56&lt;(--"15:00:00")),IF(AND(AU56&gt;(--"00:00:01"),AU56&lt;(--"15:00:00")),G56-AU56,G56+1-AU56),G56-AU56)</f>
        <v>1.25</v>
      </c>
      <c r="BT56" s="302">
        <f>IF(AND(AZ56&gt;(--"00:00:01"),AZ56&lt;(--"15:00:00")),IF(AND(AU56&gt;(--"00:00:01"),AU56&lt;(--"15:00:00")),AZ56-AU56,AZ56+1-AU56),AZ56-AU56)</f>
        <v>0</v>
      </c>
      <c r="BU56" s="302">
        <f>IF(AND(BA56&gt;(--"00:00:01"),BA56&lt;(--"15:00:00")),IF(AND(AZ56&gt;(--"00:00:01"),AZ56&lt;(--"15:00:00")),BA56-AZ56,BA56+1-AZ56),BA56-AZ56)</f>
        <v>0</v>
      </c>
      <c r="BV56" s="299">
        <f>AV56</f>
        <v>0</v>
      </c>
      <c r="BW56" s="301"/>
      <c r="BX56" s="299" t="str">
        <f>IF(AV56="T Status",IF(AV56&lt;&gt;T56,"X",""),"")</f>
        <v/>
      </c>
      <c r="BY56" s="301"/>
      <c r="BZ56" s="299" t="str">
        <f>IF(X56&lt;&gt;"",IF(CC56="X","Driver Delay",IF(CA56="X","Paperwork Delay",IF(CB56="X","Late freight late sort",IF(CD56="X","Chiamare Control Room",IF(CE56="X","Chiamare Control Room",IF(CF56="X","Chiamare Control Room","")))))),"")</f>
        <v/>
      </c>
      <c r="CA56" s="302" t="str">
        <f>IF(K56="",IF(IF(AND(G56&gt;(--"00:00:01"),G56&lt;(--"15:00:00")),IF(AND(AT56&gt;(--"08:00:00"),AT56&lt;(--"23:59:59")),G56+1-AT56,G56-AT56),G56-AT56)&gt;(--"00:20:00"),"","X"),"")</f>
        <v/>
      </c>
      <c r="CB56" s="299" t="str">
        <f>IF(K56="",IF(BP56&gt;=(--"00:20:00"),"","X"),"")</f>
        <v/>
      </c>
      <c r="CC56" s="299" t="str">
        <f>IF(OR(AV56="Autista non presente",AV56="Dati driver non presenti"),"X","")</f>
        <v/>
      </c>
      <c r="CD56" s="299" t="str">
        <f>IF(K56="",IF(AND(CC56="",BS56&lt;(--"00:20:00")),"X",""),"")</f>
        <v/>
      </c>
      <c r="CE56" s="299" t="str">
        <f>IF(K56="",IF(BT56&gt;(--"00:15:00"),"X",""),IF(AZ56&lt;&gt;"",IF(G56-AZ56&gt;(--"00:30:00"),"X",""),""))</f>
        <v/>
      </c>
      <c r="CF56" s="299" t="str">
        <f>IF(AND(CA56="",CB56="",CC56="",CD56="",CE56=""),"X","")</f>
        <v>X</v>
      </c>
      <c r="CG56" s="301"/>
      <c r="CH56" s="299" t="str">
        <f>IF(BT56&gt;(--"00:15:00"),"X","")</f>
        <v/>
      </c>
      <c r="CI56" s="302" t="str">
        <f>AY56</f>
        <v/>
      </c>
      <c r="CJ56" s="299" t="str">
        <f>IF(AND(CH56&lt;&gt;"",CI56&lt;&gt;"",LEFT(B56,3)="ITD"),AP56,"")</f>
        <v/>
      </c>
      <c r="CK56" s="305" t="str">
        <f>IF(CJ56&lt;&gt;"",BT56,"")</f>
        <v/>
      </c>
      <c r="CL56" s="301"/>
      <c r="CM56" s="305" t="str">
        <f>IFERROR(VLOOKUP(Q56,'Elenco Casse'!$D$4:$F$292,3,FALSE),"")</f>
        <v/>
      </c>
      <c r="CN56" s="301"/>
      <c r="CO56" s="305" t="str">
        <f>IFERROR(VLOOKUP(S56,'Elenco Casse'!$D$4:$F$292,3,FALSE),"")</f>
        <v/>
      </c>
      <c r="CP56" s="305" t="str">
        <f>IFERROR(IF(VLOOKUP($E56,Outlist!$A$5:$S$120,19,FALSE)&lt;&gt;0,"Y",""),"")</f>
        <v/>
      </c>
      <c r="CQ56" s="301"/>
      <c r="CR56" s="305" t="str">
        <f>CONCATENATE($B56,$E56,$G56)</f>
        <v>ITD12413GOA0.25</v>
      </c>
      <c r="CS56" s="301"/>
      <c r="CT56" s="305" t="e">
        <f>VLOOKUP(Out_Table[[#This Row],[Destination             ORANGE (From Planning)]],Outlist!$A$5:$W$120,22,FALSE)</f>
        <v>#N/A</v>
      </c>
    </row>
    <row r="57" spans="1:98" s="20" customFormat="1" ht="30.75">
      <c r="A57" s="305" t="str">
        <f>$CR57</f>
        <v>ITD12403GOA0.166666666666667</v>
      </c>
      <c r="B57" s="284" t="s">
        <v>594</v>
      </c>
      <c r="C57" s="290" t="str">
        <f>IFERROR(IF(LEFT(B57,3)='STAT 77'!$X$2,_xlfn.XLOOKUP(B57,'STAT 77'!C:C,'STAT 77'!B:B),_xlfn.XLOOKUP(B57,'STAT 77'!B:B,'STAT 77'!C:C)),"NON TROVATO")</f>
        <v>ITD31560</v>
      </c>
      <c r="D57" s="25" t="s">
        <v>590</v>
      </c>
      <c r="E57" s="290" t="s">
        <v>591</v>
      </c>
      <c r="F57" s="290" t="str">
        <f>IFERROR(VLOOKUP(E57,'Cambio O2P'!C:E,2,FALSE),"")</f>
        <v>GOAT8</v>
      </c>
      <c r="G57" s="285">
        <v>0.16666666666666666</v>
      </c>
      <c r="H57" s="293" t="str">
        <f ca="1">IFERROR(IF(AND('INformazioni per calcoli'!$AB$3&lt;(--"14:30"),'INformazioni per calcoli'!$AB$3&gt;(--"10:00")),"",IF($B57="","",IF($X57&lt;&gt;"","Mezzo Chiuso",IF($W57="","Non al Carico",IF($G57-'INformazioni per calcoli'!$AB$5-'INformazioni per calcoli'!$AB$3+$J57&lt;0,"LFLS",IF($K57&lt;&gt;"","Safe Parking",IF($W57&lt;&gt;"",IF($E57="MXP",$G57-'INformazioni per calcoli'!$AB$6-'INformazioni per calcoli'!$AB$3+$J57,$G57-'INformazioni per calcoli'!$AB$5-'INformazioni per calcoli'!$AB$3+$J57),"Non al carico"))))))),"")</f>
        <v>Mezzo Chiuso</v>
      </c>
      <c r="I57" s="17" t="str">
        <f ca="1">IFERROR(IF($H57&lt;&gt;"",IF($H57="Safe Parking","",IF($W57&lt;&gt;"",IF(AND($U57="X",$V57="X"),$H57-(--"00:30"),""),IF($X57&lt;&gt;"","Mezzo Chiuso","Non al carico"))),""),"")</f>
        <v/>
      </c>
      <c r="J57" s="306">
        <f ca="1">IFERROR(IF($B57&lt;&gt;"",IF(AND('INformazioni per calcoli'!$AB$3&lt;(--"15:00"),'INformazioni per calcoli'!$AB$3&gt;(--"00:00")),0,IF($G57&lt;(--"18:30"),"+1",0)),""),"")</f>
        <v>0</v>
      </c>
      <c r="K57" s="17"/>
      <c r="L57" s="25" t="s">
        <v>52</v>
      </c>
      <c r="M57" s="25" t="str">
        <f>IFERROR(_xlfn.XLOOKUP($Q57,'Elenco Casse'!$D:$D,'Elenco Casse'!$E:$E),"")</f>
        <v/>
      </c>
      <c r="N57" s="25" t="str">
        <f>IFERROR(_xlfn.XLOOKUP($Q57,'Elenco Casse'!$D:$D,'Elenco Casse'!$F:$F),"")</f>
        <v/>
      </c>
      <c r="O57" s="286" t="s">
        <v>418</v>
      </c>
      <c r="P57" s="295" t="str">
        <f>IFERROR(_xlfn.XLOOKUP($Q57,'Elenco Casse'!$D:$D,'Elenco Casse'!$G:$G),"")</f>
        <v/>
      </c>
      <c r="Q57" s="355" t="s">
        <v>595</v>
      </c>
      <c r="R57" s="23" t="s">
        <v>420</v>
      </c>
      <c r="S57" s="25" t="s">
        <v>421</v>
      </c>
      <c r="T57" s="25" t="s">
        <v>432</v>
      </c>
      <c r="U57" s="23" t="str">
        <f>IF(ISNUMBER(SEARCH("Parcel",$T57)),"X","")</f>
        <v>X</v>
      </c>
      <c r="V57" s="23" t="str">
        <f>IF(ISNUMBER(SEARCH("Freight",$T57)),"X","")</f>
        <v/>
      </c>
      <c r="W57" s="26">
        <v>351</v>
      </c>
      <c r="X57" s="27">
        <v>1.2500000000000001E-2</v>
      </c>
      <c r="Y57" s="25" t="s">
        <v>596</v>
      </c>
      <c r="Z57" s="25"/>
      <c r="AA57" s="25" t="s">
        <v>40</v>
      </c>
      <c r="AB57" s="57">
        <v>1</v>
      </c>
      <c r="AC57" s="25"/>
      <c r="AD57" s="25"/>
      <c r="AE57" s="57"/>
      <c r="AF57" s="57"/>
      <c r="AG57" s="25"/>
      <c r="AH57" s="57"/>
      <c r="AI57" s="339">
        <v>9</v>
      </c>
      <c r="AJ57" s="339"/>
      <c r="AK57" s="297" t="str">
        <f>IF(X57&lt;&gt;"",CONCATENATE(IF(AA57&lt;&gt;"",CONCATENATE(Z57," ",AA57," ",BI57),""),IF(AD57&lt;&gt;"",CONCATENATE(","," ",AC57," ",AD57," ",BJ57),""),IF(AG57&lt;&gt;"",CONCATENATE(","," ",AF57," ",AG57," ",BK57),""),IF(AJ57&lt;&gt;"",CONCATENATE(","," ","DD"," ",BL57),"")," ",IF(AI57&lt;&gt;"",CONCATENATE(" - ",AI57," Bag"),"")),"")</f>
        <v xml:space="preserve"> LL 14  - 9 Bag</v>
      </c>
      <c r="AL57" s="287" t="s">
        <v>421</v>
      </c>
      <c r="AM57" s="287"/>
      <c r="AN57" s="287"/>
      <c r="AO57" s="287"/>
      <c r="AP57" s="370" t="str">
        <f>IFERROR(VLOOKUP(#REF!,Outlist!$A$5:$V$120,20,FALSE),"")</f>
        <v/>
      </c>
      <c r="AQ57" s="288" t="str">
        <f>IFERROR(IF(VLOOKUP($A57,#REF!,8,FALSE)&lt;&gt;"",VLOOKUP($A57,#REF!,8,FALSE),""),"")</f>
        <v/>
      </c>
      <c r="AS57" s="24"/>
      <c r="AT57" s="24">
        <v>0.48333333333333334</v>
      </c>
      <c r="AU57" s="27">
        <v>0.14374999999999999</v>
      </c>
      <c r="AV57" s="27"/>
      <c r="AX57" s="20" t="str">
        <f>IFERROR(IF(Out_Table[[#This Row],[Cancellazione linea]]="Cancellata","yes",""),"")</f>
        <v/>
      </c>
      <c r="AY57" s="72" t="str">
        <f>IF(BA57="",BZ57,IF(AND(BA57&lt;(--"23:59:59"),BA57&gt;(--"15:00:00"),G57&lt;(--"14:00:00"),G57&gt;(--"00:00:01")),"",IF(BA57&gt;G57,BZ57,"")))</f>
        <v>Chiamare Control Room</v>
      </c>
      <c r="AZ57" s="27"/>
      <c r="BA57" s="32"/>
      <c r="BB57" s="72"/>
      <c r="BC57" s="72" t="str">
        <f>IFERROR(VLOOKUP(Out_Table[[#This Row],[Aggiornamento STATUS]],'INformazioni per calcoli'!$Y$70:$AA$76,2,FALSE),"")</f>
        <v/>
      </c>
      <c r="BD57" s="289"/>
      <c r="BE57" s="289"/>
      <c r="BF57" s="47" t="str">
        <f>LEFT($E57,3)</f>
        <v>GOA</v>
      </c>
      <c r="BG57" s="298" t="str">
        <f>IF(Out_Table[[#This Row],[Ora Uscita    (GH)]]&lt;&gt;"","x","")</f>
        <v/>
      </c>
      <c r="BH57" s="299">
        <f>VLOOKUP($O57,'INformazioni per calcoli'!$Y$20:$AA$23,3,FALSE)</f>
        <v>14</v>
      </c>
      <c r="BI57" s="299">
        <f>MROUND(Out_Table[[#This Row],[Mtr. Trailer]]*AB57,0.5)</f>
        <v>14</v>
      </c>
      <c r="BJ57" s="299">
        <f>MROUND(Out_Table[[#This Row],[Mtr. Trailer]]*AE57,0.5)</f>
        <v>0</v>
      </c>
      <c r="BK57" s="299">
        <f>MROUND(Out_Table[[#This Row],[Mtr. Trailer]]*AH57,0.5)</f>
        <v>0</v>
      </c>
      <c r="BL57" s="300">
        <f>Out_Table[[#This Row],[Double Deck trailer N° bumpers]]</f>
        <v>0</v>
      </c>
      <c r="BM57" s="301"/>
      <c r="BN57" s="299" t="str">
        <f>B57</f>
        <v>ITD12403</v>
      </c>
      <c r="BO57" s="299" t="str">
        <f>E57</f>
        <v>GOA</v>
      </c>
      <c r="BP57" s="302">
        <f>IF(AND(G57&gt;(--"00:00:01"),G57&lt;(--"15:00:00")),IF(AND(X57&gt;(--"00:00:01"),X57&lt;(--"15:00:00")),G57-X57,G57+1-X57),G57-X57)</f>
        <v>0.15416666666666665</v>
      </c>
      <c r="BQ57" s="303">
        <f>AE57+AF57+AH57+AJ57</f>
        <v>0</v>
      </c>
      <c r="BR57" s="304" t="str">
        <f>IF(OR(BP57&lt;=(--"00:20:00"),BQ57&gt;=100%),"OK","Not OK")</f>
        <v>Not OK</v>
      </c>
      <c r="BS57" s="302">
        <f>IF(AND(G57&gt;(--"00:00:01"),G57&lt;(--"15:00:00")),IF(AND(AU57&gt;(--"00:00:01"),AU57&lt;(--"15:00:00")),G57-AU57,G57+1-AU57),G57-AU57)</f>
        <v>2.2916666666666669E-2</v>
      </c>
      <c r="BT57" s="302">
        <f>IF(AND(AZ57&gt;(--"00:00:01"),AZ57&lt;(--"15:00:00")),IF(AND(AU57&gt;(--"00:00:01"),AU57&lt;(--"15:00:00")),AZ57-AU57,AZ57+1-AU57),AZ57-AU57)</f>
        <v>-0.14374999999999999</v>
      </c>
      <c r="BU57" s="302">
        <f>IF(AND(BA57&gt;(--"00:00:01"),BA57&lt;(--"15:00:00")),IF(AND(AZ57&gt;(--"00:00:01"),AZ57&lt;(--"15:00:00")),BA57-AZ57,BA57+1-AZ57),BA57-AZ57)</f>
        <v>0</v>
      </c>
      <c r="BV57" s="299">
        <f>AV57</f>
        <v>0</v>
      </c>
      <c r="BW57" s="301"/>
      <c r="BX57" s="299" t="str">
        <f>IF(AV57="T Status",IF(AV57&lt;&gt;T57,"X",""),"")</f>
        <v/>
      </c>
      <c r="BY57" s="301"/>
      <c r="BZ57" s="299" t="str">
        <f>IF(X57&lt;&gt;"",IF(CC57="X","Driver Delay",IF(CA57="X","Paperwork Delay",IF(CB57="X","Late freight late sort",IF(CD57="X","Chiamare Control Room",IF(CE57="X","Chiamare Control Room",IF(CF57="X","Chiamare Control Room","")))))),"")</f>
        <v>Chiamare Control Room</v>
      </c>
      <c r="CA57" s="302" t="str">
        <f>IF(K57="",IF(IF(AND(G57&gt;(--"00:00:01"),G57&lt;(--"15:00:00")),IF(AND(AT57&gt;(--"08:00:00"),AT57&lt;(--"23:59:59")),G57+1-AT57,G57-AT57),G57-AT57)&gt;(--"00:20:00"),"","X"),"")</f>
        <v/>
      </c>
      <c r="CB57" s="299" t="str">
        <f>IF(K57="",IF(BP57&gt;=(--"00:20:00"),"","X"),"")</f>
        <v/>
      </c>
      <c r="CC57" s="299" t="str">
        <f>IF(OR(AV57="Autista non presente",AV57="Dati driver non presenti"),"X","")</f>
        <v/>
      </c>
      <c r="CD57" s="299" t="str">
        <f>IF(K57="",IF(AND(CC57="",BS57&lt;(--"00:20:00")),"X",""),"")</f>
        <v/>
      </c>
      <c r="CE57" s="299" t="str">
        <f>IF(K57="",IF(BT57&gt;(--"00:15:00"),"X",""),IF(AZ57&lt;&gt;"",IF(G57-AZ57&gt;(--"00:30:00"),"X",""),""))</f>
        <v/>
      </c>
      <c r="CF57" s="299" t="str">
        <f>IF(AND(CA57="",CB57="",CC57="",CD57="",CE57=""),"X","")</f>
        <v>X</v>
      </c>
      <c r="CG57" s="301"/>
      <c r="CH57" s="299" t="str">
        <f>IF(BT57&gt;(--"00:15:00"),"X","")</f>
        <v/>
      </c>
      <c r="CI57" s="302" t="str">
        <f>AY57</f>
        <v>Chiamare Control Room</v>
      </c>
      <c r="CJ57" s="299" t="str">
        <f>IF(AND(CH57&lt;&gt;"",CI57&lt;&gt;"",LEFT(B57,3)="ITD"),AP57,"")</f>
        <v/>
      </c>
      <c r="CK57" s="305" t="str">
        <f>IF(CJ57&lt;&gt;"",BT57,"")</f>
        <v/>
      </c>
      <c r="CL57" s="301"/>
      <c r="CM57" s="305" t="str">
        <f>IFERROR(VLOOKUP(Q57,'Elenco Casse'!$D$4:$F$292,3,FALSE),"")</f>
        <v/>
      </c>
      <c r="CN57" s="301"/>
      <c r="CO57" s="305" t="str">
        <f>IFERROR(VLOOKUP(S57,'Elenco Casse'!$D$4:$F$292,3,FALSE),"")</f>
        <v/>
      </c>
      <c r="CP57" s="305" t="str">
        <f>IFERROR(IF(VLOOKUP($E57,Outlist!$A$5:$S$120,19,FALSE)&lt;&gt;0,"Y",""),"")</f>
        <v/>
      </c>
      <c r="CQ57" s="301"/>
      <c r="CR57" s="305" t="str">
        <f>CONCATENATE($B57,$E57,$G57)</f>
        <v>ITD12403GOA0.166666666666667</v>
      </c>
      <c r="CS57" s="301"/>
      <c r="CT57" s="305" t="e">
        <f>VLOOKUP(Out_Table[[#This Row],[Destination             ORANGE (From Planning)]],Outlist!$A$5:$W$120,22,FALSE)</f>
        <v>#N/A</v>
      </c>
    </row>
    <row r="58" spans="1:98" s="20" customFormat="1" ht="15">
      <c r="A58" s="305" t="str">
        <f>$CR58</f>
        <v>ITD12402GOA0.208333333333333</v>
      </c>
      <c r="B58" s="284" t="s">
        <v>597</v>
      </c>
      <c r="C58" s="290" t="str">
        <f>IFERROR(IF(LEFT(B58,3)='STAT 77'!$X$2,_xlfn.XLOOKUP(B58,'STAT 77'!C:C,'STAT 77'!B:B),_xlfn.XLOOKUP(B58,'STAT 77'!B:B,'STAT 77'!C:C)),"NON TROVATO")</f>
        <v>ITD31558</v>
      </c>
      <c r="D58" s="25" t="s">
        <v>590</v>
      </c>
      <c r="E58" s="290" t="s">
        <v>591</v>
      </c>
      <c r="F58" s="290" t="str">
        <f>IFERROR(VLOOKUP(E58,'Cambio O2P'!C:E,2,FALSE),"")</f>
        <v>GOAT8</v>
      </c>
      <c r="G58" s="285">
        <v>0.20833333333333334</v>
      </c>
      <c r="H58" s="293">
        <f ca="1">IFERROR(IF(AND('INformazioni per calcoli'!$AB$3&lt;(--"14:30"),'INformazioni per calcoli'!$AB$3&gt;(--"10:00")),"",IF($B58="","",IF($X58&lt;&gt;"","Mezzo Chiuso",IF($W58="","Non al Carico",IF($G58-'INformazioni per calcoli'!$AB$5-'INformazioni per calcoli'!$AB$3+$J58&lt;0,"LFLS",IF($K58&lt;&gt;"","Safe Parking",IF($W58&lt;&gt;"",IF($E58="MXP",$G58-'INformazioni per calcoli'!$AB$6-'INformazioni per calcoli'!$AB$3+$J58,$G58-'INformazioni per calcoli'!$AB$5-'INformazioni per calcoli'!$AB$3+$J58),"Non al carico"))))))),"")</f>
        <v>4.8981481481481487E-2</v>
      </c>
      <c r="I58" s="17" t="str">
        <f ca="1">IFERROR(IF($H58&lt;&gt;"",IF($H58="Safe Parking","",IF($W58&lt;&gt;"",IF(AND($U58="X",$V58="X"),$H58-(--"00:30"),""),IF($X58&lt;&gt;"","Mezzo Chiuso","Non al carico"))),""),"")</f>
        <v/>
      </c>
      <c r="J58" s="306">
        <f ca="1">IFERROR(IF($B58&lt;&gt;"",IF(AND('INformazioni per calcoli'!$AB$3&lt;(--"15:00"),'INformazioni per calcoli'!$AB$3&gt;(--"00:00")),0,IF($G58&lt;(--"18:30"),"+1",0)),""),"")</f>
        <v>0</v>
      </c>
      <c r="K58" s="17"/>
      <c r="L58" s="25" t="s">
        <v>52</v>
      </c>
      <c r="M58" s="25" t="str">
        <f>IFERROR(_xlfn.XLOOKUP($Q58,'Elenco Casse'!$D:$D,'Elenco Casse'!$E:$E),"")</f>
        <v>Matelda Srl</v>
      </c>
      <c r="N58" s="25">
        <f>IFERROR(_xlfn.XLOOKUP($Q58,'Elenco Casse'!$D:$D,'Elenco Casse'!$F:$F),"")</f>
        <v>0</v>
      </c>
      <c r="O58" s="286" t="s">
        <v>418</v>
      </c>
      <c r="P58" s="295" t="str">
        <f>IFERROR(_xlfn.XLOOKUP($Q58,'Elenco Casse'!$D:$D,'Elenco Casse'!$G:$G),"")</f>
        <v>trailer 80 m3 2/3 axes</v>
      </c>
      <c r="Q58" s="355" t="s">
        <v>598</v>
      </c>
      <c r="R58" s="23" t="s">
        <v>420</v>
      </c>
      <c r="S58" s="25" t="s">
        <v>421</v>
      </c>
      <c r="T58" s="25" t="s">
        <v>599</v>
      </c>
      <c r="U58" s="23" t="s">
        <v>61</v>
      </c>
      <c r="V58" s="23"/>
      <c r="W58" s="26">
        <v>352</v>
      </c>
      <c r="X58" s="27"/>
      <c r="Y58" s="25"/>
      <c r="Z58" s="25"/>
      <c r="AA58" s="25" t="s">
        <v>40</v>
      </c>
      <c r="AB58" s="57"/>
      <c r="AC58" s="25"/>
      <c r="AD58" s="25"/>
      <c r="AE58" s="57"/>
      <c r="AF58" s="57"/>
      <c r="AG58" s="25"/>
      <c r="AH58" s="57"/>
      <c r="AI58" s="339"/>
      <c r="AJ58" s="339"/>
      <c r="AK58" s="297" t="str">
        <f>IF(X58&lt;&gt;"",CONCATENATE(IF(AA58&lt;&gt;"",CONCATENATE(Z58," ",AA58," ",BI58),""),IF(AD58&lt;&gt;"",CONCATENATE(","," ",AC58," ",AD58," ",BJ58),""),IF(AG58&lt;&gt;"",CONCATENATE(","," ",AF58," ",AG58," ",BK58),""),IF(AJ58&lt;&gt;"",CONCATENATE(","," ","DD"," ",BL58),"")," ",IF(AI58&lt;&gt;"",CONCATENATE(" - ",AI58," Bag"),"")),"")</f>
        <v/>
      </c>
      <c r="AL58" s="287"/>
      <c r="AM58" s="287"/>
      <c r="AN58" s="287"/>
      <c r="AO58" s="287"/>
      <c r="AP58" s="370" t="str">
        <f>IFERROR(VLOOKUP(#REF!,Outlist!$A$5:$V$120,20,FALSE),"")</f>
        <v/>
      </c>
      <c r="AQ58" s="288" t="str">
        <f>IFERROR(IF(VLOOKUP($A58,#REF!,8,FALSE)&lt;&gt;"",VLOOKUP($A58,#REF!,8,FALSE),""),"")</f>
        <v/>
      </c>
      <c r="AS58" s="24"/>
      <c r="AT58" s="24">
        <v>0.48333333333333334</v>
      </c>
      <c r="AU58" s="27"/>
      <c r="AV58" s="27"/>
      <c r="AX58" s="20" t="str">
        <f>IFERROR(IF(Out_Table[[#This Row],[Cancellazione linea]]="Cancellata","yes",""),"")</f>
        <v/>
      </c>
      <c r="AY58" s="72" t="str">
        <f>IF(BA58="",BZ58,IF(AND(BA58&lt;(--"23:59:59"),BA58&gt;(--"15:00:00"),G58&lt;(--"14:00:00"),G58&gt;(--"00:00:01")),"",IF(BA58&gt;G58,BZ58,"")))</f>
        <v/>
      </c>
      <c r="AZ58" s="27"/>
      <c r="BA58" s="32"/>
      <c r="BB58" s="72"/>
      <c r="BC58" s="72" t="str">
        <f>IFERROR(VLOOKUP(Out_Table[[#This Row],[Aggiornamento STATUS]],'INformazioni per calcoli'!$Y$70:$AA$76,2,FALSE),"")</f>
        <v/>
      </c>
      <c r="BD58" s="289"/>
      <c r="BE58" s="289"/>
      <c r="BF58" s="47" t="str">
        <f>LEFT($E58,3)</f>
        <v>GOA</v>
      </c>
      <c r="BG58" s="298" t="str">
        <f>IF(Out_Table[[#This Row],[Ora Uscita    (GH)]]&lt;&gt;"","x","")</f>
        <v/>
      </c>
      <c r="BH58" s="299">
        <f>VLOOKUP($O58,'INformazioni per calcoli'!$Y$20:$AA$23,3,FALSE)</f>
        <v>14</v>
      </c>
      <c r="BI58" s="299">
        <f>MROUND(Out_Table[[#This Row],[Mtr. Trailer]]*AB58,0.5)</f>
        <v>0</v>
      </c>
      <c r="BJ58" s="299">
        <f>MROUND(Out_Table[[#This Row],[Mtr. Trailer]]*AE58,0.5)</f>
        <v>0</v>
      </c>
      <c r="BK58" s="299">
        <f>MROUND(Out_Table[[#This Row],[Mtr. Trailer]]*AH58,0.5)</f>
        <v>0</v>
      </c>
      <c r="BL58" s="300">
        <f>Out_Table[[#This Row],[Double Deck trailer N° bumpers]]</f>
        <v>0</v>
      </c>
      <c r="BM58" s="301"/>
      <c r="BN58" s="299" t="str">
        <f>B58</f>
        <v>ITD12402</v>
      </c>
      <c r="BO58" s="299" t="str">
        <f>E58</f>
        <v>GOA</v>
      </c>
      <c r="BP58" s="302">
        <f>IF(AND(G58&gt;(--"00:00:01"),G58&lt;(--"15:00:00")),IF(AND(X58&gt;(--"00:00:01"),X58&lt;(--"15:00:00")),G58-X58,G58+1-X58),G58-X58)</f>
        <v>1.2083333333333333</v>
      </c>
      <c r="BQ58" s="303">
        <f>AE58+AF58+AH58+AJ58</f>
        <v>0</v>
      </c>
      <c r="BR58" s="304" t="str">
        <f>IF(OR(BP58&lt;=(--"00:20:00"),BQ58&gt;=100%),"OK","Not OK")</f>
        <v>Not OK</v>
      </c>
      <c r="BS58" s="302">
        <f>IF(AND(G58&gt;(--"00:00:01"),G58&lt;(--"15:00:00")),IF(AND(AU58&gt;(--"00:00:01"),AU58&lt;(--"15:00:00")),G58-AU58,G58+1-AU58),G58-AU58)</f>
        <v>1.2083333333333333</v>
      </c>
      <c r="BT58" s="302">
        <f>IF(AND(AZ58&gt;(--"00:00:01"),AZ58&lt;(--"15:00:00")),IF(AND(AU58&gt;(--"00:00:01"),AU58&lt;(--"15:00:00")),AZ58-AU58,AZ58+1-AU58),AZ58-AU58)</f>
        <v>0</v>
      </c>
      <c r="BU58" s="302">
        <f>IF(AND(BA58&gt;(--"00:00:01"),BA58&lt;(--"15:00:00")),IF(AND(AZ58&gt;(--"00:00:01"),AZ58&lt;(--"15:00:00")),BA58-AZ58,BA58+1-AZ58),BA58-AZ58)</f>
        <v>0</v>
      </c>
      <c r="BV58" s="299">
        <f>AV58</f>
        <v>0</v>
      </c>
      <c r="BW58" s="301"/>
      <c r="BX58" s="299" t="str">
        <f>IF(AV58="T Status",IF(AV58&lt;&gt;T58,"X",""),"")</f>
        <v/>
      </c>
      <c r="BY58" s="301"/>
      <c r="BZ58" s="299" t="str">
        <f>IF(X58&lt;&gt;"",IF(CC58="X","Driver Delay",IF(CA58="X","Paperwork Delay",IF(CB58="X","Late freight late sort",IF(CD58="X","Chiamare Control Room",IF(CE58="X","Chiamare Control Room",IF(CF58="X","Chiamare Control Room","")))))),"")</f>
        <v/>
      </c>
      <c r="CA58" s="302" t="str">
        <f>IF(K58="",IF(IF(AND(G58&gt;(--"00:00:01"),G58&lt;(--"15:00:00")),IF(AND(AT58&gt;(--"08:00:00"),AT58&lt;(--"23:59:59")),G58+1-AT58,G58-AT58),G58-AT58)&gt;(--"00:20:00"),"","X"),"")</f>
        <v/>
      </c>
      <c r="CB58" s="299" t="str">
        <f>IF(K58="",IF(BP58&gt;=(--"00:20:00"),"","X"),"")</f>
        <v/>
      </c>
      <c r="CC58" s="299" t="str">
        <f>IF(OR(AV58="Autista non presente",AV58="Dati driver non presenti"),"X","")</f>
        <v/>
      </c>
      <c r="CD58" s="299" t="str">
        <f>IF(K58="",IF(AND(CC58="",BS58&lt;(--"00:20:00")),"X",""),"")</f>
        <v/>
      </c>
      <c r="CE58" s="299" t="str">
        <f>IF(K58="",IF(BT58&gt;(--"00:15:00"),"X",""),IF(AZ58&lt;&gt;"",IF(G58-AZ58&gt;(--"00:30:00"),"X",""),""))</f>
        <v/>
      </c>
      <c r="CF58" s="299" t="str">
        <f>IF(AND(CA58="",CB58="",CC58="",CD58="",CE58=""),"X","")</f>
        <v>X</v>
      </c>
      <c r="CG58" s="301"/>
      <c r="CH58" s="299" t="str">
        <f>IF(BT58&gt;(--"00:15:00"),"X","")</f>
        <v/>
      </c>
      <c r="CI58" s="302" t="str">
        <f>AY58</f>
        <v/>
      </c>
      <c r="CJ58" s="299" t="str">
        <f>IF(AND(CH58&lt;&gt;"",CI58&lt;&gt;"",LEFT(B58,3)="ITD"),AP58,"")</f>
        <v/>
      </c>
      <c r="CK58" s="305" t="str">
        <f>IF(CJ58&lt;&gt;"",BT58,"")</f>
        <v/>
      </c>
      <c r="CL58" s="301"/>
      <c r="CM58" s="305" t="str">
        <f>IFERROR(VLOOKUP(Q58,'Elenco Casse'!$D$4:$F$292,3,FALSE),"")</f>
        <v/>
      </c>
      <c r="CN58" s="301"/>
      <c r="CO58" s="305" t="str">
        <f>IFERROR(VLOOKUP(S58,'Elenco Casse'!$D$4:$F$292,3,FALSE),"")</f>
        <v/>
      </c>
      <c r="CP58" s="305" t="str">
        <f>IFERROR(IF(VLOOKUP($E58,Outlist!$A$5:$S$120,19,FALSE)&lt;&gt;0,"Y",""),"")</f>
        <v/>
      </c>
      <c r="CQ58" s="301"/>
      <c r="CR58" s="305" t="str">
        <f>CONCATENATE($B58,$E58,$G58)</f>
        <v>ITD12402GOA0.208333333333333</v>
      </c>
      <c r="CS58" s="301"/>
      <c r="CT58" s="305" t="e">
        <f>VLOOKUP(Out_Table[[#This Row],[Destination             ORANGE (From Planning)]],Outlist!$A$5:$W$120,22,FALSE)</f>
        <v>#N/A</v>
      </c>
    </row>
    <row r="59" spans="1:98" s="20" customFormat="1" ht="15">
      <c r="A59" s="305" t="str">
        <f>$CR59</f>
        <v>ITD12098MZ10.291666666666667</v>
      </c>
      <c r="B59" s="284" t="s">
        <v>600</v>
      </c>
      <c r="C59" s="290" t="str">
        <f>IFERROR(IF(LEFT(B59,3)='STAT 77'!$X$2,_xlfn.XLOOKUP(B59,'STAT 77'!C:C,'STAT 77'!B:B),_xlfn.XLOOKUP(B59,'STAT 77'!B:B,'STAT 77'!C:C)),"NON TROVATO")</f>
        <v>ITD30860</v>
      </c>
      <c r="D59" s="25" t="s">
        <v>601</v>
      </c>
      <c r="E59" s="290" t="s">
        <v>602</v>
      </c>
      <c r="F59" s="290" t="str">
        <f>IFERROR(VLOOKUP(E59,'Cambio O2P'!C:E,2,FALSE),"")</f>
        <v>QRTA</v>
      </c>
      <c r="G59" s="285">
        <v>0.29166666666666669</v>
      </c>
      <c r="H59" s="293">
        <f ca="1">IFERROR(IF(AND('INformazioni per calcoli'!$AB$3&lt;(--"14:30"),'INformazioni per calcoli'!$AB$3&gt;(--"10:00")),"",IF($B59="","",IF($X59&lt;&gt;"","Mezzo Chiuso",IF($W59="","Non al Carico",IF($G59-'INformazioni per calcoli'!$AB$5-'INformazioni per calcoli'!$AB$3+$J59&lt;0,"LFLS",IF($K59&lt;&gt;"","Safe Parking",IF($W59&lt;&gt;"",IF($E59="MXP",$G59-'INformazioni per calcoli'!$AB$6-'INformazioni per calcoli'!$AB$3+$J59,$G59-'INformazioni per calcoli'!$AB$5-'INformazioni per calcoli'!$AB$3+$J59),"Non al carico"))))))),"")</f>
        <v>0.13231481481481483</v>
      </c>
      <c r="I59" s="17">
        <f ca="1">IFERROR(IF($H59&lt;&gt;"",IF($H59="Safe Parking","",IF($W59&lt;&gt;"",IF(AND($U59="X",$V59="X"),$H59-(--"00:30"),""),IF($X59&lt;&gt;"","Mezzo Chiuso","Non al carico"))),""),"")</f>
        <v>0.1114814814814815</v>
      </c>
      <c r="J59" s="306">
        <f ca="1">IFERROR(IF($B59&lt;&gt;"",IF(AND('INformazioni per calcoli'!$AB$3&lt;(--"15:00"),'INformazioni per calcoli'!$AB$3&gt;(--"00:00")),0,IF($G59&lt;(--"18:30"),"+1",0)),""),"")</f>
        <v>0</v>
      </c>
      <c r="K59" s="17"/>
      <c r="L59" s="25" t="s">
        <v>427</v>
      </c>
      <c r="M59" s="25" t="str">
        <f>IFERROR(_xlfn.XLOOKUP($Q59,'Elenco Casse'!$D:$D,'Elenco Casse'!$E:$E),"")</f>
        <v/>
      </c>
      <c r="N59" s="25" t="str">
        <f>IFERROR(_xlfn.XLOOKUP($Q59,'Elenco Casse'!$D:$D,'Elenco Casse'!$F:$F),"")</f>
        <v/>
      </c>
      <c r="O59" s="286" t="s">
        <v>418</v>
      </c>
      <c r="P59" s="295" t="str">
        <f>IFERROR(_xlfn.XLOOKUP($Q59,'Elenco Casse'!$D:$D,'Elenco Casse'!$G:$G),"")</f>
        <v/>
      </c>
      <c r="Q59" s="355" t="s">
        <v>603</v>
      </c>
      <c r="R59" s="23" t="s">
        <v>420</v>
      </c>
      <c r="S59" s="25" t="s">
        <v>421</v>
      </c>
      <c r="T59" s="25" t="s">
        <v>432</v>
      </c>
      <c r="U59" s="23" t="str">
        <f>IF(ISNUMBER(SEARCH("Parcel",$T59)),"X","")</f>
        <v>X</v>
      </c>
      <c r="V59" s="23" t="s">
        <v>61</v>
      </c>
      <c r="W59" s="26">
        <v>353</v>
      </c>
      <c r="X59" s="27"/>
      <c r="Y59" s="25"/>
      <c r="Z59" s="25"/>
      <c r="AA59" s="25" t="s">
        <v>40</v>
      </c>
      <c r="AB59" s="57"/>
      <c r="AC59" s="25"/>
      <c r="AD59" s="25" t="s">
        <v>487</v>
      </c>
      <c r="AE59" s="57"/>
      <c r="AF59" s="57"/>
      <c r="AG59" s="25" t="s">
        <v>488</v>
      </c>
      <c r="AH59" s="57"/>
      <c r="AI59" s="339"/>
      <c r="AJ59" s="339"/>
      <c r="AK59" s="297" t="str">
        <f>IF(X59&lt;&gt;"",CONCATENATE(IF(AA59&lt;&gt;"",CONCATENATE(Z59," ",AA59," ",BI59),""),IF(AD59&lt;&gt;"",CONCATENATE(","," ",AC59," ",AD59," ",BJ59),""),IF(AG59&lt;&gt;"",CONCATENATE(","," ",AF59," ",AG59," ",BK59),""),IF(AJ59&lt;&gt;"",CONCATENATE(","," ","DD"," ",BL59),"")," ",IF(AI59&lt;&gt;"",CONCATENATE(" - ",AI59," Bag"),"")),"")</f>
        <v/>
      </c>
      <c r="AL59" s="287"/>
      <c r="AM59" s="287"/>
      <c r="AN59" s="287"/>
      <c r="AO59" s="287"/>
      <c r="AP59" s="370" t="str">
        <f>IFERROR(VLOOKUP(#REF!,Outlist!$A$5:$V$120,20,FALSE),"")</f>
        <v/>
      </c>
      <c r="AQ59" s="288" t="str">
        <f>IFERROR(IF(VLOOKUP($A59,#REF!,8,FALSE)&lt;&gt;"",VLOOKUP($A59,#REF!,8,FALSE),""),"")</f>
        <v/>
      </c>
      <c r="AS59" s="24"/>
      <c r="AT59" s="24">
        <v>2.2222222222222223E-2</v>
      </c>
      <c r="AU59" s="27"/>
      <c r="AV59" s="27"/>
      <c r="AX59" s="20" t="str">
        <f>IFERROR(IF(Out_Table[[#This Row],[Cancellazione linea]]="Cancellata","yes",""),"")</f>
        <v/>
      </c>
      <c r="AY59" s="72" t="str">
        <f>IF(BA59="",BZ59,IF(AND(BA59&lt;(--"23:59:59"),BA59&gt;(--"15:00:00"),G59&lt;(--"14:00:00"),G59&gt;(--"00:00:01")),"",IF(BA59&gt;G59,BZ59,"")))</f>
        <v/>
      </c>
      <c r="AZ59" s="27"/>
      <c r="BA59" s="32"/>
      <c r="BB59" s="72"/>
      <c r="BC59" s="72" t="str">
        <f>IFERROR(VLOOKUP(Out_Table[[#This Row],[Aggiornamento STATUS]],'INformazioni per calcoli'!$Y$70:$AA$76,2,FALSE),"")</f>
        <v/>
      </c>
      <c r="BD59" s="289"/>
      <c r="BE59" s="289"/>
      <c r="BF59" s="47" t="str">
        <f>LEFT($E59,3)</f>
        <v>MZ1</v>
      </c>
      <c r="BG59" s="298" t="str">
        <f>IF(Out_Table[[#This Row],[Ora Uscita    (GH)]]&lt;&gt;"","x","")</f>
        <v/>
      </c>
      <c r="BH59" s="299">
        <f>VLOOKUP($O59,'INformazioni per calcoli'!$Y$20:$AA$23,3,FALSE)</f>
        <v>14</v>
      </c>
      <c r="BI59" s="299">
        <f>MROUND(Out_Table[[#This Row],[Mtr. Trailer]]*AB59,0.5)</f>
        <v>0</v>
      </c>
      <c r="BJ59" s="299">
        <f>MROUND(Out_Table[[#This Row],[Mtr. Trailer]]*AE59,0.5)</f>
        <v>0</v>
      </c>
      <c r="BK59" s="299">
        <f>MROUND(Out_Table[[#This Row],[Mtr. Trailer]]*AH59,0.5)</f>
        <v>0</v>
      </c>
      <c r="BL59" s="300">
        <f>Out_Table[[#This Row],[Double Deck trailer N° bumpers]]</f>
        <v>0</v>
      </c>
      <c r="BM59" s="301"/>
      <c r="BN59" s="299" t="str">
        <f>B59</f>
        <v>ITD12098</v>
      </c>
      <c r="BO59" s="299" t="str">
        <f>E59</f>
        <v>MZ1</v>
      </c>
      <c r="BP59" s="302">
        <f>IF(AND(G59&gt;(--"00:00:01"),G59&lt;(--"15:00:00")),IF(AND(X59&gt;(--"00:00:01"),X59&lt;(--"15:00:00")),G59-X59,G59+1-X59),G59-X59)</f>
        <v>1.2916666666666667</v>
      </c>
      <c r="BQ59" s="303">
        <f>AE59+AF59+AH59+AJ59</f>
        <v>0</v>
      </c>
      <c r="BR59" s="304" t="str">
        <f>IF(OR(BP59&lt;=(--"00:20:00"),BQ59&gt;=100%),"OK","Not OK")</f>
        <v>Not OK</v>
      </c>
      <c r="BS59" s="302">
        <f>IF(AND(G59&gt;(--"00:00:01"),G59&lt;(--"15:00:00")),IF(AND(AU59&gt;(--"00:00:01"),AU59&lt;(--"15:00:00")),G59-AU59,G59+1-AU59),G59-AU59)</f>
        <v>1.2916666666666667</v>
      </c>
      <c r="BT59" s="302">
        <f>IF(AND(AZ59&gt;(--"00:00:01"),AZ59&lt;(--"15:00:00")),IF(AND(AU59&gt;(--"00:00:01"),AU59&lt;(--"15:00:00")),AZ59-AU59,AZ59+1-AU59),AZ59-AU59)</f>
        <v>0</v>
      </c>
      <c r="BU59" s="302">
        <f>IF(AND(BA59&gt;(--"00:00:01"),BA59&lt;(--"15:00:00")),IF(AND(AZ59&gt;(--"00:00:01"),AZ59&lt;(--"15:00:00")),BA59-AZ59,BA59+1-AZ59),BA59-AZ59)</f>
        <v>0</v>
      </c>
      <c r="BV59" s="299">
        <f>AV59</f>
        <v>0</v>
      </c>
      <c r="BW59" s="301"/>
      <c r="BX59" s="299" t="str">
        <f>IF(AV59="T Status",IF(AV59&lt;&gt;T59,"X",""),"")</f>
        <v/>
      </c>
      <c r="BY59" s="301"/>
      <c r="BZ59" s="299" t="str">
        <f>IF(X59&lt;&gt;"",IF(CC59="X","Driver Delay",IF(CA59="X","Paperwork Delay",IF(CB59="X","Late freight late sort",IF(CD59="X","Chiamare Control Room",IF(CE59="X","Chiamare Control Room",IF(CF59="X","Chiamare Control Room","")))))),"")</f>
        <v/>
      </c>
      <c r="CA59" s="302" t="str">
        <f>IF(K59="",IF(IF(AND(G59&gt;(--"00:00:01"),G59&lt;(--"15:00:00")),IF(AND(AT59&gt;(--"08:00:00"),AT59&lt;(--"23:59:59")),G59+1-AT59,G59-AT59),G59-AT59)&gt;(--"00:20:00"),"","X"),"")</f>
        <v/>
      </c>
      <c r="CB59" s="299" t="str">
        <f>IF(K59="",IF(BP59&gt;=(--"00:20:00"),"","X"),"")</f>
        <v/>
      </c>
      <c r="CC59" s="299" t="str">
        <f>IF(OR(AV59="Autista non presente",AV59="Dati driver non presenti"),"X","")</f>
        <v/>
      </c>
      <c r="CD59" s="299" t="str">
        <f>IF(K59="",IF(AND(CC59="",BS59&lt;(--"00:20:00")),"X",""),"")</f>
        <v/>
      </c>
      <c r="CE59" s="299" t="str">
        <f>IF(K59="",IF(BT59&gt;(--"00:15:00"),"X",""),IF(AZ59&lt;&gt;"",IF(G59-AZ59&gt;(--"00:30:00"),"X",""),""))</f>
        <v/>
      </c>
      <c r="CF59" s="299" t="str">
        <f>IF(AND(CA59="",CB59="",CC59="",CD59="",CE59=""),"X","")</f>
        <v>X</v>
      </c>
      <c r="CG59" s="301"/>
      <c r="CH59" s="299" t="str">
        <f>IF(BT59&gt;(--"00:15:00"),"X","")</f>
        <v/>
      </c>
      <c r="CI59" s="302" t="str">
        <f>AY59</f>
        <v/>
      </c>
      <c r="CJ59" s="299" t="str">
        <f>IF(AND(CH59&lt;&gt;"",CI59&lt;&gt;"",LEFT(B59,3)="ITD"),AP59,"")</f>
        <v/>
      </c>
      <c r="CK59" s="305" t="str">
        <f>IF(CJ59&lt;&gt;"",BT59,"")</f>
        <v/>
      </c>
      <c r="CL59" s="301"/>
      <c r="CM59" s="305" t="str">
        <f>IFERROR(VLOOKUP(Q59,'Elenco Casse'!$D$4:$F$292,3,FALSE),"")</f>
        <v/>
      </c>
      <c r="CN59" s="301"/>
      <c r="CO59" s="305" t="str">
        <f>IFERROR(VLOOKUP(S59,'Elenco Casse'!$D$4:$F$292,3,FALSE),"")</f>
        <v/>
      </c>
      <c r="CP59" s="305" t="str">
        <f>IFERROR(IF(VLOOKUP($E59,Outlist!$A$5:$S$120,19,FALSE)&lt;&gt;0,"Y",""),"")</f>
        <v/>
      </c>
      <c r="CQ59" s="301"/>
      <c r="CR59" s="305" t="str">
        <f>CONCATENATE($B59,$E59,$G59)</f>
        <v>ITD12098MZ10.291666666666667</v>
      </c>
      <c r="CS59" s="301"/>
      <c r="CT59" s="305" t="e">
        <f>VLOOKUP(Out_Table[[#This Row],[Destination             ORANGE (From Planning)]],Outlist!$A$5:$W$120,22,FALSE)</f>
        <v>#N/A</v>
      </c>
    </row>
    <row r="60" spans="1:98" s="20" customFormat="1" ht="30.75">
      <c r="A60" s="305" t="str">
        <f>$CR60</f>
        <v>ITD12238MZ10.1875</v>
      </c>
      <c r="B60" s="284" t="s">
        <v>604</v>
      </c>
      <c r="C60" s="290" t="str">
        <f>IFERROR(IF(LEFT(B60,3)='STAT 77'!$X$2,_xlfn.XLOOKUP(B60,'STAT 77'!C:C,'STAT 77'!B:B),_xlfn.XLOOKUP(B60,'STAT 77'!B:B,'STAT 77'!C:C)),"NON TROVATO")</f>
        <v>ITD31165</v>
      </c>
      <c r="D60" s="25" t="s">
        <v>605</v>
      </c>
      <c r="E60" s="290" t="s">
        <v>602</v>
      </c>
      <c r="F60" s="290" t="str">
        <f>IFERROR(VLOOKUP(E60,'Cambio O2P'!C:E,2,FALSE),"")</f>
        <v>QRTA</v>
      </c>
      <c r="G60" s="285">
        <v>0.1875</v>
      </c>
      <c r="H60" s="293" t="str">
        <f ca="1">IFERROR(IF(AND('INformazioni per calcoli'!$AB$3&lt;(--"14:30"),'INformazioni per calcoli'!$AB$3&gt;(--"10:00")),"",IF($B60="","",IF($X60&lt;&gt;"","Mezzo Chiuso",IF($W60="","Non al Carico",IF($G60-'INformazioni per calcoli'!$AB$5-'INformazioni per calcoli'!$AB$3+$J60&lt;0,"LFLS",IF($K60&lt;&gt;"","Safe Parking",IF($W60&lt;&gt;"",IF($E60="MXP",$G60-'INformazioni per calcoli'!$AB$6-'INformazioni per calcoli'!$AB$3+$J60,$G60-'INformazioni per calcoli'!$AB$5-'INformazioni per calcoli'!$AB$3+$J60),"Non al carico"))))))),"")</f>
        <v>Mezzo Chiuso</v>
      </c>
      <c r="I60" s="17" t="str">
        <f ca="1">IFERROR(IF($H60&lt;&gt;"",IF($H60="Safe Parking","",IF($W60&lt;&gt;"",IF(AND($U60="X",$V60="X"),$H60-(--"00:30"),""),IF($X60&lt;&gt;"","Mezzo Chiuso","Non al carico"))),""),"")</f>
        <v/>
      </c>
      <c r="J60" s="306">
        <f ca="1">IFERROR(IF($B60&lt;&gt;"",IF(AND('INformazioni per calcoli'!$AB$3&lt;(--"15:00"),'INformazioni per calcoli'!$AB$3&gt;(--"00:00")),0,IF($G60&lt;(--"18:30"),"+1",0)),""),"")</f>
        <v>0</v>
      </c>
      <c r="K60" s="27"/>
      <c r="L60" s="25" t="s">
        <v>606</v>
      </c>
      <c r="M60" s="25" t="str">
        <f>IFERROR(_xlfn.XLOOKUP($Q60,'Elenco Casse'!$D:$D,'Elenco Casse'!$E:$E),"")</f>
        <v>Tonia Trasporti S.R.L.</v>
      </c>
      <c r="N60" s="25">
        <f>IFERROR(_xlfn.XLOOKUP($Q60,'Elenco Casse'!$D:$D,'Elenco Casse'!$F:$F),"")</f>
        <v>0</v>
      </c>
      <c r="O60" s="286" t="s">
        <v>418</v>
      </c>
      <c r="P60" s="295" t="str">
        <f>IFERROR(_xlfn.XLOOKUP($Q60,'Elenco Casse'!$D:$D,'Elenco Casse'!$G:$G),"")</f>
        <v>trailer 80 m3 2/3 axes</v>
      </c>
      <c r="Q60" s="355" t="s">
        <v>607</v>
      </c>
      <c r="R60" s="23" t="s">
        <v>420</v>
      </c>
      <c r="S60" s="25" t="s">
        <v>421</v>
      </c>
      <c r="T60" s="25" t="s">
        <v>432</v>
      </c>
      <c r="U60" s="23" t="str">
        <f>IF(ISNUMBER(SEARCH("Parcel",$T60)),"X","")</f>
        <v>X</v>
      </c>
      <c r="V60" s="23" t="str">
        <f>IF(ISNUMBER(SEARCH("Freight",$T60)),"X","")</f>
        <v/>
      </c>
      <c r="W60" s="26">
        <v>353</v>
      </c>
      <c r="X60" s="27">
        <v>0.9555555555555556</v>
      </c>
      <c r="Y60" s="25" t="s">
        <v>539</v>
      </c>
      <c r="Z60" s="25"/>
      <c r="AA60" s="25" t="s">
        <v>40</v>
      </c>
      <c r="AB60" s="57">
        <v>1</v>
      </c>
      <c r="AC60" s="25"/>
      <c r="AD60" s="25"/>
      <c r="AE60" s="57"/>
      <c r="AF60" s="57"/>
      <c r="AG60" s="25"/>
      <c r="AH60" s="57"/>
      <c r="AI60" s="339">
        <v>9</v>
      </c>
      <c r="AJ60" s="339"/>
      <c r="AK60" s="297" t="str">
        <f>IF(X60&lt;&gt;"",CONCATENATE(IF(AA60&lt;&gt;"",CONCATENATE(Z60," ",AA60," ",BI60),""),IF(AD60&lt;&gt;"",CONCATENATE(","," ",AC60," ",AD60," ",BJ60),""),IF(AG60&lt;&gt;"",CONCATENATE(","," ",AF60," ",AG60," ",BK60),""),IF(AJ60&lt;&gt;"",CONCATENATE(","," ","DD"," ",BL60),"")," ",IF(AI60&lt;&gt;"",CONCATENATE(" - ",AI60," Bag"),"")),"")</f>
        <v xml:space="preserve"> LL 14  - 9 Bag</v>
      </c>
      <c r="AL60" s="287" t="s">
        <v>421</v>
      </c>
      <c r="AM60" s="287"/>
      <c r="AN60" s="287"/>
      <c r="AO60" s="287"/>
      <c r="AP60" s="370" t="str">
        <f>IFERROR(VLOOKUP(#REF!,Outlist!$A$5:$V$120,20,FALSE),"")</f>
        <v/>
      </c>
      <c r="AQ60" s="288" t="str">
        <f>IFERROR(IF(VLOOKUP($A60,#REF!,8,FALSE)&lt;&gt;"",VLOOKUP($A60,#REF!,8,FALSE),""),"")</f>
        <v/>
      </c>
      <c r="AS60" s="24"/>
      <c r="AT60" s="24">
        <v>0.8305555555555556</v>
      </c>
      <c r="AU60" s="27">
        <v>6.458333333333334E-2</v>
      </c>
      <c r="AV60" s="27"/>
      <c r="AX60" s="20" t="str">
        <f>IFERROR(IF(Out_Table[[#This Row],[Cancellazione linea]]="Cancellata","yes",""),"")</f>
        <v/>
      </c>
      <c r="AY60" s="72" t="str">
        <f>IF(BA60="",BZ60,IF(AND(BA60&lt;(--"23:59:59"),BA60&gt;(--"15:00:00"),G60&lt;(--"14:00:00"),G60&gt;(--"00:00:01")),"",IF(BA60&gt;G60,BZ60,"")))</f>
        <v>Chiamare Control Room</v>
      </c>
      <c r="AZ60" s="27"/>
      <c r="BA60" s="32"/>
      <c r="BB60" s="72"/>
      <c r="BC60" s="72" t="str">
        <f>IFERROR(VLOOKUP(Out_Table[[#This Row],[Aggiornamento STATUS]],'INformazioni per calcoli'!$Y$70:$AA$76,2,FALSE),"")</f>
        <v/>
      </c>
      <c r="BD60" s="289"/>
      <c r="BE60" s="289"/>
      <c r="BF60" s="47" t="str">
        <f>LEFT($E60,3)</f>
        <v>MZ1</v>
      </c>
      <c r="BG60" s="298" t="str">
        <f>IF(Out_Table[[#This Row],[Ora Uscita    (GH)]]&lt;&gt;"","x","")</f>
        <v/>
      </c>
      <c r="BH60" s="299">
        <f>VLOOKUP($O60,'INformazioni per calcoli'!$Y$20:$AA$23,3,FALSE)</f>
        <v>14</v>
      </c>
      <c r="BI60" s="299">
        <f>MROUND(Out_Table[[#This Row],[Mtr. Trailer]]*AB60,0.5)</f>
        <v>14</v>
      </c>
      <c r="BJ60" s="299">
        <f>MROUND(Out_Table[[#This Row],[Mtr. Trailer]]*AE60,0.5)</f>
        <v>0</v>
      </c>
      <c r="BK60" s="299">
        <f>MROUND(Out_Table[[#This Row],[Mtr. Trailer]]*AH60,0.5)</f>
        <v>0</v>
      </c>
      <c r="BL60" s="300">
        <f>Out_Table[[#This Row],[Double Deck trailer N° bumpers]]</f>
        <v>0</v>
      </c>
      <c r="BM60" s="301"/>
      <c r="BN60" s="299" t="str">
        <f>B60</f>
        <v>ITD12238</v>
      </c>
      <c r="BO60" s="299" t="str">
        <f>E60</f>
        <v>MZ1</v>
      </c>
      <c r="BP60" s="302">
        <f>IF(AND(G60&gt;(--"00:00:01"),G60&lt;(--"15:00:00")),IF(AND(X60&gt;(--"00:00:01"),X60&lt;(--"15:00:00")),G60-X60,G60+1-X60),G60-X60)</f>
        <v>0.2319444444444444</v>
      </c>
      <c r="BQ60" s="303">
        <f>AE60+AF60+AH60+AJ60</f>
        <v>0</v>
      </c>
      <c r="BR60" s="304" t="str">
        <f>IF(OR(BP60&lt;=(--"00:20:00"),BQ60&gt;=100%),"OK","Not OK")</f>
        <v>Not OK</v>
      </c>
      <c r="BS60" s="302">
        <f>IF(AND(G60&gt;(--"00:00:01"),G60&lt;(--"15:00:00")),IF(AND(AU60&gt;(--"00:00:01"),AU60&lt;(--"15:00:00")),G60-AU60,G60+1-AU60),G60-AU60)</f>
        <v>0.12291666666666666</v>
      </c>
      <c r="BT60" s="302">
        <f>IF(AND(AZ60&gt;(--"00:00:01"),AZ60&lt;(--"15:00:00")),IF(AND(AU60&gt;(--"00:00:01"),AU60&lt;(--"15:00:00")),AZ60-AU60,AZ60+1-AU60),AZ60-AU60)</f>
        <v>-6.458333333333334E-2</v>
      </c>
      <c r="BU60" s="302">
        <f>IF(AND(BA60&gt;(--"00:00:01"),BA60&lt;(--"15:00:00")),IF(AND(AZ60&gt;(--"00:00:01"),AZ60&lt;(--"15:00:00")),BA60-AZ60,BA60+1-AZ60),BA60-AZ60)</f>
        <v>0</v>
      </c>
      <c r="BV60" s="299">
        <f>AV60</f>
        <v>0</v>
      </c>
      <c r="BW60" s="301"/>
      <c r="BX60" s="299" t="str">
        <f>IF(AV60="T Status",IF(AV60&lt;&gt;T60,"X",""),"")</f>
        <v/>
      </c>
      <c r="BY60" s="301"/>
      <c r="BZ60" s="299" t="str">
        <f>IF(X60&lt;&gt;"",IF(CC60="X","Driver Delay",IF(CA60="X","Paperwork Delay",IF(CB60="X","Late freight late sort",IF(CD60="X","Chiamare Control Room",IF(CE60="X","Chiamare Control Room",IF(CF60="X","Chiamare Control Room","")))))),"")</f>
        <v>Chiamare Control Room</v>
      </c>
      <c r="CA60" s="302" t="str">
        <f>IF(K60="",IF(IF(AND(G60&gt;(--"00:00:01"),G60&lt;(--"15:00:00")),IF(AND(AT60&gt;(--"08:00:00"),AT60&lt;(--"23:59:59")),G60+1-AT60,G60-AT60),G60-AT60)&gt;(--"00:20:00"),"","X"),"")</f>
        <v/>
      </c>
      <c r="CB60" s="299" t="str">
        <f>IF(K60="",IF(BP60&gt;=(--"00:20:00"),"","X"),"")</f>
        <v/>
      </c>
      <c r="CC60" s="299" t="str">
        <f>IF(OR(AV60="Autista non presente",AV60="Dati driver non presenti"),"X","")</f>
        <v/>
      </c>
      <c r="CD60" s="299" t="str">
        <f>IF(K60="",IF(AND(CC60="",BS60&lt;(--"00:20:00")),"X",""),"")</f>
        <v/>
      </c>
      <c r="CE60" s="299" t="str">
        <f>IF(K60="",IF(BT60&gt;(--"00:15:00"),"X",""),IF(AZ60&lt;&gt;"",IF(G60-AZ60&gt;(--"00:30:00"),"X",""),""))</f>
        <v/>
      </c>
      <c r="CF60" s="299" t="str">
        <f>IF(AND(CA60="",CB60="",CC60="",CD60="",CE60=""),"X","")</f>
        <v>X</v>
      </c>
      <c r="CG60" s="301"/>
      <c r="CH60" s="299" t="str">
        <f>IF(BT60&gt;(--"00:15:00"),"X","")</f>
        <v/>
      </c>
      <c r="CI60" s="302" t="str">
        <f>AY60</f>
        <v>Chiamare Control Room</v>
      </c>
      <c r="CJ60" s="299" t="str">
        <f>IF(AND(CH60&lt;&gt;"",CI60&lt;&gt;"",LEFT(B60,3)="ITD"),AP60,"")</f>
        <v/>
      </c>
      <c r="CK60" s="305" t="str">
        <f>IF(CJ60&lt;&gt;"",BT60,"")</f>
        <v/>
      </c>
      <c r="CL60" s="301"/>
      <c r="CM60" s="305" t="str">
        <f>IFERROR(VLOOKUP(Q60,'Elenco Casse'!$D$4:$F$292,3,FALSE),"")</f>
        <v/>
      </c>
      <c r="CN60" s="301"/>
      <c r="CO60" s="305" t="str">
        <f>IFERROR(VLOOKUP(S60,'Elenco Casse'!$D$4:$F$292,3,FALSE),"")</f>
        <v/>
      </c>
      <c r="CP60" s="305" t="str">
        <f>IFERROR(IF(VLOOKUP($E60,Outlist!$A$5:$S$120,19,FALSE)&lt;&gt;0,"Y",""),"")</f>
        <v/>
      </c>
      <c r="CQ60" s="301"/>
      <c r="CR60" s="305" t="str">
        <f>CONCATENATE($B60,$E60,$G60)</f>
        <v>ITD12238MZ10.1875</v>
      </c>
      <c r="CS60" s="301"/>
      <c r="CT60" s="305" t="e">
        <f>VLOOKUP(Out_Table[[#This Row],[Destination             ORANGE (From Planning)]],Outlist!$A$5:$W$120,22,FALSE)</f>
        <v>#N/A</v>
      </c>
    </row>
    <row r="61" spans="1:98" s="20" customFormat="1" ht="15">
      <c r="A61" s="305" t="str">
        <f>$CR61</f>
        <v>ITD12617FCO0.5</v>
      </c>
      <c r="B61" s="284" t="s">
        <v>608</v>
      </c>
      <c r="C61" s="290" t="str">
        <f>IFERROR(IF(LEFT(B61,3)='STAT 77'!$X$2,_xlfn.XLOOKUP(B61,'STAT 77'!C:C,'STAT 77'!B:B),_xlfn.XLOOKUP(B61,'STAT 77'!B:B,'STAT 77'!C:C)),"NON TROVATO")</f>
        <v>ITD31997</v>
      </c>
      <c r="D61" s="25" t="s">
        <v>609</v>
      </c>
      <c r="E61" s="290" t="s">
        <v>610</v>
      </c>
      <c r="F61" s="290" t="str">
        <f>IFERROR(VLOOKUP(E61,'Cambio O2P'!C:E,2,FALSE),"")</f>
        <v/>
      </c>
      <c r="G61" s="285">
        <v>0.5</v>
      </c>
      <c r="H61" s="293">
        <f ca="1">IFERROR(IF(AND('INformazioni per calcoli'!$AB$3&lt;(--"14:30"),'INformazioni per calcoli'!$AB$3&gt;(--"10:00")),"",IF($B61="","",IF($X61&lt;&gt;"","Mezzo Chiuso",IF($W61="","Non al Carico",IF($G61-'INformazioni per calcoli'!$AB$5-'INformazioni per calcoli'!$AB$3+$J61&lt;0,"LFLS",IF($K61&lt;&gt;"","Safe Parking",IF($W61&lt;&gt;"",IF($E61="MXP",$G61-'INformazioni per calcoli'!$AB$6-'INformazioni per calcoli'!$AB$3+$J61,$G61-'INformazioni per calcoli'!$AB$5-'INformazioni per calcoli'!$AB$3+$J61),"Non al carico"))))))),"")</f>
        <v>0.34064814814814814</v>
      </c>
      <c r="I61" s="17">
        <f ca="1">IFERROR(IF($H61&lt;&gt;"",IF($H61="Safe Parking","",IF($W61&lt;&gt;"",IF(AND($U61="X",$V61="X"),$H61-(--"00:30"),""),IF($X61&lt;&gt;"","Mezzo Chiuso","Non al carico"))),""),"")</f>
        <v>0.31981481481481483</v>
      </c>
      <c r="J61" s="306">
        <f ca="1">IFERROR(IF($B61&lt;&gt;"",IF(AND('INformazioni per calcoli'!$AB$3&lt;(--"15:00"),'INformazioni per calcoli'!$AB$3&gt;(--"00:00")),0,IF($G61&lt;(--"18:30"),"+1",0)),""),"")</f>
        <v>0</v>
      </c>
      <c r="K61" s="17"/>
      <c r="L61" s="25" t="s">
        <v>611</v>
      </c>
      <c r="M61" s="25" t="str">
        <f>IFERROR(_xlfn.XLOOKUP($Q61,'Elenco Casse'!$D:$D,'Elenco Casse'!$E:$E),"")</f>
        <v>New Company Transport S.R.L.</v>
      </c>
      <c r="N61" s="25">
        <f>IFERROR(_xlfn.XLOOKUP($Q61,'Elenco Casse'!$D:$D,'Elenco Casse'!$F:$F),"")</f>
        <v>0</v>
      </c>
      <c r="O61" s="286" t="s">
        <v>418</v>
      </c>
      <c r="P61" s="295" t="str">
        <f>IFERROR(_xlfn.XLOOKUP($Q61,'Elenco Casse'!$D:$D,'Elenco Casse'!$G:$G),"")</f>
        <v>trailer 80 m3 2/3 axes</v>
      </c>
      <c r="Q61" s="355" t="s">
        <v>612</v>
      </c>
      <c r="R61" s="23" t="s">
        <v>420</v>
      </c>
      <c r="S61" s="25" t="s">
        <v>421</v>
      </c>
      <c r="T61" s="25" t="s">
        <v>613</v>
      </c>
      <c r="U61" s="23" t="str">
        <f>IF(ISNUMBER(SEARCH("Parcel",$T61)),"X","")</f>
        <v>X</v>
      </c>
      <c r="V61" s="23" t="str">
        <f>IF(ISNUMBER(SEARCH("Freight",$T61)),"X","")</f>
        <v>X</v>
      </c>
      <c r="W61" s="26">
        <v>355</v>
      </c>
      <c r="X61" s="27"/>
      <c r="Y61" s="25"/>
      <c r="Z61" s="25"/>
      <c r="AA61" s="25" t="s">
        <v>40</v>
      </c>
      <c r="AB61" s="57"/>
      <c r="AC61" s="25"/>
      <c r="AD61" s="25" t="s">
        <v>487</v>
      </c>
      <c r="AE61" s="57"/>
      <c r="AF61" s="57"/>
      <c r="AG61" s="25"/>
      <c r="AH61" s="57"/>
      <c r="AI61" s="339"/>
      <c r="AJ61" s="339"/>
      <c r="AK61" s="297" t="str">
        <f>IF(X61&lt;&gt;"",CONCATENATE(IF(AA61&lt;&gt;"",CONCATENATE(Z61," ",AA61," ",BI61),""),IF(AD61&lt;&gt;"",CONCATENATE(","," ",AC61," ",AD61," ",BJ61),""),IF(AG61&lt;&gt;"",CONCATENATE(","," ",AF61," ",AG61," ",BK61),""),IF(AJ61&lt;&gt;"",CONCATENATE(","," ","DD"," ",BL61),"")," ",IF(AI61&lt;&gt;"",CONCATENATE(" - ",AI61," Bag"),"")),"")</f>
        <v/>
      </c>
      <c r="AL61" s="287"/>
      <c r="AM61" s="287"/>
      <c r="AN61" s="287"/>
      <c r="AO61" s="287"/>
      <c r="AP61" s="370" t="str">
        <f>IFERROR(VLOOKUP(#REF!,Outlist!$A$5:$V$120,20,FALSE),"")</f>
        <v/>
      </c>
      <c r="AQ61" s="288" t="str">
        <f>IFERROR(IF(VLOOKUP($A61,#REF!,8,FALSE)&lt;&gt;"",VLOOKUP($A61,#REF!,8,FALSE),""),"")</f>
        <v/>
      </c>
      <c r="AS61" s="24"/>
      <c r="AT61" s="24"/>
      <c r="AU61" s="27"/>
      <c r="AV61" s="27"/>
      <c r="AX61" s="20" t="str">
        <f>IFERROR(IF(Out_Table[[#This Row],[Cancellazione linea]]="Cancellata","yes",""),"")</f>
        <v/>
      </c>
      <c r="AY61" s="72" t="str">
        <f>IF(BA61="",BZ61,IF(AND(BA61&lt;(--"23:59:59"),BA61&gt;(--"15:00:00"),G61&lt;(--"14:00:00"),G61&gt;(--"00:00:01")),"",IF(BA61&gt;G61,BZ61,"")))</f>
        <v/>
      </c>
      <c r="AZ61" s="27"/>
      <c r="BA61" s="32"/>
      <c r="BB61" s="72"/>
      <c r="BC61" s="72" t="str">
        <f>IFERROR(VLOOKUP(Out_Table[[#This Row],[Aggiornamento STATUS]],'INformazioni per calcoli'!$Y$70:$AA$76,2,FALSE),"")</f>
        <v/>
      </c>
      <c r="BD61" s="289"/>
      <c r="BE61" s="289"/>
      <c r="BF61" s="47" t="str">
        <f>LEFT($E61,3)</f>
        <v>FCO</v>
      </c>
      <c r="BG61" s="298" t="str">
        <f>IF(Out_Table[[#This Row],[Ora Uscita    (GH)]]&lt;&gt;"","x","")</f>
        <v/>
      </c>
      <c r="BH61" s="299">
        <f>VLOOKUP($O61,'INformazioni per calcoli'!$Y$20:$AA$23,3,FALSE)</f>
        <v>14</v>
      </c>
      <c r="BI61" s="299">
        <f>MROUND(Out_Table[[#This Row],[Mtr. Trailer]]*AB61,0.5)</f>
        <v>0</v>
      </c>
      <c r="BJ61" s="299">
        <f>MROUND(Out_Table[[#This Row],[Mtr. Trailer]]*AE61,0.5)</f>
        <v>0</v>
      </c>
      <c r="BK61" s="299">
        <f>MROUND(Out_Table[[#This Row],[Mtr. Trailer]]*AH61,0.5)</f>
        <v>0</v>
      </c>
      <c r="BL61" s="300">
        <f>Out_Table[[#This Row],[Double Deck trailer N° bumpers]]</f>
        <v>0</v>
      </c>
      <c r="BM61" s="301"/>
      <c r="BN61" s="299" t="str">
        <f>B61</f>
        <v>ITD12617</v>
      </c>
      <c r="BO61" s="299" t="str">
        <f>E61</f>
        <v>FCO</v>
      </c>
      <c r="BP61" s="302">
        <f>IF(AND(G61&gt;(--"00:00:01"),G61&lt;(--"15:00:00")),IF(AND(X61&gt;(--"00:00:01"),X61&lt;(--"15:00:00")),G61-X61,G61+1-X61),G61-X61)</f>
        <v>1.5</v>
      </c>
      <c r="BQ61" s="303">
        <f>AE61+AF61+AH61+AJ61</f>
        <v>0</v>
      </c>
      <c r="BR61" s="304" t="str">
        <f>IF(OR(BP61&lt;=(--"00:20:00"),BQ61&gt;=100%),"OK","Not OK")</f>
        <v>Not OK</v>
      </c>
      <c r="BS61" s="302">
        <f>IF(AND(G61&gt;(--"00:00:01"),G61&lt;(--"15:00:00")),IF(AND(AU61&gt;(--"00:00:01"),AU61&lt;(--"15:00:00")),G61-AU61,G61+1-AU61),G61-AU61)</f>
        <v>1.5</v>
      </c>
      <c r="BT61" s="302">
        <f>IF(AND(AZ61&gt;(--"00:00:01"),AZ61&lt;(--"15:00:00")),IF(AND(AU61&gt;(--"00:00:01"),AU61&lt;(--"15:00:00")),AZ61-AU61,AZ61+1-AU61),AZ61-AU61)</f>
        <v>0</v>
      </c>
      <c r="BU61" s="302">
        <f>IF(AND(BA61&gt;(--"00:00:01"),BA61&lt;(--"15:00:00")),IF(AND(AZ61&gt;(--"00:00:01"),AZ61&lt;(--"15:00:00")),BA61-AZ61,BA61+1-AZ61),BA61-AZ61)</f>
        <v>0</v>
      </c>
      <c r="BV61" s="299">
        <f>AV61</f>
        <v>0</v>
      </c>
      <c r="BW61" s="301"/>
      <c r="BX61" s="299" t="str">
        <f>IF(AV61="T Status",IF(AV61&lt;&gt;T61,"X",""),"")</f>
        <v/>
      </c>
      <c r="BY61" s="301"/>
      <c r="BZ61" s="299" t="str">
        <f>IF(X61&lt;&gt;"",IF(CC61="X","Driver Delay",IF(CA61="X","Paperwork Delay",IF(CB61="X","Late freight late sort",IF(CD61="X","Chiamare Control Room",IF(CE61="X","Chiamare Control Room",IF(CF61="X","Chiamare Control Room","")))))),"")</f>
        <v/>
      </c>
      <c r="CA61" s="302" t="str">
        <f>IF(K61="",IF(IF(AND(G61&gt;(--"00:00:01"),G61&lt;(--"15:00:00")),IF(AND(AT61&gt;(--"08:00:00"),AT61&lt;(--"23:59:59")),G61+1-AT61,G61-AT61),G61-AT61)&gt;(--"00:20:00"),"","X"),"")</f>
        <v/>
      </c>
      <c r="CB61" s="299" t="str">
        <f>IF(K61="",IF(BP61&gt;=(--"00:20:00"),"","X"),"")</f>
        <v/>
      </c>
      <c r="CC61" s="299" t="str">
        <f>IF(OR(AV61="Autista non presente",AV61="Dati driver non presenti"),"X","")</f>
        <v/>
      </c>
      <c r="CD61" s="299" t="str">
        <f>IF(K61="",IF(AND(CC61="",BS61&lt;(--"00:20:00")),"X",""),"")</f>
        <v/>
      </c>
      <c r="CE61" s="299" t="str">
        <f>IF(K61="",IF(BT61&gt;(--"00:15:00"),"X",""),IF(AZ61&lt;&gt;"",IF(G61-AZ61&gt;(--"00:30:00"),"X",""),""))</f>
        <v/>
      </c>
      <c r="CF61" s="299" t="str">
        <f>IF(AND(CA61="",CB61="",CC61="",CD61="",CE61=""),"X","")</f>
        <v>X</v>
      </c>
      <c r="CG61" s="301"/>
      <c r="CH61" s="299" t="str">
        <f>IF(BT61&gt;(--"00:15:00"),"X","")</f>
        <v/>
      </c>
      <c r="CI61" s="302" t="str">
        <f>AY61</f>
        <v/>
      </c>
      <c r="CJ61" s="299" t="str">
        <f>IF(AND(CH61&lt;&gt;"",CI61&lt;&gt;"",LEFT(B61,3)="ITD"),AP61,"")</f>
        <v/>
      </c>
      <c r="CK61" s="305" t="str">
        <f>IF(CJ61&lt;&gt;"",BT61,"")</f>
        <v/>
      </c>
      <c r="CL61" s="301"/>
      <c r="CM61" s="305" t="str">
        <f>IFERROR(VLOOKUP(Q61,'Elenco Casse'!$D$4:$F$292,3,FALSE),"")</f>
        <v/>
      </c>
      <c r="CN61" s="301"/>
      <c r="CO61" s="305" t="str">
        <f>IFERROR(VLOOKUP(S61,'Elenco Casse'!$D$4:$F$292,3,FALSE),"")</f>
        <v/>
      </c>
      <c r="CP61" s="305" t="str">
        <f>IFERROR(IF(VLOOKUP($E61,Outlist!$A$5:$S$120,19,FALSE)&lt;&gt;0,"Y",""),"")</f>
        <v/>
      </c>
      <c r="CQ61" s="301"/>
      <c r="CR61" s="305" t="str">
        <f>CONCATENATE($B61,$E61,$G61)</f>
        <v>ITD12617FCO0.5</v>
      </c>
      <c r="CS61" s="301"/>
      <c r="CT61" s="305" t="e">
        <f>VLOOKUP(Out_Table[[#This Row],[Destination             ORANGE (From Planning)]],Outlist!$A$5:$W$120,22,FALSE)</f>
        <v>#N/A</v>
      </c>
    </row>
    <row r="62" spans="1:98" s="20" customFormat="1" ht="15">
      <c r="A62" s="305" t="str">
        <f>$CR62</f>
        <v>ITD12162IBD0.190972222222222</v>
      </c>
      <c r="B62" s="284" t="s">
        <v>614</v>
      </c>
      <c r="C62" s="290" t="str">
        <f>IFERROR(IF(LEFT(B62,3)='STAT 77'!$X$2,_xlfn.XLOOKUP(B62,'STAT 77'!C:C,'STAT 77'!B:B),_xlfn.XLOOKUP(B62,'STAT 77'!B:B,'STAT 77'!C:C)),"NON TROVATO")</f>
        <v>ITD30969</v>
      </c>
      <c r="D62" s="25" t="s">
        <v>615</v>
      </c>
      <c r="E62" s="290" t="s">
        <v>616</v>
      </c>
      <c r="F62" s="290" t="str">
        <f>IFERROR(VLOOKUP(E62,'Cambio O2P'!C:E,2,FALSE),"")</f>
        <v>BZQA</v>
      </c>
      <c r="G62" s="285">
        <v>0.19097222222222221</v>
      </c>
      <c r="H62" s="293">
        <f ca="1">IFERROR(IF(AND('INformazioni per calcoli'!$AB$3&lt;(--"14:30"),'INformazioni per calcoli'!$AB$3&gt;(--"10:00")),"",IF($B62="","",IF($X62&lt;&gt;"","Mezzo Chiuso",IF($W62="","Non al Carico",IF($G62-'INformazioni per calcoli'!$AB$5-'INformazioni per calcoli'!$AB$3+$J62&lt;0,"LFLS",IF($K62&lt;&gt;"","Safe Parking",IF($W62&lt;&gt;"",IF($E62="MXP",$G62-'INformazioni per calcoli'!$AB$6-'INformazioni per calcoli'!$AB$3+$J62,$G62-'INformazioni per calcoli'!$AB$5-'INformazioni per calcoli'!$AB$3+$J62),"Non al carico"))))))),"")</f>
        <v>3.1620370370370354E-2</v>
      </c>
      <c r="I62" s="17"/>
      <c r="J62" s="306">
        <f ca="1">IFERROR(IF($B62&lt;&gt;"",IF(AND('INformazioni per calcoli'!$AB$3&lt;(--"15:00"),'INformazioni per calcoli'!$AB$3&gt;(--"00:00")),0,IF($G62&lt;(--"18:30"),"+1",0)),""),"")</f>
        <v>0</v>
      </c>
      <c r="K62" s="17"/>
      <c r="L62" s="25" t="s">
        <v>446</v>
      </c>
      <c r="M62" s="25" t="str">
        <f>IFERROR(_xlfn.XLOOKUP($Q62,'Elenco Casse'!$D:$D,'Elenco Casse'!$E:$E),"")</f>
        <v/>
      </c>
      <c r="N62" s="25" t="str">
        <f>IFERROR(_xlfn.XLOOKUP($Q62,'Elenco Casse'!$D:$D,'Elenco Casse'!$F:$F),"")</f>
        <v/>
      </c>
      <c r="O62" s="286" t="s">
        <v>418</v>
      </c>
      <c r="P62" s="295" t="str">
        <f>IFERROR(_xlfn.XLOOKUP($Q62,'Elenco Casse'!$D:$D,'Elenco Casse'!$G:$G),"")</f>
        <v/>
      </c>
      <c r="Q62" s="355" t="s">
        <v>617</v>
      </c>
      <c r="R62" s="23" t="s">
        <v>420</v>
      </c>
      <c r="S62" s="25" t="s">
        <v>421</v>
      </c>
      <c r="T62" s="25" t="s">
        <v>618</v>
      </c>
      <c r="U62" s="23" t="str">
        <f>IF(ISNUMBER(SEARCH("Parcel",$T62)),"X","")</f>
        <v>X</v>
      </c>
      <c r="V62" s="23" t="str">
        <f>IF(ISNUMBER(SEARCH("Freight",$T62)),"X","")</f>
        <v>X</v>
      </c>
      <c r="W62" s="26">
        <v>811</v>
      </c>
      <c r="X62" s="27"/>
      <c r="Y62" s="25"/>
      <c r="Z62" s="25"/>
      <c r="AA62" s="25" t="s">
        <v>40</v>
      </c>
      <c r="AB62" s="57">
        <v>0.2</v>
      </c>
      <c r="AC62" s="25"/>
      <c r="AD62" s="25" t="s">
        <v>487</v>
      </c>
      <c r="AE62" s="57"/>
      <c r="AF62" s="57"/>
      <c r="AG62" s="25" t="s">
        <v>488</v>
      </c>
      <c r="AH62" s="57"/>
      <c r="AI62" s="339"/>
      <c r="AJ62" s="339"/>
      <c r="AK62" s="297" t="str">
        <f>IF(X62&lt;&gt;"",CONCATENATE(IF(AA62&lt;&gt;"",CONCATENATE(Z62," ",AA62," ",BI62),""),IF(AD62&lt;&gt;"",CONCATENATE(","," ",AC62," ",AD62," ",BJ62),""),IF(AG62&lt;&gt;"",CONCATENATE(","," ",AF62," ",AG62," ",BK62),""),IF(AJ62&lt;&gt;"",CONCATENATE(","," ","DD"," ",BL62),"")," ",IF(AI62&lt;&gt;"",CONCATENATE(" - ",AI62," Bag"),"")),"")</f>
        <v/>
      </c>
      <c r="AL62" s="287"/>
      <c r="AM62" s="287"/>
      <c r="AN62" s="287"/>
      <c r="AO62" s="287"/>
      <c r="AP62" s="370" t="str">
        <f>IFERROR(VLOOKUP(#REF!,Outlist!$A$5:$V$120,20,FALSE),"")</f>
        <v/>
      </c>
      <c r="AQ62" s="288" t="str">
        <f>IFERROR(IF(VLOOKUP($A62,#REF!,8,FALSE)&lt;&gt;"",VLOOKUP($A62,#REF!,8,FALSE),""),"")</f>
        <v/>
      </c>
      <c r="AS62" s="24"/>
      <c r="AT62" s="24">
        <v>0.46805555555555556</v>
      </c>
      <c r="AU62" s="27"/>
      <c r="AV62" s="27"/>
      <c r="AX62" s="20" t="str">
        <f>IFERROR(IF(Out_Table[[#This Row],[Cancellazione linea]]="Cancellata","yes",""),"")</f>
        <v/>
      </c>
      <c r="AY62" s="72" t="str">
        <f>IF(BA62="",BZ62,IF(AND(BA62&lt;(--"23:59:59"),BA62&gt;(--"15:00:00"),G62&lt;(--"14:00:00"),G62&gt;(--"00:00:01")),"",IF(BA62&gt;G62,BZ62,"")))</f>
        <v/>
      </c>
      <c r="AZ62" s="27"/>
      <c r="BA62" s="32"/>
      <c r="BB62" s="72"/>
      <c r="BC62" s="72" t="str">
        <f>IFERROR(VLOOKUP(Out_Table[[#This Row],[Aggiornamento STATUS]],'INformazioni per calcoli'!$Y$70:$AA$76,2,FALSE),"")</f>
        <v/>
      </c>
      <c r="BD62" s="289"/>
      <c r="BE62" s="289"/>
      <c r="BF62" s="47" t="str">
        <f>LEFT($E62,3)</f>
        <v>IBD</v>
      </c>
      <c r="BG62" s="298" t="str">
        <f>IF(Out_Table[[#This Row],[Ora Uscita    (GH)]]&lt;&gt;"","x","")</f>
        <v/>
      </c>
      <c r="BH62" s="299">
        <f>VLOOKUP($O62,'INformazioni per calcoli'!$Y$20:$AA$23,3,FALSE)</f>
        <v>14</v>
      </c>
      <c r="BI62" s="299">
        <f>MROUND(Out_Table[[#This Row],[Mtr. Trailer]]*AB62,0.5)</f>
        <v>3</v>
      </c>
      <c r="BJ62" s="299">
        <f>MROUND(Out_Table[[#This Row],[Mtr. Trailer]]*AE62,0.5)</f>
        <v>0</v>
      </c>
      <c r="BK62" s="299">
        <f>MROUND(Out_Table[[#This Row],[Mtr. Trailer]]*AH62,0.5)</f>
        <v>0</v>
      </c>
      <c r="BL62" s="300">
        <f>Out_Table[[#This Row],[Double Deck trailer N° bumpers]]</f>
        <v>0</v>
      </c>
      <c r="BM62" s="301"/>
      <c r="BN62" s="299" t="str">
        <f>B62</f>
        <v>ITD12162</v>
      </c>
      <c r="BO62" s="299" t="str">
        <f>E62</f>
        <v>IBD</v>
      </c>
      <c r="BP62" s="302">
        <f>IF(AND(G62&gt;(--"00:00:01"),G62&lt;(--"15:00:00")),IF(AND(X62&gt;(--"00:00:01"),X62&lt;(--"15:00:00")),G62-X62,G62+1-X62),G62-X62)</f>
        <v>1.1909722222222223</v>
      </c>
      <c r="BQ62" s="303">
        <f>AE62+AF62+AH62+AJ62</f>
        <v>0</v>
      </c>
      <c r="BR62" s="304" t="str">
        <f>IF(OR(BP62&lt;=(--"00:20:00"),BQ62&gt;=100%),"OK","Not OK")</f>
        <v>Not OK</v>
      </c>
      <c r="BS62" s="302">
        <f>IF(AND(G62&gt;(--"00:00:01"),G62&lt;(--"15:00:00")),IF(AND(AU62&gt;(--"00:00:01"),AU62&lt;(--"15:00:00")),G62-AU62,G62+1-AU62),G62-AU62)</f>
        <v>1.1909722222222223</v>
      </c>
      <c r="BT62" s="302">
        <f>IF(AND(AZ62&gt;(--"00:00:01"),AZ62&lt;(--"15:00:00")),IF(AND(AU62&gt;(--"00:00:01"),AU62&lt;(--"15:00:00")),AZ62-AU62,AZ62+1-AU62),AZ62-AU62)</f>
        <v>0</v>
      </c>
      <c r="BU62" s="302">
        <f>IF(AND(BA62&gt;(--"00:00:01"),BA62&lt;(--"15:00:00")),IF(AND(AZ62&gt;(--"00:00:01"),AZ62&lt;(--"15:00:00")),BA62-AZ62,BA62+1-AZ62),BA62-AZ62)</f>
        <v>0</v>
      </c>
      <c r="BV62" s="299">
        <f>AV62</f>
        <v>0</v>
      </c>
      <c r="BW62" s="301"/>
      <c r="BX62" s="299" t="str">
        <f>IF(AV62="T Status",IF(AV62&lt;&gt;T62,"X",""),"")</f>
        <v/>
      </c>
      <c r="BY62" s="301"/>
      <c r="BZ62" s="299" t="str">
        <f>IF(X62&lt;&gt;"",IF(CC62="X","Driver Delay",IF(CA62="X","Paperwork Delay",IF(CB62="X","Late freight late sort",IF(CD62="X","Chiamare Control Room",IF(CE62="X","Chiamare Control Room",IF(CF62="X","Chiamare Control Room","")))))),"")</f>
        <v/>
      </c>
      <c r="CA62" s="302" t="str">
        <f>IF(K62="",IF(IF(AND(G62&gt;(--"00:00:01"),G62&lt;(--"15:00:00")),IF(AND(AT62&gt;(--"08:00:00"),AT62&lt;(--"23:59:59")),G62+1-AT62,G62-AT62),G62-AT62)&gt;(--"00:20:00"),"","X"),"")</f>
        <v/>
      </c>
      <c r="CB62" s="299" t="str">
        <f>IF(K62="",IF(BP62&gt;=(--"00:20:00"),"","X"),"")</f>
        <v/>
      </c>
      <c r="CC62" s="299" t="str">
        <f>IF(OR(AV62="Autista non presente",AV62="Dati driver non presenti"),"X","")</f>
        <v/>
      </c>
      <c r="CD62" s="299" t="str">
        <f>IF(K62="",IF(AND(CC62="",BS62&lt;(--"00:20:00")),"X",""),"")</f>
        <v/>
      </c>
      <c r="CE62" s="299" t="str">
        <f>IF(K62="",IF(BT62&gt;(--"00:15:00"),"X",""),IF(AZ62&lt;&gt;"",IF(G62-AZ62&gt;(--"00:30:00"),"X",""),""))</f>
        <v/>
      </c>
      <c r="CF62" s="299" t="str">
        <f>IF(AND(CA62="",CB62="",CC62="",CD62="",CE62=""),"X","")</f>
        <v>X</v>
      </c>
      <c r="CG62" s="301"/>
      <c r="CH62" s="299" t="str">
        <f>IF(BT62&gt;(--"00:15:00"),"X","")</f>
        <v/>
      </c>
      <c r="CI62" s="302" t="str">
        <f>AY62</f>
        <v/>
      </c>
      <c r="CJ62" s="299" t="str">
        <f>IF(AND(CH62&lt;&gt;"",CI62&lt;&gt;"",LEFT(B62,3)="ITD"),AP62,"")</f>
        <v/>
      </c>
      <c r="CK62" s="305" t="str">
        <f>IF(CJ62&lt;&gt;"",BT62,"")</f>
        <v/>
      </c>
      <c r="CL62" s="301"/>
      <c r="CM62" s="305" t="str">
        <f>IFERROR(VLOOKUP(Q62,'Elenco Casse'!$D$4:$F$292,3,FALSE),"")</f>
        <v/>
      </c>
      <c r="CN62" s="301"/>
      <c r="CO62" s="305" t="str">
        <f>IFERROR(VLOOKUP(S62,'Elenco Casse'!$D$4:$F$292,3,FALSE),"")</f>
        <v/>
      </c>
      <c r="CP62" s="305" t="str">
        <f>IFERROR(IF(VLOOKUP($E62,Outlist!$A$5:$S$120,19,FALSE)&lt;&gt;0,"Y",""),"")</f>
        <v/>
      </c>
      <c r="CQ62" s="301"/>
      <c r="CR62" s="305" t="str">
        <f>CONCATENATE($B62,$E62,$G62)</f>
        <v>ITD12162IBD0.190972222222222</v>
      </c>
      <c r="CS62" s="301"/>
      <c r="CT62" s="305" t="e">
        <f>VLOOKUP(Out_Table[[#This Row],[Destination             ORANGE (From Planning)]],Outlist!$A$5:$W$120,22,FALSE)</f>
        <v>#N/A</v>
      </c>
    </row>
    <row r="63" spans="1:98" s="20" customFormat="1" ht="30.75">
      <c r="A63" s="305" t="str">
        <f>$CR63</f>
        <v>ITD12299PSA0.00694444444444444</v>
      </c>
      <c r="B63" s="284" t="s">
        <v>619</v>
      </c>
      <c r="C63" s="290" t="str">
        <f>IFERROR(IF(LEFT(B63,3)='STAT 77'!$X$2,_xlfn.XLOOKUP(B63,'STAT 77'!C:C,'STAT 77'!B:B),_xlfn.XLOOKUP(B63,'STAT 77'!B:B,'STAT 77'!C:C)),"NON TROVATO")</f>
        <v>ITD31334</v>
      </c>
      <c r="D63" s="25" t="s">
        <v>620</v>
      </c>
      <c r="E63" s="290" t="s">
        <v>621</v>
      </c>
      <c r="F63" s="290" t="str">
        <f>IFERROR(VLOOKUP(E63,'Cambio O2P'!C:E,2,FALSE),"")</f>
        <v>PSAT8</v>
      </c>
      <c r="G63" s="285">
        <v>6.9444444444444441E-3</v>
      </c>
      <c r="H63" s="293" t="str">
        <f ca="1">IFERROR(IF(AND('INformazioni per calcoli'!$AB$3&lt;(--"14:30"),'INformazioni per calcoli'!$AB$3&gt;(--"10:00")),"",IF($B63="","",IF($X63&lt;&gt;"","Mezzo Chiuso",IF($W63="","Non al Carico",IF($G63-'INformazioni per calcoli'!$AB$5-'INformazioni per calcoli'!$AB$3+$J63&lt;0,"LFLS",IF($K63&lt;&gt;"","Safe Parking",IF($W63&lt;&gt;"",IF($E63="MXP",$G63-'INformazioni per calcoli'!$AB$6-'INformazioni per calcoli'!$AB$3+$J63,$G63-'INformazioni per calcoli'!$AB$5-'INformazioni per calcoli'!$AB$3+$J63),"Non al carico"))))))),"")</f>
        <v>Mezzo Chiuso</v>
      </c>
      <c r="I63" s="17" t="str">
        <f ca="1">IFERROR(IF($H63&lt;&gt;"",IF($H63="Safe Parking","",IF($W63&lt;&gt;"",IF(AND($U63="X",$V63="X"),$H63-(--"00:30"),""),IF($X63&lt;&gt;"","Mezzo Chiuso","Non al carico"))),""),"")</f>
        <v/>
      </c>
      <c r="J63" s="306">
        <f ca="1">IFERROR(IF($B63&lt;&gt;"",IF(AND('INformazioni per calcoli'!$AB$3&lt;(--"15:00"),'INformazioni per calcoli'!$AB$3&gt;(--"00:00")),0,IF($G63&lt;(--"18:30"),"+1",0)),""),"")</f>
        <v>0</v>
      </c>
      <c r="K63" s="17"/>
      <c r="L63" s="25" t="s">
        <v>427</v>
      </c>
      <c r="M63" s="25" t="str">
        <f>IFERROR(_xlfn.XLOOKUP($Q63,'Elenco Casse'!$D:$D,'Elenco Casse'!$E:$E),"")</f>
        <v/>
      </c>
      <c r="N63" s="25" t="str">
        <f>IFERROR(_xlfn.XLOOKUP($Q63,'Elenco Casse'!$D:$D,'Elenco Casse'!$F:$F),"")</f>
        <v/>
      </c>
      <c r="O63" s="286" t="s">
        <v>418</v>
      </c>
      <c r="P63" s="295" t="str">
        <f>IFERROR(_xlfn.XLOOKUP($Q63,'Elenco Casse'!$D:$D,'Elenco Casse'!$G:$G),"")</f>
        <v/>
      </c>
      <c r="Q63" s="355" t="s">
        <v>622</v>
      </c>
      <c r="R63" s="23" t="s">
        <v>420</v>
      </c>
      <c r="S63" s="25" t="s">
        <v>421</v>
      </c>
      <c r="T63" s="25" t="s">
        <v>623</v>
      </c>
      <c r="U63" s="23" t="str">
        <f>IF(ISNUMBER(SEARCH("Parcel",$T63)),"X","")</f>
        <v>X</v>
      </c>
      <c r="V63" s="23" t="str">
        <f>IF(ISNUMBER(SEARCH("Freight",$T63)),"X","")</f>
        <v/>
      </c>
      <c r="W63" s="26">
        <v>402</v>
      </c>
      <c r="X63" s="27">
        <v>0.98958333333333337</v>
      </c>
      <c r="Y63" s="25" t="s">
        <v>624</v>
      </c>
      <c r="Z63" s="25"/>
      <c r="AA63" s="25" t="s">
        <v>40</v>
      </c>
      <c r="AB63" s="57">
        <v>0.7</v>
      </c>
      <c r="AC63" s="25"/>
      <c r="AD63" s="25"/>
      <c r="AE63" s="57"/>
      <c r="AF63" s="57"/>
      <c r="AG63" s="25"/>
      <c r="AH63" s="57"/>
      <c r="AI63" s="339">
        <v>6</v>
      </c>
      <c r="AJ63" s="339"/>
      <c r="AK63" s="297" t="str">
        <f>IF(X63&lt;&gt;"",CONCATENATE(IF(AA63&lt;&gt;"",CONCATENATE(Z63," ",AA63," ",BI63),""),IF(AD63&lt;&gt;"",CONCATENATE(","," ",AC63," ",AD63," ",BJ63),""),IF(AG63&lt;&gt;"",CONCATENATE(","," ",AF63," ",AG63," ",BK63),""),IF(AJ63&lt;&gt;"",CONCATENATE(","," ","DD"," ",BL63),"")," ",IF(AI63&lt;&gt;"",CONCATENATE(" - ",AI63," Bag"),"")),"")</f>
        <v xml:space="preserve"> LL 10  - 6 Bag</v>
      </c>
      <c r="AL63" s="287" t="s">
        <v>421</v>
      </c>
      <c r="AM63" s="287"/>
      <c r="AN63" s="287"/>
      <c r="AO63" s="287"/>
      <c r="AP63" s="370" t="str">
        <f>IFERROR(VLOOKUP(#REF!,Outlist!$A$5:$V$120,20,FALSE),"")</f>
        <v/>
      </c>
      <c r="AQ63" s="288" t="s">
        <v>625</v>
      </c>
      <c r="AS63" s="24"/>
      <c r="AT63" s="24">
        <v>0.59027777777777779</v>
      </c>
      <c r="AU63" s="27">
        <v>0.99236111111111114</v>
      </c>
      <c r="AV63" s="27"/>
      <c r="AW63" s="20" t="s">
        <v>443</v>
      </c>
      <c r="AX63" s="20" t="str">
        <f>IFERROR(IF(Out_Table[[#This Row],[Cancellazione linea]]="Cancellata","yes",""),"")</f>
        <v/>
      </c>
      <c r="AY63" s="72" t="str">
        <f>IF(BA63="",BZ63,IF(AND(BA63&lt;(--"23:59:59"),BA63&gt;(--"15:00:00"),G63&lt;(--"14:00:00"),G63&gt;(--"00:00:01")),"",IF(BA63&gt;G63,BZ63,"")))</f>
        <v/>
      </c>
      <c r="AZ63" s="27"/>
      <c r="BA63" s="32">
        <v>4.1666666666666666E-3</v>
      </c>
      <c r="BB63" s="72"/>
      <c r="BC63" s="72" t="str">
        <f>IFERROR(VLOOKUP(Out_Table[[#This Row],[Aggiornamento STATUS]],'INformazioni per calcoli'!$Y$70:$AA$76,2,FALSE),"")</f>
        <v/>
      </c>
      <c r="BD63" s="289"/>
      <c r="BE63" s="289"/>
      <c r="BF63" s="47" t="str">
        <f>LEFT($E63,3)</f>
        <v>PSA</v>
      </c>
      <c r="BG63" s="298" t="str">
        <f>IF(Out_Table[[#This Row],[Ora Uscita    (GH)]]&lt;&gt;"","x","")</f>
        <v>x</v>
      </c>
      <c r="BH63" s="299">
        <f>VLOOKUP($O63,'INformazioni per calcoli'!$Y$20:$AA$23,3,FALSE)</f>
        <v>14</v>
      </c>
      <c r="BI63" s="299">
        <f>MROUND(Out_Table[[#This Row],[Mtr. Trailer]]*AB63,0.5)</f>
        <v>10</v>
      </c>
      <c r="BJ63" s="299">
        <f>MROUND(Out_Table[[#This Row],[Mtr. Trailer]]*AE63,0.5)</f>
        <v>0</v>
      </c>
      <c r="BK63" s="299">
        <f>MROUND(Out_Table[[#This Row],[Mtr. Trailer]]*AH63,0.5)</f>
        <v>0</v>
      </c>
      <c r="BL63" s="300">
        <f>Out_Table[[#This Row],[Double Deck trailer N° bumpers]]</f>
        <v>0</v>
      </c>
      <c r="BM63" s="301"/>
      <c r="BN63" s="299" t="str">
        <f>B63</f>
        <v>ITD12299</v>
      </c>
      <c r="BO63" s="299" t="str">
        <f>E63</f>
        <v>PSA</v>
      </c>
      <c r="BP63" s="302">
        <f>IF(AND(G63&gt;(--"00:00:01"),G63&lt;(--"15:00:00")),IF(AND(X63&gt;(--"00:00:01"),X63&lt;(--"15:00:00")),G63-X63,G63+1-X63),G63-X63)</f>
        <v>1.7361111111111049E-2</v>
      </c>
      <c r="BQ63" s="303">
        <f>AE63+AF63+AH63+AJ63</f>
        <v>0</v>
      </c>
      <c r="BR63" s="304" t="str">
        <f>IF(OR(BP63&lt;=(--"00:20:00"),BQ63&gt;=100%),"OK","Not OK")</f>
        <v>Not OK</v>
      </c>
      <c r="BS63" s="302">
        <f>IF(AND(G63&gt;(--"00:00:01"),G63&lt;(--"15:00:00")),IF(AND(AU63&gt;(--"00:00:01"),AU63&lt;(--"15:00:00")),G63-AU63,G63+1-AU63),G63-AU63)</f>
        <v>1.4583333333333282E-2</v>
      </c>
      <c r="BT63" s="302">
        <f>IF(AND(AZ63&gt;(--"00:00:01"),AZ63&lt;(--"15:00:00")),IF(AND(AU63&gt;(--"00:00:01"),AU63&lt;(--"15:00:00")),AZ63-AU63,AZ63+1-AU63),AZ63-AU63)</f>
        <v>-0.99236111111111114</v>
      </c>
      <c r="BU63" s="302">
        <f>IF(AND(BA63&gt;(--"00:00:01"),BA63&lt;(--"15:00:00")),IF(AND(AZ63&gt;(--"00:00:01"),AZ63&lt;(--"15:00:00")),BA63-AZ63,BA63+1-AZ63),BA63-AZ63)</f>
        <v>1.0041666666666667</v>
      </c>
      <c r="BV63" s="299">
        <f>AV63</f>
        <v>0</v>
      </c>
      <c r="BW63" s="301"/>
      <c r="BX63" s="299" t="str">
        <f>IF(AV63="T Status",IF(AV63&lt;&gt;T63,"X",""),"")</f>
        <v/>
      </c>
      <c r="BY63" s="301"/>
      <c r="BZ63" s="299" t="str">
        <f>IF(X63&lt;&gt;"",IF(CC63="X","Driver Delay",IF(CA63="X","Paperwork Delay",IF(CB63="X","Late freight late sort",IF(CD63="X","Chiamare Control Room",IF(CE63="X","Chiamare Control Room",IF(CF63="X","Chiamare Control Room","")))))),"")</f>
        <v>Chiamare Control Room</v>
      </c>
      <c r="CA63" s="302" t="str">
        <f>IF(K63="",IF(IF(AND(G63&gt;(--"00:00:01"),G63&lt;(--"15:00:00")),IF(AND(AT63&gt;(--"08:00:00"),AT63&lt;(--"23:59:59")),G63+1-AT63,G63-AT63),G63-AT63)&gt;(--"00:20:00"),"","X"),"")</f>
        <v/>
      </c>
      <c r="CB63" s="299" t="str">
        <f>IF(K63="",IF(BP63&gt;=(--"00:20:00"),"","X"),"")</f>
        <v/>
      </c>
      <c r="CC63" s="299" t="str">
        <f>IF(OR(AV63="Autista non presente",AV63="Dati driver non presenti"),"X","")</f>
        <v/>
      </c>
      <c r="CD63" s="299" t="str">
        <f>IF(K63="",IF(AND(CC63="",BS63&lt;(--"00:20:00")),"X",""),"")</f>
        <v/>
      </c>
      <c r="CE63" s="299" t="str">
        <f>IF(K63="",IF(BT63&gt;(--"00:15:00"),"X",""),IF(AZ63&lt;&gt;"",IF(G63-AZ63&gt;(--"00:30:00"),"X",""),""))</f>
        <v/>
      </c>
      <c r="CF63" s="299" t="str">
        <f>IF(AND(CA63="",CB63="",CC63="",CD63="",CE63=""),"X","")</f>
        <v>X</v>
      </c>
      <c r="CG63" s="301"/>
      <c r="CH63" s="299" t="str">
        <f>IF(BT63&gt;(--"00:15:00"),"X","")</f>
        <v/>
      </c>
      <c r="CI63" s="302" t="str">
        <f>AY63</f>
        <v/>
      </c>
      <c r="CJ63" s="299" t="str">
        <f>IF(AND(CH63&lt;&gt;"",CI63&lt;&gt;"",LEFT(B63,3)="ITD"),AP63,"")</f>
        <v/>
      </c>
      <c r="CK63" s="305" t="str">
        <f>IF(CJ63&lt;&gt;"",BT63,"")</f>
        <v/>
      </c>
      <c r="CL63" s="301"/>
      <c r="CM63" s="305" t="str">
        <f>IFERROR(VLOOKUP(Q63,'Elenco Casse'!$D$4:$F$292,3,FALSE),"")</f>
        <v/>
      </c>
      <c r="CN63" s="301"/>
      <c r="CO63" s="305" t="str">
        <f>IFERROR(VLOOKUP(S63,'Elenco Casse'!$D$4:$F$292,3,FALSE),"")</f>
        <v/>
      </c>
      <c r="CP63" s="305" t="str">
        <f>IFERROR(IF(VLOOKUP($E63,Outlist!$A$5:$S$120,19,FALSE)&lt;&gt;0,"Y",""),"")</f>
        <v/>
      </c>
      <c r="CQ63" s="301"/>
      <c r="CR63" s="305" t="str">
        <f>CONCATENATE($B63,$E63,$G63)</f>
        <v>ITD12299PSA0.00694444444444444</v>
      </c>
      <c r="CS63" s="301"/>
      <c r="CT63" s="305" t="e">
        <f>VLOOKUP(Out_Table[[#This Row],[Destination             ORANGE (From Planning)]],Outlist!$A$5:$W$120,22,FALSE)</f>
        <v>#N/A</v>
      </c>
    </row>
    <row r="64" spans="1:98" s="20" customFormat="1" ht="15">
      <c r="A64" s="305" t="str">
        <f>$CR64</f>
        <v>ERN16946MRS X10.791666666664241</v>
      </c>
      <c r="B64" s="351" t="str">
        <f>IFERROR(VLOOKUP(E64,Outlist!$A$5:$AC$120,2,FALSE),"")</f>
        <v>ERN16946</v>
      </c>
      <c r="C64" s="352" t="str">
        <f>IFERROR(IF(LEFT(B64,3)='STAT 77'!$X$2,_xlfn.XLOOKUP(B64,'STAT 77'!C:C,'STAT 77'!B:B),_xlfn.XLOOKUP(B64,'STAT 77'!B:B,'STAT 77'!C:C)),"NON TROVATO")</f>
        <v>ERN08625</v>
      </c>
      <c r="D64" s="4"/>
      <c r="E64" s="352" t="str">
        <f>IFERROR(IF(Outlist!$A45&lt;&gt;"",Outlist!$A45,""),"")</f>
        <v>MRS X1</v>
      </c>
      <c r="F64" s="352" t="str">
        <f>IFERROR(VLOOKUP(E64,'Cambio O2P'!C:E,2,FALSE),"")</f>
        <v/>
      </c>
      <c r="G64" s="353">
        <f>IFERROR(VLOOKUP(E64,Outlist!$A$5:$AC$120,5,FALSE)-INT(VLOOKUP(E64,Outlist!$A$5:$AC$120,5,FALSE)),"")</f>
        <v>0.79166666666424135</v>
      </c>
      <c r="H64" s="294">
        <f ca="1">IFERROR(IF(AND('INformazioni per calcoli'!$AB$3&lt;(--"14:30"),'INformazioni per calcoli'!$AB$3&gt;(--"10:00")),"",IF($B64="","",IF($X64&lt;&gt;"","Mezzo Chiuso",IF($W64="","Non al Carico",IF($K64="Safe Parking","Safe Parking", IF(OR($BF64='INformazioni per calcoli'!$AF$8,$BF64='INformazioni per calcoli'!$AC$8,$BF64='INformazioni per calcoli'!$AD$8,$BF64='INformazioni per calcoli'!$AE$8,$BF64='INformazioni per calcoli'!$AG$8,$BF64='INformazioni per calcoli'!$AH$8,$BF64='INformazioni per calcoli'!$AI$8,$BF64='INformazioni per calcoli'!$AJ$8),IF($G64-'INformazioni per calcoli'!$AB$6-'INformazioni per calcoli'!$AB$3+$J64&lt;0,"LFLS",$G64-'INformazioni per calcoli'!$AB$6-'INformazioni per calcoli'!$AB$3+$J64), IF(OR($BF64='INformazioni per calcoli'!$AF$6,$BF64='INformazioni per calcoli'!$AD$6,$BF64='INformazioni per calcoli'!$AE$6,$BF64='INformazioni per calcoli'!$AG$6),IF($G64-'INformazioni per calcoli'!$AB$8-'INformazioni per calcoli'!$AB$3+$J64&lt;0,"LFLS",$G64-'INformazioni per calcoli'!$AB$8-'INformazioni per calcoli'!$AB$3+$J64), IF($G64-'INformazioni per calcoli'!$AB$7-'INformazioni per calcoli'!$AB$3+$J64&lt;0,"LFLS",$G64-'INformazioni per calcoli'!$AB$7-'INformazioni per calcoli'!$AB$3+$J64)))))))),"")</f>
        <v>1.6184259259235005</v>
      </c>
      <c r="I64" s="17">
        <f ca="1">IFERROR(IF($H64&lt;&gt;"",IF($H64="Safe Parking","",IF($W64&lt;&gt;"",IF(AND($U64="X",$V64="X"),$H64-(--"00:30"),""),IF($X64&lt;&gt;"","Mezzo Chiuso","Non al carico"))),""),"")</f>
        <v>1.5975925925901673</v>
      </c>
      <c r="J64" s="354">
        <v>1</v>
      </c>
      <c r="K64" s="27">
        <f>IF(E64&lt;&gt;"",IFERROR(VLOOKUP(E64,Outlist!$A$5:$AC$120,22,FALSE),""),"")</f>
        <v>0</v>
      </c>
      <c r="L64" s="352" t="str">
        <f>IF(E64&lt;&gt;"",IFERROR(VLOOKUP(E64,Outlist!$A$5:$AC$120,3,FALSE),""),"")</f>
        <v>T&amp;ti Cargo Line Srl</v>
      </c>
      <c r="M64" s="4" t="str">
        <f>IFERROR(_xlfn.XLOOKUP($Q64,'Elenco Casse'!$D:$D,'Elenco Casse'!$E:$E),"")</f>
        <v/>
      </c>
      <c r="N64" s="4" t="str">
        <f>IFERROR(_xlfn.XLOOKUP($Q64,'Elenco Casse'!$D:$D,'Elenco Casse'!$F:$F),"")</f>
        <v/>
      </c>
      <c r="O64" s="4" t="str">
        <f>IF($L64&lt;&gt;"","TT-2/3","")</f>
        <v>TT-2/3</v>
      </c>
      <c r="P64" s="296" t="str">
        <f>IFERROR(IF(VLOOKUP(E64,Outlist!$A$5:$AC$120,21,FALSE)="YES","Linea Variata",""),"")</f>
        <v/>
      </c>
      <c r="Q64" s="355" t="s">
        <v>626</v>
      </c>
      <c r="R64" s="23" t="s">
        <v>420</v>
      </c>
      <c r="S64" s="25" t="str">
        <f>IFERROR(IF(VLOOKUP(E64,Outlist!$A$5:$AC$120,7,FALSE)="X","SUBCO",""),"")</f>
        <v/>
      </c>
      <c r="T64" s="25"/>
      <c r="U64" s="23" t="s">
        <v>500</v>
      </c>
      <c r="V64" s="23" t="s">
        <v>500</v>
      </c>
      <c r="W64" s="26">
        <v>403</v>
      </c>
      <c r="X64" s="27"/>
      <c r="Y64" s="25"/>
      <c r="Z64" s="25"/>
      <c r="AA64" s="25" t="s">
        <v>40</v>
      </c>
      <c r="AB64" s="57"/>
      <c r="AC64" s="25"/>
      <c r="AD64" s="25" t="s">
        <v>487</v>
      </c>
      <c r="AE64" s="57"/>
      <c r="AF64" s="57"/>
      <c r="AG64" s="25"/>
      <c r="AH64" s="57"/>
      <c r="AI64" s="339"/>
      <c r="AJ64" s="339"/>
      <c r="AK64" s="297" t="str">
        <f>IF(X64&lt;&gt;"",CONCATENATE(IF(AA64&lt;&gt;"",CONCATENATE(Z64," ",AA64," ",BI64),""),IF(AD64&lt;&gt;"",CONCATENATE(","," ",AC64," ",AD64," ",BJ64),""),IF(AG64&lt;&gt;"",CONCATENATE(","," ",AF64," ",AG64," ",BK64),""),IF(AJ64&lt;&gt;"",CONCATENATE(","," ","DD"," ",BL64),"")," ",IF(AI64&lt;&gt;"",CONCATENATE(" - ",AI64," Bag"),"")),"")</f>
        <v/>
      </c>
      <c r="AL64" s="287"/>
      <c r="AM64" s="287"/>
      <c r="AN64" s="287"/>
      <c r="AO64" s="287"/>
      <c r="AP64" s="370">
        <f>IFERROR(VLOOKUP($E64,Outlist!$A$5:$V$120,20,FALSE),"")</f>
        <v>0</v>
      </c>
      <c r="AQ64" s="288" t="str">
        <f>IFERROR(IF(VLOOKUP($A64,#REF!,8,FALSE)&lt;&gt;"",VLOOKUP($A64,#REF!,8,FALSE),""),"")</f>
        <v/>
      </c>
      <c r="AS64" s="24"/>
      <c r="AT64" s="24"/>
      <c r="AU64" s="27"/>
      <c r="AV64" s="27"/>
      <c r="AX64" s="20" t="str">
        <f>IFERROR(IF(Out_Table[[#This Row],[Cancellazione linea]]="Cancellata","yes",""),"")</f>
        <v/>
      </c>
      <c r="AY64" s="72"/>
      <c r="AZ64" s="27"/>
      <c r="BA64" s="32"/>
      <c r="BB64" s="72"/>
      <c r="BC64" s="72" t="str">
        <f>IFERROR(VLOOKUP(Out_Table[[#This Row],[Aggiornamento STATUS]],'INformazioni per calcoli'!$Y$70:$AA$76,2,FALSE),"")</f>
        <v/>
      </c>
      <c r="BD64" s="289"/>
      <c r="BE64" s="289"/>
      <c r="BF64" s="47" t="str">
        <f>LEFT($E64,3)</f>
        <v>MRS</v>
      </c>
      <c r="BG64" s="298" t="str">
        <f>IF(Out_Table[[#This Row],[Ora Uscita    (GH)]]&lt;&gt;"","x","")</f>
        <v/>
      </c>
      <c r="BH64" s="299">
        <f>VLOOKUP($O64,'INformazioni per calcoli'!$Y$20:$AA$23,3,FALSE)</f>
        <v>14</v>
      </c>
      <c r="BI64" s="299">
        <f>MROUND(Out_Table[[#This Row],[Mtr. Trailer]]*AB64,0.5)</f>
        <v>0</v>
      </c>
      <c r="BJ64" s="299">
        <f>MROUND(Out_Table[[#This Row],[Mtr. Trailer]]*AE64,0.5)</f>
        <v>0</v>
      </c>
      <c r="BK64" s="299">
        <f>MROUND(Out_Table[[#This Row],[Mtr. Trailer]]*AH64,0.5)</f>
        <v>0</v>
      </c>
      <c r="BL64" s="300">
        <f>Out_Table[[#This Row],[Double Deck trailer N° bumpers]]</f>
        <v>0</v>
      </c>
      <c r="BM64" s="301"/>
      <c r="BN64" s="299" t="str">
        <f>B64</f>
        <v>ERN16946</v>
      </c>
      <c r="BO64" s="299" t="str">
        <f>E64</f>
        <v>MRS X1</v>
      </c>
      <c r="BP64" s="302">
        <f>IF(AND(G64&gt;(--"00:00:01"),G64&lt;(--"15:00:00")),IF(AND(X64&gt;(--"00:00:01"),X64&lt;(--"15:00:00")),G64-X64,G64+1-X64),G64-X64)</f>
        <v>0.79166666666424135</v>
      </c>
      <c r="BQ64" s="303">
        <f>AE64+AF64+AH64+AJ64</f>
        <v>0</v>
      </c>
      <c r="BR64" s="304" t="str">
        <f>IF(OR(BP64&lt;=(--"00:20:00"),BQ64&gt;=100%),"OK","Not OK")</f>
        <v>Not OK</v>
      </c>
      <c r="BS64" s="302">
        <f>IF(AND(G64&gt;(--"00:00:01"),G64&lt;(--"15:00:00")),IF(AND(AU64&gt;(--"00:00:01"),AU64&lt;(--"15:00:00")),G64-AU64,G64+1-AU64),G64-AU64)</f>
        <v>0.79166666666424135</v>
      </c>
      <c r="BT64" s="302">
        <f>IF(AND(AZ64&gt;(--"00:00:01"),AZ64&lt;(--"15:00:00")),IF(AND(AU64&gt;(--"00:00:01"),AU64&lt;(--"15:00:00")),AZ64-AU64,AZ64+1-AU64),AZ64-AU64)</f>
        <v>0</v>
      </c>
      <c r="BU64" s="302">
        <f>IF(AND(BA64&gt;(--"00:00:01"),BA64&lt;(--"15:00:00")),IF(AND(AZ64&gt;(--"00:00:01"),AZ64&lt;(--"15:00:00")),BA64-AZ64,BA64+1-AZ64),BA64-AZ64)</f>
        <v>0</v>
      </c>
      <c r="BV64" s="299">
        <f>AV64</f>
        <v>0</v>
      </c>
      <c r="BW64" s="301"/>
      <c r="BX64" s="299" t="str">
        <f>IF(AV64="T Status",IF(AV64&lt;&gt;T64,"X",""),"")</f>
        <v/>
      </c>
      <c r="BY64" s="301"/>
      <c r="BZ64" s="299" t="str">
        <f>IF(X64&lt;&gt;"",IF(CC64="X","Driver Delay",IF(CA64="X","Paperwork Delay",IF(CB64="X","Late freight late sort",IF(CD64="X","Chiamare Control Room",IF(CE64="X","Chiamare Control Room",IF(CF64="X","Chiamare Control Room","")))))),"")</f>
        <v/>
      </c>
      <c r="CA64" s="302" t="str">
        <f>IF(K64="",IF(IF(AND(G64&gt;(--"00:00:01"),G64&lt;(--"15:00:00")),IF(AND(AT64&gt;(--"08:00:00"),AT64&lt;(--"23:59:59")),G64+1-AT64,G64-AT64),G64-AT64)&gt;(--"00:20:00"),"","X"),"")</f>
        <v/>
      </c>
      <c r="CB64" s="299" t="str">
        <f>IF(K64="",IF(BP64&gt;=(--"00:20:00"),"","X"),"")</f>
        <v/>
      </c>
      <c r="CC64" s="299" t="str">
        <f>IF(OR(AV64="Autista non presente",AV64="Dati driver non presenti"),"X","")</f>
        <v/>
      </c>
      <c r="CD64" s="299" t="str">
        <f>IF(K64="",IF(AND(CC64="",BS64&lt;(--"00:20:00")),"X",""),"")</f>
        <v/>
      </c>
      <c r="CE64" s="299" t="str">
        <f>IF(K64="",IF(BT64&gt;(--"00:15:00"),"X",""),IF(AZ64&lt;&gt;"",IF(G64-AZ64&gt;(--"00:30:00"),"X",""),""))</f>
        <v/>
      </c>
      <c r="CF64" s="299" t="str">
        <f>IF(AND(CA64="",CB64="",CC64="",CD64="",CE64=""),"X","")</f>
        <v>X</v>
      </c>
      <c r="CG64" s="301"/>
      <c r="CH64" s="299" t="str">
        <f>IF(BT64&gt;(--"00:15:00"),"X","")</f>
        <v/>
      </c>
      <c r="CI64" s="302">
        <f>AY64</f>
        <v>0</v>
      </c>
      <c r="CJ64" s="299" t="str">
        <f>IF(AND(CH64&lt;&gt;"",CI64&lt;&gt;"",LEFT(B64,3)="ITD"),AP64,"")</f>
        <v/>
      </c>
      <c r="CK64" s="305" t="str">
        <f>IF(CJ64&lt;&gt;"",BT64,"")</f>
        <v/>
      </c>
      <c r="CL64" s="301"/>
      <c r="CM64" s="305" t="str">
        <f>IFERROR(VLOOKUP(Q64,'Elenco Casse'!$D$4:$F$292,3,FALSE),"")</f>
        <v/>
      </c>
      <c r="CN64" s="301"/>
      <c r="CO64" s="305" t="str">
        <f>IFERROR(VLOOKUP(E64,Outlist!$A$5:$H$120,8,FALSE),"")</f>
        <v>enbd20284</v>
      </c>
      <c r="CP64" s="305" t="str">
        <f>IFERROR(IF(VLOOKUP($E64,Outlist!$A$5:$S$120,19,FALSE)&lt;&gt;0,"Y",""),"")</f>
        <v/>
      </c>
      <c r="CQ64" s="301"/>
      <c r="CR64" s="305" t="str">
        <f>CONCATENATE($B64,$E64,$G64)</f>
        <v>ERN16946MRS X10.791666666664241</v>
      </c>
      <c r="CS64" s="301"/>
      <c r="CT64" s="305">
        <f>VLOOKUP(Out_Table[[#This Row],[Destination             ORANGE (From Planning)]],Outlist!$A$5:$W$120,22,FALSE)</f>
        <v>0</v>
      </c>
    </row>
    <row r="65" spans="1:98" s="20" customFormat="1" ht="30.75">
      <c r="A65" s="305" t="str">
        <f>$CR65</f>
        <v>ITD12367TO10.197916666666667</v>
      </c>
      <c r="B65" s="284" t="s">
        <v>627</v>
      </c>
      <c r="C65" s="290" t="str">
        <f>IFERROR(IF(LEFT(B65,3)='STAT 77'!$X$2,_xlfn.XLOOKUP(B65,'STAT 77'!C:C,'STAT 77'!B:B),_xlfn.XLOOKUP(B65,'STAT 77'!B:B,'STAT 77'!C:C)),"NON TROVATO")</f>
        <v>ITD31490</v>
      </c>
      <c r="D65" s="25" t="s">
        <v>628</v>
      </c>
      <c r="E65" s="290" t="s">
        <v>629</v>
      </c>
      <c r="F65" s="290" t="str">
        <f>IFERROR(VLOOKUP(E65,'Cambio O2P'!C:E,2,FALSE),"")</f>
        <v>XIKA</v>
      </c>
      <c r="G65" s="285">
        <v>0.19791666666666666</v>
      </c>
      <c r="H65" s="293" t="str">
        <f ca="1">IFERROR(IF(AND('INformazioni per calcoli'!$AB$3&lt;(--"14:30"),'INformazioni per calcoli'!$AB$3&gt;(--"10:00")),"",IF($B65="","",IF($X65&lt;&gt;"","Mezzo Chiuso",IF($W65="","Non al Carico",IF($G65-'INformazioni per calcoli'!$AB$5-'INformazioni per calcoli'!$AB$3+$J65&lt;0,"LFLS",IF($K65&lt;&gt;"","Safe Parking",IF($W65&lt;&gt;"",IF($E65="MXP",$G65-'INformazioni per calcoli'!$AB$6-'INformazioni per calcoli'!$AB$3+$J65,$G65-'INformazioni per calcoli'!$AB$5-'INformazioni per calcoli'!$AB$3+$J65),"Non al carico"))))))),"")</f>
        <v>Mezzo Chiuso</v>
      </c>
      <c r="I65" s="17" t="str">
        <f ca="1">IFERROR(IF($H65&lt;&gt;"",IF($H65="Safe Parking","",IF($W65&lt;&gt;"",IF(AND($U65="X",$V65="X"),$H65-(--"00:30"),""),IF($X65&lt;&gt;"","Mezzo Chiuso","Non al carico"))),""),"")</f>
        <v/>
      </c>
      <c r="J65" s="306">
        <f ca="1">IFERROR(IF($B65&lt;&gt;"",IF(AND('INformazioni per calcoli'!$AB$3&lt;(--"15:00"),'INformazioni per calcoli'!$AB$3&gt;(--"00:00")),0,IF($G65&lt;(--"18:30"),"+1",0)),""),"")</f>
        <v>0</v>
      </c>
      <c r="K65" s="27"/>
      <c r="L65" s="25" t="s">
        <v>430</v>
      </c>
      <c r="M65" s="25" t="str">
        <f>IFERROR(_xlfn.XLOOKUP($Q65,'Elenco Casse'!$D:$D,'Elenco Casse'!$E:$E),"")</f>
        <v xml:space="preserve">TRANS SPEEDY </v>
      </c>
      <c r="N65" s="25">
        <f>IFERROR(_xlfn.XLOOKUP($Q65,'Elenco Casse'!$D:$D,'Elenco Casse'!$F:$F),"")</f>
        <v>0</v>
      </c>
      <c r="O65" s="286" t="s">
        <v>418</v>
      </c>
      <c r="P65" s="295" t="str">
        <f>IFERROR(_xlfn.XLOOKUP($Q65,'Elenco Casse'!$D:$D,'Elenco Casse'!$G:$G),"")</f>
        <v>trailer 80 m3 2/3 axles</v>
      </c>
      <c r="Q65" s="355" t="s">
        <v>630</v>
      </c>
      <c r="R65" s="23" t="s">
        <v>420</v>
      </c>
      <c r="S65" s="25" t="s">
        <v>421</v>
      </c>
      <c r="T65" s="25" t="s">
        <v>432</v>
      </c>
      <c r="U65" s="23" t="str">
        <f>IF(ISNUMBER(SEARCH("Parcel",$T65)),"X","")</f>
        <v>X</v>
      </c>
      <c r="V65" s="23" t="str">
        <f>IF(ISNUMBER(SEARCH("Freight",$T65)),"X","")</f>
        <v/>
      </c>
      <c r="W65" s="26">
        <v>404</v>
      </c>
      <c r="X65" s="27">
        <v>6.25E-2</v>
      </c>
      <c r="Y65" s="25" t="s">
        <v>631</v>
      </c>
      <c r="Z65" s="25"/>
      <c r="AA65" s="25" t="s">
        <v>40</v>
      </c>
      <c r="AB65" s="57">
        <v>1</v>
      </c>
      <c r="AC65" s="25"/>
      <c r="AD65" s="25"/>
      <c r="AE65" s="57"/>
      <c r="AF65" s="57"/>
      <c r="AG65" s="25"/>
      <c r="AH65" s="57"/>
      <c r="AI65" s="339">
        <v>3</v>
      </c>
      <c r="AJ65" s="339"/>
      <c r="AK65" s="297" t="str">
        <f>IF(X65&lt;&gt;"",CONCATENATE(IF(AA65&lt;&gt;"",CONCATENATE(Z65," ",AA65," ",BI65),""),IF(AD65&lt;&gt;"",CONCATENATE(","," ",AC65," ",AD65," ",BJ65),""),IF(AG65&lt;&gt;"",CONCATENATE(","," ",AF65," ",AG65," ",BK65),""),IF(AJ65&lt;&gt;"",CONCATENATE(","," ","DD"," ",BL65),"")," ",IF(AI65&lt;&gt;"",CONCATENATE(" - ",AI65," Bag"),"")),"")</f>
        <v xml:space="preserve"> LL 14  - 3 Bag</v>
      </c>
      <c r="AL65" s="287" t="s">
        <v>421</v>
      </c>
      <c r="AM65" s="287"/>
      <c r="AN65" s="287"/>
      <c r="AO65" s="287"/>
      <c r="AP65" s="370" t="str">
        <f>IFERROR(VLOOKUP($E62,Outlist!$A$5:$V$120,20,FALSE),"")</f>
        <v/>
      </c>
      <c r="AQ65" s="288" t="str">
        <f>IFERROR(IF(VLOOKUP($A65,#REF!,8,FALSE)&lt;&gt;"",VLOOKUP($A65,#REF!,8,FALSE),""),"")</f>
        <v/>
      </c>
      <c r="AS65" s="24"/>
      <c r="AT65" s="24">
        <v>0.95</v>
      </c>
      <c r="AU65" s="27"/>
      <c r="AV65" s="27"/>
      <c r="AX65" s="20" t="str">
        <f>IFERROR(IF(Out_Table[[#This Row],[Cancellazione linea]]="Cancellata","yes",""),"")</f>
        <v/>
      </c>
      <c r="AY65" s="72" t="str">
        <f>IF(BA65="",BZ65,IF(AND(BA65&lt;(--"23:59:59"),BA65&gt;(--"15:00:00"),G65&lt;(--"14:00:00"),G65&gt;(--"00:00:01")),"",IF(BA65&gt;G65,BZ65,"")))</f>
        <v>Chiamare Control Room</v>
      </c>
      <c r="AZ65" s="27"/>
      <c r="BA65" s="32"/>
      <c r="BB65" s="72"/>
      <c r="BC65" s="72" t="str">
        <f>IFERROR(VLOOKUP(Out_Table[[#This Row],[Aggiornamento STATUS]],'INformazioni per calcoli'!$Y$70:$AA$76,2,FALSE),"")</f>
        <v/>
      </c>
      <c r="BD65" s="289"/>
      <c r="BE65" s="289"/>
      <c r="BF65" s="47" t="str">
        <f>LEFT($E65,3)</f>
        <v>TO1</v>
      </c>
      <c r="BG65" s="298" t="str">
        <f>IF(Out_Table[[#This Row],[Ora Uscita    (GH)]]&lt;&gt;"","x","")</f>
        <v/>
      </c>
      <c r="BH65" s="299">
        <f>VLOOKUP($O65,'INformazioni per calcoli'!$Y$20:$AA$23,3,FALSE)</f>
        <v>14</v>
      </c>
      <c r="BI65" s="299">
        <f>MROUND(Out_Table[[#This Row],[Mtr. Trailer]]*AB65,0.5)</f>
        <v>14</v>
      </c>
      <c r="BJ65" s="299">
        <f>MROUND(Out_Table[[#This Row],[Mtr. Trailer]]*AE65,0.5)</f>
        <v>0</v>
      </c>
      <c r="BK65" s="299">
        <f>MROUND(Out_Table[[#This Row],[Mtr. Trailer]]*AH65,0.5)</f>
        <v>0</v>
      </c>
      <c r="BL65" s="300">
        <f>Out_Table[[#This Row],[Double Deck trailer N° bumpers]]</f>
        <v>0</v>
      </c>
      <c r="BM65" s="301"/>
      <c r="BN65" s="299" t="str">
        <f>B65</f>
        <v>ITD12367</v>
      </c>
      <c r="BO65" s="299" t="str">
        <f>E65</f>
        <v>TO1</v>
      </c>
      <c r="BP65" s="302">
        <f>IF(AND(G65&gt;(--"00:00:01"),G65&lt;(--"15:00:00")),IF(AND(X65&gt;(--"00:00:01"),X65&lt;(--"15:00:00")),G65-X65,G65+1-X65),G65-X65)</f>
        <v>0.13541666666666666</v>
      </c>
      <c r="BQ65" s="303">
        <f>AE65+AF65+AH65+AJ65</f>
        <v>0</v>
      </c>
      <c r="BR65" s="304" t="str">
        <f>IF(OR(BP65&lt;=(--"00:20:00"),BQ65&gt;=100%),"OK","Not OK")</f>
        <v>Not OK</v>
      </c>
      <c r="BS65" s="302">
        <f>IF(AND(G65&gt;(--"00:00:01"),G65&lt;(--"15:00:00")),IF(AND(AU65&gt;(--"00:00:01"),AU65&lt;(--"15:00:00")),G65-AU65,G65+1-AU65),G65-AU65)</f>
        <v>1.1979166666666667</v>
      </c>
      <c r="BT65" s="302">
        <f>IF(AND(AZ65&gt;(--"00:00:01"),AZ65&lt;(--"15:00:00")),IF(AND(AU65&gt;(--"00:00:01"),AU65&lt;(--"15:00:00")),AZ65-AU65,AZ65+1-AU65),AZ65-AU65)</f>
        <v>0</v>
      </c>
      <c r="BU65" s="302">
        <f>IF(AND(BA65&gt;(--"00:00:01"),BA65&lt;(--"15:00:00")),IF(AND(AZ65&gt;(--"00:00:01"),AZ65&lt;(--"15:00:00")),BA65-AZ65,BA65+1-AZ65),BA65-AZ65)</f>
        <v>0</v>
      </c>
      <c r="BV65" s="299">
        <f>AV65</f>
        <v>0</v>
      </c>
      <c r="BW65" s="301"/>
      <c r="BX65" s="299" t="str">
        <f>IF(AV65="T Status",IF(AV65&lt;&gt;T65,"X",""),"")</f>
        <v/>
      </c>
      <c r="BY65" s="301"/>
      <c r="BZ65" s="299" t="str">
        <f>IF(X65&lt;&gt;"",IF(CC65="X","Driver Delay",IF(CA65="X","Paperwork Delay",IF(CB65="X","Late freight late sort",IF(CD65="X","Chiamare Control Room",IF(CE65="X","Chiamare Control Room",IF(CF65="X","Chiamare Control Room","")))))),"")</f>
        <v>Chiamare Control Room</v>
      </c>
      <c r="CA65" s="302" t="str">
        <f>IF(K65="",IF(IF(AND(G65&gt;(--"00:00:01"),G65&lt;(--"15:00:00")),IF(AND(AT65&gt;(--"08:00:00"),AT65&lt;(--"23:59:59")),G65+1-AT65,G65-AT65),G65-AT65)&gt;(--"00:20:00"),"","X"),"")</f>
        <v/>
      </c>
      <c r="CB65" s="299" t="str">
        <f>IF(K65="",IF(BP65&gt;=(--"00:20:00"),"","X"),"")</f>
        <v/>
      </c>
      <c r="CC65" s="299" t="str">
        <f>IF(OR(AV65="Autista non presente",AV65="Dati driver non presenti"),"X","")</f>
        <v/>
      </c>
      <c r="CD65" s="299" t="str">
        <f>IF(K65="",IF(AND(CC65="",BS65&lt;(--"00:20:00")),"X",""),"")</f>
        <v/>
      </c>
      <c r="CE65" s="299" t="str">
        <f>IF(K65="",IF(BT65&gt;(--"00:15:00"),"X",""),IF(AZ65&lt;&gt;"",IF(G65-AZ65&gt;(--"00:30:00"),"X",""),""))</f>
        <v/>
      </c>
      <c r="CF65" s="299" t="str">
        <f>IF(AND(CA65="",CB65="",CC65="",CD65="",CE65=""),"X","")</f>
        <v>X</v>
      </c>
      <c r="CG65" s="301"/>
      <c r="CH65" s="299" t="str">
        <f>IF(BT65&gt;(--"00:15:00"),"X","")</f>
        <v/>
      </c>
      <c r="CI65" s="302" t="str">
        <f>AY65</f>
        <v>Chiamare Control Room</v>
      </c>
      <c r="CJ65" s="299" t="str">
        <f>IF(AND(CH65&lt;&gt;"",CI65&lt;&gt;"",LEFT(B65,3)="ITD"),AP65,"")</f>
        <v/>
      </c>
      <c r="CK65" s="305" t="str">
        <f>IF(CJ65&lt;&gt;"",BT65,"")</f>
        <v/>
      </c>
      <c r="CL65" s="301"/>
      <c r="CM65" s="305" t="str">
        <f>IFERROR(VLOOKUP(Q65,'Elenco Casse'!$D$4:$F$292,3,FALSE),"")</f>
        <v/>
      </c>
      <c r="CN65" s="301"/>
      <c r="CO65" s="305" t="str">
        <f>IFERROR(VLOOKUP(S65,'Elenco Casse'!$D$4:$F$292,3,FALSE),"")</f>
        <v/>
      </c>
      <c r="CP65" s="305" t="str">
        <f>IFERROR(IF(VLOOKUP($E65,Outlist!$A$5:$S$120,19,FALSE)&lt;&gt;0,"Y",""),"")</f>
        <v/>
      </c>
      <c r="CQ65" s="301"/>
      <c r="CR65" s="305" t="str">
        <f>CONCATENATE($B65,$E65,$G65)</f>
        <v>ITD12367TO10.197916666666667</v>
      </c>
      <c r="CS65" s="301"/>
      <c r="CT65" s="305" t="e">
        <f>VLOOKUP(Out_Table[[#This Row],[Destination             ORANGE (From Planning)]],Outlist!$A$5:$W$120,22,FALSE)</f>
        <v>#N/A</v>
      </c>
    </row>
    <row r="66" spans="1:98" s="20" customFormat="1" ht="30.75">
      <c r="A66" s="305" t="str">
        <f>$CR66</f>
        <v>ITD12368TO10.25</v>
      </c>
      <c r="B66" s="284" t="s">
        <v>632</v>
      </c>
      <c r="C66" s="290" t="str">
        <f>IFERROR(IF(LEFT(B66,3)='STAT 77'!$X$2,_xlfn.XLOOKUP(B66,'STAT 77'!C:C,'STAT 77'!B:B),_xlfn.XLOOKUP(B66,'STAT 77'!B:B,'STAT 77'!C:C)),"NON TROVATO")</f>
        <v>ITD31492</v>
      </c>
      <c r="D66" s="25" t="s">
        <v>628</v>
      </c>
      <c r="E66" s="290" t="s">
        <v>629</v>
      </c>
      <c r="F66" s="290" t="str">
        <f>IFERROR(VLOOKUP(E66,'Cambio O2P'!C:E,2,FALSE),"")</f>
        <v>XIKA</v>
      </c>
      <c r="G66" s="285">
        <v>0.25</v>
      </c>
      <c r="H66" s="293" t="str">
        <f ca="1">IFERROR(IF(AND('INformazioni per calcoli'!$AB$3&lt;(--"14:30"),'INformazioni per calcoli'!$AB$3&gt;(--"10:00")),"",IF($B66="","",IF($X66&lt;&gt;"","Mezzo Chiuso",IF($W66="","Non al Carico",IF($G66-'INformazioni per calcoli'!$AB$5-'INformazioni per calcoli'!$AB$3+$J66&lt;0,"LFLS",IF($K66&lt;&gt;"","Safe Parking",IF($W66&lt;&gt;"",IF($E66="MXP",$G66-'INformazioni per calcoli'!$AB$6-'INformazioni per calcoli'!$AB$3+$J66,$G66-'INformazioni per calcoli'!$AB$5-'INformazioni per calcoli'!$AB$3+$J66),"Non al carico"))))))),"")</f>
        <v>Mezzo Chiuso</v>
      </c>
      <c r="I66" s="17" t="str">
        <f ca="1">IFERROR(IF($H66&lt;&gt;"",IF($H66="Safe Parking","",IF($W66&lt;&gt;"",IF(AND($U66="X",$V66="X"),$H66-(--"00:30"),""),IF($X66&lt;&gt;"","Mezzo Chiuso","Non al carico"))),""),"")</f>
        <v/>
      </c>
      <c r="J66" s="306">
        <f ca="1">IFERROR(IF($B66&lt;&gt;"",IF(AND('INformazioni per calcoli'!$AB$3&lt;(--"15:00"),'INformazioni per calcoli'!$AB$3&gt;(--"00:00")),0,IF($G66&lt;(--"18:30"),"+1",0)),""),"")</f>
        <v>0</v>
      </c>
      <c r="K66" s="27"/>
      <c r="L66" s="25" t="s">
        <v>430</v>
      </c>
      <c r="M66" s="25" t="str">
        <f>IFERROR(_xlfn.XLOOKUP($Q66,'Elenco Casse'!$D:$D,'Elenco Casse'!$E:$E),"")</f>
        <v/>
      </c>
      <c r="N66" s="25" t="str">
        <f>IFERROR(_xlfn.XLOOKUP($Q66,'Elenco Casse'!$D:$D,'Elenco Casse'!$F:$F),"")</f>
        <v/>
      </c>
      <c r="O66" s="286" t="s">
        <v>418</v>
      </c>
      <c r="P66" s="295" t="str">
        <f>IFERROR(_xlfn.XLOOKUP($Q66,'Elenco Casse'!$D:$D,'Elenco Casse'!$G:$G),"")</f>
        <v/>
      </c>
      <c r="Q66" s="355" t="s">
        <v>633</v>
      </c>
      <c r="R66" s="23" t="s">
        <v>420</v>
      </c>
      <c r="S66" s="25" t="s">
        <v>421</v>
      </c>
      <c r="T66" s="25" t="s">
        <v>432</v>
      </c>
      <c r="U66" s="23" t="str">
        <f>IF(ISNUMBER(SEARCH("Parcel",$T66)),"X","")</f>
        <v>X</v>
      </c>
      <c r="V66" s="23" t="str">
        <f>IF(ISNUMBER(SEARCH("Freight",$T66)),"X","")</f>
        <v/>
      </c>
      <c r="W66" s="26">
        <v>405</v>
      </c>
      <c r="X66" s="27">
        <v>0.10277777777777777</v>
      </c>
      <c r="Y66" s="25" t="s">
        <v>578</v>
      </c>
      <c r="Z66" s="25"/>
      <c r="AA66" s="25" t="s">
        <v>40</v>
      </c>
      <c r="AB66" s="57">
        <v>1</v>
      </c>
      <c r="AC66" s="25"/>
      <c r="AD66" s="25"/>
      <c r="AE66" s="57"/>
      <c r="AF66" s="57"/>
      <c r="AG66" s="25"/>
      <c r="AH66" s="57"/>
      <c r="AI66" s="339">
        <v>12</v>
      </c>
      <c r="AJ66" s="339"/>
      <c r="AK66" s="297" t="str">
        <f>IF(X66&lt;&gt;"",CONCATENATE(IF(AA66&lt;&gt;"",CONCATENATE(Z66," ",AA66," ",BI66),""),IF(AD66&lt;&gt;"",CONCATENATE(","," ",AC66," ",AD66," ",BJ66),""),IF(AG66&lt;&gt;"",CONCATENATE(","," ",AF66," ",AG66," ",BK66),""),IF(AJ66&lt;&gt;"",CONCATENATE(","," ","DD"," ",BL66),"")," ",IF(AI66&lt;&gt;"",CONCATENATE(" - ",AI66," Bag"),"")),"")</f>
        <v xml:space="preserve"> LL 14  - 12 Bag</v>
      </c>
      <c r="AL66" s="287" t="s">
        <v>421</v>
      </c>
      <c r="AM66" s="287"/>
      <c r="AN66" s="287"/>
      <c r="AO66" s="287"/>
      <c r="AP66" s="370" t="str">
        <f>IFERROR(VLOOKUP($E63,Outlist!$A$5:$V$120,20,FALSE),"")</f>
        <v/>
      </c>
      <c r="AQ66" s="288" t="str">
        <f>IFERROR(IF(VLOOKUP($A66,#REF!,8,FALSE)&lt;&gt;"",VLOOKUP($A66,#REF!,8,FALSE),""),"")</f>
        <v/>
      </c>
      <c r="AS66" s="24"/>
      <c r="AT66" s="24">
        <v>8.3333333333333332E-3</v>
      </c>
      <c r="AU66" s="27"/>
      <c r="AV66" s="27"/>
      <c r="AX66" s="20" t="str">
        <f>IFERROR(IF(Out_Table[[#This Row],[Cancellazione linea]]="Cancellata","yes",""),"")</f>
        <v/>
      </c>
      <c r="AY66" s="72" t="str">
        <f>IF(BA66="",BZ66,IF(AND(BA66&lt;(--"23:59:59"),BA66&gt;(--"15:00:00"),G66&lt;(--"14:00:00"),G66&gt;(--"00:00:01")),"",IF(BA66&gt;G66,BZ66,"")))</f>
        <v>Chiamare Control Room</v>
      </c>
      <c r="AZ66" s="27"/>
      <c r="BA66" s="32"/>
      <c r="BB66" s="72"/>
      <c r="BC66" s="72" t="str">
        <f>IFERROR(VLOOKUP(Out_Table[[#This Row],[Aggiornamento STATUS]],'INformazioni per calcoli'!$Y$70:$AA$76,2,FALSE),"")</f>
        <v/>
      </c>
      <c r="BD66" s="289"/>
      <c r="BE66" s="289"/>
      <c r="BF66" s="47" t="str">
        <f>LEFT($E66,3)</f>
        <v>TO1</v>
      </c>
      <c r="BG66" s="298" t="str">
        <f>IF(Out_Table[[#This Row],[Ora Uscita    (GH)]]&lt;&gt;"","x","")</f>
        <v/>
      </c>
      <c r="BH66" s="299">
        <f>VLOOKUP($O66,'INformazioni per calcoli'!$Y$20:$AA$23,3,FALSE)</f>
        <v>14</v>
      </c>
      <c r="BI66" s="299">
        <f>MROUND(Out_Table[[#This Row],[Mtr. Trailer]]*AB66,0.5)</f>
        <v>14</v>
      </c>
      <c r="BJ66" s="299">
        <f>MROUND(Out_Table[[#This Row],[Mtr. Trailer]]*AE66,0.5)</f>
        <v>0</v>
      </c>
      <c r="BK66" s="299">
        <f>MROUND(Out_Table[[#This Row],[Mtr. Trailer]]*AH66,0.5)</f>
        <v>0</v>
      </c>
      <c r="BL66" s="300">
        <f>Out_Table[[#This Row],[Double Deck trailer N° bumpers]]</f>
        <v>0</v>
      </c>
      <c r="BM66" s="301"/>
      <c r="BN66" s="299" t="str">
        <f>B66</f>
        <v>ITD12368</v>
      </c>
      <c r="BO66" s="299" t="str">
        <f>E66</f>
        <v>TO1</v>
      </c>
      <c r="BP66" s="302">
        <f>IF(AND(G66&gt;(--"00:00:01"),G66&lt;(--"15:00:00")),IF(AND(X66&gt;(--"00:00:01"),X66&lt;(--"15:00:00")),G66-X66,G66+1-X66),G66-X66)</f>
        <v>0.14722222222222223</v>
      </c>
      <c r="BQ66" s="303">
        <f>AE66+AF66+AH66+AJ66</f>
        <v>0</v>
      </c>
      <c r="BR66" s="304" t="str">
        <f>IF(OR(BP66&lt;=(--"00:20:00"),BQ66&gt;=100%),"OK","Not OK")</f>
        <v>Not OK</v>
      </c>
      <c r="BS66" s="302">
        <f>IF(AND(G66&gt;(--"00:00:01"),G66&lt;(--"15:00:00")),IF(AND(AU66&gt;(--"00:00:01"),AU66&lt;(--"15:00:00")),G66-AU66,G66+1-AU66),G66-AU66)</f>
        <v>1.25</v>
      </c>
      <c r="BT66" s="302">
        <f>IF(AND(AZ66&gt;(--"00:00:01"),AZ66&lt;(--"15:00:00")),IF(AND(AU66&gt;(--"00:00:01"),AU66&lt;(--"15:00:00")),AZ66-AU66,AZ66+1-AU66),AZ66-AU66)</f>
        <v>0</v>
      </c>
      <c r="BU66" s="302">
        <f>IF(AND(BA66&gt;(--"00:00:01"),BA66&lt;(--"15:00:00")),IF(AND(AZ66&gt;(--"00:00:01"),AZ66&lt;(--"15:00:00")),BA66-AZ66,BA66+1-AZ66),BA66-AZ66)</f>
        <v>0</v>
      </c>
      <c r="BV66" s="299">
        <f>AV66</f>
        <v>0</v>
      </c>
      <c r="BW66" s="301"/>
      <c r="BX66" s="299" t="str">
        <f>IF(AV66="T Status",IF(AV66&lt;&gt;T66,"X",""),"")</f>
        <v/>
      </c>
      <c r="BY66" s="301"/>
      <c r="BZ66" s="299" t="str">
        <f>IF(X66&lt;&gt;"",IF(CC66="X","Driver Delay",IF(CA66="X","Paperwork Delay",IF(CB66="X","Late freight late sort",IF(CD66="X","Chiamare Control Room",IF(CE66="X","Chiamare Control Room",IF(CF66="X","Chiamare Control Room","")))))),"")</f>
        <v>Chiamare Control Room</v>
      </c>
      <c r="CA66" s="302" t="str">
        <f>IF(K66="",IF(IF(AND(G66&gt;(--"00:00:01"),G66&lt;(--"15:00:00")),IF(AND(AT66&gt;(--"08:00:00"),AT66&lt;(--"23:59:59")),G66+1-AT66,G66-AT66),G66-AT66)&gt;(--"00:20:00"),"","X"),"")</f>
        <v/>
      </c>
      <c r="CB66" s="299" t="str">
        <f>IF(K66="",IF(BP66&gt;=(--"00:20:00"),"","X"),"")</f>
        <v/>
      </c>
      <c r="CC66" s="299" t="str">
        <f>IF(OR(AV66="Autista non presente",AV66="Dati driver non presenti"),"X","")</f>
        <v/>
      </c>
      <c r="CD66" s="299" t="str">
        <f>IF(K66="",IF(AND(CC66="",BS66&lt;(--"00:20:00")),"X",""),"")</f>
        <v/>
      </c>
      <c r="CE66" s="299" t="str">
        <f>IF(K66="",IF(BT66&gt;(--"00:15:00"),"X",""),IF(AZ66&lt;&gt;"",IF(G66-AZ66&gt;(--"00:30:00"),"X",""),""))</f>
        <v/>
      </c>
      <c r="CF66" s="299" t="str">
        <f>IF(AND(CA66="",CB66="",CC66="",CD66="",CE66=""),"X","")</f>
        <v>X</v>
      </c>
      <c r="CG66" s="301"/>
      <c r="CH66" s="299" t="str">
        <f>IF(BT66&gt;(--"00:15:00"),"X","")</f>
        <v/>
      </c>
      <c r="CI66" s="302" t="str">
        <f>AY66</f>
        <v>Chiamare Control Room</v>
      </c>
      <c r="CJ66" s="299" t="str">
        <f>IF(AND(CH66&lt;&gt;"",CI66&lt;&gt;"",LEFT(B66,3)="ITD"),AP66,"")</f>
        <v/>
      </c>
      <c r="CK66" s="305" t="str">
        <f>IF(CJ66&lt;&gt;"",BT66,"")</f>
        <v/>
      </c>
      <c r="CL66" s="301"/>
      <c r="CM66" s="305" t="str">
        <f>IFERROR(VLOOKUP(Q66,'Elenco Casse'!$D$4:$F$292,3,FALSE),"")</f>
        <v/>
      </c>
      <c r="CN66" s="301"/>
      <c r="CO66" s="305" t="str">
        <f>IFERROR(VLOOKUP(S66,'Elenco Casse'!$D$4:$F$292,3,FALSE),"")</f>
        <v/>
      </c>
      <c r="CP66" s="305" t="str">
        <f>IFERROR(IF(VLOOKUP($E66,Outlist!$A$5:$S$120,19,FALSE)&lt;&gt;0,"Y",""),"")</f>
        <v/>
      </c>
      <c r="CQ66" s="301"/>
      <c r="CR66" s="305" t="str">
        <f>CONCATENATE($B66,$E66,$G66)</f>
        <v>ITD12368TO10.25</v>
      </c>
      <c r="CS66" s="301"/>
      <c r="CT66" s="305" t="e">
        <f>VLOOKUP(Out_Table[[#This Row],[Destination             ORANGE (From Planning)]],Outlist!$A$5:$W$120,22,FALSE)</f>
        <v>#N/A</v>
      </c>
    </row>
    <row r="67" spans="1:98" s="20" customFormat="1" ht="30.75">
      <c r="A67" s="305" t="str">
        <f>$CR67</f>
        <v>ITD12369TO10.177083333333333</v>
      </c>
      <c r="B67" s="284" t="s">
        <v>634</v>
      </c>
      <c r="C67" s="290" t="str">
        <f>IFERROR(IF(LEFT(B67,3)='STAT 77'!$X$2,_xlfn.XLOOKUP(B67,'STAT 77'!C:C,'STAT 77'!B:B),_xlfn.XLOOKUP(B67,'STAT 77'!B:B,'STAT 77'!C:C)),"NON TROVATO")</f>
        <v>ITD31494</v>
      </c>
      <c r="D67" s="25" t="s">
        <v>628</v>
      </c>
      <c r="E67" s="290" t="s">
        <v>629</v>
      </c>
      <c r="F67" s="290" t="str">
        <f>IFERROR(VLOOKUP(E67,'Cambio O2P'!C:E,2,FALSE),"")</f>
        <v>XIKA</v>
      </c>
      <c r="G67" s="285">
        <v>0.17708333333333334</v>
      </c>
      <c r="H67" s="293" t="str">
        <f ca="1">IFERROR(IF(AND('INformazioni per calcoli'!$AB$3&lt;(--"14:30"),'INformazioni per calcoli'!$AB$3&gt;(--"10:00")),"",IF($B67="","",IF($X67&lt;&gt;"","Mezzo Chiuso",IF($W67="","Non al Carico",IF($G67-'INformazioni per calcoli'!$AB$5-'INformazioni per calcoli'!$AB$3+$J67&lt;0,"LFLS",IF($K67&lt;&gt;"","Safe Parking",IF($W67&lt;&gt;"",IF($E67="MXP",$G67-'INformazioni per calcoli'!$AB$6-'INformazioni per calcoli'!$AB$3+$J67,$G67-'INformazioni per calcoli'!$AB$5-'INformazioni per calcoli'!$AB$3+$J67),"Non al carico"))))))),"")</f>
        <v>Mezzo Chiuso</v>
      </c>
      <c r="I67" s="17" t="str">
        <f ca="1">IFERROR(IF($H67&lt;&gt;"",IF($H67="Safe Parking","",IF($W67&lt;&gt;"",IF(AND($U67="X",$V67="X"),$H67-(--"00:30"),""),IF($X67&lt;&gt;"","Mezzo Chiuso","Non al carico"))),""),"")</f>
        <v/>
      </c>
      <c r="J67" s="306">
        <f ca="1">IFERROR(IF($B67&lt;&gt;"",IF(AND('INformazioni per calcoli'!$AB$3&lt;(--"15:00"),'INformazioni per calcoli'!$AB$3&gt;(--"00:00")),0,IF($G67&lt;(--"18:30"),"+1",0)),""),"")</f>
        <v>0</v>
      </c>
      <c r="K67" s="17"/>
      <c r="L67" s="25" t="s">
        <v>430</v>
      </c>
      <c r="M67" s="25" t="str">
        <f>IFERROR(_xlfn.XLOOKUP($Q67,'Elenco Casse'!$D:$D,'Elenco Casse'!$E:$E),"")</f>
        <v>Trans Speedy S.R.L</v>
      </c>
      <c r="N67" s="25">
        <f>IFERROR(_xlfn.XLOOKUP($Q67,'Elenco Casse'!$D:$D,'Elenco Casse'!$F:$F),"")</f>
        <v>0</v>
      </c>
      <c r="O67" s="286" t="s">
        <v>418</v>
      </c>
      <c r="P67" s="295" t="str">
        <f>IFERROR(_xlfn.XLOOKUP($Q67,'Elenco Casse'!$D:$D,'Elenco Casse'!$G:$G),"")</f>
        <v>trailer 80 m3 2/3 axles</v>
      </c>
      <c r="Q67" s="355" t="s">
        <v>635</v>
      </c>
      <c r="R67" s="23" t="s">
        <v>420</v>
      </c>
      <c r="S67" s="25" t="s">
        <v>421</v>
      </c>
      <c r="T67" s="25" t="s">
        <v>432</v>
      </c>
      <c r="U67" s="23" t="str">
        <f>IF(ISNUMBER(SEARCH("Parcel",$T67)),"X","")</f>
        <v>X</v>
      </c>
      <c r="V67" s="23" t="str">
        <f>IF(ISNUMBER(SEARCH("Freight",$T67)),"X","")</f>
        <v/>
      </c>
      <c r="W67" s="26">
        <v>405</v>
      </c>
      <c r="X67" s="27">
        <v>0.8881944444444444</v>
      </c>
      <c r="Y67" s="25" t="s">
        <v>636</v>
      </c>
      <c r="Z67" s="25"/>
      <c r="AA67" s="25" t="s">
        <v>40</v>
      </c>
      <c r="AB67" s="57">
        <v>1</v>
      </c>
      <c r="AC67" s="25"/>
      <c r="AD67" s="25"/>
      <c r="AE67" s="57"/>
      <c r="AF67" s="57"/>
      <c r="AG67" s="25"/>
      <c r="AH67" s="57"/>
      <c r="AI67" s="339">
        <v>16</v>
      </c>
      <c r="AJ67" s="339"/>
      <c r="AK67" s="297" t="str">
        <f>IF(X67&lt;&gt;"",CONCATENATE(IF(AA67&lt;&gt;"",CONCATENATE(Z67," ",AA67," ",BI67),""),IF(AD67&lt;&gt;"",CONCATENATE(","," ",AC67," ",AD67," ",BJ67),""),IF(AG67&lt;&gt;"",CONCATENATE(","," ",AF67," ",AG67," ",BK67),""),IF(AJ67&lt;&gt;"",CONCATENATE(","," ","DD"," ",BL67),"")," ",IF(AI67&lt;&gt;"",CONCATENATE(" - ",AI67," Bag"),"")),"")</f>
        <v xml:space="preserve"> LL 14  - 16 Bag</v>
      </c>
      <c r="AL67" s="287" t="s">
        <v>421</v>
      </c>
      <c r="AM67" s="287"/>
      <c r="AN67" s="287"/>
      <c r="AO67" s="287"/>
      <c r="AP67" s="370">
        <f>IFERROR(VLOOKUP($E64,Outlist!$A$5:$V$120,20,FALSE),"")</f>
        <v>0</v>
      </c>
      <c r="AQ67" s="288" t="str">
        <f>IFERROR(IF(VLOOKUP($A67,#REF!,8,FALSE)&lt;&gt;"",VLOOKUP($A67,#REF!,8,FALSE),""),"")</f>
        <v/>
      </c>
      <c r="AS67" s="24"/>
      <c r="AT67" s="24">
        <v>0.93958333333333333</v>
      </c>
      <c r="AU67" s="27"/>
      <c r="AV67" s="27"/>
      <c r="AX67" s="20" t="str">
        <f>IFERROR(IF(Out_Table[[#This Row],[Cancellazione linea]]="Cancellata","yes",""),"")</f>
        <v/>
      </c>
      <c r="AY67" s="72" t="str">
        <f>IF(BA67="",BZ67,IF(AND(BA67&lt;(--"23:59:59"),BA67&gt;(--"15:00:00"),G67&lt;(--"14:00:00"),G67&gt;(--"00:00:01")),"",IF(BA67&gt;G67,BZ67,"")))</f>
        <v>Chiamare Control Room</v>
      </c>
      <c r="AZ67" s="27"/>
      <c r="BA67" s="32"/>
      <c r="BB67" s="72"/>
      <c r="BC67" s="72" t="str">
        <f>IFERROR(VLOOKUP(Out_Table[[#This Row],[Aggiornamento STATUS]],'INformazioni per calcoli'!$Y$70:$AA$76,2,FALSE),"")</f>
        <v/>
      </c>
      <c r="BD67" s="289"/>
      <c r="BE67" s="289"/>
      <c r="BF67" s="47" t="str">
        <f>LEFT($E67,3)</f>
        <v>TO1</v>
      </c>
      <c r="BG67" s="298" t="str">
        <f>IF(Out_Table[[#This Row],[Ora Uscita    (GH)]]&lt;&gt;"","x","")</f>
        <v/>
      </c>
      <c r="BH67" s="299">
        <f>VLOOKUP($O67,'INformazioni per calcoli'!$Y$20:$AA$23,3,FALSE)</f>
        <v>14</v>
      </c>
      <c r="BI67" s="299">
        <f>MROUND(Out_Table[[#This Row],[Mtr. Trailer]]*AB67,0.5)</f>
        <v>14</v>
      </c>
      <c r="BJ67" s="299">
        <f>MROUND(Out_Table[[#This Row],[Mtr. Trailer]]*AE67,0.5)</f>
        <v>0</v>
      </c>
      <c r="BK67" s="299">
        <f>MROUND(Out_Table[[#This Row],[Mtr. Trailer]]*AH67,0.5)</f>
        <v>0</v>
      </c>
      <c r="BL67" s="300">
        <f>Out_Table[[#This Row],[Double Deck trailer N° bumpers]]</f>
        <v>0</v>
      </c>
      <c r="BM67" s="301"/>
      <c r="BN67" s="299" t="str">
        <f>B67</f>
        <v>ITD12369</v>
      </c>
      <c r="BO67" s="299" t="str">
        <f>E67</f>
        <v>TO1</v>
      </c>
      <c r="BP67" s="302">
        <f>IF(AND(G67&gt;(--"00:00:01"),G67&lt;(--"15:00:00")),IF(AND(X67&gt;(--"00:00:01"),X67&lt;(--"15:00:00")),G67-X67,G67+1-X67),G67-X67)</f>
        <v>0.28888888888888886</v>
      </c>
      <c r="BQ67" s="303">
        <f>AE67+AF67+AH67+AJ67</f>
        <v>0</v>
      </c>
      <c r="BR67" s="304" t="str">
        <f>IF(OR(BP67&lt;=(--"00:20:00"),BQ67&gt;=100%),"OK","Not OK")</f>
        <v>Not OK</v>
      </c>
      <c r="BS67" s="302">
        <f>IF(AND(G67&gt;(--"00:00:01"),G67&lt;(--"15:00:00")),IF(AND(AU67&gt;(--"00:00:01"),AU67&lt;(--"15:00:00")),G67-AU67,G67+1-AU67),G67-AU67)</f>
        <v>1.1770833333333333</v>
      </c>
      <c r="BT67" s="302">
        <f>IF(AND(AZ67&gt;(--"00:00:01"),AZ67&lt;(--"15:00:00")),IF(AND(AU67&gt;(--"00:00:01"),AU67&lt;(--"15:00:00")),AZ67-AU67,AZ67+1-AU67),AZ67-AU67)</f>
        <v>0</v>
      </c>
      <c r="BU67" s="302">
        <f>IF(AND(BA67&gt;(--"00:00:01"),BA67&lt;(--"15:00:00")),IF(AND(AZ67&gt;(--"00:00:01"),AZ67&lt;(--"15:00:00")),BA67-AZ67,BA67+1-AZ67),BA67-AZ67)</f>
        <v>0</v>
      </c>
      <c r="BV67" s="299">
        <f>AV67</f>
        <v>0</v>
      </c>
      <c r="BW67" s="301"/>
      <c r="BX67" s="299" t="str">
        <f>IF(AV67="T Status",IF(AV67&lt;&gt;T67,"X",""),"")</f>
        <v/>
      </c>
      <c r="BY67" s="301"/>
      <c r="BZ67" s="299" t="str">
        <f>IF(X67&lt;&gt;"",IF(CC67="X","Driver Delay",IF(CA67="X","Paperwork Delay",IF(CB67="X","Late freight late sort",IF(CD67="X","Chiamare Control Room",IF(CE67="X","Chiamare Control Room",IF(CF67="X","Chiamare Control Room","")))))),"")</f>
        <v>Chiamare Control Room</v>
      </c>
      <c r="CA67" s="302" t="str">
        <f>IF(K67="",IF(IF(AND(G67&gt;(--"00:00:01"),G67&lt;(--"15:00:00")),IF(AND(AT67&gt;(--"08:00:00"),AT67&lt;(--"23:59:59")),G67+1-AT67,G67-AT67),G67-AT67)&gt;(--"00:20:00"),"","X"),"")</f>
        <v/>
      </c>
      <c r="CB67" s="299" t="str">
        <f>IF(K67="",IF(BP67&gt;=(--"00:20:00"),"","X"),"")</f>
        <v/>
      </c>
      <c r="CC67" s="299" t="str">
        <f>IF(OR(AV67="Autista non presente",AV67="Dati driver non presenti"),"X","")</f>
        <v/>
      </c>
      <c r="CD67" s="299" t="str">
        <f>IF(K67="",IF(AND(CC67="",BS67&lt;(--"00:20:00")),"X",""),"")</f>
        <v/>
      </c>
      <c r="CE67" s="299" t="str">
        <f>IF(K67="",IF(BT67&gt;(--"00:15:00"),"X",""),IF(AZ67&lt;&gt;"",IF(G67-AZ67&gt;(--"00:30:00"),"X",""),""))</f>
        <v/>
      </c>
      <c r="CF67" s="299" t="str">
        <f>IF(AND(CA67="",CB67="",CC67="",CD67="",CE67=""),"X","")</f>
        <v>X</v>
      </c>
      <c r="CG67" s="301"/>
      <c r="CH67" s="299" t="str">
        <f>IF(BT67&gt;(--"00:15:00"),"X","")</f>
        <v/>
      </c>
      <c r="CI67" s="302" t="str">
        <f>AY67</f>
        <v>Chiamare Control Room</v>
      </c>
      <c r="CJ67" s="299" t="str">
        <f>IF(AND(CH67&lt;&gt;"",CI67&lt;&gt;"",LEFT(B67,3)="ITD"),AP67,"")</f>
        <v/>
      </c>
      <c r="CK67" s="305" t="str">
        <f>IF(CJ67&lt;&gt;"",BT67,"")</f>
        <v/>
      </c>
      <c r="CL67" s="301"/>
      <c r="CM67" s="305" t="str">
        <f>IFERROR(VLOOKUP(Q67,'Elenco Casse'!$D$4:$F$292,3,FALSE),"")</f>
        <v/>
      </c>
      <c r="CN67" s="301"/>
      <c r="CO67" s="305" t="str">
        <f>IFERROR(VLOOKUP(S67,'Elenco Casse'!$D$4:$F$292,3,FALSE),"")</f>
        <v/>
      </c>
      <c r="CP67" s="305" t="str">
        <f>IFERROR(IF(VLOOKUP($E67,Outlist!$A$5:$S$120,19,FALSE)&lt;&gt;0,"Y",""),"")</f>
        <v/>
      </c>
      <c r="CQ67" s="301"/>
      <c r="CR67" s="305" t="str">
        <f>CONCATENATE($B67,$E67,$G67)</f>
        <v>ITD12369TO10.177083333333333</v>
      </c>
      <c r="CS67" s="301"/>
      <c r="CT67" s="305" t="e">
        <f>VLOOKUP(Out_Table[[#This Row],[Destination             ORANGE (From Planning)]],Outlist!$A$5:$W$120,22,FALSE)</f>
        <v>#N/A</v>
      </c>
    </row>
    <row r="68" spans="1:98" s="20" customFormat="1" ht="15">
      <c r="A68" s="305" t="str">
        <f>$CR68</f>
        <v>ITD12411IOE0.326388888888889</v>
      </c>
      <c r="B68" s="284" t="s">
        <v>637</v>
      </c>
      <c r="C68" s="290" t="str">
        <f>IFERROR(IF(LEFT(B68,3)='STAT 77'!$X$2,_xlfn.XLOOKUP(B68,'STAT 77'!C:C,'STAT 77'!B:B),_xlfn.XLOOKUP(B68,'STAT 77'!B:B,'STAT 77'!C:C)),"NON TROVATO")</f>
        <v>ITD31576</v>
      </c>
      <c r="D68" s="25" t="s">
        <v>638</v>
      </c>
      <c r="E68" s="290" t="s">
        <v>639</v>
      </c>
      <c r="F68" s="290" t="str">
        <f>IFERROR(VLOOKUP(E68,'Cambio O2P'!C:E,2,FALSE),"")</f>
        <v>ISHA</v>
      </c>
      <c r="G68" s="285">
        <v>0.3263888888888889</v>
      </c>
      <c r="H68" s="293">
        <f ca="1">IFERROR(IF(AND('INformazioni per calcoli'!$AB$3&lt;(--"14:30"),'INformazioni per calcoli'!$AB$3&gt;(--"10:00")),"",IF($B68="","",IF($X68&lt;&gt;"","Mezzo Chiuso",IF($W68="","Non al Carico",IF($G68-'INformazioni per calcoli'!$AB$5-'INformazioni per calcoli'!$AB$3+$J68&lt;0,"LFLS",IF($K68&lt;&gt;"","Safe Parking",IF($W68&lt;&gt;"",IF($E68="MXP",$G68-'INformazioni per calcoli'!$AB$6-'INformazioni per calcoli'!$AB$3+$J68,$G68-'INformazioni per calcoli'!$AB$5-'INformazioni per calcoli'!$AB$3+$J68),"Non al carico"))))))),"")</f>
        <v>0.16703703703703704</v>
      </c>
      <c r="I68" s="17" t="str">
        <f ca="1">IFERROR(IF($H68&lt;&gt;"",IF($H68="Safe Parking","",IF($W68&lt;&gt;"",IF(AND($U68="X",$V68="X"),$H68-(--"00:30"),""),IF($X68&lt;&gt;"","Mezzo Chiuso","Non al carico"))),""),"")</f>
        <v/>
      </c>
      <c r="J68" s="306">
        <f ca="1">IFERROR(IF($B68&lt;&gt;"",IF(AND('INformazioni per calcoli'!$AB$3&lt;(--"15:00"),'INformazioni per calcoli'!$AB$3&gt;(--"00:00")),0,IF($G68&lt;(--"18:30"),"+1",0)),""),"")</f>
        <v>0</v>
      </c>
      <c r="K68" s="17"/>
      <c r="L68" s="25" t="s">
        <v>427</v>
      </c>
      <c r="M68" s="25" t="str">
        <f>IFERROR(_xlfn.XLOOKUP($Q68,'Elenco Casse'!$D:$D,'Elenco Casse'!$E:$E),"")</f>
        <v>ZAMPIERI</v>
      </c>
      <c r="N68" s="25">
        <f>IFERROR(_xlfn.XLOOKUP($Q68,'Elenco Casse'!$D:$D,'Elenco Casse'!$F:$F),"")</f>
        <v>0</v>
      </c>
      <c r="O68" s="286" t="s">
        <v>640</v>
      </c>
      <c r="P68" s="295" t="str">
        <f>IFERROR(_xlfn.XLOOKUP($Q68,'Elenco Casse'!$D:$D,'Elenco Casse'!$G:$G),"")</f>
        <v>trailer 55 m3 2/3 axles</v>
      </c>
      <c r="Q68" s="355" t="s">
        <v>641</v>
      </c>
      <c r="R68" s="23" t="s">
        <v>420</v>
      </c>
      <c r="S68" s="25" t="s">
        <v>421</v>
      </c>
      <c r="T68" s="25" t="s">
        <v>432</v>
      </c>
      <c r="U68" s="23" t="str">
        <f>IF(ISNUMBER(SEARCH("Parcel",$T68)),"X","")</f>
        <v>X</v>
      </c>
      <c r="V68" s="23" t="str">
        <f>IF(ISNUMBER(SEARCH("Freight",$T68)),"X","")</f>
        <v/>
      </c>
      <c r="W68" s="26">
        <v>406</v>
      </c>
      <c r="X68" s="27"/>
      <c r="Y68" s="25"/>
      <c r="Z68" s="25"/>
      <c r="AA68" s="25" t="s">
        <v>40</v>
      </c>
      <c r="AB68" s="57"/>
      <c r="AC68" s="25"/>
      <c r="AD68" s="25"/>
      <c r="AE68" s="57"/>
      <c r="AF68" s="57"/>
      <c r="AG68" s="25"/>
      <c r="AH68" s="57"/>
      <c r="AI68" s="339"/>
      <c r="AJ68" s="339"/>
      <c r="AK68" s="297" t="str">
        <f>IF(X68&lt;&gt;"",CONCATENATE(IF(AA68&lt;&gt;"",CONCATENATE(Z68," ",AA68," ",BI68),""),IF(AD68&lt;&gt;"",CONCATENATE(","," ",AC68," ",AD68," ",BJ68),""),IF(AG68&lt;&gt;"",CONCATENATE(","," ",AF68," ",AG68," ",BK68),""),IF(AJ68&lt;&gt;"",CONCATENATE(","," ","DD"," ",BL68),"")," ",IF(AI68&lt;&gt;"",CONCATENATE(" - ",AI68," Bag"),"")),"")</f>
        <v/>
      </c>
      <c r="AL68" s="287"/>
      <c r="AM68" s="287"/>
      <c r="AN68" s="287"/>
      <c r="AO68" s="287"/>
      <c r="AP68" s="370" t="str">
        <f>IFERROR(VLOOKUP(#REF!,Outlist!$A$5:$V$120,20,FALSE),"")</f>
        <v/>
      </c>
      <c r="AQ68" s="288" t="str">
        <f>IFERROR(IF(VLOOKUP($A68,#REF!,8,FALSE)&lt;&gt;"",VLOOKUP($A68,#REF!,8,FALSE),""),"")</f>
        <v/>
      </c>
      <c r="AS68" s="24"/>
      <c r="AT68" s="24">
        <v>0.59652777777777777</v>
      </c>
      <c r="AU68" s="27"/>
      <c r="AV68" s="27"/>
      <c r="AX68" s="20" t="str">
        <f>IFERROR(IF(Out_Table[[#This Row],[Cancellazione linea]]="Cancellata","yes",""),"")</f>
        <v/>
      </c>
      <c r="AY68" s="72" t="str">
        <f>IF(BA68="",BZ68,IF(AND(BA68&lt;(--"23:59:59"),BA68&gt;(--"15:00:00"),G68&lt;(--"14:00:00"),G68&gt;(--"00:00:01")),"",IF(BA68&gt;G68,BZ68,"")))</f>
        <v/>
      </c>
      <c r="AZ68" s="27"/>
      <c r="BA68" s="32"/>
      <c r="BB68" s="72"/>
      <c r="BC68" s="72" t="str">
        <f>IFERROR(VLOOKUP(Out_Table[[#This Row],[Aggiornamento STATUS]],'INformazioni per calcoli'!$Y$70:$AA$76,2,FALSE),"")</f>
        <v/>
      </c>
      <c r="BD68" s="289"/>
      <c r="BE68" s="289"/>
      <c r="BF68" s="47" t="str">
        <f>LEFT($E68,3)</f>
        <v>IOE</v>
      </c>
      <c r="BG68" s="298" t="str">
        <f>IF(Out_Table[[#This Row],[Ora Uscita    (GH)]]&lt;&gt;"","x","")</f>
        <v/>
      </c>
      <c r="BH68" s="299">
        <f>VLOOKUP($O68,'INformazioni per calcoli'!$Y$20:$AA$23,3,FALSE)</f>
        <v>12</v>
      </c>
      <c r="BI68" s="299">
        <f>MROUND(Out_Table[[#This Row],[Mtr. Trailer]]*AB68,0.5)</f>
        <v>0</v>
      </c>
      <c r="BJ68" s="299">
        <f>MROUND(Out_Table[[#This Row],[Mtr. Trailer]]*AE68,0.5)</f>
        <v>0</v>
      </c>
      <c r="BK68" s="299">
        <f>MROUND(Out_Table[[#This Row],[Mtr. Trailer]]*AH68,0.5)</f>
        <v>0</v>
      </c>
      <c r="BL68" s="300">
        <f>Out_Table[[#This Row],[Double Deck trailer N° bumpers]]</f>
        <v>0</v>
      </c>
      <c r="BM68" s="301"/>
      <c r="BN68" s="299" t="str">
        <f>B68</f>
        <v>ITD12411</v>
      </c>
      <c r="BO68" s="299" t="str">
        <f>E68</f>
        <v>IOE</v>
      </c>
      <c r="BP68" s="302">
        <f>IF(AND(G68&gt;(--"00:00:01"),G68&lt;(--"15:00:00")),IF(AND(X68&gt;(--"00:00:01"),X68&lt;(--"15:00:00")),G68-X68,G68+1-X68),G68-X68)</f>
        <v>1.3263888888888888</v>
      </c>
      <c r="BQ68" s="303">
        <f>AE68+AF68+AH68+AJ68</f>
        <v>0</v>
      </c>
      <c r="BR68" s="304" t="str">
        <f>IF(OR(BP68&lt;=(--"00:20:00"),BQ68&gt;=100%),"OK","Not OK")</f>
        <v>Not OK</v>
      </c>
      <c r="BS68" s="302">
        <f>IF(AND(G68&gt;(--"00:00:01"),G68&lt;(--"15:00:00")),IF(AND(AU68&gt;(--"00:00:01"),AU68&lt;(--"15:00:00")),G68-AU68,G68+1-AU68),G68-AU68)</f>
        <v>1.3263888888888888</v>
      </c>
      <c r="BT68" s="302">
        <f>IF(AND(AZ68&gt;(--"00:00:01"),AZ68&lt;(--"15:00:00")),IF(AND(AU68&gt;(--"00:00:01"),AU68&lt;(--"15:00:00")),AZ68-AU68,AZ68+1-AU68),AZ68-AU68)</f>
        <v>0</v>
      </c>
      <c r="BU68" s="302">
        <f>IF(AND(BA68&gt;(--"00:00:01"),BA68&lt;(--"15:00:00")),IF(AND(AZ68&gt;(--"00:00:01"),AZ68&lt;(--"15:00:00")),BA68-AZ68,BA68+1-AZ68),BA68-AZ68)</f>
        <v>0</v>
      </c>
      <c r="BV68" s="299">
        <f>AV68</f>
        <v>0</v>
      </c>
      <c r="BW68" s="301"/>
      <c r="BX68" s="299" t="str">
        <f>IF(AV68="T Status",IF(AV68&lt;&gt;T68,"X",""),"")</f>
        <v/>
      </c>
      <c r="BY68" s="301"/>
      <c r="BZ68" s="299" t="str">
        <f>IF(X68&lt;&gt;"",IF(CC68="X","Driver Delay",IF(CA68="X","Paperwork Delay",IF(CB68="X","Late freight late sort",IF(CD68="X","Chiamare Control Room",IF(CE68="X","Chiamare Control Room",IF(CF68="X","Chiamare Control Room","")))))),"")</f>
        <v/>
      </c>
      <c r="CA68" s="302" t="str">
        <f>IF(K68="",IF(IF(AND(G68&gt;(--"00:00:01"),G68&lt;(--"15:00:00")),IF(AND(AT68&gt;(--"08:00:00"),AT68&lt;(--"23:59:59")),G68+1-AT68,G68-AT68),G68-AT68)&gt;(--"00:20:00"),"","X"),"")</f>
        <v/>
      </c>
      <c r="CB68" s="299" t="str">
        <f>IF(K68="",IF(BP68&gt;=(--"00:20:00"),"","X"),"")</f>
        <v/>
      </c>
      <c r="CC68" s="299" t="str">
        <f>IF(OR(AV68="Autista non presente",AV68="Dati driver non presenti"),"X","")</f>
        <v/>
      </c>
      <c r="CD68" s="299" t="str">
        <f>IF(K68="",IF(AND(CC68="",BS68&lt;(--"00:20:00")),"X",""),"")</f>
        <v/>
      </c>
      <c r="CE68" s="299" t="str">
        <f>IF(K68="",IF(BT68&gt;(--"00:15:00"),"X",""),IF(AZ68&lt;&gt;"",IF(G68-AZ68&gt;(--"00:30:00"),"X",""),""))</f>
        <v/>
      </c>
      <c r="CF68" s="299" t="str">
        <f>IF(AND(CA68="",CB68="",CC68="",CD68="",CE68=""),"X","")</f>
        <v>X</v>
      </c>
      <c r="CG68" s="301"/>
      <c r="CH68" s="299" t="str">
        <f>IF(BT68&gt;(--"00:15:00"),"X","")</f>
        <v/>
      </c>
      <c r="CI68" s="302" t="str">
        <f>AY68</f>
        <v/>
      </c>
      <c r="CJ68" s="299" t="str">
        <f>IF(AND(CH68&lt;&gt;"",CI68&lt;&gt;"",LEFT(B68,3)="ITD"),AP68,"")</f>
        <v/>
      </c>
      <c r="CK68" s="305" t="str">
        <f>IF(CJ68&lt;&gt;"",BT68,"")</f>
        <v/>
      </c>
      <c r="CL68" s="301"/>
      <c r="CM68" s="305" t="str">
        <f>IFERROR(VLOOKUP(Q68,'Elenco Casse'!$D$4:$F$292,3,FALSE),"")</f>
        <v/>
      </c>
      <c r="CN68" s="301"/>
      <c r="CO68" s="305" t="str">
        <f>IFERROR(VLOOKUP(S68,'Elenco Casse'!$D$4:$F$292,3,FALSE),"")</f>
        <v/>
      </c>
      <c r="CP68" s="305" t="str">
        <f>IFERROR(IF(VLOOKUP($E68,Outlist!$A$5:$S$120,19,FALSE)&lt;&gt;0,"Y",""),"")</f>
        <v/>
      </c>
      <c r="CQ68" s="301"/>
      <c r="CR68" s="305" t="str">
        <f>CONCATENATE($B68,$E68,$G68)</f>
        <v>ITD12411IOE0.326388888888889</v>
      </c>
      <c r="CS68" s="301"/>
      <c r="CT68" s="305" t="e">
        <f>VLOOKUP(Out_Table[[#This Row],[Destination             ORANGE (From Planning)]],Outlist!$A$5:$W$120,22,FALSE)</f>
        <v>#N/A</v>
      </c>
    </row>
    <row r="69" spans="1:98" s="20" customFormat="1" ht="15">
      <c r="A69" s="305" t="str">
        <f>$CR69</f>
        <v>ITD12800BEA0.28125</v>
      </c>
      <c r="B69" s="284" t="s">
        <v>642</v>
      </c>
      <c r="C69" s="290" t="str">
        <f>IFERROR(IF(LEFT(B69,3)='STAT 77'!$X$2,_xlfn.XLOOKUP(B69,'STAT 77'!C:C,'STAT 77'!B:B),_xlfn.XLOOKUP(B69,'STAT 77'!B:B,'STAT 77'!C:C)),"NON TROVATO")</f>
        <v>ITD32358</v>
      </c>
      <c r="D69" s="25" t="s">
        <v>643</v>
      </c>
      <c r="E69" s="290" t="s">
        <v>644</v>
      </c>
      <c r="F69" s="290" t="str">
        <f>IFERROR(VLOOKUP(E69,'Cambio O2P'!C:E,2,FALSE),"")</f>
        <v>AHOA</v>
      </c>
      <c r="G69" s="285">
        <v>0.28125</v>
      </c>
      <c r="H69" s="293">
        <f ca="1">IFERROR(IF(AND('INformazioni per calcoli'!$AB$3&lt;(--"14:30"),'INformazioni per calcoli'!$AB$3&gt;(--"10:00")),"",IF($B69="","",IF($X69&lt;&gt;"","Mezzo Chiuso",IF($W69="","Non al Carico",IF($G69-'INformazioni per calcoli'!$AB$5-'INformazioni per calcoli'!$AB$3+$J69&lt;0,"LFLS",IF($K69&lt;&gt;"","Safe Parking",IF($W69&lt;&gt;"",IF($E69="MXP",$G69-'INformazioni per calcoli'!$AB$6-'INformazioni per calcoli'!$AB$3+$J69,$G69-'INformazioni per calcoli'!$AB$5-'INformazioni per calcoli'!$AB$3+$J69),"Non al carico"))))))),"")</f>
        <v>0.12189814814814814</v>
      </c>
      <c r="I69" s="17" t="str">
        <f ca="1">IFERROR(IF($H69&lt;&gt;"",IF($H69="Safe Parking","",IF($W69&lt;&gt;"",IF(AND($U69="X",$V69="X"),$H69-(--"00:30"),""),IF($X69&lt;&gt;"","Mezzo Chiuso","Non al carico"))),""),"")</f>
        <v/>
      </c>
      <c r="J69" s="306">
        <f ca="1">IFERROR(IF($B69&lt;&gt;"",IF(AND('INformazioni per calcoli'!$AB$3&lt;(--"15:00"),'INformazioni per calcoli'!$AB$3&gt;(--"00:00")),0,IF($G69&lt;(--"18:30"),"+1",0)),""),"")</f>
        <v>0</v>
      </c>
      <c r="K69" s="17"/>
      <c r="L69" s="25" t="s">
        <v>430</v>
      </c>
      <c r="M69" s="25" t="str">
        <f>IFERROR(_xlfn.XLOOKUP($Q69,'Elenco Casse'!$D:$D,'Elenco Casse'!$E:$E),"")</f>
        <v>Trans Speedy S.R.L</v>
      </c>
      <c r="N69" s="25">
        <f>IFERROR(_xlfn.XLOOKUP($Q69,'Elenco Casse'!$D:$D,'Elenco Casse'!$F:$F),"")</f>
        <v>0</v>
      </c>
      <c r="O69" s="286" t="s">
        <v>418</v>
      </c>
      <c r="P69" s="295" t="str">
        <f>IFERROR(_xlfn.XLOOKUP($Q69,'Elenco Casse'!$D:$D,'Elenco Casse'!$G:$G),"")</f>
        <v>trailer 80 m3 2/3 axes</v>
      </c>
      <c r="Q69" s="355" t="s">
        <v>645</v>
      </c>
      <c r="R69" s="23" t="s">
        <v>420</v>
      </c>
      <c r="S69" s="25" t="s">
        <v>421</v>
      </c>
      <c r="T69" s="25" t="s">
        <v>646</v>
      </c>
      <c r="U69" s="23" t="s">
        <v>61</v>
      </c>
      <c r="V69" s="23"/>
      <c r="W69" s="26">
        <v>407</v>
      </c>
      <c r="X69" s="27"/>
      <c r="Y69" s="25"/>
      <c r="Z69" s="25"/>
      <c r="AA69" s="25" t="s">
        <v>40</v>
      </c>
      <c r="AB69" s="57"/>
      <c r="AC69" s="25"/>
      <c r="AD69" s="25"/>
      <c r="AE69" s="57"/>
      <c r="AF69" s="57"/>
      <c r="AG69" s="25"/>
      <c r="AH69" s="57"/>
      <c r="AI69" s="339"/>
      <c r="AJ69" s="339"/>
      <c r="AK69" s="297" t="str">
        <f>IF(X69&lt;&gt;"",CONCATENATE(IF(AA69&lt;&gt;"",CONCATENATE(Z69," ",AA69," ",BI69),""),IF(AD69&lt;&gt;"",CONCATENATE(","," ",AC69," ",AD69," ",BJ69),""),IF(AG69&lt;&gt;"",CONCATENATE(","," ",AF69," ",AG69," ",BK69),""),IF(AJ69&lt;&gt;"",CONCATENATE(","," ","DD"," ",BL69),"")," ",IF(AI69&lt;&gt;"",CONCATENATE(" - ",AI69," Bag"),"")),"")</f>
        <v/>
      </c>
      <c r="AL69" s="287"/>
      <c r="AM69" s="287"/>
      <c r="AN69" s="287"/>
      <c r="AO69" s="287"/>
      <c r="AP69" s="370" t="str">
        <f>IFERROR(VLOOKUP(#REF!,Outlist!$A$5:$V$120,20,FALSE),"")</f>
        <v/>
      </c>
      <c r="AQ69" s="288" t="str">
        <f>IFERROR(IF(VLOOKUP($A69,#REF!,8,FALSE)&lt;&gt;"",VLOOKUP($A69,#REF!,8,FALSE),""),"")</f>
        <v/>
      </c>
      <c r="AS69" s="24"/>
      <c r="AT69" s="24">
        <v>2.0833333333333332E-2</v>
      </c>
      <c r="AU69" s="27"/>
      <c r="AV69" s="27"/>
      <c r="AX69" s="20" t="str">
        <f>IFERROR(IF(Out_Table[[#This Row],[Cancellazione linea]]="Cancellata","yes",""),"")</f>
        <v/>
      </c>
      <c r="AY69" s="72" t="str">
        <f>IF(BA69="",BZ69,IF(AND(BA69&lt;(--"23:59:59"),BA69&gt;(--"15:00:00"),G69&lt;(--"14:00:00"),G69&gt;(--"00:00:01")),"",IF(BA69&gt;G69,BZ69,"")))</f>
        <v/>
      </c>
      <c r="AZ69" s="27"/>
      <c r="BA69" s="32"/>
      <c r="BB69" s="72"/>
      <c r="BC69" s="72" t="str">
        <f>IFERROR(VLOOKUP(Out_Table[[#This Row],[Aggiornamento STATUS]],'INformazioni per calcoli'!$Y$70:$AA$76,2,FALSE),"")</f>
        <v/>
      </c>
      <c r="BD69" s="289"/>
      <c r="BE69" s="289"/>
      <c r="BF69" s="47" t="str">
        <f>LEFT($E69,3)</f>
        <v>BEA</v>
      </c>
      <c r="BG69" s="298" t="str">
        <f>IF(Out_Table[[#This Row],[Ora Uscita    (GH)]]&lt;&gt;"","x","")</f>
        <v/>
      </c>
      <c r="BH69" s="299">
        <f>VLOOKUP($O69,'INformazioni per calcoli'!$Y$20:$AA$23,3,FALSE)</f>
        <v>14</v>
      </c>
      <c r="BI69" s="299">
        <f>MROUND(Out_Table[[#This Row],[Mtr. Trailer]]*AB69,0.5)</f>
        <v>0</v>
      </c>
      <c r="BJ69" s="299">
        <f>MROUND(Out_Table[[#This Row],[Mtr. Trailer]]*AE69,0.5)</f>
        <v>0</v>
      </c>
      <c r="BK69" s="299">
        <f>MROUND(Out_Table[[#This Row],[Mtr. Trailer]]*AH69,0.5)</f>
        <v>0</v>
      </c>
      <c r="BL69" s="300">
        <f>Out_Table[[#This Row],[Double Deck trailer N° bumpers]]</f>
        <v>0</v>
      </c>
      <c r="BM69" s="301"/>
      <c r="BN69" s="299" t="str">
        <f>B69</f>
        <v>ITD12800</v>
      </c>
      <c r="BO69" s="299" t="str">
        <f>E69</f>
        <v>BEA</v>
      </c>
      <c r="BP69" s="302">
        <f>IF(AND(G69&gt;(--"00:00:01"),G69&lt;(--"15:00:00")),IF(AND(X69&gt;(--"00:00:01"),X69&lt;(--"15:00:00")),G69-X69,G69+1-X69),G69-X69)</f>
        <v>1.28125</v>
      </c>
      <c r="BQ69" s="303">
        <f>AE69+AF69+AH69+AJ69</f>
        <v>0</v>
      </c>
      <c r="BR69" s="304" t="str">
        <f>IF(OR(BP69&lt;=(--"00:20:00"),BQ69&gt;=100%),"OK","Not OK")</f>
        <v>Not OK</v>
      </c>
      <c r="BS69" s="302">
        <f>IF(AND(G69&gt;(--"00:00:01"),G69&lt;(--"15:00:00")),IF(AND(AU69&gt;(--"00:00:01"),AU69&lt;(--"15:00:00")),G69-AU69,G69+1-AU69),G69-AU69)</f>
        <v>1.28125</v>
      </c>
      <c r="BT69" s="302">
        <f>IF(AND(AZ69&gt;(--"00:00:01"),AZ69&lt;(--"15:00:00")),IF(AND(AU69&gt;(--"00:00:01"),AU69&lt;(--"15:00:00")),AZ69-AU69,AZ69+1-AU69),AZ69-AU69)</f>
        <v>0</v>
      </c>
      <c r="BU69" s="302">
        <f>IF(AND(BA69&gt;(--"00:00:01"),BA69&lt;(--"15:00:00")),IF(AND(AZ69&gt;(--"00:00:01"),AZ69&lt;(--"15:00:00")),BA69-AZ69,BA69+1-AZ69),BA69-AZ69)</f>
        <v>0</v>
      </c>
      <c r="BV69" s="299">
        <f>AV69</f>
        <v>0</v>
      </c>
      <c r="BW69" s="301"/>
      <c r="BX69" s="299" t="str">
        <f>IF(AV69="T Status",IF(AV69&lt;&gt;T69,"X",""),"")</f>
        <v/>
      </c>
      <c r="BY69" s="301"/>
      <c r="BZ69" s="299" t="str">
        <f>IF(X69&lt;&gt;"",IF(CC69="X","Driver Delay",IF(CA69="X","Paperwork Delay",IF(CB69="X","Late freight late sort",IF(CD69="X","Chiamare Control Room",IF(CE69="X","Chiamare Control Room",IF(CF69="X","Chiamare Control Room","")))))),"")</f>
        <v/>
      </c>
      <c r="CA69" s="302" t="str">
        <f>IF(K69="",IF(IF(AND(G69&gt;(--"00:00:01"),G69&lt;(--"15:00:00")),IF(AND(AT69&gt;(--"08:00:00"),AT69&lt;(--"23:59:59")),G69+1-AT69,G69-AT69),G69-AT69)&gt;(--"00:20:00"),"","X"),"")</f>
        <v/>
      </c>
      <c r="CB69" s="299" t="str">
        <f>IF(K69="",IF(BP69&gt;=(--"00:20:00"),"","X"),"")</f>
        <v/>
      </c>
      <c r="CC69" s="299" t="str">
        <f>IF(OR(AV69="Autista non presente",AV69="Dati driver non presenti"),"X","")</f>
        <v/>
      </c>
      <c r="CD69" s="299" t="str">
        <f>IF(K69="",IF(AND(CC69="",BS69&lt;(--"00:20:00")),"X",""),"")</f>
        <v/>
      </c>
      <c r="CE69" s="299" t="str">
        <f>IF(K69="",IF(BT69&gt;(--"00:15:00"),"X",""),IF(AZ69&lt;&gt;"",IF(G69-AZ69&gt;(--"00:30:00"),"X",""),""))</f>
        <v/>
      </c>
      <c r="CF69" s="299" t="str">
        <f>IF(AND(CA69="",CB69="",CC69="",CD69="",CE69=""),"X","")</f>
        <v>X</v>
      </c>
      <c r="CG69" s="301"/>
      <c r="CH69" s="299" t="str">
        <f>IF(BT69&gt;(--"00:15:00"),"X","")</f>
        <v/>
      </c>
      <c r="CI69" s="302" t="str">
        <f>AY69</f>
        <v/>
      </c>
      <c r="CJ69" s="299" t="str">
        <f>IF(AND(CH69&lt;&gt;"",CI69&lt;&gt;"",LEFT(B69,3)="ITD"),AP69,"")</f>
        <v/>
      </c>
      <c r="CK69" s="305" t="str">
        <f>IF(CJ69&lt;&gt;"",BT69,"")</f>
        <v/>
      </c>
      <c r="CL69" s="301"/>
      <c r="CM69" s="305" t="str">
        <f>IFERROR(VLOOKUP(Q69,'Elenco Casse'!$D$4:$F$292,3,FALSE),"")</f>
        <v/>
      </c>
      <c r="CN69" s="301"/>
      <c r="CO69" s="305" t="str">
        <f>IFERROR(VLOOKUP(S69,'Elenco Casse'!$D$4:$F$292,3,FALSE),"")</f>
        <v/>
      </c>
      <c r="CP69" s="305" t="str">
        <f>IFERROR(IF(VLOOKUP($E69,Outlist!$A$5:$S$120,19,FALSE)&lt;&gt;0,"Y",""),"")</f>
        <v/>
      </c>
      <c r="CQ69" s="301"/>
      <c r="CR69" s="305" t="str">
        <f>CONCATENATE($B69,$E69,$G69)</f>
        <v>ITD12800BEA0.28125</v>
      </c>
      <c r="CS69" s="301"/>
      <c r="CT69" s="305" t="e">
        <f>VLOOKUP(Out_Table[[#This Row],[Destination             ORANGE (From Planning)]],Outlist!$A$5:$W$120,22,FALSE)</f>
        <v>#N/A</v>
      </c>
    </row>
    <row r="70" spans="1:98" s="20" customFormat="1" ht="15">
      <c r="A70" s="305" t="str">
        <f>$CR70</f>
        <v>ITD12261IPO0.197916666666667</v>
      </c>
      <c r="B70" s="284" t="s">
        <v>647</v>
      </c>
      <c r="C70" s="290" t="str">
        <f>IFERROR(IF(LEFT(B70,3)='STAT 77'!$X$2,_xlfn.XLOOKUP(B70,'STAT 77'!C:C,'STAT 77'!B:B),_xlfn.XLOOKUP(B70,'STAT 77'!B:B,'STAT 77'!C:C)),"NON TROVATO")</f>
        <v>ITD31232</v>
      </c>
      <c r="D70" s="25" t="s">
        <v>648</v>
      </c>
      <c r="E70" s="290" t="s">
        <v>649</v>
      </c>
      <c r="F70" s="290" t="str">
        <f>IFERROR(VLOOKUP(E70,'Cambio O2P'!C:E,2,FALSE),"")</f>
        <v>ISRA</v>
      </c>
      <c r="G70" s="285">
        <v>0.19791666666666666</v>
      </c>
      <c r="H70" s="293">
        <f ca="1">IFERROR(IF(AND('INformazioni per calcoli'!$AB$3&lt;(--"14:30"),'INformazioni per calcoli'!$AB$3&gt;(--"10:00")),"",IF($B70="","",IF($X70&lt;&gt;"","Mezzo Chiuso",IF($W70="","Non al Carico",IF($G70-'INformazioni per calcoli'!$AB$5-'INformazioni per calcoli'!$AB$3+$J70&lt;0,"LFLS",IF($K70&lt;&gt;"","Safe Parking",IF($W70&lt;&gt;"",IF($E70="MXP",$G70-'INformazioni per calcoli'!$AB$6-'INformazioni per calcoli'!$AB$3+$J70,$G70-'INformazioni per calcoli'!$AB$5-'INformazioni per calcoli'!$AB$3+$J70),"Non al carico"))))))),"")</f>
        <v>3.8564814814814802E-2</v>
      </c>
      <c r="I70" s="17" t="str">
        <f ca="1">IFERROR(IF($H70&lt;&gt;"",IF($H70="Safe Parking","",IF($W70&lt;&gt;"",IF(AND($U70="X",$V70="X"),$H70-(--"00:30"),""),IF($X70&lt;&gt;"","Mezzo Chiuso","Non al carico"))),""),"")</f>
        <v/>
      </c>
      <c r="J70" s="306">
        <f ca="1">IFERROR(IF($B70&lt;&gt;"",IF(AND('INformazioni per calcoli'!$AB$3&lt;(--"15:00"),'INformazioni per calcoli'!$AB$3&gt;(--"00:00")),0,IF($G70&lt;(--"18:30"),"+1",0)),""),"")</f>
        <v>0</v>
      </c>
      <c r="K70" s="17"/>
      <c r="L70" s="25" t="s">
        <v>427</v>
      </c>
      <c r="M70" s="25" t="str">
        <f>IFERROR(_xlfn.XLOOKUP($Q70,'Elenco Casse'!$D:$D,'Elenco Casse'!$E:$E),"")</f>
        <v/>
      </c>
      <c r="N70" s="25" t="str">
        <f>IFERROR(_xlfn.XLOOKUP($Q70,'Elenco Casse'!$D:$D,'Elenco Casse'!$F:$F),"")</f>
        <v/>
      </c>
      <c r="O70" s="286" t="s">
        <v>418</v>
      </c>
      <c r="P70" s="295" t="str">
        <f>IFERROR(_xlfn.XLOOKUP($Q70,'Elenco Casse'!$D:$D,'Elenco Casse'!$G:$G),"")</f>
        <v/>
      </c>
      <c r="Q70" s="355" t="s">
        <v>650</v>
      </c>
      <c r="R70" s="23" t="s">
        <v>420</v>
      </c>
      <c r="S70" s="25" t="s">
        <v>421</v>
      </c>
      <c r="T70" s="25" t="s">
        <v>432</v>
      </c>
      <c r="U70" s="23" t="str">
        <f>IF(ISNUMBER(SEARCH("Parcel",$T70)),"X","")</f>
        <v>X</v>
      </c>
      <c r="V70" s="23" t="str">
        <f>IF(ISNUMBER(SEARCH("Freight",$T70)),"X","")</f>
        <v/>
      </c>
      <c r="W70" s="26">
        <v>408</v>
      </c>
      <c r="X70" s="27"/>
      <c r="Y70" s="25"/>
      <c r="Z70" s="25"/>
      <c r="AA70" s="25" t="s">
        <v>40</v>
      </c>
      <c r="AB70" s="57"/>
      <c r="AC70" s="25"/>
      <c r="AD70" s="25"/>
      <c r="AE70" s="57"/>
      <c r="AF70" s="57"/>
      <c r="AG70" s="25"/>
      <c r="AH70" s="57"/>
      <c r="AI70" s="339"/>
      <c r="AJ70" s="339"/>
      <c r="AK70" s="297" t="str">
        <f>IF(X70&lt;&gt;"",CONCATENATE(IF(AA70&lt;&gt;"",CONCATENATE(Z70," ",AA70," ",BI70),""),IF(AD70&lt;&gt;"",CONCATENATE(","," ",AC70," ",AD70," ",BJ70),""),IF(AG70&lt;&gt;"",CONCATENATE(","," ",AF70," ",AG70," ",BK70),""),IF(AJ70&lt;&gt;"",CONCATENATE(","," ","DD"," ",BL70),"")," ",IF(AI70&lt;&gt;"",CONCATENATE(" - ",AI70," Bag"),"")),"")</f>
        <v/>
      </c>
      <c r="AL70" s="287"/>
      <c r="AM70" s="287"/>
      <c r="AN70" s="287"/>
      <c r="AO70" s="287"/>
      <c r="AP70" s="370" t="str">
        <f>IFERROR(VLOOKUP(#REF!,Outlist!$A$5:$V$120,20,FALSE),"")</f>
        <v/>
      </c>
      <c r="AQ70" s="288" t="str">
        <f>IFERROR(IF(VLOOKUP($A70,#REF!,8,FALSE)&lt;&gt;"",VLOOKUP($A70,#REF!,8,FALSE),""),"")</f>
        <v/>
      </c>
      <c r="AS70" s="24"/>
      <c r="AT70" s="24">
        <v>0.59305555555555556</v>
      </c>
      <c r="AU70" s="27"/>
      <c r="AV70" s="27"/>
      <c r="AX70" s="20" t="str">
        <f>IFERROR(IF(Out_Table[[#This Row],[Cancellazione linea]]="Cancellata","yes",""),"")</f>
        <v/>
      </c>
      <c r="AY70" s="72" t="str">
        <f>IF(BA70="",BZ70,IF(AND(BA70&lt;(--"23:59:59"),BA70&gt;(--"15:00:00"),G70&lt;(--"14:00:00"),G70&gt;(--"00:00:01")),"",IF(BA70&gt;G70,BZ70,"")))</f>
        <v/>
      </c>
      <c r="AZ70" s="27"/>
      <c r="BA70" s="32"/>
      <c r="BB70" s="72"/>
      <c r="BC70" s="72" t="str">
        <f>IFERROR(VLOOKUP(Out_Table[[#This Row],[Aggiornamento STATUS]],'INformazioni per calcoli'!$Y$70:$AA$76,2,FALSE),"")</f>
        <v/>
      </c>
      <c r="BD70" s="289"/>
      <c r="BE70" s="289"/>
      <c r="BF70" s="47" t="str">
        <f>LEFT($E70,3)</f>
        <v>IPO</v>
      </c>
      <c r="BG70" s="298" t="str">
        <f>IF(Out_Table[[#This Row],[Ora Uscita    (GH)]]&lt;&gt;"","x","")</f>
        <v/>
      </c>
      <c r="BH70" s="299">
        <f>VLOOKUP($O70,'INformazioni per calcoli'!$Y$20:$AA$23,3,FALSE)</f>
        <v>14</v>
      </c>
      <c r="BI70" s="299">
        <f>MROUND(Out_Table[[#This Row],[Mtr. Trailer]]*AB70,0.5)</f>
        <v>0</v>
      </c>
      <c r="BJ70" s="299">
        <f>MROUND(Out_Table[[#This Row],[Mtr. Trailer]]*AE70,0.5)</f>
        <v>0</v>
      </c>
      <c r="BK70" s="299">
        <f>MROUND(Out_Table[[#This Row],[Mtr. Trailer]]*AH70,0.5)</f>
        <v>0</v>
      </c>
      <c r="BL70" s="300">
        <f>Out_Table[[#This Row],[Double Deck trailer N° bumpers]]</f>
        <v>0</v>
      </c>
      <c r="BM70" s="301"/>
      <c r="BN70" s="299" t="str">
        <f>B70</f>
        <v>ITD12261</v>
      </c>
      <c r="BO70" s="299" t="str">
        <f>E70</f>
        <v>IPO</v>
      </c>
      <c r="BP70" s="302">
        <f>IF(AND(G70&gt;(--"00:00:01"),G70&lt;(--"15:00:00")),IF(AND(X70&gt;(--"00:00:01"),X70&lt;(--"15:00:00")),G70-X70,G70+1-X70),G70-X70)</f>
        <v>1.1979166666666667</v>
      </c>
      <c r="BQ70" s="303">
        <f>AE70+AF70+AH70+AJ70</f>
        <v>0</v>
      </c>
      <c r="BR70" s="304" t="str">
        <f>IF(OR(BP70&lt;=(--"00:20:00"),BQ70&gt;=100%),"OK","Not OK")</f>
        <v>Not OK</v>
      </c>
      <c r="BS70" s="302">
        <f>IF(AND(G70&gt;(--"00:00:01"),G70&lt;(--"15:00:00")),IF(AND(AU70&gt;(--"00:00:01"),AU70&lt;(--"15:00:00")),G70-AU70,G70+1-AU70),G70-AU70)</f>
        <v>1.1979166666666667</v>
      </c>
      <c r="BT70" s="302">
        <f>IF(AND(AZ70&gt;(--"00:00:01"),AZ70&lt;(--"15:00:00")),IF(AND(AU70&gt;(--"00:00:01"),AU70&lt;(--"15:00:00")),AZ70-AU70,AZ70+1-AU70),AZ70-AU70)</f>
        <v>0</v>
      </c>
      <c r="BU70" s="302">
        <f>IF(AND(BA70&gt;(--"00:00:01"),BA70&lt;(--"15:00:00")),IF(AND(AZ70&gt;(--"00:00:01"),AZ70&lt;(--"15:00:00")),BA70-AZ70,BA70+1-AZ70),BA70-AZ70)</f>
        <v>0</v>
      </c>
      <c r="BV70" s="299">
        <f>AV70</f>
        <v>0</v>
      </c>
      <c r="BW70" s="301"/>
      <c r="BX70" s="299" t="str">
        <f>IF(AV70="T Status",IF(AV70&lt;&gt;T70,"X",""),"")</f>
        <v/>
      </c>
      <c r="BY70" s="301"/>
      <c r="BZ70" s="299" t="str">
        <f>IF(X70&lt;&gt;"",IF(CC70="X","Driver Delay",IF(CA70="X","Paperwork Delay",IF(CB70="X","Late freight late sort",IF(CD70="X","Chiamare Control Room",IF(CE70="X","Chiamare Control Room",IF(CF70="X","Chiamare Control Room","")))))),"")</f>
        <v/>
      </c>
      <c r="CA70" s="302" t="str">
        <f>IF(K70="",IF(IF(AND(G70&gt;(--"00:00:01"),G70&lt;(--"15:00:00")),IF(AND(AT70&gt;(--"08:00:00"),AT70&lt;(--"23:59:59")),G70+1-AT70,G70-AT70),G70-AT70)&gt;(--"00:20:00"),"","X"),"")</f>
        <v/>
      </c>
      <c r="CB70" s="299" t="str">
        <f>IF(K70="",IF(BP70&gt;=(--"00:20:00"),"","X"),"")</f>
        <v/>
      </c>
      <c r="CC70" s="299" t="str">
        <f>IF(OR(AV70="Autista non presente",AV70="Dati driver non presenti"),"X","")</f>
        <v/>
      </c>
      <c r="CD70" s="299" t="str">
        <f>IF(K70="",IF(AND(CC70="",BS70&lt;(--"00:20:00")),"X",""),"")</f>
        <v/>
      </c>
      <c r="CE70" s="299" t="str">
        <f>IF(K70="",IF(BT70&gt;(--"00:15:00"),"X",""),IF(AZ70&lt;&gt;"",IF(G70-AZ70&gt;(--"00:30:00"),"X",""),""))</f>
        <v/>
      </c>
      <c r="CF70" s="299" t="str">
        <f>IF(AND(CA70="",CB70="",CC70="",CD70="",CE70=""),"X","")</f>
        <v>X</v>
      </c>
      <c r="CG70" s="301"/>
      <c r="CH70" s="299" t="str">
        <f>IF(BT70&gt;(--"00:15:00"),"X","")</f>
        <v/>
      </c>
      <c r="CI70" s="302" t="str">
        <f>AY70</f>
        <v/>
      </c>
      <c r="CJ70" s="299" t="str">
        <f>IF(AND(CH70&lt;&gt;"",CI70&lt;&gt;"",LEFT(B70,3)="ITD"),AP70,"")</f>
        <v/>
      </c>
      <c r="CK70" s="305" t="str">
        <f>IF(CJ70&lt;&gt;"",BT70,"")</f>
        <v/>
      </c>
      <c r="CL70" s="301"/>
      <c r="CM70" s="305" t="str">
        <f>IFERROR(VLOOKUP(Q70,'Elenco Casse'!$D$4:$F$292,3,FALSE),"")</f>
        <v/>
      </c>
      <c r="CN70" s="301"/>
      <c r="CO70" s="305" t="str">
        <f>IFERROR(VLOOKUP(S70,'Elenco Casse'!$D$4:$F$292,3,FALSE),"")</f>
        <v/>
      </c>
      <c r="CP70" s="305" t="str">
        <f>IFERROR(IF(VLOOKUP($E70,Outlist!$A$5:$S$120,19,FALSE)&lt;&gt;0,"Y",""),"")</f>
        <v/>
      </c>
      <c r="CQ70" s="301"/>
      <c r="CR70" s="305" t="str">
        <f>CONCATENATE($B70,$E70,$G70)</f>
        <v>ITD12261IPO0.197916666666667</v>
      </c>
      <c r="CS70" s="301"/>
      <c r="CT70" s="305" t="e">
        <f>VLOOKUP(Out_Table[[#This Row],[Destination             ORANGE (From Planning)]],Outlist!$A$5:$W$120,22,FALSE)</f>
        <v>#N/A</v>
      </c>
    </row>
    <row r="71" spans="1:98" s="20" customFormat="1" ht="15">
      <c r="A71" s="305" t="str">
        <f>$CR71</f>
        <v>ITD12761IPO0.260416666666667</v>
      </c>
      <c r="B71" s="284" t="s">
        <v>651</v>
      </c>
      <c r="C71" s="290" t="str">
        <f>IFERROR(IF(LEFT(B71,3)='STAT 77'!$X$2,_xlfn.XLOOKUP(B71,'STAT 77'!C:C,'STAT 77'!B:B),_xlfn.XLOOKUP(B71,'STAT 77'!B:B,'STAT 77'!C:C)),"NON TROVATO")</f>
        <v>ITD32256</v>
      </c>
      <c r="D71" s="25" t="s">
        <v>652</v>
      </c>
      <c r="E71" s="290" t="s">
        <v>649</v>
      </c>
      <c r="F71" s="290" t="str">
        <f>IFERROR(VLOOKUP(E71,'Cambio O2P'!C:E,2,FALSE),"")</f>
        <v>ISRA</v>
      </c>
      <c r="G71" s="285">
        <v>0.26041666666666669</v>
      </c>
      <c r="H71" s="293">
        <f ca="1">IFERROR(IF(AND('INformazioni per calcoli'!$AB$3&lt;(--"14:30"),'INformazioni per calcoli'!$AB$3&gt;(--"10:00")),"",IF($B71="","",IF($X71&lt;&gt;"","Mezzo Chiuso",IF($W71="","Non al Carico",IF($G71-'INformazioni per calcoli'!$AB$5-'INformazioni per calcoli'!$AB$3+$J71&lt;0,"LFLS",IF($K71&lt;&gt;"","Safe Parking",IF($W71&lt;&gt;"",IF($E71="MXP",$G71-'INformazioni per calcoli'!$AB$6-'INformazioni per calcoli'!$AB$3+$J71,$G71-'INformazioni per calcoli'!$AB$5-'INformazioni per calcoli'!$AB$3+$J71),"Non al carico"))))))),"")</f>
        <v>0.10106481481481483</v>
      </c>
      <c r="I71" s="17" t="str">
        <f ca="1">IFERROR(IF($H71&lt;&gt;"",IF($H71="Safe Parking","",IF($W71&lt;&gt;"",IF(AND($U71="X",$V71="X"),$H71-(--"00:30"),""),IF($X71&lt;&gt;"","Mezzo Chiuso","Non al carico"))),""),"")</f>
        <v/>
      </c>
      <c r="J71" s="306">
        <f ca="1">IFERROR(IF($B71&lt;&gt;"",IF(AND('INformazioni per calcoli'!$AB$3&lt;(--"15:00"),'INformazioni per calcoli'!$AB$3&gt;(--"00:00")),0,IF($G71&lt;(--"18:30"),"+1",0)),""),"")</f>
        <v>0</v>
      </c>
      <c r="K71" s="17"/>
      <c r="L71" s="25" t="s">
        <v>451</v>
      </c>
      <c r="M71" s="25" t="str">
        <f>IFERROR(_xlfn.XLOOKUP($Q71,'Elenco Casse'!$D:$D,'Elenco Casse'!$E:$E),"")</f>
        <v>F.M. Trasporti S.R.L.</v>
      </c>
      <c r="N71" s="25">
        <f>IFERROR(_xlfn.XLOOKUP($Q71,'Elenco Casse'!$D:$D,'Elenco Casse'!$F:$F),"")</f>
        <v>0</v>
      </c>
      <c r="O71" s="286" t="s">
        <v>418</v>
      </c>
      <c r="P71" s="295" t="str">
        <f>IFERROR(_xlfn.XLOOKUP($Q71,'Elenco Casse'!$D:$D,'Elenco Casse'!$G:$G),"")</f>
        <v>trailer 80 m3 2/3 axles</v>
      </c>
      <c r="Q71" s="355" t="s">
        <v>653</v>
      </c>
      <c r="R71" s="23" t="s">
        <v>420</v>
      </c>
      <c r="S71" s="25" t="s">
        <v>421</v>
      </c>
      <c r="T71" s="25" t="s">
        <v>654</v>
      </c>
      <c r="U71" s="23" t="str">
        <f>IF(ISNUMBER(SEARCH("Parcel",$T71)),"X","")</f>
        <v>X</v>
      </c>
      <c r="V71" s="23"/>
      <c r="W71" s="26">
        <v>409</v>
      </c>
      <c r="X71" s="27"/>
      <c r="Y71" s="25"/>
      <c r="Z71" s="25"/>
      <c r="AA71" s="25" t="s">
        <v>40</v>
      </c>
      <c r="AB71" s="57"/>
      <c r="AC71" s="25"/>
      <c r="AD71" s="25"/>
      <c r="AE71" s="57"/>
      <c r="AF71" s="57"/>
      <c r="AG71" s="25"/>
      <c r="AH71" s="57"/>
      <c r="AI71" s="339"/>
      <c r="AJ71" s="339"/>
      <c r="AK71" s="297" t="str">
        <f>IF(X71&lt;&gt;"",CONCATENATE(IF(AA71&lt;&gt;"",CONCATENATE(Z71," ",AA71," ",BI71),""),IF(AD71&lt;&gt;"",CONCATENATE(","," ",AC71," ",AD71," ",BJ71),""),IF(AG71&lt;&gt;"",CONCATENATE(","," ",AF71," ",AG71," ",BK71),""),IF(AJ71&lt;&gt;"",CONCATENATE(","," ","DD"," ",BL71),"")," ",IF(AI71&lt;&gt;"",CONCATENATE(" - ",AI71," Bag"),"")),"")</f>
        <v/>
      </c>
      <c r="AL71" s="287"/>
      <c r="AM71" s="287"/>
      <c r="AN71" s="287"/>
      <c r="AO71" s="287"/>
      <c r="AP71" s="370" t="str">
        <f>IFERROR(VLOOKUP(#REF!,Outlist!$A$5:$V$120,20,FALSE),"")</f>
        <v/>
      </c>
      <c r="AQ71" s="288" t="str">
        <f>IFERROR(IF(VLOOKUP($A71,#REF!,8,FALSE)&lt;&gt;"",VLOOKUP($A71,#REF!,8,FALSE),""),"")</f>
        <v/>
      </c>
      <c r="AS71" s="24"/>
      <c r="AT71" s="24">
        <v>0.45</v>
      </c>
      <c r="AU71" s="27"/>
      <c r="AV71" s="27"/>
      <c r="AX71" s="20" t="str">
        <f>IFERROR(IF(Out_Table[[#This Row],[Cancellazione linea]]="Cancellata","yes",""),"")</f>
        <v/>
      </c>
      <c r="AY71" s="72" t="str">
        <f>IF(BA71="",BZ71,IF(AND(BA71&lt;(--"23:59:59"),BA71&gt;(--"15:00:00"),G71&lt;(--"14:00:00"),G71&gt;(--"00:00:01")),"",IF(BA71&gt;G71,BZ71,"")))</f>
        <v/>
      </c>
      <c r="AZ71" s="27"/>
      <c r="BA71" s="32"/>
      <c r="BB71" s="72"/>
      <c r="BC71" s="72" t="str">
        <f>IFERROR(VLOOKUP(Out_Table[[#This Row],[Aggiornamento STATUS]],'INformazioni per calcoli'!$Y$70:$AA$76,2,FALSE),"")</f>
        <v/>
      </c>
      <c r="BD71" s="289"/>
      <c r="BE71" s="289"/>
      <c r="BF71" s="47" t="str">
        <f>LEFT($E71,3)</f>
        <v>IPO</v>
      </c>
      <c r="BG71" s="298" t="str">
        <f>IF(Out_Table[[#This Row],[Ora Uscita    (GH)]]&lt;&gt;"","x","")</f>
        <v/>
      </c>
      <c r="BH71" s="299">
        <f>VLOOKUP($O71,'INformazioni per calcoli'!$Y$20:$AA$23,3,FALSE)</f>
        <v>14</v>
      </c>
      <c r="BI71" s="299">
        <f>MROUND(Out_Table[[#This Row],[Mtr. Trailer]]*AB71,0.5)</f>
        <v>0</v>
      </c>
      <c r="BJ71" s="299">
        <f>MROUND(Out_Table[[#This Row],[Mtr. Trailer]]*AE71,0.5)</f>
        <v>0</v>
      </c>
      <c r="BK71" s="299">
        <f>MROUND(Out_Table[[#This Row],[Mtr. Trailer]]*AH71,0.5)</f>
        <v>0</v>
      </c>
      <c r="BL71" s="300">
        <f>Out_Table[[#This Row],[Double Deck trailer N° bumpers]]</f>
        <v>0</v>
      </c>
      <c r="BM71" s="301"/>
      <c r="BN71" s="299" t="str">
        <f>B71</f>
        <v>ITD12761</v>
      </c>
      <c r="BO71" s="299" t="str">
        <f>E71</f>
        <v>IPO</v>
      </c>
      <c r="BP71" s="302">
        <f>IF(AND(G71&gt;(--"00:00:01"),G71&lt;(--"15:00:00")),IF(AND(X71&gt;(--"00:00:01"),X71&lt;(--"15:00:00")),G71-X71,G71+1-X71),G71-X71)</f>
        <v>1.2604166666666667</v>
      </c>
      <c r="BQ71" s="303">
        <f>AE71+AF71+AH71+AJ71</f>
        <v>0</v>
      </c>
      <c r="BR71" s="304" t="str">
        <f>IF(OR(BP71&lt;=(--"00:20:00"),BQ71&gt;=100%),"OK","Not OK")</f>
        <v>Not OK</v>
      </c>
      <c r="BS71" s="302">
        <f>IF(AND(G71&gt;(--"00:00:01"),G71&lt;(--"15:00:00")),IF(AND(AU71&gt;(--"00:00:01"),AU71&lt;(--"15:00:00")),G71-AU71,G71+1-AU71),G71-AU71)</f>
        <v>1.2604166666666667</v>
      </c>
      <c r="BT71" s="302">
        <f>IF(AND(AZ71&gt;(--"00:00:01"),AZ71&lt;(--"15:00:00")),IF(AND(AU71&gt;(--"00:00:01"),AU71&lt;(--"15:00:00")),AZ71-AU71,AZ71+1-AU71),AZ71-AU71)</f>
        <v>0</v>
      </c>
      <c r="BU71" s="302">
        <f>IF(AND(BA71&gt;(--"00:00:01"),BA71&lt;(--"15:00:00")),IF(AND(AZ71&gt;(--"00:00:01"),AZ71&lt;(--"15:00:00")),BA71-AZ71,BA71+1-AZ71),BA71-AZ71)</f>
        <v>0</v>
      </c>
      <c r="BV71" s="299">
        <f>AV71</f>
        <v>0</v>
      </c>
      <c r="BW71" s="301"/>
      <c r="BX71" s="299" t="str">
        <f>IF(AV71="T Status",IF(AV71&lt;&gt;T71,"X",""),"")</f>
        <v/>
      </c>
      <c r="BY71" s="301"/>
      <c r="BZ71" s="299" t="str">
        <f>IF(X71&lt;&gt;"",IF(CC71="X","Driver Delay",IF(CA71="X","Paperwork Delay",IF(CB71="X","Late freight late sort",IF(CD71="X","Chiamare Control Room",IF(CE71="X","Chiamare Control Room",IF(CF71="X","Chiamare Control Room","")))))),"")</f>
        <v/>
      </c>
      <c r="CA71" s="302" t="str">
        <f>IF(K71="",IF(IF(AND(G71&gt;(--"00:00:01"),G71&lt;(--"15:00:00")),IF(AND(AT71&gt;(--"08:00:00"),AT71&lt;(--"23:59:59")),G71+1-AT71,G71-AT71),G71-AT71)&gt;(--"00:20:00"),"","X"),"")</f>
        <v/>
      </c>
      <c r="CB71" s="299" t="str">
        <f>IF(K71="",IF(BP71&gt;=(--"00:20:00"),"","X"),"")</f>
        <v/>
      </c>
      <c r="CC71" s="299" t="str">
        <f>IF(OR(AV71="Autista non presente",AV71="Dati driver non presenti"),"X","")</f>
        <v/>
      </c>
      <c r="CD71" s="299" t="str">
        <f>IF(K71="",IF(AND(CC71="",BS71&lt;(--"00:20:00")),"X",""),"")</f>
        <v/>
      </c>
      <c r="CE71" s="299" t="str">
        <f>IF(K71="",IF(BT71&gt;(--"00:15:00"),"X",""),IF(AZ71&lt;&gt;"",IF(G71-AZ71&gt;(--"00:30:00"),"X",""),""))</f>
        <v/>
      </c>
      <c r="CF71" s="299" t="str">
        <f>IF(AND(CA71="",CB71="",CC71="",CD71="",CE71=""),"X","")</f>
        <v>X</v>
      </c>
      <c r="CG71" s="301"/>
      <c r="CH71" s="299" t="str">
        <f>IF(BT71&gt;(--"00:15:00"),"X","")</f>
        <v/>
      </c>
      <c r="CI71" s="302" t="str">
        <f>AY71</f>
        <v/>
      </c>
      <c r="CJ71" s="299" t="str">
        <f>IF(AND(CH71&lt;&gt;"",CI71&lt;&gt;"",LEFT(B71,3)="ITD"),AP71,"")</f>
        <v/>
      </c>
      <c r="CK71" s="305" t="str">
        <f>IF(CJ71&lt;&gt;"",BT71,"")</f>
        <v/>
      </c>
      <c r="CL71" s="301"/>
      <c r="CM71" s="305" t="str">
        <f>IFERROR(VLOOKUP(Q71,'Elenco Casse'!$D$4:$F$292,3,FALSE),"")</f>
        <v/>
      </c>
      <c r="CN71" s="301"/>
      <c r="CO71" s="305" t="str">
        <f>IFERROR(VLOOKUP(S71,'Elenco Casse'!$D$4:$F$292,3,FALSE),"")</f>
        <v/>
      </c>
      <c r="CP71" s="305" t="str">
        <f>IFERROR(IF(VLOOKUP($E71,Outlist!$A$5:$S$120,19,FALSE)&lt;&gt;0,"Y",""),"")</f>
        <v/>
      </c>
      <c r="CQ71" s="301"/>
      <c r="CR71" s="305" t="str">
        <f>CONCATENATE($B71,$E71,$G71)</f>
        <v>ITD12761IPO0.260416666666667</v>
      </c>
      <c r="CS71" s="301"/>
      <c r="CT71" s="305" t="e">
        <f>VLOOKUP(Out_Table[[#This Row],[Destination             ORANGE (From Planning)]],Outlist!$A$5:$W$120,22,FALSE)</f>
        <v>#N/A</v>
      </c>
    </row>
    <row r="72" spans="1:98" s="20" customFormat="1" ht="15">
      <c r="A72" s="305" t="str">
        <f>$CR72</f>
        <v>ITD12385CUF0.208333333333333</v>
      </c>
      <c r="B72" s="284" t="s">
        <v>655</v>
      </c>
      <c r="C72" s="290" t="str">
        <f>IFERROR(IF(LEFT(B72,3)='STAT 77'!$X$2,_xlfn.XLOOKUP(B72,'STAT 77'!C:C,'STAT 77'!B:B),_xlfn.XLOOKUP(B72,'STAT 77'!B:B,'STAT 77'!C:C)),"NON TROVATO")</f>
        <v>ITD31526</v>
      </c>
      <c r="D72" s="25" t="s">
        <v>656</v>
      </c>
      <c r="E72" s="290" t="s">
        <v>657</v>
      </c>
      <c r="F72" s="290" t="str">
        <f>IFERROR(VLOOKUP(E72,'Cambio O2P'!C:E,2,FALSE),"")</f>
        <v>CUFT8</v>
      </c>
      <c r="G72" s="285">
        <v>0.20833333333333334</v>
      </c>
      <c r="H72" s="293" t="str">
        <f ca="1">IFERROR(IF(AND('INformazioni per calcoli'!$AB$3&lt;(--"14:30"),'INformazioni per calcoli'!$AB$3&gt;(--"10:00")),"",IF($B72="","",IF($X72&lt;&gt;"","Mezzo Chiuso",IF($W72="","Non al Carico",IF($G72-'INformazioni per calcoli'!$AB$5-'INformazioni per calcoli'!$AB$3+$J72&lt;0,"LFLS",IF($K72&lt;&gt;"","Safe Parking",IF($W72&lt;&gt;"",IF($E72="MXP",$G72-'INformazioni per calcoli'!$AB$6-'INformazioni per calcoli'!$AB$3+$J72,$G72-'INformazioni per calcoli'!$AB$5-'INformazioni per calcoli'!$AB$3+$J72),"Non al carico"))))))),"")</f>
        <v>Mezzo Chiuso</v>
      </c>
      <c r="I72" s="17" t="str">
        <f ca="1">IFERROR(IF($H72&lt;&gt;"",IF($H72="Safe Parking","",IF($W72&lt;&gt;"",IF(AND($U72="X",$V72="X"),$H72-(--"00:30"),""),IF($X72&lt;&gt;"","Mezzo Chiuso","Non al carico"))),""),"")</f>
        <v/>
      </c>
      <c r="J72" s="306">
        <f ca="1">IFERROR(IF($B72&lt;&gt;"",IF(AND('INformazioni per calcoli'!$AB$3&lt;(--"15:00"),'INformazioni per calcoli'!$AB$3&gt;(--"00:00")),0,IF($G72&lt;(--"18:30"),"+1",0)),""),"")</f>
        <v>0</v>
      </c>
      <c r="K72" s="17"/>
      <c r="L72" s="25" t="s">
        <v>658</v>
      </c>
      <c r="M72" s="25" t="str">
        <f>IFERROR(_xlfn.XLOOKUP($Q72,'Elenco Casse'!$D:$D,'Elenco Casse'!$E:$E),"")</f>
        <v>Forlani Trasporti Srl</v>
      </c>
      <c r="N72" s="25">
        <f>IFERROR(_xlfn.XLOOKUP($Q72,'Elenco Casse'!$D:$D,'Elenco Casse'!$F:$F),"")</f>
        <v>0</v>
      </c>
      <c r="O72" s="286" t="s">
        <v>418</v>
      </c>
      <c r="P72" s="295" t="str">
        <f>IFERROR(_xlfn.XLOOKUP($Q72,'Elenco Casse'!$D:$D,'Elenco Casse'!$G:$G),"")</f>
        <v>trailer 80 m3 2/3 axes</v>
      </c>
      <c r="Q72" s="355" t="s">
        <v>659</v>
      </c>
      <c r="R72" s="23" t="s">
        <v>420</v>
      </c>
      <c r="S72" s="25" t="s">
        <v>421</v>
      </c>
      <c r="T72" s="25" t="s">
        <v>432</v>
      </c>
      <c r="U72" s="23" t="str">
        <f>IF(ISNUMBER(SEARCH("Parcel",$T72)),"X","")</f>
        <v>X</v>
      </c>
      <c r="V72" s="23" t="str">
        <f>IF(ISNUMBER(SEARCH("Freight",$T72)),"X","")</f>
        <v/>
      </c>
      <c r="W72" s="26">
        <v>410</v>
      </c>
      <c r="X72" s="27">
        <v>0.13263888888888889</v>
      </c>
      <c r="Y72" s="25" t="s">
        <v>660</v>
      </c>
      <c r="Z72" s="25"/>
      <c r="AA72" s="25" t="s">
        <v>40</v>
      </c>
      <c r="AB72" s="57">
        <v>1</v>
      </c>
      <c r="AC72" s="25"/>
      <c r="AD72" s="25"/>
      <c r="AE72" s="57"/>
      <c r="AF72" s="57"/>
      <c r="AG72" s="25"/>
      <c r="AH72" s="57"/>
      <c r="AI72" s="339">
        <v>12</v>
      </c>
      <c r="AJ72" s="339"/>
      <c r="AK72" s="297" t="str">
        <f>IF(X72&lt;&gt;"",CONCATENATE(IF(AA72&lt;&gt;"",CONCATENATE(Z72," ",AA72," ",BI72),""),IF(AD72&lt;&gt;"",CONCATENATE(","," ",AC72," ",AD72," ",BJ72),""),IF(AG72&lt;&gt;"",CONCATENATE(","," ",AF72," ",AG72," ",BK72),""),IF(AJ72&lt;&gt;"",CONCATENATE(","," ","DD"," ",BL72),"")," ",IF(AI72&lt;&gt;"",CONCATENATE(" - ",AI72," Bag"),"")),"")</f>
        <v xml:space="preserve"> LL 14  - 12 Bag</v>
      </c>
      <c r="AL72" s="287" t="s">
        <v>421</v>
      </c>
      <c r="AM72" s="287"/>
      <c r="AN72" s="287"/>
      <c r="AO72" s="287"/>
      <c r="AP72" s="370" t="str">
        <f>IFERROR(VLOOKUP(#REF!,Outlist!$A$5:$V$120,20,FALSE),"")</f>
        <v/>
      </c>
      <c r="AQ72" s="288" t="str">
        <f>IFERROR(IF(VLOOKUP($A72,#REF!,8,FALSE)&lt;&gt;"",VLOOKUP($A72,#REF!,8,FALSE),""),"")</f>
        <v/>
      </c>
      <c r="AS72" s="24"/>
      <c r="AT72" s="24">
        <v>0.83194444444444449</v>
      </c>
      <c r="AU72" s="27"/>
      <c r="AV72" s="27"/>
      <c r="AX72" s="20" t="str">
        <f>IFERROR(IF(Out_Table[[#This Row],[Cancellazione linea]]="Cancellata","yes",""),"")</f>
        <v/>
      </c>
      <c r="AY72" s="72" t="str">
        <f>IF(BA72="",BZ72,IF(AND(BA72&lt;(--"23:59:59"),BA72&gt;(--"15:00:00"),G72&lt;(--"14:00:00"),G72&gt;(--"00:00:01")),"",IF(BA72&gt;G72,BZ72,"")))</f>
        <v>Chiamare Control Room</v>
      </c>
      <c r="AZ72" s="27"/>
      <c r="BA72" s="32"/>
      <c r="BB72" s="72"/>
      <c r="BC72" s="72" t="str">
        <f>IFERROR(VLOOKUP(Out_Table[[#This Row],[Aggiornamento STATUS]],'INformazioni per calcoli'!$Y$70:$AA$76,2,FALSE),"")</f>
        <v/>
      </c>
      <c r="BD72" s="289"/>
      <c r="BE72" s="289"/>
      <c r="BF72" s="47" t="str">
        <f>LEFT($E72,3)</f>
        <v>CUF</v>
      </c>
      <c r="BG72" s="298" t="str">
        <f>IF(Out_Table[[#This Row],[Ora Uscita    (GH)]]&lt;&gt;"","x","")</f>
        <v/>
      </c>
      <c r="BH72" s="299">
        <f>VLOOKUP($O72,'INformazioni per calcoli'!$Y$20:$AA$23,3,FALSE)</f>
        <v>14</v>
      </c>
      <c r="BI72" s="299">
        <f>MROUND(Out_Table[[#This Row],[Mtr. Trailer]]*AB72,0.5)</f>
        <v>14</v>
      </c>
      <c r="BJ72" s="299">
        <f>MROUND(Out_Table[[#This Row],[Mtr. Trailer]]*AE72,0.5)</f>
        <v>0</v>
      </c>
      <c r="BK72" s="299">
        <f>MROUND(Out_Table[[#This Row],[Mtr. Trailer]]*AH72,0.5)</f>
        <v>0</v>
      </c>
      <c r="BL72" s="300">
        <f>Out_Table[[#This Row],[Double Deck trailer N° bumpers]]</f>
        <v>0</v>
      </c>
      <c r="BM72" s="301"/>
      <c r="BN72" s="299" t="str">
        <f>B72</f>
        <v>ITD12385</v>
      </c>
      <c r="BO72" s="299" t="str">
        <f>E72</f>
        <v>CUF</v>
      </c>
      <c r="BP72" s="302">
        <f>IF(AND(G72&gt;(--"00:00:01"),G72&lt;(--"15:00:00")),IF(AND(X72&gt;(--"00:00:01"),X72&lt;(--"15:00:00")),G72-X72,G72+1-X72),G72-X72)</f>
        <v>7.5694444444444453E-2</v>
      </c>
      <c r="BQ72" s="303">
        <f>AE72+AF72+AH72+AJ72</f>
        <v>0</v>
      </c>
      <c r="BR72" s="304" t="str">
        <f>IF(OR(BP72&lt;=(--"00:20:00"),BQ72&gt;=100%),"OK","Not OK")</f>
        <v>Not OK</v>
      </c>
      <c r="BS72" s="302">
        <f>IF(AND(G72&gt;(--"00:00:01"),G72&lt;(--"15:00:00")),IF(AND(AU72&gt;(--"00:00:01"),AU72&lt;(--"15:00:00")),G72-AU72,G72+1-AU72),G72-AU72)</f>
        <v>1.2083333333333333</v>
      </c>
      <c r="BT72" s="302">
        <f>IF(AND(AZ72&gt;(--"00:00:01"),AZ72&lt;(--"15:00:00")),IF(AND(AU72&gt;(--"00:00:01"),AU72&lt;(--"15:00:00")),AZ72-AU72,AZ72+1-AU72),AZ72-AU72)</f>
        <v>0</v>
      </c>
      <c r="BU72" s="302">
        <f>IF(AND(BA72&gt;(--"00:00:01"),BA72&lt;(--"15:00:00")),IF(AND(AZ72&gt;(--"00:00:01"),AZ72&lt;(--"15:00:00")),BA72-AZ72,BA72+1-AZ72),BA72-AZ72)</f>
        <v>0</v>
      </c>
      <c r="BV72" s="299">
        <f>AV72</f>
        <v>0</v>
      </c>
      <c r="BW72" s="301"/>
      <c r="BX72" s="299" t="str">
        <f>IF(AV72="T Status",IF(AV72&lt;&gt;T72,"X",""),"")</f>
        <v/>
      </c>
      <c r="BY72" s="301"/>
      <c r="BZ72" s="299" t="str">
        <f>IF(X72&lt;&gt;"",IF(CC72="X","Driver Delay",IF(CA72="X","Paperwork Delay",IF(CB72="X","Late freight late sort",IF(CD72="X","Chiamare Control Room",IF(CE72="X","Chiamare Control Room",IF(CF72="X","Chiamare Control Room","")))))),"")</f>
        <v>Chiamare Control Room</v>
      </c>
      <c r="CA72" s="302" t="str">
        <f>IF(K72="",IF(IF(AND(G72&gt;(--"00:00:01"),G72&lt;(--"15:00:00")),IF(AND(AT72&gt;(--"08:00:00"),AT72&lt;(--"23:59:59")),G72+1-AT72,G72-AT72),G72-AT72)&gt;(--"00:20:00"),"","X"),"")</f>
        <v/>
      </c>
      <c r="CB72" s="299" t="str">
        <f>IF(K72="",IF(BP72&gt;=(--"00:20:00"),"","X"),"")</f>
        <v/>
      </c>
      <c r="CC72" s="299" t="str">
        <f>IF(OR(AV72="Autista non presente",AV72="Dati driver non presenti"),"X","")</f>
        <v/>
      </c>
      <c r="CD72" s="299" t="str">
        <f>IF(K72="",IF(AND(CC72="",BS72&lt;(--"00:20:00")),"X",""),"")</f>
        <v/>
      </c>
      <c r="CE72" s="299" t="str">
        <f>IF(K72="",IF(BT72&gt;(--"00:15:00"),"X",""),IF(AZ72&lt;&gt;"",IF(G72-AZ72&gt;(--"00:30:00"),"X",""),""))</f>
        <v/>
      </c>
      <c r="CF72" s="299" t="str">
        <f>IF(AND(CA72="",CB72="",CC72="",CD72="",CE72=""),"X","")</f>
        <v>X</v>
      </c>
      <c r="CG72" s="301"/>
      <c r="CH72" s="299" t="str">
        <f>IF(BT72&gt;(--"00:15:00"),"X","")</f>
        <v/>
      </c>
      <c r="CI72" s="302" t="str">
        <f>AY72</f>
        <v>Chiamare Control Room</v>
      </c>
      <c r="CJ72" s="299" t="str">
        <f>IF(AND(CH72&lt;&gt;"",CI72&lt;&gt;"",LEFT(B72,3)="ITD"),AP72,"")</f>
        <v/>
      </c>
      <c r="CK72" s="305" t="str">
        <f>IF(CJ72&lt;&gt;"",BT72,"")</f>
        <v/>
      </c>
      <c r="CL72" s="301"/>
      <c r="CM72" s="305" t="str">
        <f>IFERROR(VLOOKUP(Q72,'Elenco Casse'!$D$4:$F$292,3,FALSE),"")</f>
        <v/>
      </c>
      <c r="CN72" s="301"/>
      <c r="CO72" s="305" t="str">
        <f>IFERROR(VLOOKUP(S72,'Elenco Casse'!$D$4:$F$292,3,FALSE),"")</f>
        <v/>
      </c>
      <c r="CP72" s="305" t="str">
        <f>IFERROR(IF(VLOOKUP($E72,Outlist!$A$5:$S$120,19,FALSE)&lt;&gt;0,"Y",""),"")</f>
        <v/>
      </c>
      <c r="CQ72" s="301"/>
      <c r="CR72" s="305" t="str">
        <f>CONCATENATE($B72,$E72,$G72)</f>
        <v>ITD12385CUF0.208333333333333</v>
      </c>
      <c r="CS72" s="301"/>
      <c r="CT72" s="305" t="e">
        <f>VLOOKUP(Out_Table[[#This Row],[Destination             ORANGE (From Planning)]],Outlist!$A$5:$W$120,22,FALSE)</f>
        <v>#N/A</v>
      </c>
    </row>
    <row r="73" spans="1:98" s="20" customFormat="1" ht="15">
      <c r="A73" s="305" t="str">
        <f>$CR73</f>
        <v>ITD12802ZD10.21875</v>
      </c>
      <c r="B73" s="284" t="s">
        <v>661</v>
      </c>
      <c r="C73" s="290" t="str">
        <f>IFERROR(IF(LEFT(B73,3)='STAT 77'!$X$2,_xlfn.XLOOKUP(B73,'STAT 77'!C:C,'STAT 77'!B:B),_xlfn.XLOOKUP(B73,'STAT 77'!B:B,'STAT 77'!C:C)),"NON TROVATO")</f>
        <v>ITD32362</v>
      </c>
      <c r="D73" s="25" t="s">
        <v>662</v>
      </c>
      <c r="E73" s="290" t="s">
        <v>663</v>
      </c>
      <c r="F73" s="290" t="str">
        <f>IFERROR(VLOOKUP(E73,'Cambio O2P'!C:E,2,FALSE),"")</f>
        <v>XVYA</v>
      </c>
      <c r="G73" s="285">
        <v>0.21875</v>
      </c>
      <c r="H73" s="293">
        <f ca="1">IFERROR(IF(AND('INformazioni per calcoli'!$AB$3&lt;(--"14:30"),'INformazioni per calcoli'!$AB$3&gt;(--"10:00")),"",IF($B73="","",IF($X73&lt;&gt;"","Mezzo Chiuso",IF($W73="","Non al Carico",IF($G73-'INformazioni per calcoli'!$AB$5-'INformazioni per calcoli'!$AB$3+$J73&lt;0,"LFLS",IF($K73&lt;&gt;"","Safe Parking",IF($W73&lt;&gt;"",IF($E73="MXP",$G73-'INformazioni per calcoli'!$AB$6-'INformazioni per calcoli'!$AB$3+$J73,$G73-'INformazioni per calcoli'!$AB$5-'INformazioni per calcoli'!$AB$3+$J73),"Non al carico"))))))),"")</f>
        <v>5.9398148148148144E-2</v>
      </c>
      <c r="I73" s="17" t="str">
        <f ca="1">IFERROR(IF($H73&lt;&gt;"",IF($H73="Safe Parking","",IF($W73&lt;&gt;"",IF(AND($U73="X",$V73="X"),$H73-(--"00:30"),""),IF($X73&lt;&gt;"","Mezzo Chiuso","Non al carico"))),""),"")</f>
        <v/>
      </c>
      <c r="J73" s="306">
        <f ca="1">IFERROR(IF($B73&lt;&gt;"",IF(AND('INformazioni per calcoli'!$AB$3&lt;(--"15:00"),'INformazioni per calcoli'!$AB$3&gt;(--"00:00")),0,IF($G73&lt;(--"18:30"),"+1",0)),""),"")</f>
        <v>0</v>
      </c>
      <c r="K73" s="27"/>
      <c r="L73" s="25" t="s">
        <v>592</v>
      </c>
      <c r="M73" s="25" t="str">
        <f>IFERROR(_xlfn.XLOOKUP($Q73,'Elenco Casse'!$D:$D,'Elenco Casse'!$E:$E),"")</f>
        <v>S.T.I. S.R.L.</v>
      </c>
      <c r="N73" s="25">
        <f>IFERROR(_xlfn.XLOOKUP($Q73,'Elenco Casse'!$D:$D,'Elenco Casse'!$F:$F),"")</f>
        <v>0</v>
      </c>
      <c r="O73" s="286" t="s">
        <v>418</v>
      </c>
      <c r="P73" s="295" t="str">
        <f>IFERROR(_xlfn.XLOOKUP($Q73,'Elenco Casse'!$D:$D,'Elenco Casse'!$G:$G),"")</f>
        <v>trailer 80 m3 2/3 axes</v>
      </c>
      <c r="Q73" s="355" t="s">
        <v>664</v>
      </c>
      <c r="R73" s="23" t="s">
        <v>420</v>
      </c>
      <c r="S73" s="25" t="s">
        <v>421</v>
      </c>
      <c r="T73" s="25" t="s">
        <v>432</v>
      </c>
      <c r="U73" s="23" t="str">
        <f>IF(ISNUMBER(SEARCH("Parcel",$T73)),"X","")</f>
        <v>X</v>
      </c>
      <c r="V73" s="23" t="str">
        <f>IF(ISNUMBER(SEARCH("Freight",$T73)),"X","")</f>
        <v/>
      </c>
      <c r="W73" s="26">
        <v>412</v>
      </c>
      <c r="X73" s="27"/>
      <c r="Y73" s="25"/>
      <c r="Z73" s="25"/>
      <c r="AA73" s="25" t="s">
        <v>40</v>
      </c>
      <c r="AB73" s="57"/>
      <c r="AC73" s="25"/>
      <c r="AD73" s="25"/>
      <c r="AE73" s="57"/>
      <c r="AF73" s="57"/>
      <c r="AG73" s="25"/>
      <c r="AH73" s="57"/>
      <c r="AI73" s="339"/>
      <c r="AJ73" s="339"/>
      <c r="AK73" s="297" t="str">
        <f>IF(X73&lt;&gt;"",CONCATENATE(IF(AA73&lt;&gt;"",CONCATENATE(Z73," ",AA73," ",BI73),""),IF(AD73&lt;&gt;"",CONCATENATE(","," ",AC73," ",AD73," ",BJ73),""),IF(AG73&lt;&gt;"",CONCATENATE(","," ",AF73," ",AG73," ",BK73),""),IF(AJ73&lt;&gt;"",CONCATENATE(","," ","DD"," ",BL73),"")," ",IF(AI73&lt;&gt;"",CONCATENATE(" - ",AI73," Bag"),"")),"")</f>
        <v/>
      </c>
      <c r="AL73" s="287"/>
      <c r="AM73" s="287"/>
      <c r="AN73" s="287"/>
      <c r="AO73" s="287"/>
      <c r="AP73" s="370" t="str">
        <f>IFERROR(VLOOKUP($E70,Outlist!$A$5:$V$120,20,FALSE),"")</f>
        <v/>
      </c>
      <c r="AQ73" s="288" t="str">
        <f>IFERROR(IF(VLOOKUP($A73,#REF!,8,FALSE)&lt;&gt;"",VLOOKUP($A73,#REF!,8,FALSE),""),"")</f>
        <v/>
      </c>
      <c r="AS73" s="24"/>
      <c r="AT73" s="24">
        <v>0.45624999999999999</v>
      </c>
      <c r="AU73" s="27"/>
      <c r="AV73" s="27"/>
      <c r="AX73" s="20" t="str">
        <f>IFERROR(IF(Out_Table[[#This Row],[Cancellazione linea]]="Cancellata","yes",""),"")</f>
        <v/>
      </c>
      <c r="AY73" s="72" t="str">
        <f>IF(BA73="",BZ73,IF(AND(BA73&lt;(--"23:59:59"),BA73&gt;(--"15:00:00"),G73&lt;(--"14:00:00"),G73&gt;(--"00:00:01")),"",IF(BA73&gt;G73,BZ73,"")))</f>
        <v/>
      </c>
      <c r="AZ73" s="27"/>
      <c r="BA73" s="32"/>
      <c r="BB73" s="72"/>
      <c r="BC73" s="72" t="str">
        <f>IFERROR(VLOOKUP(Out_Table[[#This Row],[Aggiornamento STATUS]],'INformazioni per calcoli'!$Y$70:$AA$76,2,FALSE),"")</f>
        <v/>
      </c>
      <c r="BD73" s="289"/>
      <c r="BE73" s="289"/>
      <c r="BF73" s="47" t="str">
        <f>LEFT($E73,3)</f>
        <v>ZD1</v>
      </c>
      <c r="BG73" s="298" t="str">
        <f>IF(Out_Table[[#This Row],[Ora Uscita    (GH)]]&lt;&gt;"","x","")</f>
        <v/>
      </c>
      <c r="BH73" s="299">
        <f>VLOOKUP($O73,'INformazioni per calcoli'!$Y$20:$AA$23,3,FALSE)</f>
        <v>14</v>
      </c>
      <c r="BI73" s="299">
        <f>MROUND(Out_Table[[#This Row],[Mtr. Trailer]]*AB73,0.5)</f>
        <v>0</v>
      </c>
      <c r="BJ73" s="299">
        <f>MROUND(Out_Table[[#This Row],[Mtr. Trailer]]*AE73,0.5)</f>
        <v>0</v>
      </c>
      <c r="BK73" s="299">
        <f>MROUND(Out_Table[[#This Row],[Mtr. Trailer]]*AH73,0.5)</f>
        <v>0</v>
      </c>
      <c r="BL73" s="300">
        <f>Out_Table[[#This Row],[Double Deck trailer N° bumpers]]</f>
        <v>0</v>
      </c>
      <c r="BM73" s="301"/>
      <c r="BN73" s="299" t="str">
        <f>B73</f>
        <v>ITD12802</v>
      </c>
      <c r="BO73" s="299" t="str">
        <f>E73</f>
        <v>ZD1</v>
      </c>
      <c r="BP73" s="302">
        <f>IF(AND(G73&gt;(--"00:00:01"),G73&lt;(--"15:00:00")),IF(AND(X73&gt;(--"00:00:01"),X73&lt;(--"15:00:00")),G73-X73,G73+1-X73),G73-X73)</f>
        <v>1.21875</v>
      </c>
      <c r="BQ73" s="303">
        <f>AE73+AF73+AH73+AJ73</f>
        <v>0</v>
      </c>
      <c r="BR73" s="304" t="str">
        <f>IF(OR(BP73&lt;=(--"00:20:00"),BQ73&gt;=100%),"OK","Not OK")</f>
        <v>Not OK</v>
      </c>
      <c r="BS73" s="302">
        <f>IF(AND(G73&gt;(--"00:00:01"),G73&lt;(--"15:00:00")),IF(AND(AU73&gt;(--"00:00:01"),AU73&lt;(--"15:00:00")),G73-AU73,G73+1-AU73),G73-AU73)</f>
        <v>1.21875</v>
      </c>
      <c r="BT73" s="302">
        <f>IF(AND(AZ73&gt;(--"00:00:01"),AZ73&lt;(--"15:00:00")),IF(AND(AU73&gt;(--"00:00:01"),AU73&lt;(--"15:00:00")),AZ73-AU73,AZ73+1-AU73),AZ73-AU73)</f>
        <v>0</v>
      </c>
      <c r="BU73" s="302">
        <f>IF(AND(BA73&gt;(--"00:00:01"),BA73&lt;(--"15:00:00")),IF(AND(AZ73&gt;(--"00:00:01"),AZ73&lt;(--"15:00:00")),BA73-AZ73,BA73+1-AZ73),BA73-AZ73)</f>
        <v>0</v>
      </c>
      <c r="BV73" s="299">
        <f>AV73</f>
        <v>0</v>
      </c>
      <c r="BW73" s="301"/>
      <c r="BX73" s="299" t="str">
        <f>IF(AV73="T Status",IF(AV73&lt;&gt;T73,"X",""),"")</f>
        <v/>
      </c>
      <c r="BY73" s="301"/>
      <c r="BZ73" s="299" t="str">
        <f>IF(X73&lt;&gt;"",IF(CC73="X","Driver Delay",IF(CA73="X","Paperwork Delay",IF(CB73="X","Late freight late sort",IF(CD73="X","Chiamare Control Room",IF(CE73="X","Chiamare Control Room",IF(CF73="X","Chiamare Control Room","")))))),"")</f>
        <v/>
      </c>
      <c r="CA73" s="302" t="str">
        <f>IF(K73="",IF(IF(AND(G73&gt;(--"00:00:01"),G73&lt;(--"15:00:00")),IF(AND(AT73&gt;(--"08:00:00"),AT73&lt;(--"23:59:59")),G73+1-AT73,G73-AT73),G73-AT73)&gt;(--"00:20:00"),"","X"),"")</f>
        <v/>
      </c>
      <c r="CB73" s="299" t="str">
        <f>IF(K73="",IF(BP73&gt;=(--"00:20:00"),"","X"),"")</f>
        <v/>
      </c>
      <c r="CC73" s="299" t="str">
        <f>IF(OR(AV73="Autista non presente",AV73="Dati driver non presenti"),"X","")</f>
        <v/>
      </c>
      <c r="CD73" s="299" t="str">
        <f>IF(K73="",IF(AND(CC73="",BS73&lt;(--"00:20:00")),"X",""),"")</f>
        <v/>
      </c>
      <c r="CE73" s="299" t="str">
        <f>IF(K73="",IF(BT73&gt;(--"00:15:00"),"X",""),IF(AZ73&lt;&gt;"",IF(G73-AZ73&gt;(--"00:30:00"),"X",""),""))</f>
        <v/>
      </c>
      <c r="CF73" s="299" t="str">
        <f>IF(AND(CA73="",CB73="",CC73="",CD73="",CE73=""),"X","")</f>
        <v>X</v>
      </c>
      <c r="CG73" s="301"/>
      <c r="CH73" s="299" t="str">
        <f>IF(BT73&gt;(--"00:15:00"),"X","")</f>
        <v/>
      </c>
      <c r="CI73" s="302" t="str">
        <f>AY73</f>
        <v/>
      </c>
      <c r="CJ73" s="299" t="str">
        <f>IF(AND(CH73&lt;&gt;"",CI73&lt;&gt;"",LEFT(B73,3)="ITD"),AP73,"")</f>
        <v/>
      </c>
      <c r="CK73" s="305" t="str">
        <f>IF(CJ73&lt;&gt;"",BT73,"")</f>
        <v/>
      </c>
      <c r="CL73" s="301"/>
      <c r="CM73" s="305" t="str">
        <f>IFERROR(VLOOKUP(Q73,'Elenco Casse'!$D$4:$F$292,3,FALSE),"")</f>
        <v/>
      </c>
      <c r="CN73" s="301"/>
      <c r="CO73" s="305" t="str">
        <f>IFERROR(VLOOKUP(S73,'Elenco Casse'!$D$4:$F$292,3,FALSE),"")</f>
        <v/>
      </c>
      <c r="CP73" s="305" t="str">
        <f>IFERROR(IF(VLOOKUP($E73,Outlist!$A$5:$S$120,19,FALSE)&lt;&gt;0,"Y",""),"")</f>
        <v/>
      </c>
      <c r="CQ73" s="301"/>
      <c r="CR73" s="305" t="str">
        <f>CONCATENATE($B73,$E73,$G73)</f>
        <v>ITD12802ZD10.21875</v>
      </c>
      <c r="CS73" s="301"/>
      <c r="CT73" s="305" t="e">
        <f>VLOOKUP(Out_Table[[#This Row],[Destination             ORANGE (From Planning)]],Outlist!$A$5:$W$120,22,FALSE)</f>
        <v>#N/A</v>
      </c>
    </row>
    <row r="74" spans="1:98" s="20" customFormat="1" ht="30.75">
      <c r="A74" s="305" t="str">
        <f>$CR74</f>
        <v>ITD12362ZD10.1875</v>
      </c>
      <c r="B74" s="284" t="s">
        <v>535</v>
      </c>
      <c r="C74" s="290" t="str">
        <f>IFERROR(IF(LEFT(B74,3)='STAT 77'!$X$2,_xlfn.XLOOKUP(B74,'STAT 77'!C:C,'STAT 77'!B:B),_xlfn.XLOOKUP(B74,'STAT 77'!B:B,'STAT 77'!C:C)),"NON TROVATO")</f>
        <v>ITD32240</v>
      </c>
      <c r="D74" s="25" t="s">
        <v>536</v>
      </c>
      <c r="E74" s="290" t="s">
        <v>663</v>
      </c>
      <c r="F74" s="290" t="str">
        <f>IFERROR(VLOOKUP(E74,'Cambio O2P'!C:E,2,FALSE),"")</f>
        <v>XVYA</v>
      </c>
      <c r="G74" s="285">
        <v>0.1875</v>
      </c>
      <c r="H74" s="293" t="str">
        <f ca="1">IFERROR(IF(AND('INformazioni per calcoli'!$AB$3&lt;(--"14:30"),'INformazioni per calcoli'!$AB$3&gt;(--"10:00")),"",IF($B74="","",IF($X74&lt;&gt;"","Mezzo Chiuso",IF($W74="","Non al Carico",IF($G74-'INformazioni per calcoli'!$AB$5-'INformazioni per calcoli'!$AB$3+$J74&lt;0,"LFLS",IF($K74&lt;&gt;"","Safe Parking",IF($W74&lt;&gt;"",IF($E74="MXP",$G74-'INformazioni per calcoli'!$AB$6-'INformazioni per calcoli'!$AB$3+$J74,$G74-'INformazioni per calcoli'!$AB$5-'INformazioni per calcoli'!$AB$3+$J74),"Non al carico"))))))),"")</f>
        <v>Mezzo Chiuso</v>
      </c>
      <c r="I74" s="17" t="str">
        <f ca="1">IFERROR(IF($H74&lt;&gt;"",IF($H74="Safe Parking","",IF($W74&lt;&gt;"",IF(AND($U74="X",$V74="X"),$H74-(--"00:30"),""),IF($X74&lt;&gt;"","Mezzo Chiuso","Non al carico"))),""),"")</f>
        <v/>
      </c>
      <c r="J74" s="306">
        <f ca="1">IFERROR(IF($B74&lt;&gt;"",IF(AND('INformazioni per calcoli'!$AB$3&lt;(--"15:00"),'INformazioni per calcoli'!$AB$3&gt;(--"00:00")),0,IF($G74&lt;(--"18:30"),"+1",0)),""),"")</f>
        <v>0</v>
      </c>
      <c r="K74" s="17"/>
      <c r="L74" s="25" t="s">
        <v>430</v>
      </c>
      <c r="M74" s="25" t="str">
        <f>IFERROR(_xlfn.XLOOKUP($Q74,'Elenco Casse'!$D:$D,'Elenco Casse'!$E:$E),"")</f>
        <v>Trans Speedy S.R.L</v>
      </c>
      <c r="N74" s="25">
        <f>IFERROR(_xlfn.XLOOKUP($Q74,'Elenco Casse'!$D:$D,'Elenco Casse'!$F:$F),"")</f>
        <v>0</v>
      </c>
      <c r="O74" s="286" t="s">
        <v>418</v>
      </c>
      <c r="P74" s="295" t="str">
        <f>IFERROR(_xlfn.XLOOKUP($Q74,'Elenco Casse'!$D:$D,'Elenco Casse'!$G:$G),"")</f>
        <v>trailer 80 m3 2/3 axles</v>
      </c>
      <c r="Q74" s="355" t="s">
        <v>665</v>
      </c>
      <c r="R74" s="23" t="s">
        <v>420</v>
      </c>
      <c r="S74" s="25" t="s">
        <v>421</v>
      </c>
      <c r="T74" s="25" t="s">
        <v>432</v>
      </c>
      <c r="U74" s="23" t="str">
        <f>IF(ISNUMBER(SEARCH("Parcel",$T74)),"X","")</f>
        <v>X</v>
      </c>
      <c r="V74" s="23" t="str">
        <f>IF(ISNUMBER(SEARCH("Freight",$T74)),"X","")</f>
        <v/>
      </c>
      <c r="W74" s="26">
        <v>413</v>
      </c>
      <c r="X74" s="27">
        <v>4.0972222222222222E-2</v>
      </c>
      <c r="Y74" s="25" t="s">
        <v>666</v>
      </c>
      <c r="Z74" s="25"/>
      <c r="AA74" s="25" t="s">
        <v>40</v>
      </c>
      <c r="AB74" s="57">
        <v>1</v>
      </c>
      <c r="AC74" s="25"/>
      <c r="AD74" s="25"/>
      <c r="AE74" s="57"/>
      <c r="AF74" s="57"/>
      <c r="AG74" s="25"/>
      <c r="AH74" s="57"/>
      <c r="AI74" s="339">
        <v>14</v>
      </c>
      <c r="AJ74" s="339"/>
      <c r="AK74" s="297" t="str">
        <f>IF(X74&lt;&gt;"",CONCATENATE(IF(AA74&lt;&gt;"",CONCATENATE(Z74," ",AA74," ",BI74),""),IF(AD74&lt;&gt;"",CONCATENATE(","," ",AC74," ",AD74," ",BJ74),""),IF(AG74&lt;&gt;"",CONCATENATE(","," ",AF74," ",AG74," ",BK74),""),IF(AJ74&lt;&gt;"",CONCATENATE(","," ","DD"," ",BL74),"")," ",IF(AI74&lt;&gt;"",CONCATENATE(" - ",AI74," Bag"),"")),"")</f>
        <v xml:space="preserve"> LL 14  - 14 Bag</v>
      </c>
      <c r="AL74" s="287" t="s">
        <v>421</v>
      </c>
      <c r="AM74" s="287"/>
      <c r="AN74" s="287"/>
      <c r="AO74" s="287"/>
      <c r="AP74" s="370" t="str">
        <f>IFERROR(VLOOKUP($E71,Outlist!$A$5:$V$120,20,FALSE),"")</f>
        <v/>
      </c>
      <c r="AQ74" s="288" t="str">
        <f>IFERROR(IF(VLOOKUP($A74,#REF!,8,FALSE)&lt;&gt;"",VLOOKUP($A74,#REF!,8,FALSE),""),"")</f>
        <v/>
      </c>
      <c r="AS74" s="24"/>
      <c r="AT74" s="24">
        <v>0.94166666666666665</v>
      </c>
      <c r="AU74" s="27"/>
      <c r="AV74" s="27"/>
      <c r="AX74" s="20" t="str">
        <f>IFERROR(IF(Out_Table[[#This Row],[Cancellazione linea]]="Cancellata","yes",""),"")</f>
        <v/>
      </c>
      <c r="AY74" s="72" t="str">
        <f>IF(BA74="",BZ74,IF(AND(BA74&lt;(--"23:59:59"),BA74&gt;(--"15:00:00"),G74&lt;(--"14:00:00"),G74&gt;(--"00:00:01")),"",IF(BA74&gt;G74,BZ74,"")))</f>
        <v>Chiamare Control Room</v>
      </c>
      <c r="AZ74" s="27"/>
      <c r="BA74" s="32"/>
      <c r="BB74" s="72"/>
      <c r="BC74" s="72" t="str">
        <f>IFERROR(VLOOKUP(Out_Table[[#This Row],[Aggiornamento STATUS]],'INformazioni per calcoli'!$Y$70:$AA$76,2,FALSE),"")</f>
        <v/>
      </c>
      <c r="BD74" s="289"/>
      <c r="BE74" s="289"/>
      <c r="BF74" s="47" t="str">
        <f>LEFT($E74,3)</f>
        <v>ZD1</v>
      </c>
      <c r="BG74" s="298" t="str">
        <f>IF(Out_Table[[#This Row],[Ora Uscita    (GH)]]&lt;&gt;"","x","")</f>
        <v/>
      </c>
      <c r="BH74" s="299">
        <f>VLOOKUP($O74,'INformazioni per calcoli'!$Y$20:$AA$23,3,FALSE)</f>
        <v>14</v>
      </c>
      <c r="BI74" s="299">
        <f>MROUND(Out_Table[[#This Row],[Mtr. Trailer]]*AB74,0.5)</f>
        <v>14</v>
      </c>
      <c r="BJ74" s="299">
        <f>MROUND(Out_Table[[#This Row],[Mtr. Trailer]]*AE74,0.5)</f>
        <v>0</v>
      </c>
      <c r="BK74" s="299">
        <f>MROUND(Out_Table[[#This Row],[Mtr. Trailer]]*AH74,0.5)</f>
        <v>0</v>
      </c>
      <c r="BL74" s="300">
        <f>Out_Table[[#This Row],[Double Deck trailer N° bumpers]]</f>
        <v>0</v>
      </c>
      <c r="BM74" s="301"/>
      <c r="BN74" s="299" t="str">
        <f>B74</f>
        <v>ITD12362</v>
      </c>
      <c r="BO74" s="299" t="str">
        <f>E74</f>
        <v>ZD1</v>
      </c>
      <c r="BP74" s="302">
        <f>IF(AND(G74&gt;(--"00:00:01"),G74&lt;(--"15:00:00")),IF(AND(X74&gt;(--"00:00:01"),X74&lt;(--"15:00:00")),G74-X74,G74+1-X74),G74-X74)</f>
        <v>0.14652777777777778</v>
      </c>
      <c r="BQ74" s="303">
        <f>AE74+AF74+AH74+AJ74</f>
        <v>0</v>
      </c>
      <c r="BR74" s="304" t="str">
        <f>IF(OR(BP74&lt;=(--"00:20:00"),BQ74&gt;=100%),"OK","Not OK")</f>
        <v>Not OK</v>
      </c>
      <c r="BS74" s="302">
        <f>IF(AND(G74&gt;(--"00:00:01"),G74&lt;(--"15:00:00")),IF(AND(AU74&gt;(--"00:00:01"),AU74&lt;(--"15:00:00")),G74-AU74,G74+1-AU74),G74-AU74)</f>
        <v>1.1875</v>
      </c>
      <c r="BT74" s="302">
        <f>IF(AND(AZ74&gt;(--"00:00:01"),AZ74&lt;(--"15:00:00")),IF(AND(AU74&gt;(--"00:00:01"),AU74&lt;(--"15:00:00")),AZ74-AU74,AZ74+1-AU74),AZ74-AU74)</f>
        <v>0</v>
      </c>
      <c r="BU74" s="302">
        <f>IF(AND(BA74&gt;(--"00:00:01"),BA74&lt;(--"15:00:00")),IF(AND(AZ74&gt;(--"00:00:01"),AZ74&lt;(--"15:00:00")),BA74-AZ74,BA74+1-AZ74),BA74-AZ74)</f>
        <v>0</v>
      </c>
      <c r="BV74" s="299">
        <f>AV74</f>
        <v>0</v>
      </c>
      <c r="BW74" s="301"/>
      <c r="BX74" s="299" t="str">
        <f>IF(AV74="T Status",IF(AV74&lt;&gt;T74,"X",""),"")</f>
        <v/>
      </c>
      <c r="BY74" s="301"/>
      <c r="BZ74" s="299" t="str">
        <f>IF(X74&lt;&gt;"",IF(CC74="X","Driver Delay",IF(CA74="X","Paperwork Delay",IF(CB74="X","Late freight late sort",IF(CD74="X","Chiamare Control Room",IF(CE74="X","Chiamare Control Room",IF(CF74="X","Chiamare Control Room","")))))),"")</f>
        <v>Chiamare Control Room</v>
      </c>
      <c r="CA74" s="302" t="str">
        <f>IF(K74="",IF(IF(AND(G74&gt;(--"00:00:01"),G74&lt;(--"15:00:00")),IF(AND(AT74&gt;(--"08:00:00"),AT74&lt;(--"23:59:59")),G74+1-AT74,G74-AT74),G74-AT74)&gt;(--"00:20:00"),"","X"),"")</f>
        <v/>
      </c>
      <c r="CB74" s="299" t="str">
        <f>IF(K74="",IF(BP74&gt;=(--"00:20:00"),"","X"),"")</f>
        <v/>
      </c>
      <c r="CC74" s="299" t="str">
        <f>IF(OR(AV74="Autista non presente",AV74="Dati driver non presenti"),"X","")</f>
        <v/>
      </c>
      <c r="CD74" s="299" t="str">
        <f>IF(K74="",IF(AND(CC74="",BS74&lt;(--"00:20:00")),"X",""),"")</f>
        <v/>
      </c>
      <c r="CE74" s="299" t="str">
        <f>IF(K74="",IF(BT74&gt;(--"00:15:00"),"X",""),IF(AZ74&lt;&gt;"",IF(G74-AZ74&gt;(--"00:30:00"),"X",""),""))</f>
        <v/>
      </c>
      <c r="CF74" s="299" t="str">
        <f>IF(AND(CA74="",CB74="",CC74="",CD74="",CE74=""),"X","")</f>
        <v>X</v>
      </c>
      <c r="CG74" s="301"/>
      <c r="CH74" s="299" t="str">
        <f>IF(BT74&gt;(--"00:15:00"),"X","")</f>
        <v/>
      </c>
      <c r="CI74" s="302" t="str">
        <f>AY74</f>
        <v>Chiamare Control Room</v>
      </c>
      <c r="CJ74" s="299" t="str">
        <f>IF(AND(CH74&lt;&gt;"",CI74&lt;&gt;"",LEFT(B74,3)="ITD"),AP74,"")</f>
        <v/>
      </c>
      <c r="CK74" s="305" t="str">
        <f>IF(CJ74&lt;&gt;"",BT74,"")</f>
        <v/>
      </c>
      <c r="CL74" s="301"/>
      <c r="CM74" s="305" t="str">
        <f>IFERROR(VLOOKUP(Q74,'Elenco Casse'!$D$4:$F$292,3,FALSE),"")</f>
        <v/>
      </c>
      <c r="CN74" s="301"/>
      <c r="CO74" s="305" t="str">
        <f>IFERROR(VLOOKUP(S74,'Elenco Casse'!$D$4:$F$292,3,FALSE),"")</f>
        <v/>
      </c>
      <c r="CP74" s="305" t="str">
        <f>IFERROR(IF(VLOOKUP($E74,Outlist!$A$5:$S$120,19,FALSE)&lt;&gt;0,"Y",""),"")</f>
        <v/>
      </c>
      <c r="CQ74" s="301"/>
      <c r="CR74" s="305" t="str">
        <f>CONCATENATE($B74,$E74,$G74)</f>
        <v>ITD12362ZD10.1875</v>
      </c>
      <c r="CS74" s="301"/>
      <c r="CT74" s="305" t="e">
        <f>VLOOKUP(Out_Table[[#This Row],[Destination             ORANGE (From Planning)]],Outlist!$A$5:$W$120,22,FALSE)</f>
        <v>#N/A</v>
      </c>
    </row>
    <row r="75" spans="1:98" s="20" customFormat="1" ht="15">
      <c r="A75" s="305" t="str">
        <f>$CR75</f>
        <v>ITD12364ZD10.260416666666667</v>
      </c>
      <c r="B75" s="284" t="s">
        <v>667</v>
      </c>
      <c r="C75" s="290" t="str">
        <f>IFERROR(IF(LEFT(B75,3)='STAT 77'!$X$2,_xlfn.XLOOKUP(B75,'STAT 77'!C:C,'STAT 77'!B:B),_xlfn.XLOOKUP(B75,'STAT 77'!B:B,'STAT 77'!C:C)),"NON TROVATO")</f>
        <v>ITD31484</v>
      </c>
      <c r="D75" s="25" t="s">
        <v>662</v>
      </c>
      <c r="E75" s="290" t="s">
        <v>663</v>
      </c>
      <c r="F75" s="290" t="str">
        <f>IFERROR(VLOOKUP(E75,'Cambio O2P'!C:E,2,FALSE),"")</f>
        <v>XVYA</v>
      </c>
      <c r="G75" s="285">
        <v>0.26041666666666669</v>
      </c>
      <c r="H75" s="293">
        <f ca="1">IFERROR(IF(AND('INformazioni per calcoli'!$AB$3&lt;(--"14:30"),'INformazioni per calcoli'!$AB$3&gt;(--"10:00")),"",IF($B75="","",IF($X75&lt;&gt;"","Mezzo Chiuso",IF($W75="","Non al Carico",IF($G75-'INformazioni per calcoli'!$AB$5-'INformazioni per calcoli'!$AB$3+$J75&lt;0,"LFLS",IF($K75&lt;&gt;"","Safe Parking",IF($W75&lt;&gt;"",IF($E75="MXP",$G75-'INformazioni per calcoli'!$AB$6-'INformazioni per calcoli'!$AB$3+$J75,$G75-'INformazioni per calcoli'!$AB$5-'INformazioni per calcoli'!$AB$3+$J75),"Non al carico"))))))),"")</f>
        <v>0.10106481481481483</v>
      </c>
      <c r="I75" s="17" t="str">
        <f ca="1">IFERROR(IF($H75&lt;&gt;"",IF($H75="Safe Parking","",IF($W75&lt;&gt;"",IF(AND($U75="X",$V75="X"),$H75-(--"00:30"),""),IF($X75&lt;&gt;"","Mezzo Chiuso","Non al carico"))),""),"")</f>
        <v/>
      </c>
      <c r="J75" s="306">
        <f ca="1">IFERROR(IF($B75&lt;&gt;"",IF(AND('INformazioni per calcoli'!$AB$3&lt;(--"15:00"),'INformazioni per calcoli'!$AB$3&gt;(--"00:00")),0,IF($G75&lt;(--"18:30"),"+1",0)),""),"")</f>
        <v>0</v>
      </c>
      <c r="K75" s="17"/>
      <c r="L75" s="25" t="s">
        <v>430</v>
      </c>
      <c r="M75" s="25" t="str">
        <f>IFERROR(_xlfn.XLOOKUP($Q75,'Elenco Casse'!$D:$D,'Elenco Casse'!$E:$E),"")</f>
        <v>Trans Speedy S.R.L</v>
      </c>
      <c r="N75" s="25">
        <f>IFERROR(_xlfn.XLOOKUP($Q75,'Elenco Casse'!$D:$D,'Elenco Casse'!$F:$F),"")</f>
        <v>0</v>
      </c>
      <c r="O75" s="286" t="s">
        <v>418</v>
      </c>
      <c r="P75" s="295" t="str">
        <f>IFERROR(_xlfn.XLOOKUP($Q75,'Elenco Casse'!$D:$D,'Elenco Casse'!$G:$G),"")</f>
        <v>trailer 80 m3 2/3 axes</v>
      </c>
      <c r="Q75" s="355" t="s">
        <v>668</v>
      </c>
      <c r="R75" s="23" t="s">
        <v>420</v>
      </c>
      <c r="S75" s="25" t="s">
        <v>421</v>
      </c>
      <c r="T75" s="25" t="s">
        <v>432</v>
      </c>
      <c r="U75" s="23" t="str">
        <f>IF(ISNUMBER(SEARCH("Parcel",$T75)),"X","")</f>
        <v>X</v>
      </c>
      <c r="V75" s="23" t="str">
        <f>IF(ISNUMBER(SEARCH("Freight",$T75)),"X","")</f>
        <v/>
      </c>
      <c r="W75" s="26">
        <v>413</v>
      </c>
      <c r="X75" s="27"/>
      <c r="Y75" s="25"/>
      <c r="Z75" s="25"/>
      <c r="AA75" s="25" t="s">
        <v>40</v>
      </c>
      <c r="AB75" s="57"/>
      <c r="AC75" s="25"/>
      <c r="AD75" s="25"/>
      <c r="AE75" s="57"/>
      <c r="AF75" s="57"/>
      <c r="AG75" s="25"/>
      <c r="AH75" s="57"/>
      <c r="AI75" s="339"/>
      <c r="AJ75" s="339"/>
      <c r="AK75" s="297" t="str">
        <f>IF(X75&lt;&gt;"",CONCATENATE(IF(AA75&lt;&gt;"",CONCATENATE(Z75," ",AA75," ",BI75),""),IF(AD75&lt;&gt;"",CONCATENATE(","," ",AC75," ",AD75," ",BJ75),""),IF(AG75&lt;&gt;"",CONCATENATE(","," ",AF75," ",AG75," ",BK75),""),IF(AJ75&lt;&gt;"",CONCATENATE(","," ","DD"," ",BL75),"")," ",IF(AI75&lt;&gt;"",CONCATENATE(" - ",AI75," Bag"),"")),"")</f>
        <v/>
      </c>
      <c r="AL75" s="287"/>
      <c r="AM75" s="287"/>
      <c r="AN75" s="287"/>
      <c r="AO75" s="287"/>
      <c r="AP75" s="370" t="str">
        <f>IFERROR(VLOOKUP($E72,Outlist!$A$5:$V$120,20,FALSE),"")</f>
        <v/>
      </c>
      <c r="AQ75" s="288" t="str">
        <f>IFERROR(IF(VLOOKUP($A75,#REF!,8,FALSE)&lt;&gt;"",VLOOKUP($A75,#REF!,8,FALSE),""),"")</f>
        <v/>
      </c>
      <c r="AS75" s="24"/>
      <c r="AT75" s="24">
        <v>6.3888888888888884E-2</v>
      </c>
      <c r="AU75" s="27"/>
      <c r="AV75" s="27"/>
      <c r="AX75" s="20" t="str">
        <f>IFERROR(IF(Out_Table[[#This Row],[Cancellazione linea]]="Cancellata","yes",""),"")</f>
        <v/>
      </c>
      <c r="AY75" s="72" t="str">
        <f>IF(BA75="",BZ75,IF(AND(BA75&lt;(--"23:59:59"),BA75&gt;(--"15:00:00"),G75&lt;(--"14:00:00"),G75&gt;(--"00:00:01")),"",IF(BA75&gt;G75,BZ75,"")))</f>
        <v/>
      </c>
      <c r="AZ75" s="27"/>
      <c r="BA75" s="32"/>
      <c r="BB75" s="72"/>
      <c r="BC75" s="72" t="str">
        <f>IFERROR(VLOOKUP(Out_Table[[#This Row],[Aggiornamento STATUS]],'INformazioni per calcoli'!$Y$70:$AA$76,2,FALSE),"")</f>
        <v/>
      </c>
      <c r="BD75" s="289"/>
      <c r="BE75" s="289"/>
      <c r="BF75" s="47" t="str">
        <f>LEFT($E75,3)</f>
        <v>ZD1</v>
      </c>
      <c r="BG75" s="298" t="str">
        <f>IF(Out_Table[[#This Row],[Ora Uscita    (GH)]]&lt;&gt;"","x","")</f>
        <v/>
      </c>
      <c r="BH75" s="299">
        <f>VLOOKUP($O75,'INformazioni per calcoli'!$Y$20:$AA$23,3,FALSE)</f>
        <v>14</v>
      </c>
      <c r="BI75" s="299">
        <f>MROUND(Out_Table[[#This Row],[Mtr. Trailer]]*AB75,0.5)</f>
        <v>0</v>
      </c>
      <c r="BJ75" s="299">
        <f>MROUND(Out_Table[[#This Row],[Mtr. Trailer]]*AE75,0.5)</f>
        <v>0</v>
      </c>
      <c r="BK75" s="299">
        <f>MROUND(Out_Table[[#This Row],[Mtr. Trailer]]*AH75,0.5)</f>
        <v>0</v>
      </c>
      <c r="BL75" s="300">
        <f>Out_Table[[#This Row],[Double Deck trailer N° bumpers]]</f>
        <v>0</v>
      </c>
      <c r="BM75" s="301"/>
      <c r="BN75" s="299" t="str">
        <f>B75</f>
        <v>ITD12364</v>
      </c>
      <c r="BO75" s="299" t="str">
        <f>E75</f>
        <v>ZD1</v>
      </c>
      <c r="BP75" s="302">
        <f>IF(AND(G75&gt;(--"00:00:01"),G75&lt;(--"15:00:00")),IF(AND(X75&gt;(--"00:00:01"),X75&lt;(--"15:00:00")),G75-X75,G75+1-X75),G75-X75)</f>
        <v>1.2604166666666667</v>
      </c>
      <c r="BQ75" s="303">
        <f>AE75+AF75+AH75+AJ75</f>
        <v>0</v>
      </c>
      <c r="BR75" s="304" t="str">
        <f>IF(OR(BP75&lt;=(--"00:20:00"),BQ75&gt;=100%),"OK","Not OK")</f>
        <v>Not OK</v>
      </c>
      <c r="BS75" s="302">
        <f>IF(AND(G75&gt;(--"00:00:01"),G75&lt;(--"15:00:00")),IF(AND(AU75&gt;(--"00:00:01"),AU75&lt;(--"15:00:00")),G75-AU75,G75+1-AU75),G75-AU75)</f>
        <v>1.2604166666666667</v>
      </c>
      <c r="BT75" s="302">
        <f>IF(AND(AZ75&gt;(--"00:00:01"),AZ75&lt;(--"15:00:00")),IF(AND(AU75&gt;(--"00:00:01"),AU75&lt;(--"15:00:00")),AZ75-AU75,AZ75+1-AU75),AZ75-AU75)</f>
        <v>0</v>
      </c>
      <c r="BU75" s="302">
        <f>IF(AND(BA75&gt;(--"00:00:01"),BA75&lt;(--"15:00:00")),IF(AND(AZ75&gt;(--"00:00:01"),AZ75&lt;(--"15:00:00")),BA75-AZ75,BA75+1-AZ75),BA75-AZ75)</f>
        <v>0</v>
      </c>
      <c r="BV75" s="299">
        <f>AV75</f>
        <v>0</v>
      </c>
      <c r="BW75" s="301"/>
      <c r="BX75" s="299" t="str">
        <f>IF(AV75="T Status",IF(AV75&lt;&gt;T75,"X",""),"")</f>
        <v/>
      </c>
      <c r="BY75" s="301"/>
      <c r="BZ75" s="299" t="str">
        <f>IF(X75&lt;&gt;"",IF(CC75="X","Driver Delay",IF(CA75="X","Paperwork Delay",IF(CB75="X","Late freight late sort",IF(CD75="X","Chiamare Control Room",IF(CE75="X","Chiamare Control Room",IF(CF75="X","Chiamare Control Room","")))))),"")</f>
        <v/>
      </c>
      <c r="CA75" s="302" t="str">
        <f>IF(K75="",IF(IF(AND(G75&gt;(--"00:00:01"),G75&lt;(--"15:00:00")),IF(AND(AT75&gt;(--"08:00:00"),AT75&lt;(--"23:59:59")),G75+1-AT75,G75-AT75),G75-AT75)&gt;(--"00:20:00"),"","X"),"")</f>
        <v/>
      </c>
      <c r="CB75" s="299" t="str">
        <f>IF(K75="",IF(BP75&gt;=(--"00:20:00"),"","X"),"")</f>
        <v/>
      </c>
      <c r="CC75" s="299" t="str">
        <f>IF(OR(AV75="Autista non presente",AV75="Dati driver non presenti"),"X","")</f>
        <v/>
      </c>
      <c r="CD75" s="299" t="str">
        <f>IF(K75="",IF(AND(CC75="",BS75&lt;(--"00:20:00")),"X",""),"")</f>
        <v/>
      </c>
      <c r="CE75" s="299" t="str">
        <f>IF(K75="",IF(BT75&gt;(--"00:15:00"),"X",""),IF(AZ75&lt;&gt;"",IF(G75-AZ75&gt;(--"00:30:00"),"X",""),""))</f>
        <v/>
      </c>
      <c r="CF75" s="299" t="str">
        <f>IF(AND(CA75="",CB75="",CC75="",CD75="",CE75=""),"X","")</f>
        <v>X</v>
      </c>
      <c r="CG75" s="301"/>
      <c r="CH75" s="299" t="str">
        <f>IF(BT75&gt;(--"00:15:00"),"X","")</f>
        <v/>
      </c>
      <c r="CI75" s="302" t="str">
        <f>AY75</f>
        <v/>
      </c>
      <c r="CJ75" s="299" t="str">
        <f>IF(AND(CH75&lt;&gt;"",CI75&lt;&gt;"",LEFT(B75,3)="ITD"),AP75,"")</f>
        <v/>
      </c>
      <c r="CK75" s="305" t="str">
        <f>IF(CJ75&lt;&gt;"",BT75,"")</f>
        <v/>
      </c>
      <c r="CL75" s="301"/>
      <c r="CM75" s="305" t="str">
        <f>IFERROR(VLOOKUP(Q75,'Elenco Casse'!$D$4:$F$292,3,FALSE),"")</f>
        <v/>
      </c>
      <c r="CN75" s="301"/>
      <c r="CO75" s="305" t="str">
        <f>IFERROR(VLOOKUP(S75,'Elenco Casse'!$D$4:$F$292,3,FALSE),"")</f>
        <v/>
      </c>
      <c r="CP75" s="305" t="str">
        <f>IFERROR(IF(VLOOKUP($E75,Outlist!$A$5:$S$120,19,FALSE)&lt;&gt;0,"Y",""),"")</f>
        <v/>
      </c>
      <c r="CQ75" s="301"/>
      <c r="CR75" s="305" t="str">
        <f>CONCATENATE($B75,$E75,$G75)</f>
        <v>ITD12364ZD10.260416666666667</v>
      </c>
      <c r="CS75" s="301"/>
      <c r="CT75" s="305" t="e">
        <f>VLOOKUP(Out_Table[[#This Row],[Destination             ORANGE (From Planning)]],Outlist!$A$5:$W$120,22,FALSE)</f>
        <v>#N/A</v>
      </c>
    </row>
    <row r="76" spans="1:98" s="20" customFormat="1" ht="15">
      <c r="A76" s="305" t="str">
        <f>$CR76</f>
        <v>ITD12669MIL0.25</v>
      </c>
      <c r="B76" s="284" t="s">
        <v>669</v>
      </c>
      <c r="C76" s="290" t="str">
        <f>IFERROR(IF(LEFT(B76,3)='STAT 77'!$X$2,_xlfn.XLOOKUP(B76,'STAT 77'!C:C,'STAT 77'!B:B),_xlfn.XLOOKUP(B76,'STAT 77'!B:B,'STAT 77'!C:C)),"NON TROVATO")</f>
        <v>ITD32086</v>
      </c>
      <c r="D76" s="25" t="s">
        <v>670</v>
      </c>
      <c r="E76" s="290" t="s">
        <v>671</v>
      </c>
      <c r="F76" s="290" t="str">
        <f>IFERROR(VLOOKUP(E76,'Cambio O2P'!C:E,2,FALSE),"")</f>
        <v>MILA</v>
      </c>
      <c r="G76" s="285">
        <v>0.25</v>
      </c>
      <c r="H76" s="293">
        <f ca="1">IFERROR(IF(AND('INformazioni per calcoli'!$AB$3&lt;(--"14:30"),'INformazioni per calcoli'!$AB$3&gt;(--"10:00")),"",IF($B76="","",IF($X76&lt;&gt;"","Mezzo Chiuso",IF($W76="","Non al Carico",IF($G76-'INformazioni per calcoli'!$AB$5-'INformazioni per calcoli'!$AB$3+$J76&lt;0,"LFLS",IF($K76&lt;&gt;"","Safe Parking",IF($W76&lt;&gt;"",IF($E76="MXP",$G76-'INformazioni per calcoli'!$AB$6-'INformazioni per calcoli'!$AB$3+$J76,$G76-'INformazioni per calcoli'!$AB$5-'INformazioni per calcoli'!$AB$3+$J76),"Non al carico"))))))),"")</f>
        <v>9.0648148148148144E-2</v>
      </c>
      <c r="I76" s="17" t="str">
        <f ca="1">IFERROR(IF($H76&lt;&gt;"",IF($H76="Safe Parking","",IF($W76&lt;&gt;"",IF(AND($U76="X",$V76="X"),$H76-(--"00:30"),""),IF($X76&lt;&gt;"","Mezzo Chiuso","Non al carico"))),""),"")</f>
        <v/>
      </c>
      <c r="J76" s="306">
        <f ca="1">IFERROR(IF($B76&lt;&gt;"",IF(AND('INformazioni per calcoli'!$AB$3&lt;(--"15:00"),'INformazioni per calcoli'!$AB$3&gt;(--"00:00")),0,IF($G76&lt;(--"18:30"),"+1",0)),""),"")</f>
        <v>0</v>
      </c>
      <c r="K76" s="17"/>
      <c r="L76" s="25" t="s">
        <v>430</v>
      </c>
      <c r="M76" s="25" t="str">
        <f>IFERROR(_xlfn.XLOOKUP($Q76,'Elenco Casse'!$D:$D,'Elenco Casse'!$E:$E),"")</f>
        <v>Trans Speedy S.R.L</v>
      </c>
      <c r="N76" s="25">
        <f>IFERROR(_xlfn.XLOOKUP($Q76,'Elenco Casse'!$D:$D,'Elenco Casse'!$F:$F),"")</f>
        <v>0</v>
      </c>
      <c r="O76" s="286" t="s">
        <v>418</v>
      </c>
      <c r="P76" s="295" t="str">
        <f>IFERROR(_xlfn.XLOOKUP($Q76,'Elenco Casse'!$D:$D,'Elenco Casse'!$G:$G),"")</f>
        <v>trailer 80 m3 2/3 axles</v>
      </c>
      <c r="Q76" s="355" t="s">
        <v>672</v>
      </c>
      <c r="R76" s="23" t="s">
        <v>420</v>
      </c>
      <c r="S76" s="25" t="s">
        <v>421</v>
      </c>
      <c r="T76" s="25" t="s">
        <v>673</v>
      </c>
      <c r="U76" s="23" t="str">
        <f>IF(ISNUMBER(SEARCH("Parcel",$T76)),"X","")</f>
        <v>X</v>
      </c>
      <c r="V76" s="23" t="str">
        <f>IF(ISNUMBER(SEARCH("Freight",$T76)),"X","")</f>
        <v/>
      </c>
      <c r="W76" s="26">
        <v>414</v>
      </c>
      <c r="X76" s="27"/>
      <c r="Y76" s="25"/>
      <c r="Z76" s="25"/>
      <c r="AA76" s="25" t="s">
        <v>40</v>
      </c>
      <c r="AB76" s="57"/>
      <c r="AC76" s="25"/>
      <c r="AD76" s="25"/>
      <c r="AE76" s="57"/>
      <c r="AF76" s="57"/>
      <c r="AG76" s="25"/>
      <c r="AH76" s="57"/>
      <c r="AI76" s="339"/>
      <c r="AJ76" s="339"/>
      <c r="AK76" s="297" t="str">
        <f>IF(X76&lt;&gt;"",CONCATENATE(IF(AA76&lt;&gt;"",CONCATENATE(Z76," ",AA76," ",BI76),""),IF(AD76&lt;&gt;"",CONCATENATE(","," ",AC76," ",AD76," ",BJ76),""),IF(AG76&lt;&gt;"",CONCATENATE(","," ",AF76," ",AG76," ",BK76),""),IF(AJ76&lt;&gt;"",CONCATENATE(","," ","DD"," ",BL76),"")," ",IF(AI76&lt;&gt;"",CONCATENATE(" - ",AI76," Bag"),"")),"")</f>
        <v/>
      </c>
      <c r="AL76" s="287"/>
      <c r="AM76" s="287"/>
      <c r="AN76" s="287"/>
      <c r="AO76" s="287"/>
      <c r="AP76" s="370" t="str">
        <f>IFERROR(VLOOKUP(#REF!,Outlist!$A$5:$V$120,20,FALSE),"")</f>
        <v/>
      </c>
      <c r="AQ76" s="288" t="str">
        <f>IFERROR(IF(VLOOKUP($A76,#REF!,8,FALSE)&lt;&gt;"",VLOOKUP($A76,#REF!,8,FALSE),""),"")</f>
        <v/>
      </c>
      <c r="AS76" s="24"/>
      <c r="AT76" s="24">
        <v>9.0277777777777769E-3</v>
      </c>
      <c r="AU76" s="27"/>
      <c r="AV76" s="27"/>
      <c r="AX76" s="20" t="str">
        <f>IFERROR(IF(Out_Table[[#This Row],[Cancellazione linea]]="Cancellata","yes",""),"")</f>
        <v/>
      </c>
      <c r="AY76" s="72" t="str">
        <f>IF(BA76="",BZ76,IF(AND(BA76&lt;(--"23:59:59"),BA76&gt;(--"15:00:00"),G76&lt;(--"14:00:00"),G76&gt;(--"00:00:01")),"",IF(BA76&gt;G76,BZ76,"")))</f>
        <v/>
      </c>
      <c r="AZ76" s="27"/>
      <c r="BA76" s="32"/>
      <c r="BB76" s="72"/>
      <c r="BC76" s="72" t="str">
        <f>IFERROR(VLOOKUP(Out_Table[[#This Row],[Aggiornamento STATUS]],'INformazioni per calcoli'!$Y$70:$AA$76,2,FALSE),"")</f>
        <v/>
      </c>
      <c r="BD76" s="289"/>
      <c r="BE76" s="289"/>
      <c r="BF76" s="47" t="str">
        <f>LEFT($E76,3)</f>
        <v>MIL</v>
      </c>
      <c r="BG76" s="298" t="str">
        <f>IF(Out_Table[[#This Row],[Ora Uscita    (GH)]]&lt;&gt;"","x","")</f>
        <v/>
      </c>
      <c r="BH76" s="299">
        <f>VLOOKUP($O76,'INformazioni per calcoli'!$Y$20:$AA$23,3,FALSE)</f>
        <v>14</v>
      </c>
      <c r="BI76" s="299">
        <f>MROUND(Out_Table[[#This Row],[Mtr. Trailer]]*AB76,0.5)</f>
        <v>0</v>
      </c>
      <c r="BJ76" s="299">
        <f>MROUND(Out_Table[[#This Row],[Mtr. Trailer]]*AE76,0.5)</f>
        <v>0</v>
      </c>
      <c r="BK76" s="299">
        <f>MROUND(Out_Table[[#This Row],[Mtr. Trailer]]*AH76,0.5)</f>
        <v>0</v>
      </c>
      <c r="BL76" s="300">
        <f>Out_Table[[#This Row],[Double Deck trailer N° bumpers]]</f>
        <v>0</v>
      </c>
      <c r="BM76" s="301"/>
      <c r="BN76" s="299" t="str">
        <f>B76</f>
        <v>ITD12669</v>
      </c>
      <c r="BO76" s="299" t="str">
        <f>E76</f>
        <v>MIL</v>
      </c>
      <c r="BP76" s="302">
        <f>IF(AND(G76&gt;(--"00:00:01"),G76&lt;(--"15:00:00")),IF(AND(X76&gt;(--"00:00:01"),X76&lt;(--"15:00:00")),G76-X76,G76+1-X76),G76-X76)</f>
        <v>1.25</v>
      </c>
      <c r="BQ76" s="303">
        <f>AE76+AF76+AH76+AJ76</f>
        <v>0</v>
      </c>
      <c r="BR76" s="304" t="str">
        <f>IF(OR(BP76&lt;=(--"00:20:00"),BQ76&gt;=100%),"OK","Not OK")</f>
        <v>Not OK</v>
      </c>
      <c r="BS76" s="302">
        <f>IF(AND(G76&gt;(--"00:00:01"),G76&lt;(--"15:00:00")),IF(AND(AU76&gt;(--"00:00:01"),AU76&lt;(--"15:00:00")),G76-AU76,G76+1-AU76),G76-AU76)</f>
        <v>1.25</v>
      </c>
      <c r="BT76" s="302">
        <f>IF(AND(AZ76&gt;(--"00:00:01"),AZ76&lt;(--"15:00:00")),IF(AND(AU76&gt;(--"00:00:01"),AU76&lt;(--"15:00:00")),AZ76-AU76,AZ76+1-AU76),AZ76-AU76)</f>
        <v>0</v>
      </c>
      <c r="BU76" s="302">
        <f>IF(AND(BA76&gt;(--"00:00:01"),BA76&lt;(--"15:00:00")),IF(AND(AZ76&gt;(--"00:00:01"),AZ76&lt;(--"15:00:00")),BA76-AZ76,BA76+1-AZ76),BA76-AZ76)</f>
        <v>0</v>
      </c>
      <c r="BV76" s="299">
        <f>AV76</f>
        <v>0</v>
      </c>
      <c r="BW76" s="301"/>
      <c r="BX76" s="299" t="str">
        <f>IF(AV76="T Status",IF(AV76&lt;&gt;T76,"X",""),"")</f>
        <v/>
      </c>
      <c r="BY76" s="301"/>
      <c r="BZ76" s="299" t="str">
        <f>IF(X76&lt;&gt;"",IF(CC76="X","Driver Delay",IF(CA76="X","Paperwork Delay",IF(CB76="X","Late freight late sort",IF(CD76="X","Chiamare Control Room",IF(CE76="X","Chiamare Control Room",IF(CF76="X","Chiamare Control Room","")))))),"")</f>
        <v/>
      </c>
      <c r="CA76" s="302" t="str">
        <f>IF(K76="",IF(IF(AND(G76&gt;(--"00:00:01"),G76&lt;(--"15:00:00")),IF(AND(AT76&gt;(--"08:00:00"),AT76&lt;(--"23:59:59")),G76+1-AT76,G76-AT76),G76-AT76)&gt;(--"00:20:00"),"","X"),"")</f>
        <v/>
      </c>
      <c r="CB76" s="299" t="str">
        <f>IF(K76="",IF(BP76&gt;=(--"00:20:00"),"","X"),"")</f>
        <v/>
      </c>
      <c r="CC76" s="299" t="str">
        <f>IF(OR(AV76="Autista non presente",AV76="Dati driver non presenti"),"X","")</f>
        <v/>
      </c>
      <c r="CD76" s="299" t="str">
        <f>IF(K76="",IF(AND(CC76="",BS76&lt;(--"00:20:00")),"X",""),"")</f>
        <v/>
      </c>
      <c r="CE76" s="299" t="str">
        <f>IF(K76="",IF(BT76&gt;(--"00:15:00"),"X",""),IF(AZ76&lt;&gt;"",IF(G76-AZ76&gt;(--"00:30:00"),"X",""),""))</f>
        <v/>
      </c>
      <c r="CF76" s="299" t="str">
        <f>IF(AND(CA76="",CB76="",CC76="",CD76="",CE76=""),"X","")</f>
        <v>X</v>
      </c>
      <c r="CG76" s="301"/>
      <c r="CH76" s="299" t="str">
        <f>IF(BT76&gt;(--"00:15:00"),"X","")</f>
        <v/>
      </c>
      <c r="CI76" s="302" t="str">
        <f>AY76</f>
        <v/>
      </c>
      <c r="CJ76" s="299" t="str">
        <f>IF(AND(CH76&lt;&gt;"",CI76&lt;&gt;"",LEFT(B76,3)="ITD"),AP76,"")</f>
        <v/>
      </c>
      <c r="CK76" s="305" t="str">
        <f>IF(CJ76&lt;&gt;"",BT76,"")</f>
        <v/>
      </c>
      <c r="CL76" s="301"/>
      <c r="CM76" s="305" t="str">
        <f>IFERROR(VLOOKUP(Q76,'Elenco Casse'!$D$4:$F$292,3,FALSE),"")</f>
        <v/>
      </c>
      <c r="CN76" s="301"/>
      <c r="CO76" s="305" t="str">
        <f>IFERROR(VLOOKUP(S76,'Elenco Casse'!$D$4:$F$292,3,FALSE),"")</f>
        <v/>
      </c>
      <c r="CP76" s="305" t="str">
        <f>IFERROR(IF(VLOOKUP($E76,Outlist!$A$5:$S$120,19,FALSE)&lt;&gt;0,"Y",""),"")</f>
        <v/>
      </c>
      <c r="CQ76" s="301"/>
      <c r="CR76" s="305" t="str">
        <f>CONCATENATE($B76,$E76,$G76)</f>
        <v>ITD12669MIL0.25</v>
      </c>
      <c r="CS76" s="301"/>
      <c r="CT76" s="305" t="e">
        <f>VLOOKUP(Out_Table[[#This Row],[Destination             ORANGE (From Planning)]],Outlist!$A$5:$W$120,22,FALSE)</f>
        <v>#N/A</v>
      </c>
    </row>
    <row r="77" spans="1:98" s="20" customFormat="1" ht="15">
      <c r="A77" s="305" t="str">
        <f>$CR77</f>
        <v>ITD12283VE10.190972222222222</v>
      </c>
      <c r="B77" s="284" t="s">
        <v>674</v>
      </c>
      <c r="C77" s="290" t="str">
        <f>IFERROR(IF(LEFT(B77,3)='STAT 77'!$X$2,_xlfn.XLOOKUP(B77,'STAT 77'!C:C,'STAT 77'!B:B),_xlfn.XLOOKUP(B77,'STAT 77'!B:B,'STAT 77'!C:C)),"NON TROVATO")</f>
        <v>ITD31290</v>
      </c>
      <c r="D77" s="25" t="s">
        <v>675</v>
      </c>
      <c r="E77" s="290" t="s">
        <v>676</v>
      </c>
      <c r="F77" s="290" t="str">
        <f>IFERROR(VLOOKUP(E77,'Cambio O2P'!C:E,2,FALSE),"")</f>
        <v>XRLA</v>
      </c>
      <c r="G77" s="285">
        <v>0.19097222222222221</v>
      </c>
      <c r="H77" s="293">
        <f ca="1">IFERROR(IF(AND('INformazioni per calcoli'!$AB$3&lt;(--"14:30"),'INformazioni per calcoli'!$AB$3&gt;(--"10:00")),"",IF($B77="","",IF($X77&lt;&gt;"","Mezzo Chiuso",IF($W77="","Non al Carico",IF($G77-'INformazioni per calcoli'!$AB$5-'INformazioni per calcoli'!$AB$3+$J77&lt;0,"LFLS",IF($K77&lt;&gt;"","Safe Parking",IF($W77&lt;&gt;"",IF($E77="MXP",$G77-'INformazioni per calcoli'!$AB$6-'INformazioni per calcoli'!$AB$3+$J77,$G77-'INformazioni per calcoli'!$AB$5-'INformazioni per calcoli'!$AB$3+$J77),"Non al carico"))))))),"")</f>
        <v>3.1620370370370354E-2</v>
      </c>
      <c r="I77" s="17">
        <f ca="1">IFERROR(IF($H77&lt;&gt;"",IF($H77="Safe Parking","",IF($W77&lt;&gt;"",IF(AND($U77="X",$V77="X"),$H77-(--"00:30"),""),IF($X77&lt;&gt;"","Mezzo Chiuso","Non al carico"))),""),"")</f>
        <v>1.0787037037037022E-2</v>
      </c>
      <c r="J77" s="306">
        <f ca="1">IFERROR(IF($B77&lt;&gt;"",IF(AND('INformazioni per calcoli'!$AB$3&lt;(--"15:00"),'INformazioni per calcoli'!$AB$3&gt;(--"00:00")),0,IF($G77&lt;(--"18:30"),"+1",0)),""),"")</f>
        <v>0</v>
      </c>
      <c r="K77" s="17"/>
      <c r="L77" s="25" t="s">
        <v>52</v>
      </c>
      <c r="M77" s="25" t="str">
        <f>IFERROR(_xlfn.XLOOKUP($Q77,'Elenco Casse'!$D:$D,'Elenco Casse'!$E:$E),"")</f>
        <v>Matelda Srl</v>
      </c>
      <c r="N77" s="25">
        <f>IFERROR(_xlfn.XLOOKUP($Q77,'Elenco Casse'!$D:$D,'Elenco Casse'!$F:$F),"")</f>
        <v>0</v>
      </c>
      <c r="O77" s="286" t="s">
        <v>418</v>
      </c>
      <c r="P77" s="295" t="str">
        <f>IFERROR(_xlfn.XLOOKUP($Q77,'Elenco Casse'!$D:$D,'Elenco Casse'!$G:$G),"")</f>
        <v>trailer 80 m3 2/3 axes</v>
      </c>
      <c r="Q77" s="355" t="s">
        <v>677</v>
      </c>
      <c r="R77" s="23" t="s">
        <v>420</v>
      </c>
      <c r="S77" s="25" t="s">
        <v>421</v>
      </c>
      <c r="T77" s="25" t="s">
        <v>678</v>
      </c>
      <c r="U77" s="23" t="str">
        <f>IF(ISNUMBER(SEARCH("Parcel",$T77)),"X","")</f>
        <v>X</v>
      </c>
      <c r="V77" s="23" t="str">
        <f>IF(ISNUMBER(SEARCH("Freight",$T77)),"X","")</f>
        <v>X</v>
      </c>
      <c r="W77" s="26">
        <v>415</v>
      </c>
      <c r="X77" s="27"/>
      <c r="Y77" s="25"/>
      <c r="Z77" s="25"/>
      <c r="AA77" s="25" t="s">
        <v>40</v>
      </c>
      <c r="AB77" s="57"/>
      <c r="AC77" s="25"/>
      <c r="AD77" s="25" t="s">
        <v>487</v>
      </c>
      <c r="AE77" s="57"/>
      <c r="AF77" s="57"/>
      <c r="AG77" s="25"/>
      <c r="AH77" s="57"/>
      <c r="AI77" s="339"/>
      <c r="AJ77" s="339"/>
      <c r="AK77" s="297" t="str">
        <f>IF(X77&lt;&gt;"",CONCATENATE(IF(AA77&lt;&gt;"",CONCATENATE(Z77," ",AA77," ",BI77),""),IF(AD77&lt;&gt;"",CONCATENATE(","," ",AC77," ",AD77," ",BJ77),""),IF(AG77&lt;&gt;"",CONCATENATE(","," ",AF77," ",AG77," ",BK77),""),IF(AJ77&lt;&gt;"",CONCATENATE(","," ","DD"," ",BL77),"")," ",IF(AI77&lt;&gt;"",CONCATENATE(" - ",AI77," Bag"),"")),"")</f>
        <v/>
      </c>
      <c r="AL77" s="287"/>
      <c r="AM77" s="287"/>
      <c r="AN77" s="287"/>
      <c r="AO77" s="287"/>
      <c r="AP77" s="370" t="str">
        <f>IFERROR(VLOOKUP($E74,Outlist!$A$5:$V$120,20,FALSE),"")</f>
        <v/>
      </c>
      <c r="AQ77" s="288" t="str">
        <f>IFERROR(IF(VLOOKUP($A77,#REF!,8,FALSE)&lt;&gt;"",VLOOKUP($A77,#REF!,8,FALSE),""),"")</f>
        <v/>
      </c>
      <c r="AS77" s="24"/>
      <c r="AT77" s="24">
        <v>0.48333333333333334</v>
      </c>
      <c r="AU77" s="27"/>
      <c r="AV77" s="27"/>
      <c r="AX77" s="20" t="str">
        <f>IFERROR(IF(Out_Table[[#This Row],[Cancellazione linea]]="Cancellata","yes",""),"")</f>
        <v/>
      </c>
      <c r="AY77" s="72" t="str">
        <f>IF(BA77="",BZ77,IF(AND(BA77&lt;(--"23:59:59"),BA77&gt;(--"15:00:00"),G77&lt;(--"14:00:00"),G77&gt;(--"00:00:01")),"",IF(BA77&gt;G77,BZ77,"")))</f>
        <v/>
      </c>
      <c r="AZ77" s="27"/>
      <c r="BA77" s="32"/>
      <c r="BB77" s="72"/>
      <c r="BC77" s="72" t="str">
        <f>IFERROR(VLOOKUP(Out_Table[[#This Row],[Aggiornamento STATUS]],'INformazioni per calcoli'!$Y$70:$AA$76,2,FALSE),"")</f>
        <v/>
      </c>
      <c r="BD77" s="289"/>
      <c r="BE77" s="289"/>
      <c r="BF77" s="47" t="str">
        <f>LEFT($E77,3)</f>
        <v>VE1</v>
      </c>
      <c r="BG77" s="298" t="str">
        <f>IF(Out_Table[[#This Row],[Ora Uscita    (GH)]]&lt;&gt;"","x","")</f>
        <v/>
      </c>
      <c r="BH77" s="299">
        <f>VLOOKUP($O77,'INformazioni per calcoli'!$Y$20:$AA$23,3,FALSE)</f>
        <v>14</v>
      </c>
      <c r="BI77" s="299">
        <f>MROUND(Out_Table[[#This Row],[Mtr. Trailer]]*AB77,0.5)</f>
        <v>0</v>
      </c>
      <c r="BJ77" s="299">
        <f>MROUND(Out_Table[[#This Row],[Mtr. Trailer]]*AE77,0.5)</f>
        <v>0</v>
      </c>
      <c r="BK77" s="299">
        <f>MROUND(Out_Table[[#This Row],[Mtr. Trailer]]*AH77,0.5)</f>
        <v>0</v>
      </c>
      <c r="BL77" s="300">
        <f>Out_Table[[#This Row],[Double Deck trailer N° bumpers]]</f>
        <v>0</v>
      </c>
      <c r="BM77" s="301"/>
      <c r="BN77" s="299" t="str">
        <f>B77</f>
        <v>ITD12283</v>
      </c>
      <c r="BO77" s="299" t="str">
        <f>E77</f>
        <v>VE1</v>
      </c>
      <c r="BP77" s="302">
        <f>IF(AND(G77&gt;(--"00:00:01"),G77&lt;(--"15:00:00")),IF(AND(X77&gt;(--"00:00:01"),X77&lt;(--"15:00:00")),G77-X77,G77+1-X77),G77-X77)</f>
        <v>1.1909722222222223</v>
      </c>
      <c r="BQ77" s="303">
        <f>AE77+AF77+AH77+AJ77</f>
        <v>0</v>
      </c>
      <c r="BR77" s="304" t="str">
        <f>IF(OR(BP77&lt;=(--"00:20:00"),BQ77&gt;=100%),"OK","Not OK")</f>
        <v>Not OK</v>
      </c>
      <c r="BS77" s="302">
        <f>IF(AND(G77&gt;(--"00:00:01"),G77&lt;(--"15:00:00")),IF(AND(AU77&gt;(--"00:00:01"),AU77&lt;(--"15:00:00")),G77-AU77,G77+1-AU77),G77-AU77)</f>
        <v>1.1909722222222223</v>
      </c>
      <c r="BT77" s="302">
        <f>IF(AND(AZ77&gt;(--"00:00:01"),AZ77&lt;(--"15:00:00")),IF(AND(AU77&gt;(--"00:00:01"),AU77&lt;(--"15:00:00")),AZ77-AU77,AZ77+1-AU77),AZ77-AU77)</f>
        <v>0</v>
      </c>
      <c r="BU77" s="302">
        <f>IF(AND(BA77&gt;(--"00:00:01"),BA77&lt;(--"15:00:00")),IF(AND(AZ77&gt;(--"00:00:01"),AZ77&lt;(--"15:00:00")),BA77-AZ77,BA77+1-AZ77),BA77-AZ77)</f>
        <v>0</v>
      </c>
      <c r="BV77" s="299">
        <f>AV77</f>
        <v>0</v>
      </c>
      <c r="BW77" s="301"/>
      <c r="BX77" s="299" t="str">
        <f>IF(AV77="T Status",IF(AV77&lt;&gt;T77,"X",""),"")</f>
        <v/>
      </c>
      <c r="BY77" s="301"/>
      <c r="BZ77" s="299" t="str">
        <f>IF(X77&lt;&gt;"",IF(CC77="X","Driver Delay",IF(CA77="X","Paperwork Delay",IF(CB77="X","Late freight late sort",IF(CD77="X","Chiamare Control Room",IF(CE77="X","Chiamare Control Room",IF(CF77="X","Chiamare Control Room","")))))),"")</f>
        <v/>
      </c>
      <c r="CA77" s="302" t="str">
        <f>IF(K77="",IF(IF(AND(G77&gt;(--"00:00:01"),G77&lt;(--"15:00:00")),IF(AND(AT77&gt;(--"08:00:00"),AT77&lt;(--"23:59:59")),G77+1-AT77,G77-AT77),G77-AT77)&gt;(--"00:20:00"),"","X"),"")</f>
        <v/>
      </c>
      <c r="CB77" s="299" t="str">
        <f>IF(K77="",IF(BP77&gt;=(--"00:20:00"),"","X"),"")</f>
        <v/>
      </c>
      <c r="CC77" s="299" t="str">
        <f>IF(OR(AV77="Autista non presente",AV77="Dati driver non presenti"),"X","")</f>
        <v/>
      </c>
      <c r="CD77" s="299" t="str">
        <f>IF(K77="",IF(AND(CC77="",BS77&lt;(--"00:20:00")),"X",""),"")</f>
        <v/>
      </c>
      <c r="CE77" s="299" t="str">
        <f>IF(K77="",IF(BT77&gt;(--"00:15:00"),"X",""),IF(AZ77&lt;&gt;"",IF(G77-AZ77&gt;(--"00:30:00"),"X",""),""))</f>
        <v/>
      </c>
      <c r="CF77" s="299" t="str">
        <f>IF(AND(CA77="",CB77="",CC77="",CD77="",CE77=""),"X","")</f>
        <v>X</v>
      </c>
      <c r="CG77" s="301"/>
      <c r="CH77" s="299" t="str">
        <f>IF(BT77&gt;(--"00:15:00"),"X","")</f>
        <v/>
      </c>
      <c r="CI77" s="302" t="str">
        <f>AY77</f>
        <v/>
      </c>
      <c r="CJ77" s="299" t="str">
        <f>IF(AND(CH77&lt;&gt;"",CI77&lt;&gt;"",LEFT(B77,3)="ITD"),AP77,"")</f>
        <v/>
      </c>
      <c r="CK77" s="305" t="str">
        <f>IF(CJ77&lt;&gt;"",BT77,"")</f>
        <v/>
      </c>
      <c r="CL77" s="301"/>
      <c r="CM77" s="305" t="str">
        <f>IFERROR(VLOOKUP(Q77,'Elenco Casse'!$D$4:$F$292,3,FALSE),"")</f>
        <v/>
      </c>
      <c r="CN77" s="301"/>
      <c r="CO77" s="305" t="str">
        <f>IFERROR(VLOOKUP(S77,'Elenco Casse'!$D$4:$F$292,3,FALSE),"")</f>
        <v/>
      </c>
      <c r="CP77" s="305" t="str">
        <f>IFERROR(IF(VLOOKUP($E77,Outlist!$A$5:$S$120,19,FALSE)&lt;&gt;0,"Y",""),"")</f>
        <v/>
      </c>
      <c r="CQ77" s="301"/>
      <c r="CR77" s="305" t="str">
        <f>CONCATENATE($B77,$E77,$G77)</f>
        <v>ITD12283VE10.190972222222222</v>
      </c>
      <c r="CS77" s="301"/>
      <c r="CT77" s="305" t="e">
        <f>VLOOKUP(Out_Table[[#This Row],[Destination             ORANGE (From Planning)]],Outlist!$A$5:$W$120,22,FALSE)</f>
        <v>#N/A</v>
      </c>
    </row>
    <row r="78" spans="1:98" s="20" customFormat="1" ht="15">
      <c r="A78" s="305" t="str">
        <f>$CR78</f>
        <v>ITD12176VNZ0.190972222222222</v>
      </c>
      <c r="B78" s="284" t="s">
        <v>679</v>
      </c>
      <c r="C78" s="290" t="str">
        <f>IFERROR(IF(LEFT(B78,3)='STAT 77'!$X$2,_xlfn.XLOOKUP(B78,'STAT 77'!C:C,'STAT 77'!B:B),_xlfn.XLOOKUP(B78,'STAT 77'!B:B,'STAT 77'!C:C)),"NON TROVATO")</f>
        <v>ITD30995</v>
      </c>
      <c r="D78" s="25" t="s">
        <v>680</v>
      </c>
      <c r="E78" s="290" t="s">
        <v>681</v>
      </c>
      <c r="F78" s="290" t="str">
        <f>IFERROR(VLOOKUP(E78,'Cambio O2P'!C:E,2,FALSE),"")</f>
        <v>VNZT8</v>
      </c>
      <c r="G78" s="285">
        <v>0.19097222222222221</v>
      </c>
      <c r="H78" s="293">
        <f ca="1">IFERROR(IF(AND('INformazioni per calcoli'!$AB$3&lt;(--"14:30"),'INformazioni per calcoli'!$AB$3&gt;(--"10:00")),"",IF($B78="","",IF($X78&lt;&gt;"","Mezzo Chiuso",IF($W78="","Non al Carico",IF($G78-'INformazioni per calcoli'!$AB$5-'INformazioni per calcoli'!$AB$3+$J78&lt;0,"LFLS",IF($K78&lt;&gt;"","Safe Parking",IF($W78&lt;&gt;"",IF($E78="MXP",$G78-'INformazioni per calcoli'!$AB$6-'INformazioni per calcoli'!$AB$3+$J78,$G78-'INformazioni per calcoli'!$AB$5-'INformazioni per calcoli'!$AB$3+$J78),"Non al carico"))))))),"")</f>
        <v>3.1620370370370354E-2</v>
      </c>
      <c r="I78" s="17" t="str">
        <f ca="1">IFERROR(IF($H78&lt;&gt;"",IF($H78="Safe Parking","",IF($W78&lt;&gt;"",IF(AND($U78="X",$V78="X"),$H78-(--"00:30"),""),IF($X78&lt;&gt;"","Mezzo Chiuso","Non al carico"))),""),"")</f>
        <v/>
      </c>
      <c r="J78" s="306">
        <f ca="1">IFERROR(IF($B78&lt;&gt;"",IF(AND('INformazioni per calcoli'!$AB$3&lt;(--"15:00"),'INformazioni per calcoli'!$AB$3&gt;(--"00:00")),0,IF($G78&lt;(--"18:30"),"+1",0)),""),"")</f>
        <v>0</v>
      </c>
      <c r="K78" s="27"/>
      <c r="L78" s="25" t="s">
        <v>451</v>
      </c>
      <c r="M78" s="25" t="str">
        <f>IFERROR(_xlfn.XLOOKUP($Q78,'Elenco Casse'!$D:$D,'Elenco Casse'!$E:$E),"")</f>
        <v>F.M. Trasporti S.R.L.</v>
      </c>
      <c r="N78" s="25">
        <f>IFERROR(_xlfn.XLOOKUP($Q78,'Elenco Casse'!$D:$D,'Elenco Casse'!$F:$F),"")</f>
        <v>0</v>
      </c>
      <c r="O78" s="286" t="s">
        <v>418</v>
      </c>
      <c r="P78" s="295" t="str">
        <f>IFERROR(_xlfn.XLOOKUP($Q78,'Elenco Casse'!$D:$D,'Elenco Casse'!$G:$G),"")</f>
        <v>trailer 80 m3 2/3 axes</v>
      </c>
      <c r="Q78" s="355" t="s">
        <v>682</v>
      </c>
      <c r="R78" s="23" t="s">
        <v>420</v>
      </c>
      <c r="S78" s="25" t="s">
        <v>421</v>
      </c>
      <c r="T78" s="25" t="s">
        <v>683</v>
      </c>
      <c r="U78" s="23" t="str">
        <f>IF(ISNUMBER(SEARCH("Parcel",$T78)),"X","")</f>
        <v>X</v>
      </c>
      <c r="V78" s="23" t="str">
        <f>IF(ISNUMBER(SEARCH("Freight",$T78)),"X","")</f>
        <v/>
      </c>
      <c r="W78" s="26">
        <v>416</v>
      </c>
      <c r="X78" s="27"/>
      <c r="Y78" s="25"/>
      <c r="Z78" s="25"/>
      <c r="AA78" s="25" t="s">
        <v>40</v>
      </c>
      <c r="AB78" s="57"/>
      <c r="AC78" s="25"/>
      <c r="AD78" s="25"/>
      <c r="AE78" s="57"/>
      <c r="AF78" s="57"/>
      <c r="AG78" s="25"/>
      <c r="AH78" s="57"/>
      <c r="AI78" s="339"/>
      <c r="AJ78" s="339"/>
      <c r="AK78" s="297" t="str">
        <f>IF(X78&lt;&gt;"",CONCATENATE(IF(AA78&lt;&gt;"",CONCATENATE(Z78," ",AA78," ",BI78),""),IF(AD78&lt;&gt;"",CONCATENATE(","," ",AC78," ",AD78," ",BJ78),""),IF(AG78&lt;&gt;"",CONCATENATE(","," ",AF78," ",AG78," ",BK78),""),IF(AJ78&lt;&gt;"",CONCATENATE(","," ","DD"," ",BL78),"")," ",IF(AI78&lt;&gt;"",CONCATENATE(" - ",AI78," Bag"),"")),"")</f>
        <v/>
      </c>
      <c r="AL78" s="287"/>
      <c r="AM78" s="287"/>
      <c r="AN78" s="287"/>
      <c r="AO78" s="287"/>
      <c r="AP78" s="370" t="str">
        <f>IFERROR(VLOOKUP($E75,Outlist!$A$5:$V$120,20,FALSE),"")</f>
        <v/>
      </c>
      <c r="AQ78" s="288" t="str">
        <f>IFERROR(IF(VLOOKUP($A78,#REF!,8,FALSE)&lt;&gt;"",VLOOKUP($A78,#REF!,8,FALSE),""),"")</f>
        <v/>
      </c>
      <c r="AS78" s="24"/>
      <c r="AT78" s="24">
        <v>0.44930555555555557</v>
      </c>
      <c r="AU78" s="27"/>
      <c r="AV78" s="27"/>
      <c r="AX78" s="20" t="str">
        <f>IFERROR(IF(Out_Table[[#This Row],[Cancellazione linea]]="Cancellata","yes",""),"")</f>
        <v/>
      </c>
      <c r="AY78" s="72" t="str">
        <f>IF(BA78="",BZ78,IF(AND(BA78&lt;(--"23:59:59"),BA78&gt;(--"15:00:00"),G78&lt;(--"14:00:00"),G78&gt;(--"00:00:01")),"",IF(BA78&gt;G78,BZ78,"")))</f>
        <v/>
      </c>
      <c r="AZ78" s="27"/>
      <c r="BA78" s="32"/>
      <c r="BB78" s="72"/>
      <c r="BC78" s="72" t="str">
        <f>IFERROR(VLOOKUP(Out_Table[[#This Row],[Aggiornamento STATUS]],'INformazioni per calcoli'!$Y$70:$AA$76,2,FALSE),"")</f>
        <v/>
      </c>
      <c r="BD78" s="289"/>
      <c r="BE78" s="289"/>
      <c r="BF78" s="47" t="str">
        <f>LEFT($E78,3)</f>
        <v>VNZ</v>
      </c>
      <c r="BG78" s="298" t="str">
        <f>IF(Out_Table[[#This Row],[Ora Uscita    (GH)]]&lt;&gt;"","x","")</f>
        <v/>
      </c>
      <c r="BH78" s="299">
        <f>VLOOKUP($O78,'INformazioni per calcoli'!$Y$20:$AA$23,3,FALSE)</f>
        <v>14</v>
      </c>
      <c r="BI78" s="299">
        <f>MROUND(Out_Table[[#This Row],[Mtr. Trailer]]*AB78,0.5)</f>
        <v>0</v>
      </c>
      <c r="BJ78" s="299">
        <f>MROUND(Out_Table[[#This Row],[Mtr. Trailer]]*AE78,0.5)</f>
        <v>0</v>
      </c>
      <c r="BK78" s="299">
        <f>MROUND(Out_Table[[#This Row],[Mtr. Trailer]]*AH78,0.5)</f>
        <v>0</v>
      </c>
      <c r="BL78" s="300">
        <f>Out_Table[[#This Row],[Double Deck trailer N° bumpers]]</f>
        <v>0</v>
      </c>
      <c r="BM78" s="301"/>
      <c r="BN78" s="299" t="str">
        <f>B78</f>
        <v>ITD12176</v>
      </c>
      <c r="BO78" s="299" t="str">
        <f>E78</f>
        <v>VNZ</v>
      </c>
      <c r="BP78" s="302">
        <f>IF(AND(G78&gt;(--"00:00:01"),G78&lt;(--"15:00:00")),IF(AND(X78&gt;(--"00:00:01"),X78&lt;(--"15:00:00")),G78-X78,G78+1-X78),G78-X78)</f>
        <v>1.1909722222222223</v>
      </c>
      <c r="BQ78" s="303">
        <f>AE78+AF78+AH78+AJ78</f>
        <v>0</v>
      </c>
      <c r="BR78" s="304" t="str">
        <f>IF(OR(BP78&lt;=(--"00:20:00"),BQ78&gt;=100%),"OK","Not OK")</f>
        <v>Not OK</v>
      </c>
      <c r="BS78" s="302">
        <f>IF(AND(G78&gt;(--"00:00:01"),G78&lt;(--"15:00:00")),IF(AND(AU78&gt;(--"00:00:01"),AU78&lt;(--"15:00:00")),G78-AU78,G78+1-AU78),G78-AU78)</f>
        <v>1.1909722222222223</v>
      </c>
      <c r="BT78" s="302">
        <f>IF(AND(AZ78&gt;(--"00:00:01"),AZ78&lt;(--"15:00:00")),IF(AND(AU78&gt;(--"00:00:01"),AU78&lt;(--"15:00:00")),AZ78-AU78,AZ78+1-AU78),AZ78-AU78)</f>
        <v>0</v>
      </c>
      <c r="BU78" s="302">
        <f>IF(AND(BA78&gt;(--"00:00:01"),BA78&lt;(--"15:00:00")),IF(AND(AZ78&gt;(--"00:00:01"),AZ78&lt;(--"15:00:00")),BA78-AZ78,BA78+1-AZ78),BA78-AZ78)</f>
        <v>0</v>
      </c>
      <c r="BV78" s="299">
        <f>AV78</f>
        <v>0</v>
      </c>
      <c r="BW78" s="301"/>
      <c r="BX78" s="299" t="str">
        <f>IF(AV78="T Status",IF(AV78&lt;&gt;T78,"X",""),"")</f>
        <v/>
      </c>
      <c r="BY78" s="301"/>
      <c r="BZ78" s="299" t="str">
        <f>IF(X78&lt;&gt;"",IF(CC78="X","Driver Delay",IF(CA78="X","Paperwork Delay",IF(CB78="X","Late freight late sort",IF(CD78="X","Chiamare Control Room",IF(CE78="X","Chiamare Control Room",IF(CF78="X","Chiamare Control Room","")))))),"")</f>
        <v/>
      </c>
      <c r="CA78" s="302" t="str">
        <f>IF(K78="",IF(IF(AND(G78&gt;(--"00:00:01"),G78&lt;(--"15:00:00")),IF(AND(AT78&gt;(--"08:00:00"),AT78&lt;(--"23:59:59")),G78+1-AT78,G78-AT78),G78-AT78)&gt;(--"00:20:00"),"","X"),"")</f>
        <v/>
      </c>
      <c r="CB78" s="299" t="str">
        <f>IF(K78="",IF(BP78&gt;=(--"00:20:00"),"","X"),"")</f>
        <v/>
      </c>
      <c r="CC78" s="299" t="str">
        <f>IF(OR(AV78="Autista non presente",AV78="Dati driver non presenti"),"X","")</f>
        <v/>
      </c>
      <c r="CD78" s="299" t="str">
        <f>IF(K78="",IF(AND(CC78="",BS78&lt;(--"00:20:00")),"X",""),"")</f>
        <v/>
      </c>
      <c r="CE78" s="299" t="str">
        <f>IF(K78="",IF(BT78&gt;(--"00:15:00"),"X",""),IF(AZ78&lt;&gt;"",IF(G78-AZ78&gt;(--"00:30:00"),"X",""),""))</f>
        <v/>
      </c>
      <c r="CF78" s="299" t="str">
        <f>IF(AND(CA78="",CB78="",CC78="",CD78="",CE78=""),"X","")</f>
        <v>X</v>
      </c>
      <c r="CG78" s="301"/>
      <c r="CH78" s="299" t="str">
        <f>IF(BT78&gt;(--"00:15:00"),"X","")</f>
        <v/>
      </c>
      <c r="CI78" s="302" t="str">
        <f>AY78</f>
        <v/>
      </c>
      <c r="CJ78" s="299" t="str">
        <f>IF(AND(CH78&lt;&gt;"",CI78&lt;&gt;"",LEFT(B78,3)="ITD"),AP78,"")</f>
        <v/>
      </c>
      <c r="CK78" s="305" t="str">
        <f>IF(CJ78&lt;&gt;"",BT78,"")</f>
        <v/>
      </c>
      <c r="CL78" s="301"/>
      <c r="CM78" s="305" t="str">
        <f>IFERROR(VLOOKUP(Q78,'Elenco Casse'!$D$4:$F$292,3,FALSE),"")</f>
        <v/>
      </c>
      <c r="CN78" s="301"/>
      <c r="CO78" s="305" t="str">
        <f>IFERROR(VLOOKUP(S78,'Elenco Casse'!$D$4:$F$292,3,FALSE),"")</f>
        <v/>
      </c>
      <c r="CP78" s="305" t="str">
        <f>IFERROR(IF(VLOOKUP($E78,Outlist!$A$5:$S$120,19,FALSE)&lt;&gt;0,"Y",""),"")</f>
        <v/>
      </c>
      <c r="CQ78" s="301"/>
      <c r="CR78" s="305" t="str">
        <f>CONCATENATE($B78,$E78,$G78)</f>
        <v>ITD12176VNZ0.190972222222222</v>
      </c>
      <c r="CS78" s="301"/>
      <c r="CT78" s="305" t="e">
        <f>VLOOKUP(Out_Table[[#This Row],[Destination             ORANGE (From Planning)]],Outlist!$A$5:$W$120,22,FALSE)</f>
        <v>#N/A</v>
      </c>
    </row>
    <row r="79" spans="1:98" s="20" customFormat="1" ht="15">
      <c r="A79" s="305" t="str">
        <f>$CR79</f>
        <v>ITD12387PMF0.190972222222222</v>
      </c>
      <c r="B79" s="284" t="s">
        <v>684</v>
      </c>
      <c r="C79" s="290" t="str">
        <f>IFERROR(IF(LEFT(B79,3)='STAT 77'!$X$2,_xlfn.XLOOKUP(B79,'STAT 77'!C:C,'STAT 77'!B:B),_xlfn.XLOOKUP(B79,'STAT 77'!B:B,'STAT 77'!C:C)),"NON TROVATO")</f>
        <v>ITD31530</v>
      </c>
      <c r="D79" s="25" t="s">
        <v>685</v>
      </c>
      <c r="E79" s="290" t="s">
        <v>686</v>
      </c>
      <c r="F79" s="290" t="str">
        <f>IFERROR(VLOOKUP(E79,'Cambio O2P'!C:E,2,FALSE),"")</f>
        <v>PMFT8</v>
      </c>
      <c r="G79" s="285">
        <v>0.19097222222222221</v>
      </c>
      <c r="H79" s="293">
        <f ca="1">IFERROR(IF(AND('INformazioni per calcoli'!$AB$3&lt;(--"14:30"),'INformazioni per calcoli'!$AB$3&gt;(--"10:00")),"",IF($B79="","",IF($X79&lt;&gt;"","Mezzo Chiuso",IF($W79="","Non al Carico",IF($G79-'INformazioni per calcoli'!$AB$5-'INformazioni per calcoli'!$AB$3+$J79&lt;0,"LFLS",IF($K79&lt;&gt;"","Safe Parking",IF($W79&lt;&gt;"",IF($E79="MXP",$G79-'INformazioni per calcoli'!$AB$6-'INformazioni per calcoli'!$AB$3+$J79,$G79-'INformazioni per calcoli'!$AB$5-'INformazioni per calcoli'!$AB$3+$J79),"Non al carico"))))))),"")</f>
        <v>3.1620370370370354E-2</v>
      </c>
      <c r="I79" s="17" t="str">
        <f ca="1">IFERROR(IF($H79&lt;&gt;"",IF($H79="Safe Parking","",IF($W79&lt;&gt;"",IF(AND($U79="X",$V79="X"),$H79-(--"00:30"),""),IF($X79&lt;&gt;"","Mezzo Chiuso","Non al carico"))),""),"")</f>
        <v/>
      </c>
      <c r="J79" s="306">
        <f ca="1">IFERROR(IF($B79&lt;&gt;"",IF(AND('INformazioni per calcoli'!$AB$3&lt;(--"15:00"),'INformazioni per calcoli'!$AB$3&gt;(--"00:00")),0,IF($G79&lt;(--"18:30"),"+1",0)),""),"")</f>
        <v>0</v>
      </c>
      <c r="K79" s="17"/>
      <c r="L79" s="25" t="s">
        <v>427</v>
      </c>
      <c r="M79" s="25" t="str">
        <f>IFERROR(_xlfn.XLOOKUP($Q79,'Elenco Casse'!$D:$D,'Elenco Casse'!$E:$E),"")</f>
        <v/>
      </c>
      <c r="N79" s="25" t="str">
        <f>IFERROR(_xlfn.XLOOKUP($Q79,'Elenco Casse'!$D:$D,'Elenco Casse'!$F:$F),"")</f>
        <v/>
      </c>
      <c r="O79" s="286" t="s">
        <v>418</v>
      </c>
      <c r="P79" s="295" t="str">
        <f>IFERROR(_xlfn.XLOOKUP($Q79,'Elenco Casse'!$D:$D,'Elenco Casse'!$G:$G),"")</f>
        <v/>
      </c>
      <c r="Q79" s="355" t="s">
        <v>687</v>
      </c>
      <c r="R79" s="23" t="s">
        <v>420</v>
      </c>
      <c r="S79" s="25" t="s">
        <v>421</v>
      </c>
      <c r="T79" s="25" t="s">
        <v>688</v>
      </c>
      <c r="U79" s="23" t="str">
        <f>IF(ISNUMBER(SEARCH("Parcel",$T79)),"X","")</f>
        <v>X</v>
      </c>
      <c r="V79" s="23" t="str">
        <f>IF(ISNUMBER(SEARCH("Freight",$T79)),"X","")</f>
        <v/>
      </c>
      <c r="W79" s="26">
        <v>417</v>
      </c>
      <c r="X79" s="27"/>
      <c r="Y79" s="25"/>
      <c r="Z79" s="25"/>
      <c r="AA79" s="25" t="s">
        <v>40</v>
      </c>
      <c r="AB79" s="57"/>
      <c r="AC79" s="25"/>
      <c r="AD79" s="25"/>
      <c r="AE79" s="57"/>
      <c r="AF79" s="57"/>
      <c r="AG79" s="25"/>
      <c r="AH79" s="57"/>
      <c r="AI79" s="339"/>
      <c r="AJ79" s="339"/>
      <c r="AK79" s="297" t="str">
        <f>IF(X79&lt;&gt;"",CONCATENATE(IF(AA79&lt;&gt;"",CONCATENATE(Z79," ",AA79," ",BI79),""),IF(AD79&lt;&gt;"",CONCATENATE(","," ",AC79," ",AD79," ",BJ79),""),IF(AG79&lt;&gt;"",CONCATENATE(","," ",AF79," ",AG79," ",BK79),""),IF(AJ79&lt;&gt;"",CONCATENATE(","," ","DD"," ",BL79),"")," ",IF(AI79&lt;&gt;"",CONCATENATE(" - ",AI79," Bag"),"")),"")</f>
        <v/>
      </c>
      <c r="AL79" s="287"/>
      <c r="AM79" s="287"/>
      <c r="AN79" s="287"/>
      <c r="AO79" s="287"/>
      <c r="AP79" s="370" t="str">
        <f>IFERROR(VLOOKUP($E76,Outlist!$A$5:$V$120,20,FALSE),"")</f>
        <v/>
      </c>
      <c r="AQ79" s="288" t="str">
        <f>IFERROR(IF(VLOOKUP($A79,#REF!,8,FALSE)&lt;&gt;"",VLOOKUP($A79,#REF!,8,FALSE),""),"")</f>
        <v/>
      </c>
      <c r="AS79" s="24"/>
      <c r="AT79" s="24">
        <v>0.59236111111111112</v>
      </c>
      <c r="AU79" s="27"/>
      <c r="AV79" s="27"/>
      <c r="AX79" s="20" t="str">
        <f>IFERROR(IF(Out_Table[[#This Row],[Cancellazione linea]]="Cancellata","yes",""),"")</f>
        <v/>
      </c>
      <c r="AY79" s="72" t="str">
        <f>IF(BA79="",BZ79,IF(AND(BA79&lt;(--"23:59:59"),BA79&gt;(--"15:00:00"),G79&lt;(--"14:00:00"),G79&gt;(--"00:00:01")),"",IF(BA79&gt;G79,BZ79,"")))</f>
        <v/>
      </c>
      <c r="AZ79" s="27"/>
      <c r="BA79" s="32"/>
      <c r="BB79" s="72"/>
      <c r="BC79" s="72" t="str">
        <f>IFERROR(VLOOKUP(Out_Table[[#This Row],[Aggiornamento STATUS]],'INformazioni per calcoli'!$Y$70:$AA$76,2,FALSE),"")</f>
        <v/>
      </c>
      <c r="BD79" s="289"/>
      <c r="BE79" s="289"/>
      <c r="BF79" s="47" t="str">
        <f>LEFT($E79,3)</f>
        <v>PMF</v>
      </c>
      <c r="BG79" s="298" t="str">
        <f>IF(Out_Table[[#This Row],[Ora Uscita    (GH)]]&lt;&gt;"","x","")</f>
        <v/>
      </c>
      <c r="BH79" s="299">
        <f>VLOOKUP($O79,'INformazioni per calcoli'!$Y$20:$AA$23,3,FALSE)</f>
        <v>14</v>
      </c>
      <c r="BI79" s="299">
        <f>MROUND(Out_Table[[#This Row],[Mtr. Trailer]]*AB79,0.5)</f>
        <v>0</v>
      </c>
      <c r="BJ79" s="299">
        <f>MROUND(Out_Table[[#This Row],[Mtr. Trailer]]*AE79,0.5)</f>
        <v>0</v>
      </c>
      <c r="BK79" s="299">
        <f>MROUND(Out_Table[[#This Row],[Mtr. Trailer]]*AH79,0.5)</f>
        <v>0</v>
      </c>
      <c r="BL79" s="300">
        <f>Out_Table[[#This Row],[Double Deck trailer N° bumpers]]</f>
        <v>0</v>
      </c>
      <c r="BM79" s="301"/>
      <c r="BN79" s="299" t="str">
        <f>B79</f>
        <v>ITD12387</v>
      </c>
      <c r="BO79" s="299" t="str">
        <f>E79</f>
        <v>PMF</v>
      </c>
      <c r="BP79" s="302">
        <f>IF(AND(G79&gt;(--"00:00:01"),G79&lt;(--"15:00:00")),IF(AND(X79&gt;(--"00:00:01"),X79&lt;(--"15:00:00")),G79-X79,G79+1-X79),G79-X79)</f>
        <v>1.1909722222222223</v>
      </c>
      <c r="BQ79" s="303">
        <f>AE79+AF79+AH79+AJ79</f>
        <v>0</v>
      </c>
      <c r="BR79" s="304" t="str">
        <f>IF(OR(BP79&lt;=(--"00:20:00"),BQ79&gt;=100%),"OK","Not OK")</f>
        <v>Not OK</v>
      </c>
      <c r="BS79" s="302">
        <f>IF(AND(G79&gt;(--"00:00:01"),G79&lt;(--"15:00:00")),IF(AND(AU79&gt;(--"00:00:01"),AU79&lt;(--"15:00:00")),G79-AU79,G79+1-AU79),G79-AU79)</f>
        <v>1.1909722222222223</v>
      </c>
      <c r="BT79" s="302">
        <f>IF(AND(AZ79&gt;(--"00:00:01"),AZ79&lt;(--"15:00:00")),IF(AND(AU79&gt;(--"00:00:01"),AU79&lt;(--"15:00:00")),AZ79-AU79,AZ79+1-AU79),AZ79-AU79)</f>
        <v>0</v>
      </c>
      <c r="BU79" s="302">
        <f>IF(AND(BA79&gt;(--"00:00:01"),BA79&lt;(--"15:00:00")),IF(AND(AZ79&gt;(--"00:00:01"),AZ79&lt;(--"15:00:00")),BA79-AZ79,BA79+1-AZ79),BA79-AZ79)</f>
        <v>0</v>
      </c>
      <c r="BV79" s="299">
        <f>AV79</f>
        <v>0</v>
      </c>
      <c r="BW79" s="301"/>
      <c r="BX79" s="299" t="str">
        <f>IF(AV79="T Status",IF(AV79&lt;&gt;T79,"X",""),"")</f>
        <v/>
      </c>
      <c r="BY79" s="301"/>
      <c r="BZ79" s="299" t="str">
        <f>IF(X79&lt;&gt;"",IF(CC79="X","Driver Delay",IF(CA79="X","Paperwork Delay",IF(CB79="X","Late freight late sort",IF(CD79="X","Chiamare Control Room",IF(CE79="X","Chiamare Control Room",IF(CF79="X","Chiamare Control Room","")))))),"")</f>
        <v/>
      </c>
      <c r="CA79" s="302" t="str">
        <f>IF(K79="",IF(IF(AND(G79&gt;(--"00:00:01"),G79&lt;(--"15:00:00")),IF(AND(AT79&gt;(--"08:00:00"),AT79&lt;(--"23:59:59")),G79+1-AT79,G79-AT79),G79-AT79)&gt;(--"00:20:00"),"","X"),"")</f>
        <v/>
      </c>
      <c r="CB79" s="299" t="str">
        <f>IF(K79="",IF(BP79&gt;=(--"00:20:00"),"","X"),"")</f>
        <v/>
      </c>
      <c r="CC79" s="299" t="str">
        <f>IF(OR(AV79="Autista non presente",AV79="Dati driver non presenti"),"X","")</f>
        <v/>
      </c>
      <c r="CD79" s="299" t="str">
        <f>IF(K79="",IF(AND(CC79="",BS79&lt;(--"00:20:00")),"X",""),"")</f>
        <v/>
      </c>
      <c r="CE79" s="299" t="str">
        <f>IF(K79="",IF(BT79&gt;(--"00:15:00"),"X",""),IF(AZ79&lt;&gt;"",IF(G79-AZ79&gt;(--"00:30:00"),"X",""),""))</f>
        <v/>
      </c>
      <c r="CF79" s="299" t="str">
        <f>IF(AND(CA79="",CB79="",CC79="",CD79="",CE79=""),"X","")</f>
        <v>X</v>
      </c>
      <c r="CG79" s="301"/>
      <c r="CH79" s="299" t="str">
        <f>IF(BT79&gt;(--"00:15:00"),"X","")</f>
        <v/>
      </c>
      <c r="CI79" s="302" t="str">
        <f>AY79</f>
        <v/>
      </c>
      <c r="CJ79" s="299" t="str">
        <f>IF(AND(CH79&lt;&gt;"",CI79&lt;&gt;"",LEFT(B79,3)="ITD"),AP79,"")</f>
        <v/>
      </c>
      <c r="CK79" s="305" t="str">
        <f>IF(CJ79&lt;&gt;"",BT79,"")</f>
        <v/>
      </c>
      <c r="CL79" s="301"/>
      <c r="CM79" s="305" t="str">
        <f>IFERROR(VLOOKUP(Q79,'Elenco Casse'!$D$4:$F$292,3,FALSE),"")</f>
        <v/>
      </c>
      <c r="CN79" s="301"/>
      <c r="CO79" s="305" t="str">
        <f>IFERROR(VLOOKUP(S79,'Elenco Casse'!$D$4:$F$292,3,FALSE),"")</f>
        <v/>
      </c>
      <c r="CP79" s="305" t="str">
        <f>IFERROR(IF(VLOOKUP($E79,Outlist!$A$5:$S$120,19,FALSE)&lt;&gt;0,"Y",""),"")</f>
        <v/>
      </c>
      <c r="CQ79" s="301"/>
      <c r="CR79" s="305" t="str">
        <f>CONCATENATE($B79,$E79,$G79)</f>
        <v>ITD12387PMF0.190972222222222</v>
      </c>
      <c r="CS79" s="301"/>
      <c r="CT79" s="305" t="e">
        <f>VLOOKUP(Out_Table[[#This Row],[Destination             ORANGE (From Planning)]],Outlist!$A$5:$W$120,22,FALSE)</f>
        <v>#N/A</v>
      </c>
    </row>
    <row r="80" spans="1:98" s="20" customFormat="1" ht="30.75">
      <c r="A80" s="305" t="str">
        <f>$CR80</f>
        <v>ITD12174BO10.0833333333333333</v>
      </c>
      <c r="B80" s="284" t="s">
        <v>689</v>
      </c>
      <c r="C80" s="290" t="str">
        <f>IFERROR(IF(LEFT(B80,3)='STAT 77'!$X$2,_xlfn.XLOOKUP(B80,'STAT 77'!C:C,'STAT 77'!B:B),_xlfn.XLOOKUP(B80,'STAT 77'!B:B,'STAT 77'!C:C)),"NON TROVATO")</f>
        <v>ITD30991</v>
      </c>
      <c r="D80" s="25" t="s">
        <v>690</v>
      </c>
      <c r="E80" s="290" t="s">
        <v>691</v>
      </c>
      <c r="F80" s="290" t="str">
        <f>IFERROR(VLOOKUP(E80,'Cambio O2P'!C:E,2,FALSE),"")</f>
        <v>QICA</v>
      </c>
      <c r="G80" s="285">
        <v>8.3333333333333329E-2</v>
      </c>
      <c r="H80" s="293" t="str">
        <f ca="1">IFERROR(IF(AND('INformazioni per calcoli'!$AB$3&lt;(--"14:30"),'INformazioni per calcoli'!$AB$3&gt;(--"10:00")),"",IF($B80="","",IF($X80&lt;&gt;"","Mezzo Chiuso",IF($W80="","Non al Carico",IF($G80-'INformazioni per calcoli'!$AB$5-'INformazioni per calcoli'!$AB$3+$J80&lt;0,"LFLS",IF($K80&lt;&gt;"","Safe Parking",IF($W80&lt;&gt;"",IF($E80="MXP",$G80-'INformazioni per calcoli'!$AB$6-'INformazioni per calcoli'!$AB$3+$J80,$G80-'INformazioni per calcoli'!$AB$5-'INformazioni per calcoli'!$AB$3+$J80),"Non al carico"))))))),"")</f>
        <v>Mezzo Chiuso</v>
      </c>
      <c r="I80" s="17" t="str">
        <f ca="1">IFERROR(IF($H80&lt;&gt;"",IF($H80="Safe Parking","",IF($W80&lt;&gt;"",IF(AND($U80="X",$V80="X"),$H80-(--"00:30"),""),IF($X80&lt;&gt;"","Mezzo Chiuso","Non al carico"))),""),"")</f>
        <v/>
      </c>
      <c r="J80" s="306">
        <f ca="1">IFERROR(IF($B80&lt;&gt;"",IF(AND('INformazioni per calcoli'!$AB$3&lt;(--"15:00"),'INformazioni per calcoli'!$AB$3&gt;(--"00:00")),0,IF($G80&lt;(--"18:30"),"+1",0)),""),"")</f>
        <v>0</v>
      </c>
      <c r="K80" s="17"/>
      <c r="L80" s="25" t="s">
        <v>692</v>
      </c>
      <c r="M80" s="25" t="str">
        <f>IFERROR(_xlfn.XLOOKUP($Q80,'Elenco Casse'!$D:$D,'Elenco Casse'!$E:$E),"")</f>
        <v>Canguro S.P.A.</v>
      </c>
      <c r="N80" s="25">
        <f>IFERROR(_xlfn.XLOOKUP($Q80,'Elenco Casse'!$D:$D,'Elenco Casse'!$F:$F),"")</f>
        <v>0</v>
      </c>
      <c r="O80" s="286" t="s">
        <v>418</v>
      </c>
      <c r="P80" s="295" t="str">
        <f>IFERROR(_xlfn.XLOOKUP($Q80,'Elenco Casse'!$D:$D,'Elenco Casse'!$G:$G),"")</f>
        <v>trailer 80 m3 2/3 axles</v>
      </c>
      <c r="Q80" s="355" t="s">
        <v>693</v>
      </c>
      <c r="R80" s="23" t="s">
        <v>420</v>
      </c>
      <c r="S80" s="25" t="s">
        <v>421</v>
      </c>
      <c r="T80" s="25" t="s">
        <v>694</v>
      </c>
      <c r="U80" s="23" t="str">
        <f>IF(ISNUMBER(SEARCH("Parcel",$T80)),"X","")</f>
        <v>X</v>
      </c>
      <c r="V80" s="23" t="str">
        <f>IF(ISNUMBER(SEARCH("Freight",$T80)),"X","")</f>
        <v/>
      </c>
      <c r="W80" s="26">
        <v>418</v>
      </c>
      <c r="X80" s="27">
        <v>6.5972222222222224E-2</v>
      </c>
      <c r="Y80" s="25" t="s">
        <v>695</v>
      </c>
      <c r="Z80" s="25"/>
      <c r="AA80" s="25" t="s">
        <v>40</v>
      </c>
      <c r="AB80" s="57">
        <v>1</v>
      </c>
      <c r="AC80" s="25"/>
      <c r="AD80" s="25"/>
      <c r="AE80" s="57"/>
      <c r="AF80" s="57"/>
      <c r="AG80" s="25"/>
      <c r="AH80" s="57"/>
      <c r="AI80" s="339"/>
      <c r="AJ80" s="339"/>
      <c r="AK80" s="297" t="s">
        <v>696</v>
      </c>
      <c r="AL80" s="287" t="s">
        <v>421</v>
      </c>
      <c r="AM80" s="287"/>
      <c r="AN80" s="287"/>
      <c r="AO80" s="287"/>
      <c r="AP80" s="370" t="str">
        <f>IFERROR(VLOOKUP(#REF!,Outlist!$A$5:$V$120,20,FALSE),"")</f>
        <v/>
      </c>
      <c r="AQ80" s="288" t="s">
        <v>697</v>
      </c>
      <c r="AS80" s="24"/>
      <c r="AT80" s="24">
        <v>0.46111111111111114</v>
      </c>
      <c r="AU80" s="27">
        <v>6.25E-2</v>
      </c>
      <c r="AV80" s="27"/>
      <c r="AW80" s="20" t="s">
        <v>443</v>
      </c>
      <c r="AX80" s="20" t="str">
        <f>IFERROR(IF(Out_Table[[#This Row],[Cancellazione linea]]="Cancellata","yes",""),"")</f>
        <v/>
      </c>
      <c r="AY80" s="72" t="str">
        <f>IF(BA80="",BZ80,IF(AND(BA80&lt;(--"23:59:59"),BA80&gt;(--"15:00:00"),G80&lt;(--"14:00:00"),G80&gt;(--"00:00:01")),"",IF(BA80&gt;G80,BZ80,"")))</f>
        <v/>
      </c>
      <c r="AZ80" s="27">
        <v>6.458333333333334E-2</v>
      </c>
      <c r="BA80" s="32">
        <v>6.9444444444444448E-2</v>
      </c>
      <c r="BB80" s="72"/>
      <c r="BC80" s="72" t="str">
        <f>IFERROR(VLOOKUP(Out_Table[[#This Row],[Aggiornamento STATUS]],'INformazioni per calcoli'!$Y$70:$AA$76,2,FALSE),"")</f>
        <v/>
      </c>
      <c r="BD80" s="289"/>
      <c r="BE80" s="289"/>
      <c r="BF80" s="47" t="str">
        <f>LEFT($E80,3)</f>
        <v>BO1</v>
      </c>
      <c r="BG80" s="298" t="str">
        <f>IF(Out_Table[[#This Row],[Ora Uscita    (GH)]]&lt;&gt;"","x","")</f>
        <v>x</v>
      </c>
      <c r="BH80" s="299">
        <f>VLOOKUP($O80,'INformazioni per calcoli'!$Y$20:$AA$23,3,FALSE)</f>
        <v>14</v>
      </c>
      <c r="BI80" s="299">
        <f>MROUND(Out_Table[[#This Row],[Mtr. Trailer]]*AB80,0.5)</f>
        <v>14</v>
      </c>
      <c r="BJ80" s="299">
        <f>MROUND(Out_Table[[#This Row],[Mtr. Trailer]]*AE80,0.5)</f>
        <v>0</v>
      </c>
      <c r="BK80" s="299">
        <f>MROUND(Out_Table[[#This Row],[Mtr. Trailer]]*AH80,0.5)</f>
        <v>0</v>
      </c>
      <c r="BL80" s="300">
        <f>Out_Table[[#This Row],[Double Deck trailer N° bumpers]]</f>
        <v>0</v>
      </c>
      <c r="BM80" s="301"/>
      <c r="BN80" s="299" t="str">
        <f>B80</f>
        <v>ITD12174</v>
      </c>
      <c r="BO80" s="299" t="str">
        <f>E80</f>
        <v>BO1</v>
      </c>
      <c r="BP80" s="302">
        <f>IF(AND(G80&gt;(--"00:00:01"),G80&lt;(--"15:00:00")),IF(AND(X80&gt;(--"00:00:01"),X80&lt;(--"15:00:00")),G80-X80,G80+1-X80),G80-X80)</f>
        <v>1.7361111111111105E-2</v>
      </c>
      <c r="BQ80" s="303">
        <f>AE80+AF80+AH80+AJ80</f>
        <v>0</v>
      </c>
      <c r="BR80" s="304" t="str">
        <f>IF(OR(BP80&lt;=(--"00:20:00"),BQ80&gt;=100%),"OK","Not OK")</f>
        <v>Not OK</v>
      </c>
      <c r="BS80" s="302">
        <f>IF(AND(G80&gt;(--"00:00:01"),G80&lt;(--"15:00:00")),IF(AND(AU80&gt;(--"00:00:01"),AU80&lt;(--"15:00:00")),G80-AU80,G80+1-AU80),G80-AU80)</f>
        <v>2.0833333333333329E-2</v>
      </c>
      <c r="BT80" s="302">
        <f>IF(AND(AZ80&gt;(--"00:00:01"),AZ80&lt;(--"15:00:00")),IF(AND(AU80&gt;(--"00:00:01"),AU80&lt;(--"15:00:00")),AZ80-AU80,AZ80+1-AU80),AZ80-AU80)</f>
        <v>2.0833333333333398E-3</v>
      </c>
      <c r="BU80" s="302">
        <f>IF(AND(BA80&gt;(--"00:00:01"),BA80&lt;(--"15:00:00")),IF(AND(AZ80&gt;(--"00:00:01"),AZ80&lt;(--"15:00:00")),BA80-AZ80,BA80+1-AZ80),BA80-AZ80)</f>
        <v>4.8611111111111077E-3</v>
      </c>
      <c r="BV80" s="299">
        <f>AV80</f>
        <v>0</v>
      </c>
      <c r="BW80" s="301"/>
      <c r="BX80" s="299" t="str">
        <f>IF(AV80="T Status",IF(AV80&lt;&gt;T80,"X",""),"")</f>
        <v/>
      </c>
      <c r="BY80" s="301"/>
      <c r="BZ80" s="299" t="str">
        <f>IF(X80&lt;&gt;"",IF(CC80="X","Driver Delay",IF(CA80="X","Paperwork Delay",IF(CB80="X","Late freight late sort",IF(CD80="X","Chiamare Control Room",IF(CE80="X","Chiamare Control Room",IF(CF80="X","Chiamare Control Room","")))))),"")</f>
        <v>Chiamare Control Room</v>
      </c>
      <c r="CA80" s="302" t="str">
        <f>IF(K80="",IF(IF(AND(G80&gt;(--"00:00:01"),G80&lt;(--"15:00:00")),IF(AND(AT80&gt;(--"08:00:00"),AT80&lt;(--"23:59:59")),G80+1-AT80,G80-AT80),G80-AT80)&gt;(--"00:20:00"),"","X"),"")</f>
        <v/>
      </c>
      <c r="CB80" s="299" t="str">
        <f>IF(K80="",IF(BP80&gt;=(--"00:20:00"),"","X"),"")</f>
        <v/>
      </c>
      <c r="CC80" s="299" t="str">
        <f>IF(OR(AV80="Autista non presente",AV80="Dati driver non presenti"),"X","")</f>
        <v/>
      </c>
      <c r="CD80" s="299" t="str">
        <f>IF(K80="",IF(AND(CC80="",BS80&lt;(--"00:20:00")),"X",""),"")</f>
        <v/>
      </c>
      <c r="CE80" s="299" t="str">
        <f>IF(K80="",IF(BT80&gt;(--"00:15:00"),"X",""),IF(AZ80&lt;&gt;"",IF(G80-AZ80&gt;(--"00:30:00"),"X",""),""))</f>
        <v/>
      </c>
      <c r="CF80" s="299" t="str">
        <f>IF(AND(CA80="",CB80="",CC80="",CD80="",CE80=""),"X","")</f>
        <v>X</v>
      </c>
      <c r="CG80" s="301"/>
      <c r="CH80" s="299" t="str">
        <f>IF(BT80&gt;(--"00:15:00"),"X","")</f>
        <v/>
      </c>
      <c r="CI80" s="302" t="str">
        <f>AY80</f>
        <v/>
      </c>
      <c r="CJ80" s="299" t="str">
        <f>IF(AND(CH80&lt;&gt;"",CI80&lt;&gt;"",LEFT(B80,3)="ITD"),AP80,"")</f>
        <v/>
      </c>
      <c r="CK80" s="305" t="str">
        <f>IF(CJ80&lt;&gt;"",BT80,"")</f>
        <v/>
      </c>
      <c r="CL80" s="301"/>
      <c r="CM80" s="305" t="str">
        <f>IFERROR(VLOOKUP(Q80,'Elenco Casse'!$D$4:$F$292,3,FALSE),"")</f>
        <v/>
      </c>
      <c r="CN80" s="301"/>
      <c r="CO80" s="305" t="str">
        <f>IFERROR(VLOOKUP(S80,'Elenco Casse'!$D$4:$F$292,3,FALSE),"")</f>
        <v/>
      </c>
      <c r="CP80" s="305" t="str">
        <f>IFERROR(IF(VLOOKUP($E80,Outlist!$A$5:$S$120,19,FALSE)&lt;&gt;0,"Y",""),"")</f>
        <v/>
      </c>
      <c r="CQ80" s="301"/>
      <c r="CR80" s="305" t="str">
        <f>CONCATENATE($B80,$E80,$G80)</f>
        <v>ITD12174BO10.0833333333333333</v>
      </c>
      <c r="CS80" s="301"/>
      <c r="CT80" s="305" t="e">
        <f>VLOOKUP(Out_Table[[#This Row],[Destination             ORANGE (From Planning)]],Outlist!$A$5:$W$120,22,FALSE)</f>
        <v>#N/A</v>
      </c>
    </row>
    <row r="81" spans="1:98" s="20" customFormat="1" ht="15">
      <c r="A81" s="305" t="str">
        <f>$CR81</f>
        <v>ITD12716IIM0.190972222222222</v>
      </c>
      <c r="B81" s="284" t="s">
        <v>698</v>
      </c>
      <c r="C81" s="290" t="str">
        <f>IFERROR(IF(LEFT(B81,3)='STAT 77'!$X$2,_xlfn.XLOOKUP(B81,'STAT 77'!C:C,'STAT 77'!B:B),_xlfn.XLOOKUP(B81,'STAT 77'!B:B,'STAT 77'!C:C)),"NON TROVATO")</f>
        <v>ITD32146</v>
      </c>
      <c r="D81" s="25" t="s">
        <v>699</v>
      </c>
      <c r="E81" s="290" t="s">
        <v>700</v>
      </c>
      <c r="F81" s="290" t="str">
        <f>IFERROR(VLOOKUP(E81,'Cambio O2P'!C:E,2,FALSE),"")</f>
        <v>FRLA</v>
      </c>
      <c r="G81" s="285">
        <v>0.19097222222222221</v>
      </c>
      <c r="H81" s="293">
        <f ca="1">IFERROR(IF(AND('INformazioni per calcoli'!$AB$3&lt;(--"14:30"),'INformazioni per calcoli'!$AB$3&gt;(--"10:00")),"",IF($B81="","",IF($X81&lt;&gt;"","Mezzo Chiuso",IF($W81="","Non al Carico",IF($G81-'INformazioni per calcoli'!$AB$5-'INformazioni per calcoli'!$AB$3+$J81&lt;0,"LFLS",IF($K81&lt;&gt;"","Safe Parking",IF($W81&lt;&gt;"",IF($E81="MXP",$G81-'INformazioni per calcoli'!$AB$6-'INformazioni per calcoli'!$AB$3+$J81,$G81-'INformazioni per calcoli'!$AB$5-'INformazioni per calcoli'!$AB$3+$J81),"Non al carico"))))))),"")</f>
        <v>3.1620370370370354E-2</v>
      </c>
      <c r="I81" s="17">
        <f ca="1">IFERROR(IF($H81&lt;&gt;"",IF($H81="Safe Parking","",IF($W81&lt;&gt;"",IF(AND($U81="X",$V81="X"),$H81-(--"00:30"),""),IF($X81&lt;&gt;"","Mezzo Chiuso","Non al carico"))),""),"")</f>
        <v>1.0787037037037022E-2</v>
      </c>
      <c r="J81" s="306">
        <f ca="1">IFERROR(IF($B81&lt;&gt;"",IF(AND('INformazioni per calcoli'!$AB$3&lt;(--"15:00"),'INformazioni per calcoli'!$AB$3&gt;(--"00:00")),0,IF($G81&lt;(--"18:30"),"+1",0)),""),"")</f>
        <v>0</v>
      </c>
      <c r="K81" s="17"/>
      <c r="L81" s="25" t="s">
        <v>446</v>
      </c>
      <c r="M81" s="25" t="str">
        <f>IFERROR(_xlfn.XLOOKUP($Q81,'Elenco Casse'!$D:$D,'Elenco Casse'!$E:$E),"")</f>
        <v>Transeuropa S.R.L.</v>
      </c>
      <c r="N81" s="25">
        <f>IFERROR(_xlfn.XLOOKUP($Q81,'Elenco Casse'!$D:$D,'Elenco Casse'!$F:$F),"")</f>
        <v>0</v>
      </c>
      <c r="O81" s="286" t="s">
        <v>418</v>
      </c>
      <c r="P81" s="295" t="str">
        <f>IFERROR(_xlfn.XLOOKUP($Q81,'Elenco Casse'!$D:$D,'Elenco Casse'!$G:$G),"")</f>
        <v>trailer 80 m3 2/3 axes</v>
      </c>
      <c r="Q81" s="355" t="s">
        <v>701</v>
      </c>
      <c r="R81" s="23" t="s">
        <v>420</v>
      </c>
      <c r="S81" s="25" t="s">
        <v>421</v>
      </c>
      <c r="T81" s="25" t="s">
        <v>702</v>
      </c>
      <c r="U81" s="23" t="str">
        <f>IF(ISNUMBER(SEARCH("Parcel",$T81)),"X","")</f>
        <v>X</v>
      </c>
      <c r="V81" s="23" t="str">
        <f>IF(ISNUMBER(SEARCH("Freight",$T81)),"X","")</f>
        <v>X</v>
      </c>
      <c r="W81" s="26">
        <v>418</v>
      </c>
      <c r="X81" s="27"/>
      <c r="Y81" s="25"/>
      <c r="Z81" s="25"/>
      <c r="AA81" s="25" t="s">
        <v>40</v>
      </c>
      <c r="AB81" s="57"/>
      <c r="AC81" s="25"/>
      <c r="AD81" s="25" t="s">
        <v>487</v>
      </c>
      <c r="AE81" s="57"/>
      <c r="AF81" s="57"/>
      <c r="AG81" s="25" t="s">
        <v>488</v>
      </c>
      <c r="AH81" s="57"/>
      <c r="AI81" s="339"/>
      <c r="AJ81" s="339"/>
      <c r="AK81" s="297" t="str">
        <f>IF(X81&lt;&gt;"",CONCATENATE(IF(AA81&lt;&gt;"",CONCATENATE(Z81," ",AA81," ",BI81),""),IF(AD81&lt;&gt;"",CONCATENATE(","," ",AC81," ",AD81," ",BJ81),""),IF(AG81&lt;&gt;"",CONCATENATE(","," ",AF81," ",AG81," ",BK81),""),IF(AJ81&lt;&gt;"",CONCATENATE(","," ","DD"," ",BL81),"")," ",IF(AI81&lt;&gt;"",CONCATENATE(" - ",AI81," Bag"),"")),"")</f>
        <v/>
      </c>
      <c r="AL81" s="287"/>
      <c r="AM81" s="287"/>
      <c r="AN81" s="287"/>
      <c r="AO81" s="287"/>
      <c r="AP81" s="370" t="str">
        <f>IFERROR(VLOOKUP(#REF!,Outlist!$A$5:$V$120,20,FALSE),"")</f>
        <v/>
      </c>
      <c r="AQ81" s="288" t="str">
        <f>IFERROR(IF(VLOOKUP($A81,#REF!,8,FALSE)&lt;&gt;"",VLOOKUP($A81,#REF!,8,FALSE),""),"")</f>
        <v/>
      </c>
      <c r="AS81" s="24"/>
      <c r="AT81" s="24">
        <v>0.46805555555555556</v>
      </c>
      <c r="AU81" s="27"/>
      <c r="AV81" s="27"/>
      <c r="AX81" s="20" t="str">
        <f>IFERROR(IF(Out_Table[[#This Row],[Cancellazione linea]]="Cancellata","yes",""),"")</f>
        <v/>
      </c>
      <c r="AY81" s="72" t="str">
        <f>IF(BA81="",BZ81,IF(AND(BA81&lt;(--"23:59:59"),BA81&gt;(--"15:00:00"),G81&lt;(--"14:00:00"),G81&gt;(--"00:00:01")),"",IF(BA81&gt;G81,BZ81,"")))</f>
        <v/>
      </c>
      <c r="AZ81" s="27"/>
      <c r="BA81" s="32"/>
      <c r="BB81" s="72"/>
      <c r="BC81" s="72" t="str">
        <f>IFERROR(VLOOKUP(Out_Table[[#This Row],[Aggiornamento STATUS]],'INformazioni per calcoli'!$Y$70:$AA$76,2,FALSE),"")</f>
        <v/>
      </c>
      <c r="BD81" s="289"/>
      <c r="BE81" s="289"/>
      <c r="BF81" s="47" t="str">
        <f>LEFT($E81,3)</f>
        <v>IIM</v>
      </c>
      <c r="BG81" s="298" t="str">
        <f>IF(Out_Table[[#This Row],[Ora Uscita    (GH)]]&lt;&gt;"","x","")</f>
        <v/>
      </c>
      <c r="BH81" s="299">
        <f>VLOOKUP($O81,'INformazioni per calcoli'!$Y$20:$AA$23,3,FALSE)</f>
        <v>14</v>
      </c>
      <c r="BI81" s="299">
        <f>MROUND(Out_Table[[#This Row],[Mtr. Trailer]]*AB81,0.5)</f>
        <v>0</v>
      </c>
      <c r="BJ81" s="299">
        <f>MROUND(Out_Table[[#This Row],[Mtr. Trailer]]*AE81,0.5)</f>
        <v>0</v>
      </c>
      <c r="BK81" s="299">
        <f>MROUND(Out_Table[[#This Row],[Mtr. Trailer]]*AH81,0.5)</f>
        <v>0</v>
      </c>
      <c r="BL81" s="300">
        <f>Out_Table[[#This Row],[Double Deck trailer N° bumpers]]</f>
        <v>0</v>
      </c>
      <c r="BM81" s="301"/>
      <c r="BN81" s="299" t="str">
        <f>B81</f>
        <v>ITD12716</v>
      </c>
      <c r="BO81" s="299" t="str">
        <f>E81</f>
        <v>IIM</v>
      </c>
      <c r="BP81" s="302">
        <f>IF(AND(G81&gt;(--"00:00:01"),G81&lt;(--"15:00:00")),IF(AND(X81&gt;(--"00:00:01"),X81&lt;(--"15:00:00")),G81-X81,G81+1-X81),G81-X81)</f>
        <v>1.1909722222222223</v>
      </c>
      <c r="BQ81" s="303">
        <f>AE81+AF81+AH81+AJ81</f>
        <v>0</v>
      </c>
      <c r="BR81" s="304" t="str">
        <f>IF(OR(BP81&lt;=(--"00:20:00"),BQ81&gt;=100%),"OK","Not OK")</f>
        <v>Not OK</v>
      </c>
      <c r="BS81" s="302">
        <f>IF(AND(G81&gt;(--"00:00:01"),G81&lt;(--"15:00:00")),IF(AND(AU81&gt;(--"00:00:01"),AU81&lt;(--"15:00:00")),G81-AU81,G81+1-AU81),G81-AU81)</f>
        <v>1.1909722222222223</v>
      </c>
      <c r="BT81" s="302">
        <f>IF(AND(AZ81&gt;(--"00:00:01"),AZ81&lt;(--"15:00:00")),IF(AND(AU81&gt;(--"00:00:01"),AU81&lt;(--"15:00:00")),AZ81-AU81,AZ81+1-AU81),AZ81-AU81)</f>
        <v>0</v>
      </c>
      <c r="BU81" s="302">
        <f>IF(AND(BA81&gt;(--"00:00:01"),BA81&lt;(--"15:00:00")),IF(AND(AZ81&gt;(--"00:00:01"),AZ81&lt;(--"15:00:00")),BA81-AZ81,BA81+1-AZ81),BA81-AZ81)</f>
        <v>0</v>
      </c>
      <c r="BV81" s="299">
        <f>AV81</f>
        <v>0</v>
      </c>
      <c r="BW81" s="301"/>
      <c r="BX81" s="299" t="str">
        <f>IF(AV81="T Status",IF(AV81&lt;&gt;T81,"X",""),"")</f>
        <v/>
      </c>
      <c r="BY81" s="301"/>
      <c r="BZ81" s="299" t="str">
        <f>IF(X81&lt;&gt;"",IF(CC81="X","Driver Delay",IF(CA81="X","Paperwork Delay",IF(CB81="X","Late freight late sort",IF(CD81="X","Chiamare Control Room",IF(CE81="X","Chiamare Control Room",IF(CF81="X","Chiamare Control Room","")))))),"")</f>
        <v/>
      </c>
      <c r="CA81" s="302" t="str">
        <f>IF(K81="",IF(IF(AND(G81&gt;(--"00:00:01"),G81&lt;(--"15:00:00")),IF(AND(AT81&gt;(--"08:00:00"),AT81&lt;(--"23:59:59")),G81+1-AT81,G81-AT81),G81-AT81)&gt;(--"00:20:00"),"","X"),"")</f>
        <v/>
      </c>
      <c r="CB81" s="299" t="str">
        <f>IF(K81="",IF(BP81&gt;=(--"00:20:00"),"","X"),"")</f>
        <v/>
      </c>
      <c r="CC81" s="299" t="str">
        <f>IF(OR(AV81="Autista non presente",AV81="Dati driver non presenti"),"X","")</f>
        <v/>
      </c>
      <c r="CD81" s="299" t="str">
        <f>IF(K81="",IF(AND(CC81="",BS81&lt;(--"00:20:00")),"X",""),"")</f>
        <v/>
      </c>
      <c r="CE81" s="299" t="str">
        <f>IF(K81="",IF(BT81&gt;(--"00:15:00"),"X",""),IF(AZ81&lt;&gt;"",IF(G81-AZ81&gt;(--"00:30:00"),"X",""),""))</f>
        <v/>
      </c>
      <c r="CF81" s="299" t="str">
        <f>IF(AND(CA81="",CB81="",CC81="",CD81="",CE81=""),"X","")</f>
        <v>X</v>
      </c>
      <c r="CG81" s="301"/>
      <c r="CH81" s="299" t="str">
        <f>IF(BT81&gt;(--"00:15:00"),"X","")</f>
        <v/>
      </c>
      <c r="CI81" s="302" t="str">
        <f>AY81</f>
        <v/>
      </c>
      <c r="CJ81" s="299" t="str">
        <f>IF(AND(CH81&lt;&gt;"",CI81&lt;&gt;"",LEFT(B81,3)="ITD"),AP81,"")</f>
        <v/>
      </c>
      <c r="CK81" s="305" t="str">
        <f>IF(CJ81&lt;&gt;"",BT81,"")</f>
        <v/>
      </c>
      <c r="CL81" s="301"/>
      <c r="CM81" s="305" t="str">
        <f>IFERROR(VLOOKUP(Q81,'Elenco Casse'!$D$4:$F$292,3,FALSE),"")</f>
        <v/>
      </c>
      <c r="CN81" s="301"/>
      <c r="CO81" s="305" t="str">
        <f>IFERROR(VLOOKUP(S81,'Elenco Casse'!$D$4:$F$292,3,FALSE),"")</f>
        <v/>
      </c>
      <c r="CP81" s="305" t="str">
        <f>IFERROR(IF(VLOOKUP($E81,Outlist!$A$5:$S$120,19,FALSE)&lt;&gt;0,"Y",""),"")</f>
        <v/>
      </c>
      <c r="CQ81" s="301"/>
      <c r="CR81" s="305" t="str">
        <f>CONCATENATE($B81,$E81,$G81)</f>
        <v>ITD12716IIM0.190972222222222</v>
      </c>
      <c r="CS81" s="301"/>
      <c r="CT81" s="305" t="e">
        <f>VLOOKUP(Out_Table[[#This Row],[Destination             ORANGE (From Planning)]],Outlist!$A$5:$W$120,22,FALSE)</f>
        <v>#N/A</v>
      </c>
    </row>
    <row r="82" spans="1:98" s="20" customFormat="1" ht="15">
      <c r="A82" s="305" t="str">
        <f>$CR82</f>
        <v>ITD12748BO10.190972222222222</v>
      </c>
      <c r="B82" s="284" t="s">
        <v>703</v>
      </c>
      <c r="C82" s="290" t="str">
        <f>IFERROR(IF(LEFT(B82,3)='STAT 77'!$X$2,_xlfn.XLOOKUP(B82,'STAT 77'!C:C,'STAT 77'!B:B),_xlfn.XLOOKUP(B82,'STAT 77'!B:B,'STAT 77'!C:C)),"NON TROVATO")</f>
        <v>ITD32210</v>
      </c>
      <c r="D82" s="25" t="s">
        <v>704</v>
      </c>
      <c r="E82" s="290" t="s">
        <v>691</v>
      </c>
      <c r="F82" s="290" t="str">
        <f>IFERROR(VLOOKUP(E82,'Cambio O2P'!C:E,2,FALSE),"")</f>
        <v>QICA</v>
      </c>
      <c r="G82" s="285">
        <v>0.19097222222222221</v>
      </c>
      <c r="H82" s="293">
        <f ca="1">IFERROR(IF(AND('INformazioni per calcoli'!$AB$3&lt;(--"14:30"),'INformazioni per calcoli'!$AB$3&gt;(--"10:00")),"",IF($B82="","",IF($X82&lt;&gt;"","Mezzo Chiuso",IF($W82="","Non al Carico",IF($G82-'INformazioni per calcoli'!$AB$5-'INformazioni per calcoli'!$AB$3+$J82&lt;0,"LFLS",IF($K82&lt;&gt;"","Safe Parking",IF($W82&lt;&gt;"",IF($E82="MXP",$G82-'INformazioni per calcoli'!$AB$6-'INformazioni per calcoli'!$AB$3+$J82,$G82-'INformazioni per calcoli'!$AB$5-'INformazioni per calcoli'!$AB$3+$J82),"Non al carico"))))))),"")</f>
        <v>3.1620370370370354E-2</v>
      </c>
      <c r="I82" s="17" t="str">
        <f ca="1">IFERROR(IF($H82&lt;&gt;"",IF($H82="Safe Parking","",IF($W82&lt;&gt;"",IF(AND($U82="X",$V82="X"),$H82-(--"00:30"),""),IF($X82&lt;&gt;"","Mezzo Chiuso","Non al carico"))),""),"")</f>
        <v/>
      </c>
      <c r="J82" s="306">
        <f ca="1">IFERROR(IF($B82&lt;&gt;"",IF(AND('INformazioni per calcoli'!$AB$3&lt;(--"15:00"),'INformazioni per calcoli'!$AB$3&gt;(--"00:00")),0,IF($G82&lt;(--"18:30"),"+1",0)),""),"")</f>
        <v>0</v>
      </c>
      <c r="K82" s="17"/>
      <c r="L82" s="25" t="s">
        <v>446</v>
      </c>
      <c r="M82" s="25" t="str">
        <f>IFERROR(_xlfn.XLOOKUP($Q82,'Elenco Casse'!$D:$D,'Elenco Casse'!$E:$E),"")</f>
        <v>TRANSEUROPA S.R.L.</v>
      </c>
      <c r="N82" s="25">
        <f>IFERROR(_xlfn.XLOOKUP($Q82,'Elenco Casse'!$D:$D,'Elenco Casse'!$F:$F),"")</f>
        <v>0</v>
      </c>
      <c r="O82" s="286" t="s">
        <v>418</v>
      </c>
      <c r="P82" s="295" t="str">
        <f>IFERROR(_xlfn.XLOOKUP($Q82,'Elenco Casse'!$D:$D,'Elenco Casse'!$G:$G),"")</f>
        <v>trailer 80 m3 2/3 axles</v>
      </c>
      <c r="Q82" s="355" t="s">
        <v>705</v>
      </c>
      <c r="R82" s="23" t="s">
        <v>420</v>
      </c>
      <c r="S82" s="25" t="s">
        <v>421</v>
      </c>
      <c r="T82" s="25" t="s">
        <v>694</v>
      </c>
      <c r="U82" s="23" t="str">
        <f>IF(ISNUMBER(SEARCH("Parcel",$T82)),"X","")</f>
        <v>X</v>
      </c>
      <c r="V82" s="23" t="str">
        <f>IF(ISNUMBER(SEARCH("Freight",$T82)),"X","")</f>
        <v/>
      </c>
      <c r="W82" s="26">
        <v>418</v>
      </c>
      <c r="X82" s="27"/>
      <c r="Y82" s="25"/>
      <c r="Z82" s="25"/>
      <c r="AA82" s="25" t="s">
        <v>40</v>
      </c>
      <c r="AB82" s="57"/>
      <c r="AC82" s="25"/>
      <c r="AD82" s="25"/>
      <c r="AE82" s="57"/>
      <c r="AF82" s="57"/>
      <c r="AG82" s="25"/>
      <c r="AH82" s="57"/>
      <c r="AI82" s="339"/>
      <c r="AJ82" s="339"/>
      <c r="AK82" s="297" t="str">
        <f>IF(X82&lt;&gt;"",CONCATENATE(IF(AA82&lt;&gt;"",CONCATENATE(Z82," ",AA82," ",BI82),""),IF(AD82&lt;&gt;"",CONCATENATE(","," ",AC82," ",AD82," ",BJ82),""),IF(AG82&lt;&gt;"",CONCATENATE(","," ",AF82," ",AG82," ",BK82),""),IF(AJ82&lt;&gt;"",CONCATENATE(","," ","DD"," ",BL82),"")," ",IF(AI82&lt;&gt;"",CONCATENATE(" - ",AI82," Bag"),"")),"")</f>
        <v/>
      </c>
      <c r="AL82" s="287"/>
      <c r="AM82" s="287"/>
      <c r="AN82" s="287"/>
      <c r="AO82" s="287"/>
      <c r="AP82" s="370" t="str">
        <f>IFERROR(VLOOKUP(#REF!,Outlist!$A$5:$V$120,20,FALSE),"")</f>
        <v/>
      </c>
      <c r="AQ82" s="288" t="str">
        <f>IFERROR(IF(VLOOKUP($A82,#REF!,8,FALSE)&lt;&gt;"",VLOOKUP($A82,#REF!,8,FALSE),""),"")</f>
        <v/>
      </c>
      <c r="AS82" s="24"/>
      <c r="AT82" s="24">
        <v>6.3194444444444442E-2</v>
      </c>
      <c r="AU82" s="27"/>
      <c r="AV82" s="27"/>
      <c r="AX82" s="20" t="str">
        <f>IFERROR(IF(Out_Table[[#This Row],[Cancellazione linea]]="Cancellata","yes",""),"")</f>
        <v/>
      </c>
      <c r="AY82" s="72" t="str">
        <f>IF(BA82="",BZ82,IF(AND(BA82&lt;(--"23:59:59"),BA82&gt;(--"15:00:00"),G82&lt;(--"14:00:00"),G82&gt;(--"00:00:01")),"",IF(BA82&gt;G82,BZ82,"")))</f>
        <v/>
      </c>
      <c r="AZ82" s="27"/>
      <c r="BA82" s="32"/>
      <c r="BB82" s="72"/>
      <c r="BC82" s="72" t="str">
        <f>IFERROR(VLOOKUP(Out_Table[[#This Row],[Aggiornamento STATUS]],'INformazioni per calcoli'!$Y$70:$AA$76,2,FALSE),"")</f>
        <v/>
      </c>
      <c r="BD82" s="289"/>
      <c r="BE82" s="289"/>
      <c r="BF82" s="47" t="str">
        <f>LEFT($E82,3)</f>
        <v>BO1</v>
      </c>
      <c r="BG82" s="298" t="str">
        <f>IF(Out_Table[[#This Row],[Ora Uscita    (GH)]]&lt;&gt;"","x","")</f>
        <v/>
      </c>
      <c r="BH82" s="299">
        <f>VLOOKUP($O82,'INformazioni per calcoli'!$Y$20:$AA$23,3,FALSE)</f>
        <v>14</v>
      </c>
      <c r="BI82" s="299">
        <f>MROUND(Out_Table[[#This Row],[Mtr. Trailer]]*AB82,0.5)</f>
        <v>0</v>
      </c>
      <c r="BJ82" s="299">
        <f>MROUND(Out_Table[[#This Row],[Mtr. Trailer]]*AE82,0.5)</f>
        <v>0</v>
      </c>
      <c r="BK82" s="299">
        <f>MROUND(Out_Table[[#This Row],[Mtr. Trailer]]*AH82,0.5)</f>
        <v>0</v>
      </c>
      <c r="BL82" s="300">
        <f>Out_Table[[#This Row],[Double Deck trailer N° bumpers]]</f>
        <v>0</v>
      </c>
      <c r="BM82" s="301"/>
      <c r="BN82" s="299" t="str">
        <f>B82</f>
        <v>ITD12748</v>
      </c>
      <c r="BO82" s="299" t="str">
        <f>E82</f>
        <v>BO1</v>
      </c>
      <c r="BP82" s="302">
        <f>IF(AND(G82&gt;(--"00:00:01"),G82&lt;(--"15:00:00")),IF(AND(X82&gt;(--"00:00:01"),X82&lt;(--"15:00:00")),G82-X82,G82+1-X82),G82-X82)</f>
        <v>1.1909722222222223</v>
      </c>
      <c r="BQ82" s="303">
        <f>AE82+AF82+AH82+AJ82</f>
        <v>0</v>
      </c>
      <c r="BR82" s="304" t="str">
        <f>IF(OR(BP82&lt;=(--"00:20:00"),BQ82&gt;=100%),"OK","Not OK")</f>
        <v>Not OK</v>
      </c>
      <c r="BS82" s="302">
        <f>IF(AND(G82&gt;(--"00:00:01"),G82&lt;(--"15:00:00")),IF(AND(AU82&gt;(--"00:00:01"),AU82&lt;(--"15:00:00")),G82-AU82,G82+1-AU82),G82-AU82)</f>
        <v>1.1909722222222223</v>
      </c>
      <c r="BT82" s="302">
        <f>IF(AND(AZ82&gt;(--"00:00:01"),AZ82&lt;(--"15:00:00")),IF(AND(AU82&gt;(--"00:00:01"),AU82&lt;(--"15:00:00")),AZ82-AU82,AZ82+1-AU82),AZ82-AU82)</f>
        <v>0</v>
      </c>
      <c r="BU82" s="302">
        <f>IF(AND(BA82&gt;(--"00:00:01"),BA82&lt;(--"15:00:00")),IF(AND(AZ82&gt;(--"00:00:01"),AZ82&lt;(--"15:00:00")),BA82-AZ82,BA82+1-AZ82),BA82-AZ82)</f>
        <v>0</v>
      </c>
      <c r="BV82" s="299">
        <f>AV82</f>
        <v>0</v>
      </c>
      <c r="BW82" s="301"/>
      <c r="BX82" s="299" t="str">
        <f>IF(AV82="T Status",IF(AV82&lt;&gt;T82,"X",""),"")</f>
        <v/>
      </c>
      <c r="BY82" s="301"/>
      <c r="BZ82" s="299" t="str">
        <f>IF(X82&lt;&gt;"",IF(CC82="X","Driver Delay",IF(CA82="X","Paperwork Delay",IF(CB82="X","Late freight late sort",IF(CD82="X","Chiamare Control Room",IF(CE82="X","Chiamare Control Room",IF(CF82="X","Chiamare Control Room","")))))),"")</f>
        <v/>
      </c>
      <c r="CA82" s="302" t="str">
        <f>IF(K82="",IF(IF(AND(G82&gt;(--"00:00:01"),G82&lt;(--"15:00:00")),IF(AND(AT82&gt;(--"08:00:00"),AT82&lt;(--"23:59:59")),G82+1-AT82,G82-AT82),G82-AT82)&gt;(--"00:20:00"),"","X"),"")</f>
        <v/>
      </c>
      <c r="CB82" s="299" t="str">
        <f>IF(K82="",IF(BP82&gt;=(--"00:20:00"),"","X"),"")</f>
        <v/>
      </c>
      <c r="CC82" s="299" t="str">
        <f>IF(OR(AV82="Autista non presente",AV82="Dati driver non presenti"),"X","")</f>
        <v/>
      </c>
      <c r="CD82" s="299" t="str">
        <f>IF(K82="",IF(AND(CC82="",BS82&lt;(--"00:20:00")),"X",""),"")</f>
        <v/>
      </c>
      <c r="CE82" s="299" t="str">
        <f>IF(K82="",IF(BT82&gt;(--"00:15:00"),"X",""),IF(AZ82&lt;&gt;"",IF(G82-AZ82&gt;(--"00:30:00"),"X",""),""))</f>
        <v/>
      </c>
      <c r="CF82" s="299" t="str">
        <f>IF(AND(CA82="",CB82="",CC82="",CD82="",CE82=""),"X","")</f>
        <v>X</v>
      </c>
      <c r="CG82" s="301"/>
      <c r="CH82" s="299" t="str">
        <f>IF(BT82&gt;(--"00:15:00"),"X","")</f>
        <v/>
      </c>
      <c r="CI82" s="302" t="str">
        <f>AY82</f>
        <v/>
      </c>
      <c r="CJ82" s="299" t="str">
        <f>IF(AND(CH82&lt;&gt;"",CI82&lt;&gt;"",LEFT(B82,3)="ITD"),AP82,"")</f>
        <v/>
      </c>
      <c r="CK82" s="305" t="str">
        <f>IF(CJ82&lt;&gt;"",BT82,"")</f>
        <v/>
      </c>
      <c r="CL82" s="301"/>
      <c r="CM82" s="305" t="str">
        <f>IFERROR(VLOOKUP(Q82,'Elenco Casse'!$D$4:$F$292,3,FALSE),"")</f>
        <v/>
      </c>
      <c r="CN82" s="301"/>
      <c r="CO82" s="305" t="str">
        <f>IFERROR(VLOOKUP(S82,'Elenco Casse'!$D$4:$F$292,3,FALSE),"")</f>
        <v/>
      </c>
      <c r="CP82" s="305" t="str">
        <f>IFERROR(IF(VLOOKUP($E82,Outlist!$A$5:$S$120,19,FALSE)&lt;&gt;0,"Y",""),"")</f>
        <v/>
      </c>
      <c r="CQ82" s="301"/>
      <c r="CR82" s="305" t="str">
        <f>CONCATENATE($B82,$E82,$G82)</f>
        <v>ITD12748BO10.190972222222222</v>
      </c>
      <c r="CS82" s="301"/>
      <c r="CT82" s="305" t="e">
        <f>VLOOKUP(Out_Table[[#This Row],[Destination             ORANGE (From Planning)]],Outlist!$A$5:$W$120,22,FALSE)</f>
        <v>#N/A</v>
      </c>
    </row>
    <row r="83" spans="1:98" s="20" customFormat="1" ht="30.75">
      <c r="A83" s="305" t="str">
        <f>$CR83</f>
        <v>ITD12001BA50.00694444444444444</v>
      </c>
      <c r="B83" s="284" t="s">
        <v>706</v>
      </c>
      <c r="C83" s="290" t="str">
        <f>IFERROR(IF(LEFT(B83,3)='STAT 77'!$X$2,_xlfn.XLOOKUP(B83,'STAT 77'!C:C,'STAT 77'!B:B),_xlfn.XLOOKUP(B83,'STAT 77'!B:B,'STAT 77'!C:C)),"NON TROVATO")</f>
        <v>ITD30716</v>
      </c>
      <c r="D83" s="25" t="s">
        <v>707</v>
      </c>
      <c r="E83" s="290" t="s">
        <v>708</v>
      </c>
      <c r="F83" s="290" t="str">
        <f>IFERROR(VLOOKUP(E83,'Cambio O2P'!C:E,2,FALSE),"")</f>
        <v>BRIP</v>
      </c>
      <c r="G83" s="285">
        <v>6.9444444444444441E-3</v>
      </c>
      <c r="H83" s="293" t="str">
        <f ca="1">IFERROR(IF(AND('INformazioni per calcoli'!$AB$3&lt;(--"14:30"),'INformazioni per calcoli'!$AB$3&gt;(--"10:00")),"",IF($B83="","",IF($X83&lt;&gt;"","Mezzo Chiuso",IF($W83="","Non al Carico",IF($G83-'INformazioni per calcoli'!$AB$5-'INformazioni per calcoli'!$AB$3+$J83&lt;0,"LFLS",IF($K83&lt;&gt;"","Safe Parking",IF($W83&lt;&gt;"",IF($E83="MXP",$G83-'INformazioni per calcoli'!$AB$6-'INformazioni per calcoli'!$AB$3+$J83,$G83-'INformazioni per calcoli'!$AB$5-'INformazioni per calcoli'!$AB$3+$J83),"Non al carico"))))))),"")</f>
        <v>Mezzo Chiuso</v>
      </c>
      <c r="I83" s="17" t="str">
        <f ca="1">IFERROR(IF($H83&lt;&gt;"",IF($H83="Safe Parking","",IF($W83&lt;&gt;"",IF(AND($U83="X",$V83="X"),$H83-(--"00:30"),""),IF($X83&lt;&gt;"","Mezzo Chiuso","Non al carico"))),""),"")</f>
        <v/>
      </c>
      <c r="J83" s="306">
        <f ca="1">IFERROR(IF($B83&lt;&gt;"",IF(AND('INformazioni per calcoli'!$AB$3&lt;(--"15:00"),'INformazioni per calcoli'!$AB$3&gt;(--"00:00")),0,IF($G83&lt;(--"18:30"),"+1",0)),""),"")</f>
        <v>0</v>
      </c>
      <c r="K83" s="17"/>
      <c r="L83" s="25" t="s">
        <v>709</v>
      </c>
      <c r="M83" s="25" t="str">
        <f>IFERROR(_xlfn.XLOOKUP($Q83,'Elenco Casse'!$D:$D,'Elenco Casse'!$E:$E),"")</f>
        <v>Conserva Spa</v>
      </c>
      <c r="N83" s="25">
        <f>IFERROR(_xlfn.XLOOKUP($Q83,'Elenco Casse'!$D:$D,'Elenco Casse'!$F:$F),"")</f>
        <v>0</v>
      </c>
      <c r="O83" s="286" t="s">
        <v>418</v>
      </c>
      <c r="P83" s="295" t="str">
        <f>IFERROR(_xlfn.XLOOKUP($Q83,'Elenco Casse'!$D:$D,'Elenco Casse'!$G:$G),"")</f>
        <v>trailer 80 m3 2/3 axes</v>
      </c>
      <c r="Q83" s="355" t="s">
        <v>710</v>
      </c>
      <c r="R83" s="23" t="s">
        <v>420</v>
      </c>
      <c r="S83" s="25" t="s">
        <v>421</v>
      </c>
      <c r="T83" s="25" t="s">
        <v>711</v>
      </c>
      <c r="U83" s="23" t="str">
        <f>IF(ISNUMBER(SEARCH("Parcel",$T83)),"X","")</f>
        <v>X</v>
      </c>
      <c r="V83" s="23"/>
      <c r="W83" s="26">
        <v>419</v>
      </c>
      <c r="X83" s="27">
        <v>0.98541666666666672</v>
      </c>
      <c r="Y83" s="25" t="s">
        <v>624</v>
      </c>
      <c r="Z83" s="25"/>
      <c r="AA83" s="25" t="s">
        <v>40</v>
      </c>
      <c r="AB83" s="57">
        <v>0.5</v>
      </c>
      <c r="AC83" s="25"/>
      <c r="AD83" s="25"/>
      <c r="AE83" s="57"/>
      <c r="AF83" s="57"/>
      <c r="AG83" s="25"/>
      <c r="AH83" s="57"/>
      <c r="AI83" s="339">
        <v>7</v>
      </c>
      <c r="AJ83" s="339"/>
      <c r="AK83" s="297" t="str">
        <f>IF(X83&lt;&gt;"",CONCATENATE(IF(AA83&lt;&gt;"",CONCATENATE(Z83," ",AA83," ",BI83),""),IF(AD83&lt;&gt;"",CONCATENATE(","," ",AC83," ",AD83," ",BJ83),""),IF(AG83&lt;&gt;"",CONCATENATE(","," ",AF83," ",AG83," ",BK83),""),IF(AJ83&lt;&gt;"",CONCATENATE(","," ","DD"," ",BL83),"")," ",IF(AI83&lt;&gt;"",CONCATENATE(" - ",AI83," Bag"),"")),"")</f>
        <v xml:space="preserve"> LL 7  - 7 Bag</v>
      </c>
      <c r="AL83" s="287" t="s">
        <v>421</v>
      </c>
      <c r="AM83" s="287"/>
      <c r="AN83" s="287"/>
      <c r="AO83" s="287"/>
      <c r="AP83" s="370" t="str">
        <f>IFERROR(VLOOKUP(#REF!,Outlist!$A$5:$V$120,20,FALSE),"")</f>
        <v/>
      </c>
      <c r="AQ83" s="288" t="s">
        <v>712</v>
      </c>
      <c r="AS83" s="24"/>
      <c r="AT83" s="24">
        <v>0.93194444444444446</v>
      </c>
      <c r="AU83" s="27">
        <v>0.98541666666666672</v>
      </c>
      <c r="AV83" s="27"/>
      <c r="AW83" s="20" t="s">
        <v>443</v>
      </c>
      <c r="AX83" s="20" t="str">
        <f>IFERROR(IF(Out_Table[[#This Row],[Cancellazione linea]]="Cancellata","yes",""),"")</f>
        <v/>
      </c>
      <c r="AY83" s="72" t="str">
        <f>IF(BA83="",BZ83,IF(AND(BA83&lt;(--"23:59:59"),BA83&gt;(--"15:00:00"),G83&lt;(--"14:00:00"),G83&gt;(--"00:00:01")),"",IF(BA83&gt;G83,BZ83,"")))</f>
        <v/>
      </c>
      <c r="AZ83" s="27"/>
      <c r="BA83" s="32">
        <v>0.99791666666666667</v>
      </c>
      <c r="BB83" s="72"/>
      <c r="BC83" s="72" t="str">
        <f>IFERROR(VLOOKUP(Out_Table[[#This Row],[Aggiornamento STATUS]],'INformazioni per calcoli'!$Y$70:$AA$76,2,FALSE),"")</f>
        <v/>
      </c>
      <c r="BD83" s="289"/>
      <c r="BE83" s="289"/>
      <c r="BF83" s="47" t="str">
        <f>LEFT($E83,3)</f>
        <v>BA5</v>
      </c>
      <c r="BG83" s="298" t="str">
        <f>IF(Out_Table[[#This Row],[Ora Uscita    (GH)]]&lt;&gt;"","x","")</f>
        <v>x</v>
      </c>
      <c r="BH83" s="299">
        <f>VLOOKUP($O83,'INformazioni per calcoli'!$Y$20:$AA$23,3,FALSE)</f>
        <v>14</v>
      </c>
      <c r="BI83" s="299">
        <f>MROUND(Out_Table[[#This Row],[Mtr. Trailer]]*AB83,0.5)</f>
        <v>7</v>
      </c>
      <c r="BJ83" s="299">
        <f>MROUND(Out_Table[[#This Row],[Mtr. Trailer]]*AE83,0.5)</f>
        <v>0</v>
      </c>
      <c r="BK83" s="299">
        <f>MROUND(Out_Table[[#This Row],[Mtr. Trailer]]*AH83,0.5)</f>
        <v>0</v>
      </c>
      <c r="BL83" s="300">
        <f>Out_Table[[#This Row],[Double Deck trailer N° bumpers]]</f>
        <v>0</v>
      </c>
      <c r="BM83" s="301"/>
      <c r="BN83" s="299" t="str">
        <f>B83</f>
        <v>ITD12001</v>
      </c>
      <c r="BO83" s="299" t="str">
        <f>E83</f>
        <v>BA5</v>
      </c>
      <c r="BP83" s="302">
        <f>IF(AND(G83&gt;(--"00:00:01"),G83&lt;(--"15:00:00")),IF(AND(X83&gt;(--"00:00:01"),X83&lt;(--"15:00:00")),G83-X83,G83+1-X83),G83-X83)</f>
        <v>2.1527777777777701E-2</v>
      </c>
      <c r="BQ83" s="303">
        <f>AE83+AF83+AH83+AJ83</f>
        <v>0</v>
      </c>
      <c r="BR83" s="304" t="str">
        <f>IF(OR(BP83&lt;=(--"00:20:00"),BQ83&gt;=100%),"OK","Not OK")</f>
        <v>Not OK</v>
      </c>
      <c r="BS83" s="302">
        <f>IF(AND(G83&gt;(--"00:00:01"),G83&lt;(--"15:00:00")),IF(AND(AU83&gt;(--"00:00:01"),AU83&lt;(--"15:00:00")),G83-AU83,G83+1-AU83),G83-AU83)</f>
        <v>2.1527777777777701E-2</v>
      </c>
      <c r="BT83" s="302">
        <f>IF(AND(AZ83&gt;(--"00:00:01"),AZ83&lt;(--"15:00:00")),IF(AND(AU83&gt;(--"00:00:01"),AU83&lt;(--"15:00:00")),AZ83-AU83,AZ83+1-AU83),AZ83-AU83)</f>
        <v>-0.98541666666666672</v>
      </c>
      <c r="BU83" s="302">
        <f>IF(AND(BA83&gt;(--"00:00:01"),BA83&lt;(--"15:00:00")),IF(AND(AZ83&gt;(--"00:00:01"),AZ83&lt;(--"15:00:00")),BA83-AZ83,BA83+1-AZ83),BA83-AZ83)</f>
        <v>0.99791666666666667</v>
      </c>
      <c r="BV83" s="299">
        <f>AV83</f>
        <v>0</v>
      </c>
      <c r="BW83" s="301"/>
      <c r="BX83" s="299" t="str">
        <f>IF(AV83="T Status",IF(AV83&lt;&gt;T83,"X",""),"")</f>
        <v/>
      </c>
      <c r="BY83" s="301"/>
      <c r="BZ83" s="299" t="str">
        <f>IF(X83&lt;&gt;"",IF(CC83="X","Driver Delay",IF(CA83="X","Paperwork Delay",IF(CB83="X","Late freight late sort",IF(CD83="X","Chiamare Control Room",IF(CE83="X","Chiamare Control Room",IF(CF83="X","Chiamare Control Room","")))))),"")</f>
        <v>Chiamare Control Room</v>
      </c>
      <c r="CA83" s="302" t="str">
        <f>IF(K83="",IF(IF(AND(G83&gt;(--"00:00:01"),G83&lt;(--"15:00:00")),IF(AND(AT83&gt;(--"08:00:00"),AT83&lt;(--"23:59:59")),G83+1-AT83,G83-AT83),G83-AT83)&gt;(--"00:20:00"),"","X"),"")</f>
        <v/>
      </c>
      <c r="CB83" s="299" t="str">
        <f>IF(K83="",IF(BP83&gt;=(--"00:20:00"),"","X"),"")</f>
        <v/>
      </c>
      <c r="CC83" s="299" t="str">
        <f>IF(OR(AV83="Autista non presente",AV83="Dati driver non presenti"),"X","")</f>
        <v/>
      </c>
      <c r="CD83" s="299" t="str">
        <f>IF(K83="",IF(AND(CC83="",BS83&lt;(--"00:20:00")),"X",""),"")</f>
        <v/>
      </c>
      <c r="CE83" s="299" t="str">
        <f>IF(K83="",IF(BT83&gt;(--"00:15:00"),"X",""),IF(AZ83&lt;&gt;"",IF(G83-AZ83&gt;(--"00:30:00"),"X",""),""))</f>
        <v/>
      </c>
      <c r="CF83" s="299" t="str">
        <f>IF(AND(CA83="",CB83="",CC83="",CD83="",CE83=""),"X","")</f>
        <v>X</v>
      </c>
      <c r="CG83" s="301"/>
      <c r="CH83" s="299" t="str">
        <f>IF(BT83&gt;(--"00:15:00"),"X","")</f>
        <v/>
      </c>
      <c r="CI83" s="302" t="str">
        <f>AY83</f>
        <v/>
      </c>
      <c r="CJ83" s="299" t="str">
        <f>IF(AND(CH83&lt;&gt;"",CI83&lt;&gt;"",LEFT(B83,3)="ITD"),AP83,"")</f>
        <v/>
      </c>
      <c r="CK83" s="305" t="str">
        <f>IF(CJ83&lt;&gt;"",BT83,"")</f>
        <v/>
      </c>
      <c r="CL83" s="301"/>
      <c r="CM83" s="305" t="str">
        <f>IFERROR(VLOOKUP(Q83,'Elenco Casse'!$D$4:$F$292,3,FALSE),"")</f>
        <v/>
      </c>
      <c r="CN83" s="301"/>
      <c r="CO83" s="305" t="str">
        <f>IFERROR(VLOOKUP(S83,'Elenco Casse'!$D$4:$F$292,3,FALSE),"")</f>
        <v/>
      </c>
      <c r="CP83" s="305" t="str">
        <f>IFERROR(IF(VLOOKUP($E83,Outlist!$A$5:$S$120,19,FALSE)&lt;&gt;0,"Y",""),"")</f>
        <v/>
      </c>
      <c r="CQ83" s="301"/>
      <c r="CR83" s="305" t="str">
        <f>CONCATENATE($B83,$E83,$G83)</f>
        <v>ITD12001BA50.00694444444444444</v>
      </c>
      <c r="CS83" s="301"/>
      <c r="CT83" s="305" t="e">
        <f>VLOOKUP(Out_Table[[#This Row],[Destination             ORANGE (From Planning)]],Outlist!$A$5:$W$120,22,FALSE)</f>
        <v>#N/A</v>
      </c>
    </row>
    <row r="84" spans="1:98" s="20" customFormat="1" ht="30.75">
      <c r="A84" s="305" t="str">
        <f>$CR84</f>
        <v>ITD12005BA50.916666666666667</v>
      </c>
      <c r="B84" s="284" t="s">
        <v>713</v>
      </c>
      <c r="C84" s="290" t="str">
        <f>IFERROR(IF(LEFT(B84,3)='STAT 77'!$X$2,_xlfn.XLOOKUP(B84,'STAT 77'!C:C,'STAT 77'!B:B),_xlfn.XLOOKUP(B84,'STAT 77'!B:B,'STAT 77'!C:C)),"NON TROVATO")</f>
        <v>ITD30720</v>
      </c>
      <c r="D84" s="25" t="s">
        <v>707</v>
      </c>
      <c r="E84" s="290" t="s">
        <v>708</v>
      </c>
      <c r="F84" s="290" t="str">
        <f>IFERROR(VLOOKUP(E84,'Cambio O2P'!C:E,2,FALSE),"")</f>
        <v>BRIP</v>
      </c>
      <c r="G84" s="285">
        <v>0.91666666666666663</v>
      </c>
      <c r="H84" s="293" t="str">
        <f ca="1">IFERROR(IF(AND('INformazioni per calcoli'!$AB$3&lt;(--"14:30"),'INformazioni per calcoli'!$AB$3&gt;(--"10:00")),"",IF($B84="","",IF($X84&lt;&gt;"","Mezzo Chiuso",IF($W84="","Non al Carico",IF($G84-'INformazioni per calcoli'!$AB$5-'INformazioni per calcoli'!$AB$3+$J84&lt;0,"LFLS",IF($K84&lt;&gt;"","Safe Parking",IF($W84&lt;&gt;"",IF($E84="MXP",$G84-'INformazioni per calcoli'!$AB$6-'INformazioni per calcoli'!$AB$3+$J84,$G84-'INformazioni per calcoli'!$AB$5-'INformazioni per calcoli'!$AB$3+$J84),"Non al carico"))))))),"")</f>
        <v>Mezzo Chiuso</v>
      </c>
      <c r="I84" s="17" t="str">
        <f ca="1">IFERROR(IF($H84&lt;&gt;"",IF($H84="Safe Parking","",IF($W84&lt;&gt;"",IF(AND($U84="X",$V84="X"),$H84-(--"00:30"),""),IF($X84&lt;&gt;"","Mezzo Chiuso","Non al carico"))),""),"")</f>
        <v/>
      </c>
      <c r="J84" s="306">
        <f ca="1">IFERROR(IF($B84&lt;&gt;"",IF(AND('INformazioni per calcoli'!$AB$3&lt;(--"15:00"),'INformazioni per calcoli'!$AB$3&gt;(--"00:00")),0,IF($G84&lt;(--"18:30"),"+1",0)),""),"")</f>
        <v>0</v>
      </c>
      <c r="K84" s="17"/>
      <c r="L84" s="25" t="s">
        <v>692</v>
      </c>
      <c r="M84" s="25" t="str">
        <f>IFERROR(_xlfn.XLOOKUP($Q84,'Elenco Casse'!$D:$D,'Elenco Casse'!$E:$E),"")</f>
        <v/>
      </c>
      <c r="N84" s="25" t="str">
        <f>IFERROR(_xlfn.XLOOKUP($Q84,'Elenco Casse'!$D:$D,'Elenco Casse'!$F:$F),"")</f>
        <v/>
      </c>
      <c r="O84" s="286" t="s">
        <v>418</v>
      </c>
      <c r="P84" s="295" t="str">
        <f>IFERROR(_xlfn.XLOOKUP($Q84,'Elenco Casse'!$D:$D,'Elenco Casse'!$G:$G),"")</f>
        <v/>
      </c>
      <c r="Q84" s="355" t="s">
        <v>714</v>
      </c>
      <c r="R84" s="23" t="s">
        <v>420</v>
      </c>
      <c r="S84" s="25" t="s">
        <v>421</v>
      </c>
      <c r="T84" s="25" t="s">
        <v>715</v>
      </c>
      <c r="U84" s="23" t="str">
        <f>IF(ISNUMBER(SEARCH("Parcel",$T84)),"X","")</f>
        <v>X</v>
      </c>
      <c r="V84" s="23"/>
      <c r="W84" s="26">
        <v>419</v>
      </c>
      <c r="X84" s="27">
        <v>0.87847222222222221</v>
      </c>
      <c r="Y84" s="25" t="s">
        <v>716</v>
      </c>
      <c r="Z84" s="25"/>
      <c r="AA84" s="25" t="s">
        <v>40</v>
      </c>
      <c r="AB84" s="57">
        <v>1</v>
      </c>
      <c r="AC84" s="25"/>
      <c r="AD84" s="25"/>
      <c r="AE84" s="57"/>
      <c r="AF84" s="57"/>
      <c r="AG84" s="25"/>
      <c r="AH84" s="57"/>
      <c r="AI84" s="339">
        <v>18</v>
      </c>
      <c r="AJ84" s="339"/>
      <c r="AK84" s="297" t="str">
        <f>IF(X84&lt;&gt;"",CONCATENATE(IF(AA84&lt;&gt;"",CONCATENATE(Z84," ",AA84," ",BI84),""),IF(AD84&lt;&gt;"",CONCATENATE(","," ",AC84," ",AD84," ",BJ84),""),IF(AG84&lt;&gt;"",CONCATENATE(","," ",AF84," ",AG84," ",BK84),""),IF(AJ84&lt;&gt;"",CONCATENATE(","," ","DD"," ",BL84),"")," ",IF(AI84&lt;&gt;"",CONCATENATE(" - ",AI84," Bag"),"")),"")</f>
        <v xml:space="preserve"> LL 14  - 18 Bag</v>
      </c>
      <c r="AL84" s="287" t="s">
        <v>421</v>
      </c>
      <c r="AM84" s="287"/>
      <c r="AN84" s="287"/>
      <c r="AO84" s="287"/>
      <c r="AP84" s="370" t="str">
        <f>IFERROR(VLOOKUP(#REF!,Outlist!$A$5:$V$120,20,FALSE),"")</f>
        <v/>
      </c>
      <c r="AQ84" s="288" t="s">
        <v>717</v>
      </c>
      <c r="AS84" s="24"/>
      <c r="AT84" s="24">
        <v>0.46250000000000002</v>
      </c>
      <c r="AU84" s="27">
        <v>0.87916666666666665</v>
      </c>
      <c r="AV84" s="27"/>
      <c r="AW84" s="20" t="s">
        <v>443</v>
      </c>
      <c r="AX84" s="20" t="str">
        <f>IFERROR(IF(Out_Table[[#This Row],[Cancellazione linea]]="Cancellata","yes",""),"")</f>
        <v/>
      </c>
      <c r="AY84" s="72" t="str">
        <f>IF(BA84="",BZ84,IF(AND(BA84&lt;(--"23:59:59"),BA84&gt;(--"15:00:00"),G84&lt;(--"14:00:00"),G84&gt;(--"00:00:01")),"",IF(BA84&gt;G84,BZ84,"")))</f>
        <v/>
      </c>
      <c r="AZ84" s="27">
        <v>0.88680555555555551</v>
      </c>
      <c r="BA84" s="32">
        <v>0.89444444444444449</v>
      </c>
      <c r="BB84" s="72"/>
      <c r="BC84" s="72" t="str">
        <f>IFERROR(VLOOKUP(Out_Table[[#This Row],[Aggiornamento STATUS]],'INformazioni per calcoli'!$Y$70:$AA$76,2,FALSE),"")</f>
        <v/>
      </c>
      <c r="BD84" s="289"/>
      <c r="BE84" s="289"/>
      <c r="BF84" s="47" t="str">
        <f>LEFT($E84,3)</f>
        <v>BA5</v>
      </c>
      <c r="BG84" s="298" t="str">
        <f>IF(Out_Table[[#This Row],[Ora Uscita    (GH)]]&lt;&gt;"","x","")</f>
        <v>x</v>
      </c>
      <c r="BH84" s="299">
        <f>VLOOKUP($O84,'INformazioni per calcoli'!$Y$20:$AA$23,3,FALSE)</f>
        <v>14</v>
      </c>
      <c r="BI84" s="299">
        <f>MROUND(Out_Table[[#This Row],[Mtr. Trailer]]*AB84,0.5)</f>
        <v>14</v>
      </c>
      <c r="BJ84" s="299">
        <f>MROUND(Out_Table[[#This Row],[Mtr. Trailer]]*AE84,0.5)</f>
        <v>0</v>
      </c>
      <c r="BK84" s="299">
        <f>MROUND(Out_Table[[#This Row],[Mtr. Trailer]]*AH84,0.5)</f>
        <v>0</v>
      </c>
      <c r="BL84" s="300">
        <f>Out_Table[[#This Row],[Double Deck trailer N° bumpers]]</f>
        <v>0</v>
      </c>
      <c r="BM84" s="301"/>
      <c r="BN84" s="299" t="str">
        <f>B84</f>
        <v>ITD12005</v>
      </c>
      <c r="BO84" s="299" t="str">
        <f>E84</f>
        <v>BA5</v>
      </c>
      <c r="BP84" s="302">
        <f>IF(AND(G84&gt;(--"00:00:01"),G84&lt;(--"15:00:00")),IF(AND(X84&gt;(--"00:00:01"),X84&lt;(--"15:00:00")),G84-X84,G84+1-X84),G84-X84)</f>
        <v>3.819444444444442E-2</v>
      </c>
      <c r="BQ84" s="303">
        <f>AE84+AF84+AH84+AJ84</f>
        <v>0</v>
      </c>
      <c r="BR84" s="304" t="str">
        <f>IF(OR(BP84&lt;=(--"00:20:00"),BQ84&gt;=100%),"OK","Not OK")</f>
        <v>Not OK</v>
      </c>
      <c r="BS84" s="302">
        <f>IF(AND(G84&gt;(--"00:00:01"),G84&lt;(--"15:00:00")),IF(AND(AU84&gt;(--"00:00:01"),AU84&lt;(--"15:00:00")),G84-AU84,G84+1-AU84),G84-AU84)</f>
        <v>3.7499999999999978E-2</v>
      </c>
      <c r="BT84" s="302">
        <f>IF(AND(AZ84&gt;(--"00:00:01"),AZ84&lt;(--"15:00:00")),IF(AND(AU84&gt;(--"00:00:01"),AU84&lt;(--"15:00:00")),AZ84-AU84,AZ84+1-AU84),AZ84-AU84)</f>
        <v>7.6388888888888618E-3</v>
      </c>
      <c r="BU84" s="302">
        <f>IF(AND(BA84&gt;(--"00:00:01"),BA84&lt;(--"15:00:00")),IF(AND(AZ84&gt;(--"00:00:01"),AZ84&lt;(--"15:00:00")),BA84-AZ84,BA84+1-AZ84),BA84-AZ84)</f>
        <v>7.6388888888889728E-3</v>
      </c>
      <c r="BV84" s="299">
        <f>AV84</f>
        <v>0</v>
      </c>
      <c r="BW84" s="301"/>
      <c r="BX84" s="299" t="str">
        <f>IF(AV84="T Status",IF(AV84&lt;&gt;T84,"X",""),"")</f>
        <v/>
      </c>
      <c r="BY84" s="301"/>
      <c r="BZ84" s="299" t="str">
        <f>IF(X84&lt;&gt;"",IF(CC84="X","Driver Delay",IF(CA84="X","Paperwork Delay",IF(CB84="X","Late freight late sort",IF(CD84="X","Chiamare Control Room",IF(CE84="X","Chiamare Control Room",IF(CF84="X","Chiamare Control Room","")))))),"")</f>
        <v>Chiamare Control Room</v>
      </c>
      <c r="CA84" s="302" t="str">
        <f>IF(K84="",IF(IF(AND(G84&gt;(--"00:00:01"),G84&lt;(--"15:00:00")),IF(AND(AT84&gt;(--"08:00:00"),AT84&lt;(--"23:59:59")),G84+1-AT84,G84-AT84),G84-AT84)&gt;(--"00:20:00"),"","X"),"")</f>
        <v/>
      </c>
      <c r="CB84" s="299" t="str">
        <f>IF(K84="",IF(BP84&gt;=(--"00:20:00"),"","X"),"")</f>
        <v/>
      </c>
      <c r="CC84" s="299" t="str">
        <f>IF(OR(AV84="Autista non presente",AV84="Dati driver non presenti"),"X","")</f>
        <v/>
      </c>
      <c r="CD84" s="299" t="str">
        <f>IF(K84="",IF(AND(CC84="",BS84&lt;(--"00:20:00")),"X",""),"")</f>
        <v/>
      </c>
      <c r="CE84" s="299" t="str">
        <f>IF(K84="",IF(BT84&gt;(--"00:15:00"),"X",""),IF(AZ84&lt;&gt;"",IF(G84-AZ84&gt;(--"00:30:00"),"X",""),""))</f>
        <v/>
      </c>
      <c r="CF84" s="299" t="str">
        <f>IF(AND(CA84="",CB84="",CC84="",CD84="",CE84=""),"X","")</f>
        <v>X</v>
      </c>
      <c r="CG84" s="301"/>
      <c r="CH84" s="299" t="str">
        <f>IF(BT84&gt;(--"00:15:00"),"X","")</f>
        <v/>
      </c>
      <c r="CI84" s="302" t="str">
        <f>AY84</f>
        <v/>
      </c>
      <c r="CJ84" s="299" t="str">
        <f>IF(AND(CH84&lt;&gt;"",CI84&lt;&gt;"",LEFT(B84,3)="ITD"),AP84,"")</f>
        <v/>
      </c>
      <c r="CK84" s="305" t="str">
        <f>IF(CJ84&lt;&gt;"",BT84,"")</f>
        <v/>
      </c>
      <c r="CL84" s="301"/>
      <c r="CM84" s="305" t="str">
        <f>IFERROR(VLOOKUP(Q84,'Elenco Casse'!$D$4:$F$292,3,FALSE),"")</f>
        <v/>
      </c>
      <c r="CN84" s="301"/>
      <c r="CO84" s="305" t="str">
        <f>IFERROR(VLOOKUP(S84,'Elenco Casse'!$D$4:$F$292,3,FALSE),"")</f>
        <v/>
      </c>
      <c r="CP84" s="305" t="str">
        <f>IFERROR(IF(VLOOKUP($E84,Outlist!$A$5:$S$120,19,FALSE)&lt;&gt;0,"Y",""),"")</f>
        <v/>
      </c>
      <c r="CQ84" s="301"/>
      <c r="CR84" s="305" t="str">
        <f>CONCATENATE($B84,$E84,$G84)</f>
        <v>ITD12005BA50.916666666666667</v>
      </c>
      <c r="CS84" s="301"/>
      <c r="CT84" s="305" t="e">
        <f>VLOOKUP(Out_Table[[#This Row],[Destination             ORANGE (From Planning)]],Outlist!$A$5:$W$120,22,FALSE)</f>
        <v>#N/A</v>
      </c>
    </row>
    <row r="85" spans="1:98" s="20" customFormat="1" ht="30.75">
      <c r="A85" s="305" t="str">
        <f>$CR85</f>
        <v>ITD12738BO20.833333333333333</v>
      </c>
      <c r="B85" s="284" t="s">
        <v>718</v>
      </c>
      <c r="C85" s="290" t="str">
        <f>IFERROR(IF(LEFT(B85,3)='STAT 77'!$X$2,_xlfn.XLOOKUP(B85,'STAT 77'!C:C,'STAT 77'!B:B),_xlfn.XLOOKUP(B85,'STAT 77'!B:B,'STAT 77'!C:C)),"NON TROVATO")</f>
        <v>ITD32192</v>
      </c>
      <c r="D85" s="25" t="s">
        <v>719</v>
      </c>
      <c r="E85" s="290" t="s">
        <v>126</v>
      </c>
      <c r="F85" s="290" t="str">
        <f>IFERROR(VLOOKUP(E85,'Cambio O2P'!C:E,2,FALSE),"")</f>
        <v>BLQP</v>
      </c>
      <c r="G85" s="285">
        <v>0.83333333333333337</v>
      </c>
      <c r="H85" s="293" t="str">
        <f ca="1">IFERROR(IF(AND('INformazioni per calcoli'!$AB$3&lt;(--"14:30"),'INformazioni per calcoli'!$AB$3&gt;(--"10:00")),"",IF($B85="","",IF($X85&lt;&gt;"","Mezzo Chiuso",IF($W85="","Non al Carico",IF($G85-'INformazioni per calcoli'!$AB$5-'INformazioni per calcoli'!$AB$3+$J85&lt;0,"LFLS",IF($K85&lt;&gt;"","Safe Parking",IF($W85&lt;&gt;"",IF($E85="MXP",$G85-'INformazioni per calcoli'!$AB$6-'INformazioni per calcoli'!$AB$3+$J85,$G85-'INformazioni per calcoli'!$AB$5-'INformazioni per calcoli'!$AB$3+$J85),"Non al carico"))))))),"")</f>
        <v>Mezzo Chiuso</v>
      </c>
      <c r="I85" s="17" t="str">
        <f ca="1">IFERROR(IF($H85&lt;&gt;"",IF($H85="Safe Parking","",IF($W85&lt;&gt;"",IF(AND($U85="X",$V85="X"),$H85-(--"00:30"),""),IF($X85&lt;&gt;"","Mezzo Chiuso","Non al carico"))),""),"")</f>
        <v/>
      </c>
      <c r="J85" s="306">
        <f ca="1">IFERROR(IF($B85&lt;&gt;"",IF(AND('INformazioni per calcoli'!$AB$3&lt;(--"15:00"),'INformazioni per calcoli'!$AB$3&gt;(--"00:00")),0,IF($G85&lt;(--"18:30"),"+1",0)),""),"")</f>
        <v>0</v>
      </c>
      <c r="K85" s="17"/>
      <c r="L85" s="25" t="s">
        <v>720</v>
      </c>
      <c r="M85" s="25" t="str">
        <f>IFERROR(_xlfn.XLOOKUP($Q85,'Elenco Casse'!$D:$D,'Elenco Casse'!$E:$E),"")</f>
        <v>Eurologistica Spa</v>
      </c>
      <c r="N85" s="25">
        <f>IFERROR(_xlfn.XLOOKUP($Q85,'Elenco Casse'!$D:$D,'Elenco Casse'!$F:$F),"")</f>
        <v>0</v>
      </c>
      <c r="O85" s="286" t="s">
        <v>418</v>
      </c>
      <c r="P85" s="295" t="str">
        <f>IFERROR(_xlfn.XLOOKUP($Q85,'Elenco Casse'!$D:$D,'Elenco Casse'!$G:$G),"")</f>
        <v>trailer 80 m3 2/3 axes</v>
      </c>
      <c r="Q85" s="355" t="s">
        <v>721</v>
      </c>
      <c r="R85" s="23" t="s">
        <v>420</v>
      </c>
      <c r="S85" s="25" t="s">
        <v>421</v>
      </c>
      <c r="T85" s="25" t="s">
        <v>460</v>
      </c>
      <c r="U85" s="23" t="str">
        <f>IF(ISNUMBER(SEARCH("Parcel",$T85)),"X","")</f>
        <v>X</v>
      </c>
      <c r="V85" s="23" t="str">
        <f>IF(ISNUMBER(SEARCH("Freight",$T85)),"X","")</f>
        <v/>
      </c>
      <c r="W85" s="26">
        <v>420</v>
      </c>
      <c r="X85" s="27">
        <v>0.80972222222222223</v>
      </c>
      <c r="Y85" s="25" t="str">
        <f>IF(Out_Table[[#This Row],[DOC Del. hr. (RTH)]]&lt;&gt;"","XXX","")</f>
        <v>XXX</v>
      </c>
      <c r="Z85" s="25"/>
      <c r="AA85" s="25" t="s">
        <v>40</v>
      </c>
      <c r="AB85" s="57">
        <v>1</v>
      </c>
      <c r="AC85" s="25"/>
      <c r="AD85" s="25"/>
      <c r="AE85" s="57"/>
      <c r="AF85" s="57"/>
      <c r="AG85" s="25"/>
      <c r="AH85" s="57"/>
      <c r="AI85" s="339">
        <v>35</v>
      </c>
      <c r="AJ85" s="339"/>
      <c r="AK85" s="297" t="str">
        <f>IF(X85&lt;&gt;"",CONCATENATE(IF(AA85&lt;&gt;"",CONCATENATE(Z85," ",AA85," ",BI85),""),IF(AD85&lt;&gt;"",CONCATENATE(","," ",AC85," ",AD85," ",BJ85),""),IF(AG85&lt;&gt;"",CONCATENATE(","," ",AF85," ",AG85," ",BK85),""),IF(AJ85&lt;&gt;"",CONCATENATE(","," ","DD"," ",BL85),"")," ",IF(AI85&lt;&gt;"",CONCATENATE(" - ",AI85," Bag"),"")),"")</f>
        <v xml:space="preserve"> LL 14  - 35 Bag</v>
      </c>
      <c r="AL85" s="287" t="s">
        <v>421</v>
      </c>
      <c r="AM85" s="287"/>
      <c r="AN85" s="287"/>
      <c r="AO85" s="287"/>
      <c r="AP85" s="370" t="str">
        <f>IFERROR(VLOOKUP(#REF!,Outlist!$A$5:$V$120,20,FALSE),"")</f>
        <v/>
      </c>
      <c r="AQ85" s="288" t="s">
        <v>722</v>
      </c>
      <c r="AS85" s="24"/>
      <c r="AT85" s="24">
        <v>0.48125000000000001</v>
      </c>
      <c r="AU85" s="27">
        <v>0.81041666666666667</v>
      </c>
      <c r="AV85" s="27"/>
      <c r="AW85" s="20" t="s">
        <v>443</v>
      </c>
      <c r="AX85" s="20" t="str">
        <f>IFERROR(IF(Out_Table[[#This Row],[Cancellazione linea]]="Cancellata","yes",""),"")</f>
        <v/>
      </c>
      <c r="AY85" s="72" t="str">
        <f>IF(BA85="",BZ85,IF(AND(BA85&lt;(--"23:59:59"),BA85&gt;(--"15:00:00"),G85&lt;(--"14:00:00"),G85&gt;(--"00:00:01")),"",IF(BA85&gt;G85,BZ85,"")))</f>
        <v/>
      </c>
      <c r="AZ85" s="27">
        <v>0.81458333333333333</v>
      </c>
      <c r="BA85" s="32">
        <v>0.82291666666666663</v>
      </c>
      <c r="BB85" s="72"/>
      <c r="BC85" s="72" t="str">
        <f>IFERROR(VLOOKUP(Out_Table[[#This Row],[Aggiornamento STATUS]],'INformazioni per calcoli'!$Y$70:$AA$76,2,FALSE),"")</f>
        <v/>
      </c>
      <c r="BD85" s="289"/>
      <c r="BE85" s="289"/>
      <c r="BF85" s="47" t="str">
        <f>LEFT($E85,3)</f>
        <v>BO2</v>
      </c>
      <c r="BG85" s="298" t="str">
        <f>IF(Out_Table[[#This Row],[Ora Uscita    (GH)]]&lt;&gt;"","x","")</f>
        <v>x</v>
      </c>
      <c r="BH85" s="299">
        <f>VLOOKUP($O85,'INformazioni per calcoli'!$Y$20:$AA$23,3,FALSE)</f>
        <v>14</v>
      </c>
      <c r="BI85" s="299">
        <f>MROUND(Out_Table[[#This Row],[Mtr. Trailer]]*AB85,0.5)</f>
        <v>14</v>
      </c>
      <c r="BJ85" s="299">
        <f>MROUND(Out_Table[[#This Row],[Mtr. Trailer]]*AE85,0.5)</f>
        <v>0</v>
      </c>
      <c r="BK85" s="299">
        <f>MROUND(Out_Table[[#This Row],[Mtr. Trailer]]*AH85,0.5)</f>
        <v>0</v>
      </c>
      <c r="BL85" s="300">
        <f>Out_Table[[#This Row],[Double Deck trailer N° bumpers]]</f>
        <v>0</v>
      </c>
      <c r="BM85" s="301"/>
      <c r="BN85" s="299" t="str">
        <f>B85</f>
        <v>ITD12738</v>
      </c>
      <c r="BO85" s="299" t="str">
        <f>E85</f>
        <v>BO2</v>
      </c>
      <c r="BP85" s="302">
        <f>IF(AND(G85&gt;(--"00:00:01"),G85&lt;(--"15:00:00")),IF(AND(X85&gt;(--"00:00:01"),X85&lt;(--"15:00:00")),G85-X85,G85+1-X85),G85-X85)</f>
        <v>2.3611111111111138E-2</v>
      </c>
      <c r="BQ85" s="303">
        <f>AE85+AF85+AH85+AJ85</f>
        <v>0</v>
      </c>
      <c r="BR85" s="304" t="str">
        <f>IF(OR(BP85&lt;=(--"00:20:00"),BQ85&gt;=100%),"OK","Not OK")</f>
        <v>Not OK</v>
      </c>
      <c r="BS85" s="302">
        <f>IF(AND(G85&gt;(--"00:00:01"),G85&lt;(--"15:00:00")),IF(AND(AU85&gt;(--"00:00:01"),AU85&lt;(--"15:00:00")),G85-AU85,G85+1-AU85),G85-AU85)</f>
        <v>2.2916666666666696E-2</v>
      </c>
      <c r="BT85" s="302">
        <f>IF(AND(AZ85&gt;(--"00:00:01"),AZ85&lt;(--"15:00:00")),IF(AND(AU85&gt;(--"00:00:01"),AU85&lt;(--"15:00:00")),AZ85-AU85,AZ85+1-AU85),AZ85-AU85)</f>
        <v>4.1666666666666519E-3</v>
      </c>
      <c r="BU85" s="302">
        <f>IF(AND(BA85&gt;(--"00:00:01"),BA85&lt;(--"15:00:00")),IF(AND(AZ85&gt;(--"00:00:01"),AZ85&lt;(--"15:00:00")),BA85-AZ85,BA85+1-AZ85),BA85-AZ85)</f>
        <v>8.3333333333333037E-3</v>
      </c>
      <c r="BV85" s="299">
        <f>AV85</f>
        <v>0</v>
      </c>
      <c r="BW85" s="301"/>
      <c r="BX85" s="299" t="str">
        <f>IF(AV85="T Status",IF(AV85&lt;&gt;T85,"X",""),"")</f>
        <v/>
      </c>
      <c r="BY85" s="301"/>
      <c r="BZ85" s="299" t="str">
        <f>IF(X85&lt;&gt;"",IF(CC85="X","Driver Delay",IF(CA85="X","Paperwork Delay",IF(CB85="X","Late freight late sort",IF(CD85="X","Chiamare Control Room",IF(CE85="X","Chiamare Control Room",IF(CF85="X","Chiamare Control Room","")))))),"")</f>
        <v>Chiamare Control Room</v>
      </c>
      <c r="CA85" s="302" t="str">
        <f>IF(K85="",IF(IF(AND(G85&gt;(--"00:00:01"),G85&lt;(--"15:00:00")),IF(AND(AT85&gt;(--"08:00:00"),AT85&lt;(--"23:59:59")),G85+1-AT85,G85-AT85),G85-AT85)&gt;(--"00:20:00"),"","X"),"")</f>
        <v/>
      </c>
      <c r="CB85" s="299" t="str">
        <f>IF(K85="",IF(BP85&gt;=(--"00:20:00"),"","X"),"")</f>
        <v/>
      </c>
      <c r="CC85" s="299" t="str">
        <f>IF(OR(AV85="Autista non presente",AV85="Dati driver non presenti"),"X","")</f>
        <v/>
      </c>
      <c r="CD85" s="299" t="str">
        <f>IF(K85="",IF(AND(CC85="",BS85&lt;(--"00:20:00")),"X",""),"")</f>
        <v/>
      </c>
      <c r="CE85" s="299" t="str">
        <f>IF(K85="",IF(BT85&gt;(--"00:15:00"),"X",""),IF(AZ85&lt;&gt;"",IF(G85-AZ85&gt;(--"00:30:00"),"X",""),""))</f>
        <v/>
      </c>
      <c r="CF85" s="299" t="str">
        <f>IF(AND(CA85="",CB85="",CC85="",CD85="",CE85=""),"X","")</f>
        <v>X</v>
      </c>
      <c r="CG85" s="301"/>
      <c r="CH85" s="299" t="str">
        <f>IF(BT85&gt;(--"00:15:00"),"X","")</f>
        <v/>
      </c>
      <c r="CI85" s="302" t="str">
        <f>AY85</f>
        <v/>
      </c>
      <c r="CJ85" s="299" t="str">
        <f>IF(AND(CH85&lt;&gt;"",CI85&lt;&gt;"",LEFT(B85,3)="ITD"),AP85,"")</f>
        <v/>
      </c>
      <c r="CK85" s="305" t="str">
        <f>IF(CJ85&lt;&gt;"",BT85,"")</f>
        <v/>
      </c>
      <c r="CL85" s="301"/>
      <c r="CM85" s="305" t="str">
        <f>IFERROR(VLOOKUP(Q85,'Elenco Casse'!$D$4:$F$292,3,FALSE),"")</f>
        <v/>
      </c>
      <c r="CN85" s="301"/>
      <c r="CO85" s="305" t="str">
        <f>IFERROR(VLOOKUP(S85,'Elenco Casse'!$D$4:$F$292,3,FALSE),"")</f>
        <v/>
      </c>
      <c r="CP85" s="305" t="str">
        <f>IFERROR(IF(VLOOKUP($E85,Outlist!$A$5:$S$120,19,FALSE)&lt;&gt;0,"Y",""),"")</f>
        <v/>
      </c>
      <c r="CQ85" s="301"/>
      <c r="CR85" s="305" t="str">
        <f>CONCATENATE($B85,$E85,$G85)</f>
        <v>ITD12738BO20.833333333333333</v>
      </c>
      <c r="CS85" s="301"/>
      <c r="CT85" s="305" t="e">
        <f>VLOOKUP(Out_Table[[#This Row],[Destination             ORANGE (From Planning)]],Outlist!$A$5:$W$120,22,FALSE)</f>
        <v>#N/A</v>
      </c>
    </row>
    <row r="86" spans="1:98" s="20" customFormat="1" ht="30.75">
      <c r="A86" s="305" t="str">
        <f>$CR86</f>
        <v>ITD12262BO20.979166666666667</v>
      </c>
      <c r="B86" s="284" t="s">
        <v>723</v>
      </c>
      <c r="C86" s="290" t="str">
        <f>IFERROR(IF(LEFT(B86,3)='STAT 77'!$X$2,_xlfn.XLOOKUP(B86,'STAT 77'!C:C,'STAT 77'!B:B),_xlfn.XLOOKUP(B86,'STAT 77'!B:B,'STAT 77'!C:C)),"NON TROVATO")</f>
        <v>ITD31235</v>
      </c>
      <c r="D86" s="25" t="s">
        <v>724</v>
      </c>
      <c r="E86" s="290" t="s">
        <v>126</v>
      </c>
      <c r="F86" s="290" t="str">
        <f>IFERROR(VLOOKUP(E86,'Cambio O2P'!C:E,2,FALSE),"")</f>
        <v>BLQP</v>
      </c>
      <c r="G86" s="285">
        <v>0.97916666666666663</v>
      </c>
      <c r="H86" s="293" t="str">
        <f ca="1">IFERROR(IF(AND('INformazioni per calcoli'!$AB$3&lt;(--"14:30"),'INformazioni per calcoli'!$AB$3&gt;(--"10:00")),"",IF($B86="","",IF($X86&lt;&gt;"","Mezzo Chiuso",IF($W86="","Non al Carico",IF($G86-'INformazioni per calcoli'!$AB$5-'INformazioni per calcoli'!$AB$3+$J86&lt;0,"LFLS",IF($K86&lt;&gt;"","Safe Parking",IF($W86&lt;&gt;"",IF($E86="MXP",$G86-'INformazioni per calcoli'!$AB$6-'INformazioni per calcoli'!$AB$3+$J86,$G86-'INformazioni per calcoli'!$AB$5-'INformazioni per calcoli'!$AB$3+$J86),"Non al carico"))))))),"")</f>
        <v>Mezzo Chiuso</v>
      </c>
      <c r="I86" s="17" t="str">
        <f ca="1">IFERROR(IF($H86&lt;&gt;"",IF($H86="Safe Parking","",IF($W86&lt;&gt;"",IF(AND($U86="X",$V86="X"),$H86-(--"00:30"),""),IF($X86&lt;&gt;"","Mezzo Chiuso","Non al carico"))),""),"")</f>
        <v/>
      </c>
      <c r="J86" s="306">
        <f ca="1">IFERROR(IF($B86&lt;&gt;"",IF(AND('INformazioni per calcoli'!$AB$3&lt;(--"15:00"),'INformazioni per calcoli'!$AB$3&gt;(--"00:00")),0,IF($G86&lt;(--"18:30"),"+1",0)),""),"")</f>
        <v>0</v>
      </c>
      <c r="K86" s="17"/>
      <c r="L86" s="25" t="s">
        <v>427</v>
      </c>
      <c r="M86" s="25" t="str">
        <f>IFERROR(_xlfn.XLOOKUP($Q86,'Elenco Casse'!$D:$D,'Elenco Casse'!$E:$E),"")</f>
        <v/>
      </c>
      <c r="N86" s="25" t="str">
        <f>IFERROR(_xlfn.XLOOKUP($Q86,'Elenco Casse'!$D:$D,'Elenco Casse'!$F:$F),"")</f>
        <v/>
      </c>
      <c r="O86" s="286" t="s">
        <v>418</v>
      </c>
      <c r="P86" s="295" t="str">
        <f>IFERROR(_xlfn.XLOOKUP($Q86,'Elenco Casse'!$D:$D,'Elenco Casse'!$G:$G),"")</f>
        <v/>
      </c>
      <c r="Q86" s="355" t="s">
        <v>725</v>
      </c>
      <c r="R86" s="23" t="s">
        <v>420</v>
      </c>
      <c r="S86" s="25" t="s">
        <v>421</v>
      </c>
      <c r="T86" s="25" t="s">
        <v>726</v>
      </c>
      <c r="U86" s="23" t="s">
        <v>61</v>
      </c>
      <c r="V86" s="23"/>
      <c r="W86" s="26">
        <v>420</v>
      </c>
      <c r="X86" s="27">
        <v>0.96111111111111114</v>
      </c>
      <c r="Y86" s="25" t="s">
        <v>624</v>
      </c>
      <c r="Z86" s="25"/>
      <c r="AA86" s="25" t="s">
        <v>40</v>
      </c>
      <c r="AB86" s="57">
        <v>0.8</v>
      </c>
      <c r="AC86" s="25"/>
      <c r="AD86" s="25"/>
      <c r="AE86" s="57"/>
      <c r="AF86" s="57"/>
      <c r="AG86" s="25"/>
      <c r="AH86" s="57"/>
      <c r="AI86" s="339">
        <v>2</v>
      </c>
      <c r="AJ86" s="339"/>
      <c r="AK86" s="297" t="str">
        <f>IF(X86&lt;&gt;"",CONCATENATE(IF(AA86&lt;&gt;"",CONCATENATE(Z86," ",AA86," ",BI86),""),IF(AD86&lt;&gt;"",CONCATENATE(","," ",AC86," ",AD86," ",BJ86),""),IF(AG86&lt;&gt;"",CONCATENATE(","," ",AF86," ",AG86," ",BK86),""),IF(AJ86&lt;&gt;"",CONCATENATE(","," ","DD"," ",BL86),"")," ",IF(AI86&lt;&gt;"",CONCATENATE(" - ",AI86," Bag"),"")),"")</f>
        <v xml:space="preserve"> LL 11  - 2 Bag</v>
      </c>
      <c r="AL86" s="287" t="s">
        <v>421</v>
      </c>
      <c r="AM86" s="287"/>
      <c r="AN86" s="287"/>
      <c r="AO86" s="287"/>
      <c r="AP86" s="370" t="str">
        <f>IFERROR(VLOOKUP(#REF!,Outlist!$A$5:$V$120,20,FALSE),"")</f>
        <v/>
      </c>
      <c r="AQ86" s="288" t="s">
        <v>727</v>
      </c>
      <c r="AS86" s="24"/>
      <c r="AT86" s="24">
        <v>0.82291666666666663</v>
      </c>
      <c r="AU86" s="27">
        <v>0.96111111111111114</v>
      </c>
      <c r="AV86" s="27"/>
      <c r="AW86" s="20" t="s">
        <v>443</v>
      </c>
      <c r="AX86" s="20" t="str">
        <f>IFERROR(IF(Out_Table[[#This Row],[Cancellazione linea]]="Cancellata","yes",""),"")</f>
        <v/>
      </c>
      <c r="AY86" s="72" t="str">
        <f>IF(BA86="",BZ86,IF(AND(BA86&lt;(--"23:59:59"),BA86&gt;(--"15:00:00"),G86&lt;(--"14:00:00"),G86&gt;(--"00:00:01")),"",IF(BA86&gt;G86,BZ86,"")))</f>
        <v/>
      </c>
      <c r="AZ86" s="27">
        <v>0.96527777777777779</v>
      </c>
      <c r="BA86" s="32">
        <v>0.97083333333333333</v>
      </c>
      <c r="BB86" s="72"/>
      <c r="BC86" s="72" t="str">
        <f>IFERROR(VLOOKUP(Out_Table[[#This Row],[Aggiornamento STATUS]],'INformazioni per calcoli'!$Y$70:$AA$76,2,FALSE),"")</f>
        <v/>
      </c>
      <c r="BD86" s="289"/>
      <c r="BE86" s="289"/>
      <c r="BF86" s="47" t="str">
        <f>LEFT($E86,3)</f>
        <v>BO2</v>
      </c>
      <c r="BG86" s="298" t="str">
        <f>IF(Out_Table[[#This Row],[Ora Uscita    (GH)]]&lt;&gt;"","x","")</f>
        <v>x</v>
      </c>
      <c r="BH86" s="299">
        <f>VLOOKUP($O86,'INformazioni per calcoli'!$Y$20:$AA$23,3,FALSE)</f>
        <v>14</v>
      </c>
      <c r="BI86" s="299">
        <f>MROUND(Out_Table[[#This Row],[Mtr. Trailer]]*AB86,0.5)</f>
        <v>11</v>
      </c>
      <c r="BJ86" s="299">
        <f>MROUND(Out_Table[[#This Row],[Mtr. Trailer]]*AE86,0.5)</f>
        <v>0</v>
      </c>
      <c r="BK86" s="299">
        <f>MROUND(Out_Table[[#This Row],[Mtr. Trailer]]*AH86,0.5)</f>
        <v>0</v>
      </c>
      <c r="BL86" s="300">
        <f>Out_Table[[#This Row],[Double Deck trailer N° bumpers]]</f>
        <v>0</v>
      </c>
      <c r="BM86" s="301"/>
      <c r="BN86" s="299" t="str">
        <f>B86</f>
        <v>ITD12262</v>
      </c>
      <c r="BO86" s="299" t="str">
        <f>E86</f>
        <v>BO2</v>
      </c>
      <c r="BP86" s="302">
        <f>IF(AND(G86&gt;(--"00:00:01"),G86&lt;(--"15:00:00")),IF(AND(X86&gt;(--"00:00:01"),X86&lt;(--"15:00:00")),G86-X86,G86+1-X86),G86-X86)</f>
        <v>1.8055555555555491E-2</v>
      </c>
      <c r="BQ86" s="303">
        <f>AE86+AF86+AH86+AJ86</f>
        <v>0</v>
      </c>
      <c r="BR86" s="304" t="str">
        <f>IF(OR(BP86&lt;=(--"00:20:00"),BQ86&gt;=100%),"OK","Not OK")</f>
        <v>Not OK</v>
      </c>
      <c r="BS86" s="302">
        <f>IF(AND(G86&gt;(--"00:00:01"),G86&lt;(--"15:00:00")),IF(AND(AU86&gt;(--"00:00:01"),AU86&lt;(--"15:00:00")),G86-AU86,G86+1-AU86),G86-AU86)</f>
        <v>1.8055555555555491E-2</v>
      </c>
      <c r="BT86" s="302">
        <f>IF(AND(AZ86&gt;(--"00:00:01"),AZ86&lt;(--"15:00:00")),IF(AND(AU86&gt;(--"00:00:01"),AU86&lt;(--"15:00:00")),AZ86-AU86,AZ86+1-AU86),AZ86-AU86)</f>
        <v>4.1666666666666519E-3</v>
      </c>
      <c r="BU86" s="302">
        <f>IF(AND(BA86&gt;(--"00:00:01"),BA86&lt;(--"15:00:00")),IF(AND(AZ86&gt;(--"00:00:01"),AZ86&lt;(--"15:00:00")),BA86-AZ86,BA86+1-AZ86),BA86-AZ86)</f>
        <v>5.5555555555555358E-3</v>
      </c>
      <c r="BV86" s="299">
        <f>AV86</f>
        <v>0</v>
      </c>
      <c r="BW86" s="301"/>
      <c r="BX86" s="299" t="str">
        <f>IF(AV86="T Status",IF(AV86&lt;&gt;T86,"X",""),"")</f>
        <v/>
      </c>
      <c r="BY86" s="301"/>
      <c r="BZ86" s="299" t="str">
        <f>IF(X86&lt;&gt;"",IF(CC86="X","Driver Delay",IF(CA86="X","Paperwork Delay",IF(CB86="X","Late freight late sort",IF(CD86="X","Chiamare Control Room",IF(CE86="X","Chiamare Control Room",IF(CF86="X","Chiamare Control Room","")))))),"")</f>
        <v>Chiamare Control Room</v>
      </c>
      <c r="CA86" s="302" t="str">
        <f>IF(K86="",IF(IF(AND(G86&gt;(--"00:00:01"),G86&lt;(--"15:00:00")),IF(AND(AT86&gt;(--"08:00:00"),AT86&lt;(--"23:59:59")),G86+1-AT86,G86-AT86),G86-AT86)&gt;(--"00:20:00"),"","X"),"")</f>
        <v/>
      </c>
      <c r="CB86" s="299" t="str">
        <f>IF(K86="",IF(BP86&gt;=(--"00:20:00"),"","X"),"")</f>
        <v/>
      </c>
      <c r="CC86" s="299" t="str">
        <f>IF(OR(AV86="Autista non presente",AV86="Dati driver non presenti"),"X","")</f>
        <v/>
      </c>
      <c r="CD86" s="299" t="str">
        <f>IF(K86="",IF(AND(CC86="",BS86&lt;(--"00:20:00")),"X",""),"")</f>
        <v/>
      </c>
      <c r="CE86" s="299" t="str">
        <f>IF(K86="",IF(BT86&gt;(--"00:15:00"),"X",""),IF(AZ86&lt;&gt;"",IF(G86-AZ86&gt;(--"00:30:00"),"X",""),""))</f>
        <v/>
      </c>
      <c r="CF86" s="299" t="str">
        <f>IF(AND(CA86="",CB86="",CC86="",CD86="",CE86=""),"X","")</f>
        <v>X</v>
      </c>
      <c r="CG86" s="301"/>
      <c r="CH86" s="299" t="str">
        <f>IF(BT86&gt;(--"00:15:00"),"X","")</f>
        <v/>
      </c>
      <c r="CI86" s="302" t="str">
        <f>AY86</f>
        <v/>
      </c>
      <c r="CJ86" s="299" t="str">
        <f>IF(AND(CH86&lt;&gt;"",CI86&lt;&gt;"",LEFT(B86,3)="ITD"),AP86,"")</f>
        <v/>
      </c>
      <c r="CK86" s="305" t="str">
        <f>IF(CJ86&lt;&gt;"",BT86,"")</f>
        <v/>
      </c>
      <c r="CL86" s="301"/>
      <c r="CM86" s="305" t="str">
        <f>IFERROR(VLOOKUP(Q86,'Elenco Casse'!$D$4:$F$292,3,FALSE),"")</f>
        <v/>
      </c>
      <c r="CN86" s="301"/>
      <c r="CO86" s="305" t="str">
        <f>IFERROR(VLOOKUP(S86,'Elenco Casse'!$D$4:$F$292,3,FALSE),"")</f>
        <v/>
      </c>
      <c r="CP86" s="305" t="str">
        <f>IFERROR(IF(VLOOKUP($E86,Outlist!$A$5:$S$120,19,FALSE)&lt;&gt;0,"Y",""),"")</f>
        <v/>
      </c>
      <c r="CQ86" s="301"/>
      <c r="CR86" s="305" t="str">
        <f>CONCATENATE($B86,$E86,$G86)</f>
        <v>ITD12262BO20.979166666666667</v>
      </c>
      <c r="CS86" s="301"/>
      <c r="CT86" s="305" t="e">
        <f>VLOOKUP(Out_Table[[#This Row],[Destination             ORANGE (From Planning)]],Outlist!$A$5:$W$120,22,FALSE)</f>
        <v>#N/A</v>
      </c>
    </row>
    <row r="87" spans="1:98" s="20" customFormat="1" ht="30.75">
      <c r="A87" s="305" t="str">
        <f>$CR87</f>
        <v>ITD12258BO20.875</v>
      </c>
      <c r="B87" s="284" t="s">
        <v>728</v>
      </c>
      <c r="C87" s="290" t="str">
        <f>IFERROR(IF(LEFT(B87,3)='STAT 77'!$X$2,_xlfn.XLOOKUP(B87,'STAT 77'!C:C,'STAT 77'!B:B),_xlfn.XLOOKUP(B87,'STAT 77'!B:B,'STAT 77'!C:C)),"NON TROVATO")</f>
        <v>ITD32645</v>
      </c>
      <c r="D87" s="25" t="s">
        <v>729</v>
      </c>
      <c r="E87" s="290" t="s">
        <v>126</v>
      </c>
      <c r="F87" s="290" t="str">
        <f>IFERROR(VLOOKUP(E87,'Cambio O2P'!C:E,2,FALSE),"")</f>
        <v>BLQP</v>
      </c>
      <c r="G87" s="285">
        <v>0.875</v>
      </c>
      <c r="H87" s="293" t="str">
        <f ca="1">IFERROR(IF(AND('INformazioni per calcoli'!$AB$3&lt;(--"14:30"),'INformazioni per calcoli'!$AB$3&gt;(--"10:00")),"",IF($B87="","",IF($X87&lt;&gt;"","Mezzo Chiuso",IF($W87="","Non al Carico",IF($G87-'INformazioni per calcoli'!$AB$5-'INformazioni per calcoli'!$AB$3+$J87&lt;0,"LFLS",IF($K87&lt;&gt;"","Safe Parking",IF($W87&lt;&gt;"",IF($E87="MXP",$G87-'INformazioni per calcoli'!$AB$6-'INformazioni per calcoli'!$AB$3+$J87,$G87-'INformazioni per calcoli'!$AB$5-'INformazioni per calcoli'!$AB$3+$J87),"Non al carico"))))))),"")</f>
        <v>Mezzo Chiuso</v>
      </c>
      <c r="I87" s="17" t="str">
        <f ca="1">IFERROR(IF($H87&lt;&gt;"",IF($H87="Safe Parking","",IF($W87&lt;&gt;"",IF(AND($U87="X",$V87="X"),$H87-(--"00:30"),""),IF($X87&lt;&gt;"","Mezzo Chiuso","Non al carico"))),""),"")</f>
        <v/>
      </c>
      <c r="J87" s="306">
        <f ca="1">IFERROR(IF($B87&lt;&gt;"",IF(AND('INformazioni per calcoli'!$AB$3&lt;(--"15:00"),'INformazioni per calcoli'!$AB$3&gt;(--"00:00")),0,IF($G87&lt;(--"18:30"),"+1",0)),""),"")</f>
        <v>0</v>
      </c>
      <c r="K87" s="17"/>
      <c r="L87" s="25" t="s">
        <v>52</v>
      </c>
      <c r="M87" s="25" t="str">
        <f>IFERROR(_xlfn.XLOOKUP($Q87,'Elenco Casse'!$D:$D,'Elenco Casse'!$E:$E),"")</f>
        <v/>
      </c>
      <c r="N87" s="25" t="str">
        <f>IFERROR(_xlfn.XLOOKUP($Q87,'Elenco Casse'!$D:$D,'Elenco Casse'!$F:$F),"")</f>
        <v/>
      </c>
      <c r="O87" s="286" t="s">
        <v>418</v>
      </c>
      <c r="P87" s="295" t="str">
        <f>IFERROR(_xlfn.XLOOKUP($Q87,'Elenco Casse'!$D:$D,'Elenco Casse'!$G:$G),"")</f>
        <v/>
      </c>
      <c r="Q87" s="355" t="s">
        <v>730</v>
      </c>
      <c r="R87" s="23" t="s">
        <v>420</v>
      </c>
      <c r="S87" s="25" t="s">
        <v>421</v>
      </c>
      <c r="T87" s="25" t="s">
        <v>460</v>
      </c>
      <c r="U87" s="23" t="str">
        <f>IF(ISNUMBER(SEARCH("Parcel",$T87)),"X","")</f>
        <v>X</v>
      </c>
      <c r="V87" s="23" t="str">
        <f>IF(ISNUMBER(SEARCH("Freight",$T87)),"X","")</f>
        <v/>
      </c>
      <c r="W87" s="26">
        <v>421</v>
      </c>
      <c r="X87" s="27">
        <v>0.85555555555555551</v>
      </c>
      <c r="Y87" s="25" t="str">
        <f>IF(Out_Table[[#This Row],[DOC Del. hr. (RTH)]]&lt;&gt;"","XXX","")</f>
        <v>XXX</v>
      </c>
      <c r="Z87" s="25"/>
      <c r="AA87" s="25" t="s">
        <v>40</v>
      </c>
      <c r="AB87" s="57">
        <v>0.6</v>
      </c>
      <c r="AC87" s="25"/>
      <c r="AD87" s="25"/>
      <c r="AE87" s="57"/>
      <c r="AF87" s="57"/>
      <c r="AG87" s="25"/>
      <c r="AH87" s="57"/>
      <c r="AI87" s="339">
        <v>9</v>
      </c>
      <c r="AJ87" s="339"/>
      <c r="AK87" s="297" t="str">
        <f>IF(X87&lt;&gt;"",CONCATENATE(IF(AA87&lt;&gt;"",CONCATENATE(Z87," ",AA87," ",BI87),""),IF(AD87&lt;&gt;"",CONCATENATE(","," ",AC87," ",AD87," ",BJ87),""),IF(AG87&lt;&gt;"",CONCATENATE(","," ",AF87," ",AG87," ",BK87),""),IF(AJ87&lt;&gt;"",CONCATENATE(","," ","DD"," ",BL87),"")," ",IF(AI87&lt;&gt;"",CONCATENATE(" - ",AI87," Bag"),"")),"")</f>
        <v xml:space="preserve"> LL 8.5  - 9 Bag</v>
      </c>
      <c r="AL87" s="287" t="s">
        <v>421</v>
      </c>
      <c r="AM87" s="287"/>
      <c r="AN87" s="287"/>
      <c r="AO87" s="287"/>
      <c r="AP87" s="370" t="str">
        <f>IFERROR(VLOOKUP(#REF!,Outlist!$A$5:$V$120,20,FALSE),"")</f>
        <v/>
      </c>
      <c r="AQ87" s="288" t="s">
        <v>731</v>
      </c>
      <c r="AS87" s="24"/>
      <c r="AT87" s="24">
        <v>0.48402777777777778</v>
      </c>
      <c r="AU87" s="27">
        <v>0.85555555555555551</v>
      </c>
      <c r="AV87" s="27"/>
      <c r="AW87" s="20" t="s">
        <v>443</v>
      </c>
      <c r="AX87" s="20" t="str">
        <f>IFERROR(IF(Out_Table[[#This Row],[Cancellazione linea]]="Cancellata","yes",""),"")</f>
        <v/>
      </c>
      <c r="AY87" s="72" t="str">
        <f>IF(BA87="",BZ87,IF(AND(BA87&lt;(--"23:59:59"),BA87&gt;(--"15:00:00"),G87&lt;(--"14:00:00"),G87&gt;(--"00:00:01")),"",IF(BA87&gt;G87,BZ87,"")))</f>
        <v/>
      </c>
      <c r="AZ87" s="27">
        <v>0.85902777777777772</v>
      </c>
      <c r="BA87" s="32">
        <v>0.86458333333333337</v>
      </c>
      <c r="BB87" s="72"/>
      <c r="BC87" s="72" t="str">
        <f>IFERROR(VLOOKUP(Out_Table[[#This Row],[Aggiornamento STATUS]],'INformazioni per calcoli'!$Y$70:$AA$76,2,FALSE),"")</f>
        <v/>
      </c>
      <c r="BD87" s="289"/>
      <c r="BE87" s="289"/>
      <c r="BF87" s="47" t="str">
        <f>LEFT($E87,3)</f>
        <v>BO2</v>
      </c>
      <c r="BG87" s="298" t="str">
        <f>IF(Out_Table[[#This Row],[Ora Uscita    (GH)]]&lt;&gt;"","x","")</f>
        <v>x</v>
      </c>
      <c r="BH87" s="299">
        <f>VLOOKUP($O87,'INformazioni per calcoli'!$Y$20:$AA$23,3,FALSE)</f>
        <v>14</v>
      </c>
      <c r="BI87" s="299">
        <f>MROUND(Out_Table[[#This Row],[Mtr. Trailer]]*AB87,0.5)</f>
        <v>8.5</v>
      </c>
      <c r="BJ87" s="299">
        <f>MROUND(Out_Table[[#This Row],[Mtr. Trailer]]*AE87,0.5)</f>
        <v>0</v>
      </c>
      <c r="BK87" s="299">
        <f>MROUND(Out_Table[[#This Row],[Mtr. Trailer]]*AH87,0.5)</f>
        <v>0</v>
      </c>
      <c r="BL87" s="300">
        <f>Out_Table[[#This Row],[Double Deck trailer N° bumpers]]</f>
        <v>0</v>
      </c>
      <c r="BM87" s="301"/>
      <c r="BN87" s="299" t="str">
        <f>B87</f>
        <v>ITD12258</v>
      </c>
      <c r="BO87" s="299" t="str">
        <f>E87</f>
        <v>BO2</v>
      </c>
      <c r="BP87" s="302">
        <f>IF(AND(G87&gt;(--"00:00:01"),G87&lt;(--"15:00:00")),IF(AND(X87&gt;(--"00:00:01"),X87&lt;(--"15:00:00")),G87-X87,G87+1-X87),G87-X87)</f>
        <v>1.9444444444444486E-2</v>
      </c>
      <c r="BQ87" s="303">
        <f>AE87+AF87+AH87+AJ87</f>
        <v>0</v>
      </c>
      <c r="BR87" s="304" t="str">
        <f>IF(OR(BP87&lt;=(--"00:20:00"),BQ87&gt;=100%),"OK","Not OK")</f>
        <v>Not OK</v>
      </c>
      <c r="BS87" s="302">
        <f>IF(AND(G87&gt;(--"00:00:01"),G87&lt;(--"15:00:00")),IF(AND(AU87&gt;(--"00:00:01"),AU87&lt;(--"15:00:00")),G87-AU87,G87+1-AU87),G87-AU87)</f>
        <v>1.9444444444444486E-2</v>
      </c>
      <c r="BT87" s="302">
        <f>IF(AND(AZ87&gt;(--"00:00:01"),AZ87&lt;(--"15:00:00")),IF(AND(AU87&gt;(--"00:00:01"),AU87&lt;(--"15:00:00")),AZ87-AU87,AZ87+1-AU87),AZ87-AU87)</f>
        <v>3.4722222222222099E-3</v>
      </c>
      <c r="BU87" s="302">
        <f>IF(AND(BA87&gt;(--"00:00:01"),BA87&lt;(--"15:00:00")),IF(AND(AZ87&gt;(--"00:00:01"),AZ87&lt;(--"15:00:00")),BA87-AZ87,BA87+1-AZ87),BA87-AZ87)</f>
        <v>5.5555555555556468E-3</v>
      </c>
      <c r="BV87" s="299">
        <f>AV87</f>
        <v>0</v>
      </c>
      <c r="BW87" s="301"/>
      <c r="BX87" s="299" t="str">
        <f>IF(AV87="T Status",IF(AV87&lt;&gt;T87,"X",""),"")</f>
        <v/>
      </c>
      <c r="BY87" s="301"/>
      <c r="BZ87" s="299" t="str">
        <f>IF(X87&lt;&gt;"",IF(CC87="X","Driver Delay",IF(CA87="X","Paperwork Delay",IF(CB87="X","Late freight late sort",IF(CD87="X","Chiamare Control Room",IF(CE87="X","Chiamare Control Room",IF(CF87="X","Chiamare Control Room","")))))),"")</f>
        <v>Chiamare Control Room</v>
      </c>
      <c r="CA87" s="302" t="str">
        <f>IF(K87="",IF(IF(AND(G87&gt;(--"00:00:01"),G87&lt;(--"15:00:00")),IF(AND(AT87&gt;(--"08:00:00"),AT87&lt;(--"23:59:59")),G87+1-AT87,G87-AT87),G87-AT87)&gt;(--"00:20:00"),"","X"),"")</f>
        <v/>
      </c>
      <c r="CB87" s="299" t="str">
        <f>IF(K87="",IF(BP87&gt;=(--"00:20:00"),"","X"),"")</f>
        <v/>
      </c>
      <c r="CC87" s="299" t="str">
        <f>IF(OR(AV87="Autista non presente",AV87="Dati driver non presenti"),"X","")</f>
        <v/>
      </c>
      <c r="CD87" s="299" t="str">
        <f>IF(K87="",IF(AND(CC87="",BS87&lt;(--"00:20:00")),"X",""),"")</f>
        <v/>
      </c>
      <c r="CE87" s="299" t="str">
        <f>IF(K87="",IF(BT87&gt;(--"00:15:00"),"X",""),IF(AZ87&lt;&gt;"",IF(G87-AZ87&gt;(--"00:30:00"),"X",""),""))</f>
        <v/>
      </c>
      <c r="CF87" s="299" t="str">
        <f>IF(AND(CA87="",CB87="",CC87="",CD87="",CE87=""),"X","")</f>
        <v>X</v>
      </c>
      <c r="CG87" s="301"/>
      <c r="CH87" s="299" t="str">
        <f>IF(BT87&gt;(--"00:15:00"),"X","")</f>
        <v/>
      </c>
      <c r="CI87" s="302" t="str">
        <f>AY87</f>
        <v/>
      </c>
      <c r="CJ87" s="299" t="str">
        <f>IF(AND(CH87&lt;&gt;"",CI87&lt;&gt;"",LEFT(B87,3)="ITD"),AP87,"")</f>
        <v/>
      </c>
      <c r="CK87" s="305" t="str">
        <f>IF(CJ87&lt;&gt;"",BT87,"")</f>
        <v/>
      </c>
      <c r="CL87" s="301"/>
      <c r="CM87" s="305" t="str">
        <f>IFERROR(VLOOKUP(Q87,'Elenco Casse'!$D$4:$F$292,3,FALSE),"")</f>
        <v/>
      </c>
      <c r="CN87" s="301"/>
      <c r="CO87" s="305" t="str">
        <f>IFERROR(VLOOKUP(S87,'Elenco Casse'!$D$4:$F$292,3,FALSE),"")</f>
        <v/>
      </c>
      <c r="CP87" s="305" t="str">
        <f>IFERROR(IF(VLOOKUP($E87,Outlist!$A$5:$S$120,19,FALSE)&lt;&gt;0,"Y",""),"")</f>
        <v/>
      </c>
      <c r="CQ87" s="301"/>
      <c r="CR87" s="305" t="str">
        <f>CONCATENATE($B87,$E87,$G87)</f>
        <v>ITD12258BO20.875</v>
      </c>
      <c r="CS87" s="301"/>
      <c r="CT87" s="305" t="e">
        <f>VLOOKUP(Out_Table[[#This Row],[Destination             ORANGE (From Planning)]],Outlist!$A$5:$W$120,22,FALSE)</f>
        <v>#N/A</v>
      </c>
    </row>
    <row r="88" spans="1:98" s="20" customFormat="1" ht="30.75">
      <c r="A88" s="305" t="str">
        <f>$CR88</f>
        <v>ITD12376BO20.979166666666667</v>
      </c>
      <c r="B88" s="284" t="s">
        <v>732</v>
      </c>
      <c r="C88" s="290" t="str">
        <f>IFERROR(IF(LEFT(B88,3)='STAT 77'!$X$2,_xlfn.XLOOKUP(B88,'STAT 77'!C:C,'STAT 77'!B:B),_xlfn.XLOOKUP(B88,'STAT 77'!B:B,'STAT 77'!C:C)),"NON TROVATO")</f>
        <v>ITD32576</v>
      </c>
      <c r="D88" s="25" t="s">
        <v>733</v>
      </c>
      <c r="E88" s="290" t="s">
        <v>126</v>
      </c>
      <c r="F88" s="290" t="str">
        <f>IFERROR(VLOOKUP(E88,'Cambio O2P'!C:E,2,FALSE),"")</f>
        <v>BLQP</v>
      </c>
      <c r="G88" s="285">
        <v>0.97916666666666663</v>
      </c>
      <c r="H88" s="293" t="str">
        <f ca="1">IFERROR(IF(AND('INformazioni per calcoli'!$AB$3&lt;(--"14:30"),'INformazioni per calcoli'!$AB$3&gt;(--"10:00")),"",IF($B88="","",IF($X88&lt;&gt;"","Mezzo Chiuso",IF($W88="","Non al Carico",IF($G88-'INformazioni per calcoli'!$AB$5-'INformazioni per calcoli'!$AB$3+$J88&lt;0,"LFLS",IF($K88&lt;&gt;"","Safe Parking",IF($W88&lt;&gt;"",IF($E88="MXP",$G88-'INformazioni per calcoli'!$AB$6-'INformazioni per calcoli'!$AB$3+$J88,$G88-'INformazioni per calcoli'!$AB$5-'INformazioni per calcoli'!$AB$3+$J88),"Non al carico"))))))),"")</f>
        <v>Mezzo Chiuso</v>
      </c>
      <c r="I88" s="17" t="str">
        <f ca="1">IFERROR(IF($H88&lt;&gt;"",IF($H88="Safe Parking","",IF($W88&lt;&gt;"",IF(AND($U88="X",$V88="X"),$H88-(--"00:30"),""),IF($X88&lt;&gt;"","Mezzo Chiuso","Non al carico"))),""),"")</f>
        <v/>
      </c>
      <c r="J88" s="306">
        <f ca="1">IFERROR(IF($B88&lt;&gt;"",IF(AND('INformazioni per calcoli'!$AB$3&lt;(--"15:00"),'INformazioni per calcoli'!$AB$3&gt;(--"00:00")),0,IF($G88&lt;(--"18:30"),"+1",0)),""),"")</f>
        <v>0</v>
      </c>
      <c r="K88" s="17"/>
      <c r="L88" s="25" t="s">
        <v>427</v>
      </c>
      <c r="M88" s="25" t="str">
        <f>IFERROR(_xlfn.XLOOKUP($Q88,'Elenco Casse'!$D:$D,'Elenco Casse'!$E:$E),"")</f>
        <v/>
      </c>
      <c r="N88" s="25" t="str">
        <f>IFERROR(_xlfn.XLOOKUP($Q88,'Elenco Casse'!$D:$D,'Elenco Casse'!$F:$F),"")</f>
        <v/>
      </c>
      <c r="O88" s="286" t="s">
        <v>418</v>
      </c>
      <c r="P88" s="295" t="str">
        <f>IFERROR(_xlfn.XLOOKUP($Q88,'Elenco Casse'!$D:$D,'Elenco Casse'!$G:$G),"")</f>
        <v/>
      </c>
      <c r="Q88" s="355" t="s">
        <v>734</v>
      </c>
      <c r="R88" s="23" t="s">
        <v>420</v>
      </c>
      <c r="S88" s="25" t="s">
        <v>421</v>
      </c>
      <c r="T88" s="25" t="s">
        <v>460</v>
      </c>
      <c r="U88" s="23" t="str">
        <f>IF(ISNUMBER(SEARCH("Parcel",$T88)),"X","")</f>
        <v>X</v>
      </c>
      <c r="V88" s="23" t="str">
        <f>IF(ISNUMBER(SEARCH("Freight",$T88)),"X","")</f>
        <v/>
      </c>
      <c r="W88" s="26">
        <v>421</v>
      </c>
      <c r="X88" s="27">
        <v>0.96111111111111114</v>
      </c>
      <c r="Y88" s="25" t="s">
        <v>624</v>
      </c>
      <c r="Z88" s="25"/>
      <c r="AA88" s="25" t="s">
        <v>40</v>
      </c>
      <c r="AB88" s="57">
        <v>1</v>
      </c>
      <c r="AC88" s="25"/>
      <c r="AD88" s="25"/>
      <c r="AE88" s="57"/>
      <c r="AF88" s="57"/>
      <c r="AG88" s="25"/>
      <c r="AH88" s="57"/>
      <c r="AI88" s="339">
        <v>17</v>
      </c>
      <c r="AJ88" s="339"/>
      <c r="AK88" s="297" t="str">
        <f>IF(X88&lt;&gt;"",CONCATENATE(IF(AA88&lt;&gt;"",CONCATENATE(Z88," ",AA88," ",BI88),""),IF(AD88&lt;&gt;"",CONCATENATE(","," ",AC88," ",AD88," ",BJ88),""),IF(AG88&lt;&gt;"",CONCATENATE(","," ",AF88," ",AG88," ",BK88),""),IF(AJ88&lt;&gt;"",CONCATENATE(","," ","DD"," ",BL88),"")," ",IF(AI88&lt;&gt;"",CONCATENATE(" - ",AI88," Bag"),"")),"")</f>
        <v xml:space="preserve"> LL 14  - 17 Bag</v>
      </c>
      <c r="AL88" s="287" t="s">
        <v>421</v>
      </c>
      <c r="AM88" s="287"/>
      <c r="AN88" s="287"/>
      <c r="AO88" s="287"/>
      <c r="AP88" s="370" t="str">
        <f>IFERROR(VLOOKUP(#REF!,Outlist!$A$5:$V$120,20,FALSE),"")</f>
        <v/>
      </c>
      <c r="AQ88" s="288" t="s">
        <v>735</v>
      </c>
      <c r="AS88" s="24"/>
      <c r="AT88" s="24">
        <v>0.9</v>
      </c>
      <c r="AU88" s="27">
        <v>0.96458333333333335</v>
      </c>
      <c r="AV88" s="27" t="s">
        <v>736</v>
      </c>
      <c r="AW88" s="20" t="s">
        <v>443</v>
      </c>
      <c r="AX88" s="20" t="str">
        <f>IFERROR(IF(Out_Table[[#This Row],[Cancellazione linea]]="Cancellata","yes",""),"")</f>
        <v/>
      </c>
      <c r="AY88" s="72" t="str">
        <f>IF(BA88="",BZ88,IF(AND(BA88&lt;(--"23:59:59"),BA88&gt;(--"15:00:00"),G88&lt;(--"14:00:00"),G88&gt;(--"00:00:01")),"",IF(BA88&gt;G88,BZ88,"")))</f>
        <v/>
      </c>
      <c r="AZ88" s="27">
        <v>0.96736111111111112</v>
      </c>
      <c r="BA88" s="32">
        <v>0.97291666666666665</v>
      </c>
      <c r="BB88" s="72"/>
      <c r="BC88" s="72" t="str">
        <f>IFERROR(VLOOKUP(Out_Table[[#This Row],[Aggiornamento STATUS]],'INformazioni per calcoli'!$Y$70:$AA$76,2,FALSE),"")</f>
        <v/>
      </c>
      <c r="BD88" s="289"/>
      <c r="BE88" s="289"/>
      <c r="BF88" s="47" t="str">
        <f>LEFT($E88,3)</f>
        <v>BO2</v>
      </c>
      <c r="BG88" s="298" t="str">
        <f>IF(Out_Table[[#This Row],[Ora Uscita    (GH)]]&lt;&gt;"","x","")</f>
        <v>x</v>
      </c>
      <c r="BH88" s="299">
        <f>VLOOKUP($O88,'INformazioni per calcoli'!$Y$20:$AA$23,3,FALSE)</f>
        <v>14</v>
      </c>
      <c r="BI88" s="299">
        <f>MROUND(Out_Table[[#This Row],[Mtr. Trailer]]*AB88,0.5)</f>
        <v>14</v>
      </c>
      <c r="BJ88" s="299">
        <f>MROUND(Out_Table[[#This Row],[Mtr. Trailer]]*AE88,0.5)</f>
        <v>0</v>
      </c>
      <c r="BK88" s="299">
        <f>MROUND(Out_Table[[#This Row],[Mtr. Trailer]]*AH88,0.5)</f>
        <v>0</v>
      </c>
      <c r="BL88" s="300">
        <f>Out_Table[[#This Row],[Double Deck trailer N° bumpers]]</f>
        <v>0</v>
      </c>
      <c r="BM88" s="301"/>
      <c r="BN88" s="299" t="str">
        <f>B88</f>
        <v>ITD12376</v>
      </c>
      <c r="BO88" s="299" t="str">
        <f>E88</f>
        <v>BO2</v>
      </c>
      <c r="BP88" s="302">
        <f>IF(AND(G88&gt;(--"00:00:01"),G88&lt;(--"15:00:00")),IF(AND(X88&gt;(--"00:00:01"),X88&lt;(--"15:00:00")),G88-X88,G88+1-X88),G88-X88)</f>
        <v>1.8055555555555491E-2</v>
      </c>
      <c r="BQ88" s="303">
        <f>AE88+AF88+AH88+AJ88</f>
        <v>0</v>
      </c>
      <c r="BR88" s="304" t="str">
        <f>IF(OR(BP88&lt;=(--"00:20:00"),BQ88&gt;=100%),"OK","Not OK")</f>
        <v>Not OK</v>
      </c>
      <c r="BS88" s="302">
        <f>IF(AND(G88&gt;(--"00:00:01"),G88&lt;(--"15:00:00")),IF(AND(AU88&gt;(--"00:00:01"),AU88&lt;(--"15:00:00")),G88-AU88,G88+1-AU88),G88-AU88)</f>
        <v>1.4583333333333282E-2</v>
      </c>
      <c r="BT88" s="302">
        <f>IF(AND(AZ88&gt;(--"00:00:01"),AZ88&lt;(--"15:00:00")),IF(AND(AU88&gt;(--"00:00:01"),AU88&lt;(--"15:00:00")),AZ88-AU88,AZ88+1-AU88),AZ88-AU88)</f>
        <v>2.7777777777777679E-3</v>
      </c>
      <c r="BU88" s="302">
        <f>IF(AND(BA88&gt;(--"00:00:01"),BA88&lt;(--"15:00:00")),IF(AND(AZ88&gt;(--"00:00:01"),AZ88&lt;(--"15:00:00")),BA88-AZ88,BA88+1-AZ88),BA88-AZ88)</f>
        <v>5.5555555555555358E-3</v>
      </c>
      <c r="BV88" s="299" t="str">
        <f>AV88</f>
        <v>Autista non presente</v>
      </c>
      <c r="BW88" s="301"/>
      <c r="BX88" s="299" t="str">
        <f>IF(AV88="T Status",IF(AV88&lt;&gt;T88,"X",""),"")</f>
        <v/>
      </c>
      <c r="BY88" s="301"/>
      <c r="BZ88" s="299" t="str">
        <f>IF(X88&lt;&gt;"",IF(CC88="X","Driver Delay",IF(CA88="X","Paperwork Delay",IF(CB88="X","Late freight late sort",IF(CD88="X","Chiamare Control Room",IF(CE88="X","Chiamare Control Room",IF(CF88="X","Chiamare Control Room","")))))),"")</f>
        <v>Driver Delay</v>
      </c>
      <c r="CA88" s="302" t="str">
        <f>IF(K88="",IF(IF(AND(G88&gt;(--"00:00:01"),G88&lt;(--"15:00:00")),IF(AND(AT88&gt;(--"08:00:00"),AT88&lt;(--"23:59:59")),G88+1-AT88,G88-AT88),G88-AT88)&gt;(--"00:20:00"),"","X"),"")</f>
        <v/>
      </c>
      <c r="CB88" s="299" t="str">
        <f>IF(K88="",IF(BP88&gt;=(--"00:20:00"),"","X"),"")</f>
        <v/>
      </c>
      <c r="CC88" s="299" t="str">
        <f>IF(OR(AV88="Autista non presente",AV88="Dati driver non presenti"),"X","")</f>
        <v>X</v>
      </c>
      <c r="CD88" s="299" t="str">
        <f>IF(K88="",IF(AND(CC88="",BS88&lt;(--"00:20:00")),"X",""),"")</f>
        <v/>
      </c>
      <c r="CE88" s="299" t="str">
        <f>IF(K88="",IF(BT88&gt;(--"00:15:00"),"X",""),IF(AZ88&lt;&gt;"",IF(G88-AZ88&gt;(--"00:30:00"),"X",""),""))</f>
        <v/>
      </c>
      <c r="CF88" s="299" t="str">
        <f>IF(AND(CA88="",CB88="",CC88="",CD88="",CE88=""),"X","")</f>
        <v/>
      </c>
      <c r="CG88" s="301"/>
      <c r="CH88" s="299" t="str">
        <f>IF(BT88&gt;(--"00:15:00"),"X","")</f>
        <v/>
      </c>
      <c r="CI88" s="302" t="str">
        <f>AY88</f>
        <v/>
      </c>
      <c r="CJ88" s="299" t="str">
        <f>IF(AND(CH88&lt;&gt;"",CI88&lt;&gt;"",LEFT(B88,3)="ITD"),AP88,"")</f>
        <v/>
      </c>
      <c r="CK88" s="305" t="str">
        <f>IF(CJ88&lt;&gt;"",BT88,"")</f>
        <v/>
      </c>
      <c r="CL88" s="301"/>
      <c r="CM88" s="305" t="str">
        <f>IFERROR(VLOOKUP(Q88,'Elenco Casse'!$D$4:$F$292,3,FALSE),"")</f>
        <v/>
      </c>
      <c r="CN88" s="301"/>
      <c r="CO88" s="305" t="str">
        <f>IFERROR(VLOOKUP(S88,'Elenco Casse'!$D$4:$F$292,3,FALSE),"")</f>
        <v/>
      </c>
      <c r="CP88" s="305" t="str">
        <f>IFERROR(IF(VLOOKUP($E88,Outlist!$A$5:$S$120,19,FALSE)&lt;&gt;0,"Y",""),"")</f>
        <v/>
      </c>
      <c r="CQ88" s="301"/>
      <c r="CR88" s="305" t="str">
        <f>CONCATENATE($B88,$E88,$G88)</f>
        <v>ITD12376BO20.979166666666667</v>
      </c>
      <c r="CS88" s="301"/>
      <c r="CT88" s="305" t="e">
        <f>VLOOKUP(Out_Table[[#This Row],[Destination             ORANGE (From Planning)]],Outlist!$A$5:$W$120,22,FALSE)</f>
        <v>#N/A</v>
      </c>
    </row>
    <row r="89" spans="1:98" s="20" customFormat="1" ht="30.75">
      <c r="A89" s="305" t="str">
        <f>$CR89</f>
        <v>ITD12736BO20.791666666666667</v>
      </c>
      <c r="B89" s="284" t="s">
        <v>737</v>
      </c>
      <c r="C89" s="290" t="str">
        <f>IFERROR(IF(LEFT(B89,3)='STAT 77'!$X$2,_xlfn.XLOOKUP(B89,'STAT 77'!C:C,'STAT 77'!B:B),_xlfn.XLOOKUP(B89,'STAT 77'!B:B,'STAT 77'!C:C)),"NON TROVATO")</f>
        <v>ITD32186</v>
      </c>
      <c r="D89" s="25" t="s">
        <v>738</v>
      </c>
      <c r="E89" s="290" t="s">
        <v>126</v>
      </c>
      <c r="F89" s="290" t="str">
        <f>IFERROR(VLOOKUP(E89,'Cambio O2P'!C:E,2,FALSE),"")</f>
        <v>BLQP</v>
      </c>
      <c r="G89" s="285">
        <v>0.79166666666666663</v>
      </c>
      <c r="H89" s="293" t="str">
        <f ca="1">IFERROR(IF(AND('INformazioni per calcoli'!$AB$3&lt;(--"14:30"),'INformazioni per calcoli'!$AB$3&gt;(--"10:00")),"",IF($B89="","",IF($X89&lt;&gt;"","Mezzo Chiuso",IF($W89="","Non al Carico",IF($G89-'INformazioni per calcoli'!$AB$5-'INformazioni per calcoli'!$AB$3+$J89&lt;0,"LFLS",IF($K89&lt;&gt;"","Safe Parking",IF($W89&lt;&gt;"",IF($E89="MXP",$G89-'INformazioni per calcoli'!$AB$6-'INformazioni per calcoli'!$AB$3+$J89,$G89-'INformazioni per calcoli'!$AB$5-'INformazioni per calcoli'!$AB$3+$J89),"Non al carico"))))))),"")</f>
        <v>Mezzo Chiuso</v>
      </c>
      <c r="I89" s="17" t="str">
        <f ca="1">IFERROR(IF($H89&lt;&gt;"",IF($H89="Safe Parking","",IF($W89&lt;&gt;"",IF(AND($U89="X",$V89="X"),$H89-(--"00:30"),""),IF($X89&lt;&gt;"","Mezzo Chiuso","Non al carico"))),""),"")</f>
        <v/>
      </c>
      <c r="J89" s="306">
        <f ca="1">IFERROR(IF($B89&lt;&gt;"",IF(AND('INformazioni per calcoli'!$AB$3&lt;(--"15:00"),'INformazioni per calcoli'!$AB$3&gt;(--"00:00")),0,IF($G89&lt;(--"18:30"),"+1",0)),""),"")</f>
        <v>0</v>
      </c>
      <c r="K89" s="17"/>
      <c r="L89" s="25" t="s">
        <v>446</v>
      </c>
      <c r="M89" s="25" t="str">
        <f>IFERROR(_xlfn.XLOOKUP($Q89,'Elenco Casse'!$D:$D,'Elenco Casse'!$E:$E),"")</f>
        <v/>
      </c>
      <c r="N89" s="25" t="str">
        <f>IFERROR(_xlfn.XLOOKUP($Q89,'Elenco Casse'!$D:$D,'Elenco Casse'!$F:$F),"")</f>
        <v/>
      </c>
      <c r="O89" s="286" t="s">
        <v>418</v>
      </c>
      <c r="P89" s="295" t="str">
        <f>IFERROR(_xlfn.XLOOKUP($Q89,'Elenco Casse'!$D:$D,'Elenco Casse'!$G:$G),"")</f>
        <v/>
      </c>
      <c r="Q89" s="355" t="s">
        <v>739</v>
      </c>
      <c r="R89" s="23" t="s">
        <v>420</v>
      </c>
      <c r="S89" s="25" t="s">
        <v>421</v>
      </c>
      <c r="T89" s="25"/>
      <c r="U89" s="23" t="s">
        <v>61</v>
      </c>
      <c r="V89" s="23" t="str">
        <f>IF(ISNUMBER(SEARCH("Freight",$T89)),"X","")</f>
        <v/>
      </c>
      <c r="W89" s="26">
        <v>422</v>
      </c>
      <c r="X89" s="27">
        <v>0.72361111111111109</v>
      </c>
      <c r="Y89" s="25" t="str">
        <f>IF(Out_Table[[#This Row],[DOC Del. hr. (RTH)]]&lt;&gt;"","XXX","")</f>
        <v>XXX</v>
      </c>
      <c r="Z89" s="25"/>
      <c r="AA89" s="25" t="s">
        <v>40</v>
      </c>
      <c r="AB89" s="57">
        <v>1</v>
      </c>
      <c r="AC89" s="25"/>
      <c r="AD89" s="25"/>
      <c r="AE89" s="57"/>
      <c r="AF89" s="57"/>
      <c r="AG89" s="25"/>
      <c r="AH89" s="57"/>
      <c r="AI89" s="339">
        <v>31</v>
      </c>
      <c r="AJ89" s="339"/>
      <c r="AK89" s="297" t="str">
        <f>IF(X89&lt;&gt;"",CONCATENATE(IF(AA89&lt;&gt;"",CONCATENATE(Z89," ",AA89," ",BI89),""),IF(AD89&lt;&gt;"",CONCATENATE(","," ",AC89," ",AD89," ",BJ89),""),IF(AG89&lt;&gt;"",CONCATENATE(","," ",AF89," ",AG89," ",BK89),""),IF(AJ89&lt;&gt;"",CONCATENATE(","," ","DD"," ",BL89),"")," ",IF(AI89&lt;&gt;"",CONCATENATE(" - ",AI89," Bag"),"")),"")</f>
        <v xml:space="preserve"> LL 14  - 31 Bag</v>
      </c>
      <c r="AL89" s="287" t="s">
        <v>421</v>
      </c>
      <c r="AM89" s="287"/>
      <c r="AN89" s="287"/>
      <c r="AO89" s="287"/>
      <c r="AP89" s="370" t="str">
        <f>IFERROR(VLOOKUP(#REF!,Outlist!$A$5:$V$120,20,FALSE),"")</f>
        <v/>
      </c>
      <c r="AQ89" s="288" t="s">
        <v>740</v>
      </c>
      <c r="AS89" s="24"/>
      <c r="AT89" s="24">
        <v>0.47916666666666669</v>
      </c>
      <c r="AU89" s="27">
        <v>0.72430555555555554</v>
      </c>
      <c r="AV89" s="27"/>
      <c r="AW89" s="20" t="s">
        <v>443</v>
      </c>
      <c r="AX89" s="20" t="str">
        <f>IFERROR(IF(Out_Table[[#This Row],[Cancellazione linea]]="Cancellata","yes",""),"")</f>
        <v/>
      </c>
      <c r="AY89" s="72" t="str">
        <f>IF(BA89="",BZ89,IF(AND(BA89&lt;(--"23:59:59"),BA89&gt;(--"15:00:00"),G89&lt;(--"14:00:00"),G89&gt;(--"00:00:01")),"",IF(BA89&gt;G89,BZ89,"")))</f>
        <v/>
      </c>
      <c r="AZ89" s="27">
        <v>0.72638888888888886</v>
      </c>
      <c r="BA89" s="32">
        <v>0.73333333333333328</v>
      </c>
      <c r="BB89" s="72"/>
      <c r="BC89" s="72" t="str">
        <f>IFERROR(VLOOKUP(Out_Table[[#This Row],[Aggiornamento STATUS]],'INformazioni per calcoli'!$Y$70:$AA$76,2,FALSE),"")</f>
        <v/>
      </c>
      <c r="BD89" s="289"/>
      <c r="BE89" s="289"/>
      <c r="BF89" s="47" t="str">
        <f>LEFT($E89,3)</f>
        <v>BO2</v>
      </c>
      <c r="BG89" s="298" t="str">
        <f>IF(Out_Table[[#This Row],[Ora Uscita    (GH)]]&lt;&gt;"","x","")</f>
        <v>x</v>
      </c>
      <c r="BH89" s="299">
        <f>VLOOKUP($O89,'INformazioni per calcoli'!$Y$20:$AA$23,3,FALSE)</f>
        <v>14</v>
      </c>
      <c r="BI89" s="299">
        <f>MROUND(Out_Table[[#This Row],[Mtr. Trailer]]*AB89,0.5)</f>
        <v>14</v>
      </c>
      <c r="BJ89" s="299">
        <f>MROUND(Out_Table[[#This Row],[Mtr. Trailer]]*AE89,0.5)</f>
        <v>0</v>
      </c>
      <c r="BK89" s="299">
        <f>MROUND(Out_Table[[#This Row],[Mtr. Trailer]]*AH89,0.5)</f>
        <v>0</v>
      </c>
      <c r="BL89" s="300">
        <f>Out_Table[[#This Row],[Double Deck trailer N° bumpers]]</f>
        <v>0</v>
      </c>
      <c r="BM89" s="301"/>
      <c r="BN89" s="299" t="str">
        <f>B89</f>
        <v>ITD12736</v>
      </c>
      <c r="BO89" s="299" t="str">
        <f>E89</f>
        <v>BO2</v>
      </c>
      <c r="BP89" s="302">
        <f>IF(AND(G89&gt;(--"00:00:01"),G89&lt;(--"15:00:00")),IF(AND(X89&gt;(--"00:00:01"),X89&lt;(--"15:00:00")),G89-X89,G89+1-X89),G89-X89)</f>
        <v>6.8055555555555536E-2</v>
      </c>
      <c r="BQ89" s="303">
        <f>AE89+AF89+AH89+AJ89</f>
        <v>0</v>
      </c>
      <c r="BR89" s="304" t="str">
        <f>IF(OR(BP89&lt;=(--"00:20:00"),BQ89&gt;=100%),"OK","Not OK")</f>
        <v>Not OK</v>
      </c>
      <c r="BS89" s="302">
        <f>IF(AND(G89&gt;(--"00:00:01"),G89&lt;(--"15:00:00")),IF(AND(AU89&gt;(--"00:00:01"),AU89&lt;(--"15:00:00")),G89-AU89,G89+1-AU89),G89-AU89)</f>
        <v>6.7361111111111094E-2</v>
      </c>
      <c r="BT89" s="302">
        <f>IF(AND(AZ89&gt;(--"00:00:01"),AZ89&lt;(--"15:00:00")),IF(AND(AU89&gt;(--"00:00:01"),AU89&lt;(--"15:00:00")),AZ89-AU89,AZ89+1-AU89),AZ89-AU89)</f>
        <v>2.0833333333333259E-3</v>
      </c>
      <c r="BU89" s="302">
        <f>IF(AND(BA89&gt;(--"00:00:01"),BA89&lt;(--"15:00:00")),IF(AND(AZ89&gt;(--"00:00:01"),AZ89&lt;(--"15:00:00")),BA89-AZ89,BA89+1-AZ89),BA89-AZ89)</f>
        <v>6.9444444444444198E-3</v>
      </c>
      <c r="BV89" s="299">
        <f>AV89</f>
        <v>0</v>
      </c>
      <c r="BW89" s="301"/>
      <c r="BX89" s="299" t="str">
        <f>IF(AV89="T Status",IF(AV89&lt;&gt;T89,"X",""),"")</f>
        <v/>
      </c>
      <c r="BY89" s="301"/>
      <c r="BZ89" s="299" t="str">
        <f>IF(X89&lt;&gt;"",IF(CC89="X","Driver Delay",IF(CA89="X","Paperwork Delay",IF(CB89="X","Late freight late sort",IF(CD89="X","Chiamare Control Room",IF(CE89="X","Chiamare Control Room",IF(CF89="X","Chiamare Control Room","")))))),"")</f>
        <v>Chiamare Control Room</v>
      </c>
      <c r="CA89" s="302" t="str">
        <f>IF(K89="",IF(IF(AND(G89&gt;(--"00:00:01"),G89&lt;(--"15:00:00")),IF(AND(AT89&gt;(--"08:00:00"),AT89&lt;(--"23:59:59")),G89+1-AT89,G89-AT89),G89-AT89)&gt;(--"00:20:00"),"","X"),"")</f>
        <v/>
      </c>
      <c r="CB89" s="299" t="str">
        <f>IF(K89="",IF(BP89&gt;=(--"00:20:00"),"","X"),"")</f>
        <v/>
      </c>
      <c r="CC89" s="299" t="str">
        <f>IF(OR(AV89="Autista non presente",AV89="Dati driver non presenti"),"X","")</f>
        <v/>
      </c>
      <c r="CD89" s="299" t="str">
        <f>IF(K89="",IF(AND(CC89="",BS89&lt;(--"00:20:00")),"X",""),"")</f>
        <v/>
      </c>
      <c r="CE89" s="299" t="str">
        <f>IF(K89="",IF(BT89&gt;(--"00:15:00"),"X",""),IF(AZ89&lt;&gt;"",IF(G89-AZ89&gt;(--"00:30:00"),"X",""),""))</f>
        <v/>
      </c>
      <c r="CF89" s="299" t="str">
        <f>IF(AND(CA89="",CB89="",CC89="",CD89="",CE89=""),"X","")</f>
        <v>X</v>
      </c>
      <c r="CG89" s="301"/>
      <c r="CH89" s="299" t="str">
        <f>IF(BT89&gt;(--"00:15:00"),"X","")</f>
        <v/>
      </c>
      <c r="CI89" s="302" t="str">
        <f>AY89</f>
        <v/>
      </c>
      <c r="CJ89" s="299" t="str">
        <f>IF(AND(CH89&lt;&gt;"",CI89&lt;&gt;"",LEFT(B89,3)="ITD"),AP89,"")</f>
        <v/>
      </c>
      <c r="CK89" s="305" t="str">
        <f>IF(CJ89&lt;&gt;"",BT89,"")</f>
        <v/>
      </c>
      <c r="CL89" s="301"/>
      <c r="CM89" s="305" t="str">
        <f>IFERROR(VLOOKUP(Q89,'Elenco Casse'!$D$4:$F$292,3,FALSE),"")</f>
        <v/>
      </c>
      <c r="CN89" s="301"/>
      <c r="CO89" s="305" t="str">
        <f>IFERROR(VLOOKUP(S89,'Elenco Casse'!$D$4:$F$292,3,FALSE),"")</f>
        <v/>
      </c>
      <c r="CP89" s="305" t="str">
        <f>IFERROR(IF(VLOOKUP($E89,Outlist!$A$5:$S$120,19,FALSE)&lt;&gt;0,"Y",""),"")</f>
        <v/>
      </c>
      <c r="CQ89" s="301"/>
      <c r="CR89" s="305" t="str">
        <f>CONCATENATE($B89,$E89,$G89)</f>
        <v>ITD12736BO20.791666666666667</v>
      </c>
      <c r="CS89" s="301"/>
      <c r="CT89" s="305" t="e">
        <f>VLOOKUP(Out_Table[[#This Row],[Destination             ORANGE (From Planning)]],Outlist!$A$5:$W$120,22,FALSE)</f>
        <v>#N/A</v>
      </c>
    </row>
    <row r="90" spans="1:98" s="20" customFormat="1" ht="30.75">
      <c r="A90" s="305" t="str">
        <f>$CR90</f>
        <v>ITD12864BO20.9375</v>
      </c>
      <c r="B90" s="284" t="s">
        <v>741</v>
      </c>
      <c r="C90" s="290" t="str">
        <f>IFERROR(IF(LEFT(B90,3)='STAT 77'!$X$2,_xlfn.XLOOKUP(B90,'STAT 77'!C:C,'STAT 77'!B:B),_xlfn.XLOOKUP(B90,'STAT 77'!B:B,'STAT 77'!C:C)),"NON TROVATO")</f>
        <v>ITD32473</v>
      </c>
      <c r="D90" s="25" t="s">
        <v>742</v>
      </c>
      <c r="E90" s="290" t="s">
        <v>126</v>
      </c>
      <c r="F90" s="290" t="str">
        <f>IFERROR(VLOOKUP(E90,'Cambio O2P'!C:E,2,FALSE),"")</f>
        <v>BLQP</v>
      </c>
      <c r="G90" s="285">
        <v>0.9375</v>
      </c>
      <c r="H90" s="293" t="str">
        <f ca="1">IFERROR(IF(AND('INformazioni per calcoli'!$AB$3&lt;(--"14:30"),'INformazioni per calcoli'!$AB$3&gt;(--"10:00")),"",IF($B90="","",IF($X90&lt;&gt;"","Mezzo Chiuso",IF($W90="","Non al Carico",IF($G90-'INformazioni per calcoli'!$AB$5-'INformazioni per calcoli'!$AB$3+$J90&lt;0,"LFLS",IF($K90&lt;&gt;"","Safe Parking",IF($W90&lt;&gt;"",IF($E90="MXP",$G90-'INformazioni per calcoli'!$AB$6-'INformazioni per calcoli'!$AB$3+$J90,$G90-'INformazioni per calcoli'!$AB$5-'INformazioni per calcoli'!$AB$3+$J90),"Non al carico"))))))),"")</f>
        <v>Mezzo Chiuso</v>
      </c>
      <c r="I90" s="17" t="str">
        <f ca="1">IFERROR(IF($H90&lt;&gt;"",IF($H90="Safe Parking","",IF($W90&lt;&gt;"",IF(AND($U90="X",$V90="X"),$H90-(--"00:30"),""),IF($X90&lt;&gt;"","Mezzo Chiuso","Non al carico"))),""),"")</f>
        <v/>
      </c>
      <c r="J90" s="306">
        <f ca="1">IFERROR(IF($B90&lt;&gt;"",IF(AND('INformazioni per calcoli'!$AB$3&lt;(--"15:00"),'INformazioni per calcoli'!$AB$3&gt;(--"00:00")),0,IF($G90&lt;(--"18:30"),"+1",0)),""),"")</f>
        <v>0</v>
      </c>
      <c r="K90" s="17"/>
      <c r="L90" s="25" t="s">
        <v>427</v>
      </c>
      <c r="M90" s="25" t="str">
        <f>IFERROR(_xlfn.XLOOKUP($Q90,'Elenco Casse'!$D:$D,'Elenco Casse'!$E:$E),"")</f>
        <v/>
      </c>
      <c r="N90" s="25" t="str">
        <f>IFERROR(_xlfn.XLOOKUP($Q90,'Elenco Casse'!$D:$D,'Elenco Casse'!$F:$F),"")</f>
        <v/>
      </c>
      <c r="O90" s="286" t="s">
        <v>418</v>
      </c>
      <c r="P90" s="295" t="str">
        <f>IFERROR(_xlfn.XLOOKUP($Q90,'Elenco Casse'!$D:$D,'Elenco Casse'!$G:$G),"")</f>
        <v/>
      </c>
      <c r="Q90" s="355" t="s">
        <v>743</v>
      </c>
      <c r="R90" s="23" t="s">
        <v>420</v>
      </c>
      <c r="S90" s="25" t="s">
        <v>421</v>
      </c>
      <c r="T90" s="25" t="s">
        <v>460</v>
      </c>
      <c r="U90" s="23" t="str">
        <f>IF(ISNUMBER(SEARCH("Parcel",$T90)),"X","")</f>
        <v>X</v>
      </c>
      <c r="V90" s="23" t="str">
        <f>IF(ISNUMBER(SEARCH("Freight",$T90)),"X","")</f>
        <v/>
      </c>
      <c r="W90" s="26">
        <v>422</v>
      </c>
      <c r="X90" s="27">
        <v>0.91041666666666665</v>
      </c>
      <c r="Y90" s="25" t="str">
        <f>IF(Out_Table[[#This Row],[DOC Del. hr. (RTH)]]&lt;&gt;"","XXX","")</f>
        <v>XXX</v>
      </c>
      <c r="Z90" s="25"/>
      <c r="AA90" s="25" t="s">
        <v>40</v>
      </c>
      <c r="AB90" s="57">
        <v>1</v>
      </c>
      <c r="AC90" s="25"/>
      <c r="AD90" s="25"/>
      <c r="AE90" s="57"/>
      <c r="AF90" s="57"/>
      <c r="AG90" s="25"/>
      <c r="AH90" s="57"/>
      <c r="AI90" s="339">
        <v>21</v>
      </c>
      <c r="AJ90" s="339"/>
      <c r="AK90" s="297" t="str">
        <f>IF(X90&lt;&gt;"",CONCATENATE(IF(AA90&lt;&gt;"",CONCATENATE(Z90," ",AA90," ",BI90),""),IF(AD90&lt;&gt;"",CONCATENATE(","," ",AC90," ",AD90," ",BJ90),""),IF(AG90&lt;&gt;"",CONCATENATE(","," ",AF90," ",AG90," ",BK90),""),IF(AJ90&lt;&gt;"",CONCATENATE(","," ","DD"," ",BL90),"")," ",IF(AI90&lt;&gt;"",CONCATENATE(" - ",AI90," Bag"),"")),"")</f>
        <v xml:space="preserve"> LL 14  - 21 Bag</v>
      </c>
      <c r="AL90" s="287" t="s">
        <v>421</v>
      </c>
      <c r="AM90" s="287"/>
      <c r="AN90" s="287"/>
      <c r="AO90" s="287"/>
      <c r="AP90" s="370" t="str">
        <f>IFERROR(VLOOKUP(#REF!,Outlist!$A$5:$V$120,20,FALSE),"")</f>
        <v/>
      </c>
      <c r="AQ90" s="288" t="s">
        <v>744</v>
      </c>
      <c r="AS90" s="24"/>
      <c r="AT90" s="24">
        <v>0.80277777777777781</v>
      </c>
      <c r="AU90" s="27">
        <v>0.91111111111111109</v>
      </c>
      <c r="AV90" s="27"/>
      <c r="AW90" s="20" t="s">
        <v>443</v>
      </c>
      <c r="AX90" s="20" t="str">
        <f>IFERROR(IF(Out_Table[[#This Row],[Cancellazione linea]]="Cancellata","yes",""),"")</f>
        <v/>
      </c>
      <c r="AY90" s="72" t="str">
        <f>IF(BA90="",BZ90,IF(AND(BA90&lt;(--"23:59:59"),BA90&gt;(--"15:00:00"),G90&lt;(--"14:00:00"),G90&gt;(--"00:00:01")),"",IF(BA90&gt;G90,BZ90,"")))</f>
        <v/>
      </c>
      <c r="AZ90" s="27">
        <v>0.91597222222222219</v>
      </c>
      <c r="BA90" s="32">
        <v>0.9243055555555556</v>
      </c>
      <c r="BB90" s="72"/>
      <c r="BC90" s="72" t="str">
        <f>IFERROR(VLOOKUP(Out_Table[[#This Row],[Aggiornamento STATUS]],'INformazioni per calcoli'!$Y$70:$AA$76,2,FALSE),"")</f>
        <v/>
      </c>
      <c r="BD90" s="289"/>
      <c r="BE90" s="289"/>
      <c r="BF90" s="47" t="str">
        <f>LEFT($E90,3)</f>
        <v>BO2</v>
      </c>
      <c r="BG90" s="298" t="str">
        <f>IF(Out_Table[[#This Row],[Ora Uscita    (GH)]]&lt;&gt;"","x","")</f>
        <v>x</v>
      </c>
      <c r="BH90" s="299">
        <f>VLOOKUP($O90,'INformazioni per calcoli'!$Y$20:$AA$23,3,FALSE)</f>
        <v>14</v>
      </c>
      <c r="BI90" s="299">
        <f>MROUND(Out_Table[[#This Row],[Mtr. Trailer]]*AB90,0.5)</f>
        <v>14</v>
      </c>
      <c r="BJ90" s="299">
        <f>MROUND(Out_Table[[#This Row],[Mtr. Trailer]]*AE90,0.5)</f>
        <v>0</v>
      </c>
      <c r="BK90" s="299">
        <f>MROUND(Out_Table[[#This Row],[Mtr. Trailer]]*AH90,0.5)</f>
        <v>0</v>
      </c>
      <c r="BL90" s="300">
        <f>Out_Table[[#This Row],[Double Deck trailer N° bumpers]]</f>
        <v>0</v>
      </c>
      <c r="BM90" s="301"/>
      <c r="BN90" s="299" t="str">
        <f>B90</f>
        <v>ITD12864</v>
      </c>
      <c r="BO90" s="299" t="str">
        <f>E90</f>
        <v>BO2</v>
      </c>
      <c r="BP90" s="302">
        <f>IF(AND(G90&gt;(--"00:00:01"),G90&lt;(--"15:00:00")),IF(AND(X90&gt;(--"00:00:01"),X90&lt;(--"15:00:00")),G90-X90,G90+1-X90),G90-X90)</f>
        <v>2.7083333333333348E-2</v>
      </c>
      <c r="BQ90" s="303">
        <f>AE90+AF90+AH90+AJ90</f>
        <v>0</v>
      </c>
      <c r="BR90" s="304" t="str">
        <f>IF(OR(BP90&lt;=(--"00:20:00"),BQ90&gt;=100%),"OK","Not OK")</f>
        <v>Not OK</v>
      </c>
      <c r="BS90" s="302">
        <f>IF(AND(G90&gt;(--"00:00:01"),G90&lt;(--"15:00:00")),IF(AND(AU90&gt;(--"00:00:01"),AU90&lt;(--"15:00:00")),G90-AU90,G90+1-AU90),G90-AU90)</f>
        <v>2.6388888888888906E-2</v>
      </c>
      <c r="BT90" s="302">
        <f>IF(AND(AZ90&gt;(--"00:00:01"),AZ90&lt;(--"15:00:00")),IF(AND(AU90&gt;(--"00:00:01"),AU90&lt;(--"15:00:00")),AZ90-AU90,AZ90+1-AU90),AZ90-AU90)</f>
        <v>4.8611111111110938E-3</v>
      </c>
      <c r="BU90" s="302">
        <f>IF(AND(BA90&gt;(--"00:00:01"),BA90&lt;(--"15:00:00")),IF(AND(AZ90&gt;(--"00:00:01"),AZ90&lt;(--"15:00:00")),BA90-AZ90,BA90+1-AZ90),BA90-AZ90)</f>
        <v>8.3333333333334147E-3</v>
      </c>
      <c r="BV90" s="299">
        <f>AV90</f>
        <v>0</v>
      </c>
      <c r="BW90" s="301"/>
      <c r="BX90" s="299" t="str">
        <f>IF(AV90="T Status",IF(AV90&lt;&gt;T90,"X",""),"")</f>
        <v/>
      </c>
      <c r="BY90" s="301"/>
      <c r="BZ90" s="299" t="str">
        <f>IF(X90&lt;&gt;"",IF(CC90="X","Driver Delay",IF(CA90="X","Paperwork Delay",IF(CB90="X","Late freight late sort",IF(CD90="X","Chiamare Control Room",IF(CE90="X","Chiamare Control Room",IF(CF90="X","Chiamare Control Room","")))))),"")</f>
        <v>Chiamare Control Room</v>
      </c>
      <c r="CA90" s="302" t="str">
        <f>IF(K90="",IF(IF(AND(G90&gt;(--"00:00:01"),G90&lt;(--"15:00:00")),IF(AND(AT90&gt;(--"08:00:00"),AT90&lt;(--"23:59:59")),G90+1-AT90,G90-AT90),G90-AT90)&gt;(--"00:20:00"),"","X"),"")</f>
        <v/>
      </c>
      <c r="CB90" s="299" t="str">
        <f>IF(K90="",IF(BP90&gt;=(--"00:20:00"),"","X"),"")</f>
        <v/>
      </c>
      <c r="CC90" s="299" t="str">
        <f>IF(OR(AV90="Autista non presente",AV90="Dati driver non presenti"),"X","")</f>
        <v/>
      </c>
      <c r="CD90" s="299" t="str">
        <f>IF(K90="",IF(AND(CC90="",BS90&lt;(--"00:20:00")),"X",""),"")</f>
        <v/>
      </c>
      <c r="CE90" s="299" t="str">
        <f>IF(K90="",IF(BT90&gt;(--"00:15:00"),"X",""),IF(AZ90&lt;&gt;"",IF(G90-AZ90&gt;(--"00:30:00"),"X",""),""))</f>
        <v/>
      </c>
      <c r="CF90" s="299" t="str">
        <f>IF(AND(CA90="",CB90="",CC90="",CD90="",CE90=""),"X","")</f>
        <v>X</v>
      </c>
      <c r="CG90" s="301"/>
      <c r="CH90" s="299" t="str">
        <f>IF(BT90&gt;(--"00:15:00"),"X","")</f>
        <v/>
      </c>
      <c r="CI90" s="302" t="str">
        <f>AY90</f>
        <v/>
      </c>
      <c r="CJ90" s="299" t="str">
        <f>IF(AND(CH90&lt;&gt;"",CI90&lt;&gt;"",LEFT(B90,3)="ITD"),AP90,"")</f>
        <v/>
      </c>
      <c r="CK90" s="305" t="str">
        <f>IF(CJ90&lt;&gt;"",BT90,"")</f>
        <v/>
      </c>
      <c r="CL90" s="301"/>
      <c r="CM90" s="305" t="str">
        <f>IFERROR(VLOOKUP(Q90,'Elenco Casse'!$D$4:$F$292,3,FALSE),"")</f>
        <v/>
      </c>
      <c r="CN90" s="301"/>
      <c r="CO90" s="305" t="str">
        <f>IFERROR(VLOOKUP(S90,'Elenco Casse'!$D$4:$F$292,3,FALSE),"")</f>
        <v/>
      </c>
      <c r="CP90" s="305" t="str">
        <f>IFERROR(IF(VLOOKUP($E90,Outlist!$A$5:$S$120,19,FALSE)&lt;&gt;0,"Y",""),"")</f>
        <v/>
      </c>
      <c r="CQ90" s="301"/>
      <c r="CR90" s="305" t="str">
        <f>CONCATENATE($B90,$E90,$G90)</f>
        <v>ITD12864BO20.9375</v>
      </c>
      <c r="CS90" s="301"/>
      <c r="CT90" s="305" t="e">
        <f>VLOOKUP(Out_Table[[#This Row],[Destination             ORANGE (From Planning)]],Outlist!$A$5:$W$120,22,FALSE)</f>
        <v>#N/A</v>
      </c>
    </row>
    <row r="91" spans="1:98" s="20" customFormat="1" ht="30.75">
      <c r="A91" s="305" t="str">
        <f>$CR91</f>
        <v>ITD12253BO20.00694444444444444</v>
      </c>
      <c r="B91" s="284" t="s">
        <v>745</v>
      </c>
      <c r="C91" s="290" t="str">
        <f>IFERROR(IF(LEFT(B91,3)='STAT 77'!$X$2,_xlfn.XLOOKUP(B91,'STAT 77'!C:C,'STAT 77'!B:B),_xlfn.XLOOKUP(B91,'STAT 77'!B:B,'STAT 77'!C:C)),"NON TROVATO")</f>
        <v>ITD32564</v>
      </c>
      <c r="D91" s="25" t="s">
        <v>746</v>
      </c>
      <c r="E91" s="290" t="s">
        <v>126</v>
      </c>
      <c r="F91" s="290" t="str">
        <f>IFERROR(VLOOKUP(E91,'Cambio O2P'!C:E,2,FALSE),"")</f>
        <v>BLQP</v>
      </c>
      <c r="G91" s="285">
        <v>6.9444444444444441E-3</v>
      </c>
      <c r="H91" s="293" t="str">
        <f ca="1">IFERROR(IF(AND('INformazioni per calcoli'!$AB$3&lt;(--"14:30"),'INformazioni per calcoli'!$AB$3&gt;(--"10:00")),"",IF($B91="","",IF($X91&lt;&gt;"","Mezzo Chiuso",IF($W91="","Non al Carico",IF($G91-'INformazioni per calcoli'!$AB$5-'INformazioni per calcoli'!$AB$3+$J91&lt;0,"LFLS",IF($K91&lt;&gt;"","Safe Parking",IF($W91&lt;&gt;"",IF($E91="MXP",$G91-'INformazioni per calcoli'!$AB$6-'INformazioni per calcoli'!$AB$3+$J91,$G91-'INformazioni per calcoli'!$AB$5-'INformazioni per calcoli'!$AB$3+$J91),"Non al carico"))))))),"")</f>
        <v>Mezzo Chiuso</v>
      </c>
      <c r="I91" s="17" t="str">
        <f ca="1">IFERROR(IF($H91&lt;&gt;"",IF($H91="Safe Parking","",IF($W91&lt;&gt;"",IF(AND($U91="X",$V91="X"),$H91-(--"00:30"),""),IF($X91&lt;&gt;"","Mezzo Chiuso","Non al carico"))),""),"")</f>
        <v/>
      </c>
      <c r="J91" s="306">
        <f ca="1">IFERROR(IF($B91&lt;&gt;"",IF(AND('INformazioni per calcoli'!$AB$3&lt;(--"15:00"),'INformazioni per calcoli'!$AB$3&gt;(--"00:00")),0,IF($G91&lt;(--"18:30"),"+1",0)),""),"")</f>
        <v>0</v>
      </c>
      <c r="K91" s="17"/>
      <c r="L91" s="25" t="s">
        <v>436</v>
      </c>
      <c r="M91" s="25" t="str">
        <f>IFERROR(_xlfn.XLOOKUP($Q91,'Elenco Casse'!$D:$D,'Elenco Casse'!$E:$E),"")</f>
        <v>Cornali Autotrasporti Srl</v>
      </c>
      <c r="N91" s="25">
        <f>IFERROR(_xlfn.XLOOKUP($Q91,'Elenco Casse'!$D:$D,'Elenco Casse'!$F:$F),"")</f>
        <v>0</v>
      </c>
      <c r="O91" s="286" t="s">
        <v>418</v>
      </c>
      <c r="P91" s="295" t="str">
        <f>IFERROR(_xlfn.XLOOKUP($Q91,'Elenco Casse'!$D:$D,'Elenco Casse'!$G:$G),"")</f>
        <v>trailer 80 m3 2/3 axes</v>
      </c>
      <c r="Q91" s="355" t="s">
        <v>747</v>
      </c>
      <c r="R91" s="23" t="s">
        <v>420</v>
      </c>
      <c r="S91" s="25" t="s">
        <v>421</v>
      </c>
      <c r="T91" s="25" t="s">
        <v>460</v>
      </c>
      <c r="U91" s="23" t="str">
        <f>IF(ISNUMBER(SEARCH("Parcel",$T91)),"X","")</f>
        <v>X</v>
      </c>
      <c r="V91" s="23" t="str">
        <f>IF(ISNUMBER(SEARCH("Freight",$T91)),"X","")</f>
        <v/>
      </c>
      <c r="W91" s="26">
        <v>422</v>
      </c>
      <c r="X91" s="27">
        <v>0.98819444444444449</v>
      </c>
      <c r="Y91" s="25" t="s">
        <v>624</v>
      </c>
      <c r="Z91" s="25"/>
      <c r="AA91" s="25" t="s">
        <v>40</v>
      </c>
      <c r="AB91" s="57">
        <v>0.4</v>
      </c>
      <c r="AC91" s="25"/>
      <c r="AD91" s="25"/>
      <c r="AE91" s="57"/>
      <c r="AF91" s="57"/>
      <c r="AG91" s="25"/>
      <c r="AH91" s="57"/>
      <c r="AI91" s="339">
        <v>10</v>
      </c>
      <c r="AJ91" s="339"/>
      <c r="AK91" s="297" t="str">
        <f>IF(X91&lt;&gt;"",CONCATENATE(IF(AA91&lt;&gt;"",CONCATENATE(Z91," ",AA91," ",BI91),""),IF(AD91&lt;&gt;"",CONCATENATE(","," ",AC91," ",AD91," ",BJ91),""),IF(AG91&lt;&gt;"",CONCATENATE(","," ",AF91," ",AG91," ",BK91),""),IF(AJ91&lt;&gt;"",CONCATENATE(","," ","DD"," ",BL91),"")," ",IF(AI91&lt;&gt;"",CONCATENATE(" - ",AI91," Bag"),"")),"")</f>
        <v xml:space="preserve"> LL 5.5  - 10 Bag</v>
      </c>
      <c r="AL91" s="287" t="s">
        <v>421</v>
      </c>
      <c r="AM91" s="287"/>
      <c r="AN91" s="287"/>
      <c r="AO91" s="287"/>
      <c r="AP91" s="370" t="str">
        <f>IFERROR(VLOOKUP(#REF!,Outlist!$A$5:$V$120,20,FALSE),"")</f>
        <v/>
      </c>
      <c r="AQ91" s="288" t="s">
        <v>748</v>
      </c>
      <c r="AS91" s="24"/>
      <c r="AT91" s="24">
        <v>0.94861111111111107</v>
      </c>
      <c r="AU91" s="27">
        <v>0.98888888888888893</v>
      </c>
      <c r="AV91" s="27"/>
      <c r="AW91" s="20" t="s">
        <v>443</v>
      </c>
      <c r="AX91" s="20" t="str">
        <f>IFERROR(IF(Out_Table[[#This Row],[Cancellazione linea]]="Cancellata","yes",""),"")</f>
        <v/>
      </c>
      <c r="AY91" s="72" t="str">
        <f>IF(BA91="",BZ91,IF(AND(BA91&lt;(--"23:59:59"),BA91&gt;(--"15:00:00"),G91&lt;(--"14:00:00"),G91&gt;(--"00:00:01")),"",IF(BA91&gt;G91,BZ91,"")))</f>
        <v/>
      </c>
      <c r="AZ91" s="27">
        <v>0.99236111111111114</v>
      </c>
      <c r="BA91" s="32">
        <v>1.3888888888888889E-3</v>
      </c>
      <c r="BB91" s="72"/>
      <c r="BC91" s="72" t="str">
        <f>IFERROR(VLOOKUP(Out_Table[[#This Row],[Aggiornamento STATUS]],'INformazioni per calcoli'!$Y$70:$AA$76,2,FALSE),"")</f>
        <v/>
      </c>
      <c r="BD91" s="289"/>
      <c r="BE91" s="289"/>
      <c r="BF91" s="47" t="str">
        <f>LEFT($E91,3)</f>
        <v>BO2</v>
      </c>
      <c r="BG91" s="298" t="str">
        <f>IF(Out_Table[[#This Row],[Ora Uscita    (GH)]]&lt;&gt;"","x","")</f>
        <v>x</v>
      </c>
      <c r="BH91" s="299">
        <f>VLOOKUP($O91,'INformazioni per calcoli'!$Y$20:$AA$23,3,FALSE)</f>
        <v>14</v>
      </c>
      <c r="BI91" s="299">
        <f>MROUND(Out_Table[[#This Row],[Mtr. Trailer]]*AB91,0.5)</f>
        <v>5.5</v>
      </c>
      <c r="BJ91" s="299">
        <f>MROUND(Out_Table[[#This Row],[Mtr. Trailer]]*AE91,0.5)</f>
        <v>0</v>
      </c>
      <c r="BK91" s="299">
        <f>MROUND(Out_Table[[#This Row],[Mtr. Trailer]]*AH91,0.5)</f>
        <v>0</v>
      </c>
      <c r="BL91" s="300">
        <f>Out_Table[[#This Row],[Double Deck trailer N° bumpers]]</f>
        <v>0</v>
      </c>
      <c r="BM91" s="301"/>
      <c r="BN91" s="299" t="str">
        <f>B91</f>
        <v>ITD12253</v>
      </c>
      <c r="BO91" s="299" t="str">
        <f>E91</f>
        <v>BO2</v>
      </c>
      <c r="BP91" s="302">
        <f>IF(AND(G91&gt;(--"00:00:01"),G91&lt;(--"15:00:00")),IF(AND(X91&gt;(--"00:00:01"),X91&lt;(--"15:00:00")),G91-X91,G91+1-X91),G91-X91)</f>
        <v>1.8749999999999933E-2</v>
      </c>
      <c r="BQ91" s="303">
        <f>AE91+AF91+AH91+AJ91</f>
        <v>0</v>
      </c>
      <c r="BR91" s="304" t="str">
        <f>IF(OR(BP91&lt;=(--"00:20:00"),BQ91&gt;=100%),"OK","Not OK")</f>
        <v>Not OK</v>
      </c>
      <c r="BS91" s="302">
        <f>IF(AND(G91&gt;(--"00:00:01"),G91&lt;(--"15:00:00")),IF(AND(AU91&gt;(--"00:00:01"),AU91&lt;(--"15:00:00")),G91-AU91,G91+1-AU91),G91-AU91)</f>
        <v>1.8055555555555491E-2</v>
      </c>
      <c r="BT91" s="302">
        <f>IF(AND(AZ91&gt;(--"00:00:01"),AZ91&lt;(--"15:00:00")),IF(AND(AU91&gt;(--"00:00:01"),AU91&lt;(--"15:00:00")),AZ91-AU91,AZ91+1-AU91),AZ91-AU91)</f>
        <v>3.4722222222222099E-3</v>
      </c>
      <c r="BU91" s="302">
        <f>IF(AND(BA91&gt;(--"00:00:01"),BA91&lt;(--"15:00:00")),IF(AND(AZ91&gt;(--"00:00:01"),AZ91&lt;(--"15:00:00")),BA91-AZ91,BA91+1-AZ91),BA91-AZ91)</f>
        <v>9.0277777777777457E-3</v>
      </c>
      <c r="BV91" s="299">
        <f>AV91</f>
        <v>0</v>
      </c>
      <c r="BW91" s="301"/>
      <c r="BX91" s="299" t="str">
        <f>IF(AV91="T Status",IF(AV91&lt;&gt;T91,"X",""),"")</f>
        <v/>
      </c>
      <c r="BY91" s="301"/>
      <c r="BZ91" s="299" t="str">
        <f>IF(X91&lt;&gt;"",IF(CC91="X","Driver Delay",IF(CA91="X","Paperwork Delay",IF(CB91="X","Late freight late sort",IF(CD91="X","Chiamare Control Room",IF(CE91="X","Chiamare Control Room",IF(CF91="X","Chiamare Control Room","")))))),"")</f>
        <v>Chiamare Control Room</v>
      </c>
      <c r="CA91" s="302" t="str">
        <f>IF(K91="",IF(IF(AND(G91&gt;(--"00:00:01"),G91&lt;(--"15:00:00")),IF(AND(AT91&gt;(--"08:00:00"),AT91&lt;(--"23:59:59")),G91+1-AT91,G91-AT91),G91-AT91)&gt;(--"00:20:00"),"","X"),"")</f>
        <v/>
      </c>
      <c r="CB91" s="299" t="str">
        <f>IF(K91="",IF(BP91&gt;=(--"00:20:00"),"","X"),"")</f>
        <v/>
      </c>
      <c r="CC91" s="299" t="str">
        <f>IF(OR(AV91="Autista non presente",AV91="Dati driver non presenti"),"X","")</f>
        <v/>
      </c>
      <c r="CD91" s="299" t="str">
        <f>IF(K91="",IF(AND(CC91="",BS91&lt;(--"00:20:00")),"X",""),"")</f>
        <v/>
      </c>
      <c r="CE91" s="299" t="str">
        <f>IF(K91="",IF(BT91&gt;(--"00:15:00"),"X",""),IF(AZ91&lt;&gt;"",IF(G91-AZ91&gt;(--"00:30:00"),"X",""),""))</f>
        <v/>
      </c>
      <c r="CF91" s="299" t="str">
        <f>IF(AND(CA91="",CB91="",CC91="",CD91="",CE91=""),"X","")</f>
        <v>X</v>
      </c>
      <c r="CG91" s="301"/>
      <c r="CH91" s="299" t="str">
        <f>IF(BT91&gt;(--"00:15:00"),"X","")</f>
        <v/>
      </c>
      <c r="CI91" s="302" t="str">
        <f>AY91</f>
        <v/>
      </c>
      <c r="CJ91" s="299" t="str">
        <f>IF(AND(CH91&lt;&gt;"",CI91&lt;&gt;"",LEFT(B91,3)="ITD"),AP91,"")</f>
        <v/>
      </c>
      <c r="CK91" s="305" t="str">
        <f>IF(CJ91&lt;&gt;"",BT91,"")</f>
        <v/>
      </c>
      <c r="CL91" s="301"/>
      <c r="CM91" s="305" t="str">
        <f>IFERROR(VLOOKUP(Q91,'Elenco Casse'!$D$4:$F$292,3,FALSE),"")</f>
        <v/>
      </c>
      <c r="CN91" s="301"/>
      <c r="CO91" s="305" t="str">
        <f>IFERROR(VLOOKUP(S91,'Elenco Casse'!$D$4:$F$292,3,FALSE),"")</f>
        <v/>
      </c>
      <c r="CP91" s="305" t="str">
        <f>IFERROR(IF(VLOOKUP($E91,Outlist!$A$5:$S$120,19,FALSE)&lt;&gt;0,"Y",""),"")</f>
        <v/>
      </c>
      <c r="CQ91" s="301"/>
      <c r="CR91" s="305" t="str">
        <f>CONCATENATE($B91,$E91,$G91)</f>
        <v>ITD12253BO20.00694444444444444</v>
      </c>
      <c r="CS91" s="301"/>
      <c r="CT91" s="305" t="e">
        <f>VLOOKUP(Out_Table[[#This Row],[Destination             ORANGE (From Planning)]],Outlist!$A$5:$W$120,22,FALSE)</f>
        <v>#N/A</v>
      </c>
    </row>
    <row r="92" spans="1:98" s="20" customFormat="1" ht="30.75">
      <c r="A92" s="305" t="str">
        <f>$CR92</f>
        <v>ITD12764FC50.00694444444444444</v>
      </c>
      <c r="B92" s="284" t="s">
        <v>749</v>
      </c>
      <c r="C92" s="290" t="str">
        <f>IFERROR(IF(LEFT(B92,3)='STAT 77'!$X$2,_xlfn.XLOOKUP(B92,'STAT 77'!C:C,'STAT 77'!B:B),_xlfn.XLOOKUP(B92,'STAT 77'!B:B,'STAT 77'!C:C)),"NON TROVATO")</f>
        <v>ITD32264</v>
      </c>
      <c r="D92" s="25" t="s">
        <v>750</v>
      </c>
      <c r="E92" s="290" t="s">
        <v>751</v>
      </c>
      <c r="F92" s="290" t="str">
        <f>IFERROR(VLOOKUP(E92,'Cambio O2P'!C:E,2,FALSE),"")</f>
        <v>ZIPH</v>
      </c>
      <c r="G92" s="285">
        <v>6.9444444444444441E-3</v>
      </c>
      <c r="H92" s="293" t="str">
        <f ca="1">IFERROR(IF(AND('INformazioni per calcoli'!$AB$3&lt;(--"14:30"),'INformazioni per calcoli'!$AB$3&gt;(--"10:00")),"",IF($B92="","",IF($X92&lt;&gt;"","Mezzo Chiuso",IF($W92="","Non al Carico",IF($G92-'INformazioni per calcoli'!$AB$5-'INformazioni per calcoli'!$AB$3+$J92&lt;0,"LFLS",IF($K92&lt;&gt;"","Safe Parking",IF($W92&lt;&gt;"",IF($E92="MXP",$G92-'INformazioni per calcoli'!$AB$6-'INformazioni per calcoli'!$AB$3+$J92,$G92-'INformazioni per calcoli'!$AB$5-'INformazioni per calcoli'!$AB$3+$J92),"Non al carico"))))))),"")</f>
        <v>Mezzo Chiuso</v>
      </c>
      <c r="I92" s="17" t="str">
        <f ca="1">IFERROR(IF($H92&lt;&gt;"",IF($H92="Safe Parking","",IF($W92&lt;&gt;"",IF(AND($U92="X",$V92="X"),$H92-(--"00:30"),""),IF($X92&lt;&gt;"","Mezzo Chiuso","Non al carico"))),""),"")</f>
        <v/>
      </c>
      <c r="J92" s="306">
        <f ca="1">IFERROR(IF($B92&lt;&gt;"",IF(AND('INformazioni per calcoli'!$AB$3&lt;(--"15:00"),'INformazioni per calcoli'!$AB$3&gt;(--"00:00")),0,IF($G92&lt;(--"18:30"),"+1",0)),""),"")</f>
        <v>0</v>
      </c>
      <c r="K92" s="17"/>
      <c r="L92" s="25" t="s">
        <v>752</v>
      </c>
      <c r="M92" s="25" t="str">
        <f>IFERROR(_xlfn.XLOOKUP($Q92,'Elenco Casse'!$D:$D,'Elenco Casse'!$E:$E),"")</f>
        <v>T&amp;ti Cargo Line S.R.L.</v>
      </c>
      <c r="N92" s="25">
        <f>IFERROR(_xlfn.XLOOKUP($Q92,'Elenco Casse'!$D:$D,'Elenco Casse'!$F:$F),"")</f>
        <v>0</v>
      </c>
      <c r="O92" s="286" t="s">
        <v>418</v>
      </c>
      <c r="P92" s="295" t="str">
        <f>IFERROR(_xlfn.XLOOKUP($Q92,'Elenco Casse'!$D:$D,'Elenco Casse'!$G:$G),"")</f>
        <v>trailer 80 m3 2/3 axles</v>
      </c>
      <c r="Q92" s="355" t="s">
        <v>753</v>
      </c>
      <c r="R92" s="23" t="s">
        <v>420</v>
      </c>
      <c r="S92" s="25" t="s">
        <v>421</v>
      </c>
      <c r="T92" s="25" t="s">
        <v>460</v>
      </c>
      <c r="U92" s="23" t="str">
        <f>IF(ISNUMBER(SEARCH("Parcel",$T92)),"X","")</f>
        <v>X</v>
      </c>
      <c r="V92" s="23" t="str">
        <f>IF(ISNUMBER(SEARCH("Freight",$T92)),"X","")</f>
        <v/>
      </c>
      <c r="W92" s="26">
        <v>424</v>
      </c>
      <c r="X92" s="27">
        <v>0.9868055555555556</v>
      </c>
      <c r="Y92" s="25" t="s">
        <v>624</v>
      </c>
      <c r="Z92" s="25"/>
      <c r="AA92" s="25" t="s">
        <v>40</v>
      </c>
      <c r="AB92" s="57">
        <v>0.3</v>
      </c>
      <c r="AC92" s="25"/>
      <c r="AD92" s="25"/>
      <c r="AE92" s="57"/>
      <c r="AF92" s="57"/>
      <c r="AG92" s="25"/>
      <c r="AH92" s="57"/>
      <c r="AI92" s="339">
        <v>13</v>
      </c>
      <c r="AJ92" s="339"/>
      <c r="AK92" s="297" t="str">
        <f>IF(X92&lt;&gt;"",CONCATENATE(IF(AA92&lt;&gt;"",CONCATENATE(Z92," ",AA92," ",BI92),""),IF(AD92&lt;&gt;"",CONCATENATE(","," ",AC92," ",AD92," ",BJ92),""),IF(AG92&lt;&gt;"",CONCATENATE(","," ",AF92," ",AG92," ",BK92),""),IF(AJ92&lt;&gt;"",CONCATENATE(","," ","DD"," ",BL92),"")," ",IF(AI92&lt;&gt;"",CONCATENATE(" - ",AI92," Bag"),"")),"")</f>
        <v xml:space="preserve"> LL 4  - 13 Bag</v>
      </c>
      <c r="AL92" s="287" t="s">
        <v>421</v>
      </c>
      <c r="AM92" s="287"/>
      <c r="AN92" s="287"/>
      <c r="AO92" s="287"/>
      <c r="AP92" s="370" t="str">
        <f>IFERROR(VLOOKUP(#REF!,Outlist!$A$5:$V$120,20,FALSE),"")</f>
        <v/>
      </c>
      <c r="AQ92" s="288" t="s">
        <v>754</v>
      </c>
      <c r="AS92" s="24"/>
      <c r="AT92" s="24">
        <v>0.93472222222222223</v>
      </c>
      <c r="AU92" s="27">
        <v>0.98750000000000004</v>
      </c>
      <c r="AV92" s="27"/>
      <c r="AW92" s="20" t="s">
        <v>443</v>
      </c>
      <c r="AX92" s="20" t="str">
        <f>IFERROR(IF(Out_Table[[#This Row],[Cancellazione linea]]="Cancellata","yes",""),"")</f>
        <v/>
      </c>
      <c r="AY92" s="72" t="str">
        <f>IF(BA92="",BZ92,IF(AND(BA92&lt;(--"23:59:59"),BA92&gt;(--"15:00:00"),G92&lt;(--"14:00:00"),G92&gt;(--"00:00:01")),"",IF(BA92&gt;G92,BZ92,"")))</f>
        <v/>
      </c>
      <c r="AZ92" s="27">
        <v>0.9916666666666667</v>
      </c>
      <c r="BA92" s="32">
        <v>0.99861111111111112</v>
      </c>
      <c r="BB92" s="72"/>
      <c r="BC92" s="72" t="str">
        <f>IFERROR(VLOOKUP(Out_Table[[#This Row],[Aggiornamento STATUS]],'INformazioni per calcoli'!$Y$70:$AA$76,2,FALSE),"")</f>
        <v/>
      </c>
      <c r="BD92" s="289"/>
      <c r="BE92" s="289"/>
      <c r="BF92" s="47" t="str">
        <f>LEFT($E92,3)</f>
        <v>FC5</v>
      </c>
      <c r="BG92" s="298" t="str">
        <f>IF(Out_Table[[#This Row],[Ora Uscita    (GH)]]&lt;&gt;"","x","")</f>
        <v>x</v>
      </c>
      <c r="BH92" s="299">
        <f>VLOOKUP($O92,'INformazioni per calcoli'!$Y$20:$AA$23,3,FALSE)</f>
        <v>14</v>
      </c>
      <c r="BI92" s="299">
        <f>MROUND(Out_Table[[#This Row],[Mtr. Trailer]]*AB92,0.5)</f>
        <v>4</v>
      </c>
      <c r="BJ92" s="299">
        <f>MROUND(Out_Table[[#This Row],[Mtr. Trailer]]*AE92,0.5)</f>
        <v>0</v>
      </c>
      <c r="BK92" s="299">
        <f>MROUND(Out_Table[[#This Row],[Mtr. Trailer]]*AH92,0.5)</f>
        <v>0</v>
      </c>
      <c r="BL92" s="300">
        <f>Out_Table[[#This Row],[Double Deck trailer N° bumpers]]</f>
        <v>0</v>
      </c>
      <c r="BM92" s="301"/>
      <c r="BN92" s="299" t="str">
        <f>B92</f>
        <v>ITD12764</v>
      </c>
      <c r="BO92" s="299" t="str">
        <f>E92</f>
        <v>FC5</v>
      </c>
      <c r="BP92" s="302">
        <f>IF(AND(G92&gt;(--"00:00:01"),G92&lt;(--"15:00:00")),IF(AND(X92&gt;(--"00:00:01"),X92&lt;(--"15:00:00")),G92-X92,G92+1-X92),G92-X92)</f>
        <v>2.0138888888888817E-2</v>
      </c>
      <c r="BQ92" s="303">
        <f>AE92+AF92+AH92+AJ92</f>
        <v>0</v>
      </c>
      <c r="BR92" s="304" t="str">
        <f>IF(OR(BP92&lt;=(--"00:20:00"),BQ92&gt;=100%),"OK","Not OK")</f>
        <v>Not OK</v>
      </c>
      <c r="BS92" s="302">
        <f>IF(AND(G92&gt;(--"00:00:01"),G92&lt;(--"15:00:00")),IF(AND(AU92&gt;(--"00:00:01"),AU92&lt;(--"15:00:00")),G92-AU92,G92+1-AU92),G92-AU92)</f>
        <v>1.9444444444444375E-2</v>
      </c>
      <c r="BT92" s="302">
        <f>IF(AND(AZ92&gt;(--"00:00:01"),AZ92&lt;(--"15:00:00")),IF(AND(AU92&gt;(--"00:00:01"),AU92&lt;(--"15:00:00")),AZ92-AU92,AZ92+1-AU92),AZ92-AU92)</f>
        <v>4.1666666666666519E-3</v>
      </c>
      <c r="BU92" s="302">
        <f>IF(AND(BA92&gt;(--"00:00:01"),BA92&lt;(--"15:00:00")),IF(AND(AZ92&gt;(--"00:00:01"),AZ92&lt;(--"15:00:00")),BA92-AZ92,BA92+1-AZ92),BA92-AZ92)</f>
        <v>6.9444444444444198E-3</v>
      </c>
      <c r="BV92" s="299">
        <f>AV92</f>
        <v>0</v>
      </c>
      <c r="BW92" s="301"/>
      <c r="BX92" s="299" t="str">
        <f>IF(AV92="T Status",IF(AV92&lt;&gt;T92,"X",""),"")</f>
        <v/>
      </c>
      <c r="BY92" s="301"/>
      <c r="BZ92" s="299" t="str">
        <f>IF(X92&lt;&gt;"",IF(CC92="X","Driver Delay",IF(CA92="X","Paperwork Delay",IF(CB92="X","Late freight late sort",IF(CD92="X","Chiamare Control Room",IF(CE92="X","Chiamare Control Room",IF(CF92="X","Chiamare Control Room","")))))),"")</f>
        <v>Chiamare Control Room</v>
      </c>
      <c r="CA92" s="302" t="str">
        <f>IF(K92="",IF(IF(AND(G92&gt;(--"00:00:01"),G92&lt;(--"15:00:00")),IF(AND(AT92&gt;(--"08:00:00"),AT92&lt;(--"23:59:59")),G92+1-AT92,G92-AT92),G92-AT92)&gt;(--"00:20:00"),"","X"),"")</f>
        <v/>
      </c>
      <c r="CB92" s="299" t="str">
        <f>IF(K92="",IF(BP92&gt;=(--"00:20:00"),"","X"),"")</f>
        <v/>
      </c>
      <c r="CC92" s="299" t="str">
        <f>IF(OR(AV92="Autista non presente",AV92="Dati driver non presenti"),"X","")</f>
        <v/>
      </c>
      <c r="CD92" s="299" t="str">
        <f>IF(K92="",IF(AND(CC92="",BS92&lt;(--"00:20:00")),"X",""),"")</f>
        <v/>
      </c>
      <c r="CE92" s="299" t="str">
        <f>IF(K92="",IF(BT92&gt;(--"00:15:00"),"X",""),IF(AZ92&lt;&gt;"",IF(G92-AZ92&gt;(--"00:30:00"),"X",""),""))</f>
        <v/>
      </c>
      <c r="CF92" s="299" t="str">
        <f>IF(AND(CA92="",CB92="",CC92="",CD92="",CE92=""),"X","")</f>
        <v>X</v>
      </c>
      <c r="CG92" s="301"/>
      <c r="CH92" s="299" t="str">
        <f>IF(BT92&gt;(--"00:15:00"),"X","")</f>
        <v/>
      </c>
      <c r="CI92" s="302" t="str">
        <f>AY92</f>
        <v/>
      </c>
      <c r="CJ92" s="299" t="str">
        <f>IF(AND(CH92&lt;&gt;"",CI92&lt;&gt;"",LEFT(B92,3)="ITD"),AP92,"")</f>
        <v/>
      </c>
      <c r="CK92" s="305" t="str">
        <f>IF(CJ92&lt;&gt;"",BT92,"")</f>
        <v/>
      </c>
      <c r="CL92" s="301"/>
      <c r="CM92" s="305" t="str">
        <f>IFERROR(VLOOKUP(Q92,'Elenco Casse'!$D$4:$F$292,3,FALSE),"")</f>
        <v/>
      </c>
      <c r="CN92" s="301"/>
      <c r="CO92" s="305" t="str">
        <f>IFERROR(VLOOKUP(S92,'Elenco Casse'!$D$4:$F$292,3,FALSE),"")</f>
        <v/>
      </c>
      <c r="CP92" s="305" t="str">
        <f>IFERROR(IF(VLOOKUP($E92,Outlist!$A$5:$S$120,19,FALSE)&lt;&gt;0,"Y",""),"")</f>
        <v/>
      </c>
      <c r="CQ92" s="301"/>
      <c r="CR92" s="305" t="str">
        <f>CONCATENATE($B92,$E92,$G92)</f>
        <v>ITD12764FC50.00694444444444444</v>
      </c>
      <c r="CS92" s="301"/>
      <c r="CT92" s="305" t="e">
        <f>VLOOKUP(Out_Table[[#This Row],[Destination             ORANGE (From Planning)]],Outlist!$A$5:$W$120,22,FALSE)</f>
        <v>#N/A</v>
      </c>
    </row>
    <row r="93" spans="1:98" s="20" customFormat="1" ht="30.75">
      <c r="A93" s="305" t="str">
        <f>$CR93</f>
        <v>ITD12302FC50.916666666666667</v>
      </c>
      <c r="B93" s="284" t="s">
        <v>755</v>
      </c>
      <c r="C93" s="290" t="str">
        <f>IFERROR(IF(LEFT(B93,3)='STAT 77'!$X$2,_xlfn.XLOOKUP(B93,'STAT 77'!C:C,'STAT 77'!B:B),_xlfn.XLOOKUP(B93,'STAT 77'!B:B,'STAT 77'!C:C)),"NON TROVATO")</f>
        <v>ITD31340</v>
      </c>
      <c r="D93" s="25" t="s">
        <v>756</v>
      </c>
      <c r="E93" s="290" t="s">
        <v>751</v>
      </c>
      <c r="F93" s="290" t="str">
        <f>IFERROR(VLOOKUP(E93,'Cambio O2P'!C:E,2,FALSE),"")</f>
        <v>ZIPH</v>
      </c>
      <c r="G93" s="285">
        <v>0.91666666666666663</v>
      </c>
      <c r="H93" s="293" t="str">
        <f ca="1">IFERROR(IF(AND('INformazioni per calcoli'!$AB$3&lt;(--"14:30"),'INformazioni per calcoli'!$AB$3&gt;(--"10:00")),"",IF($B93="","",IF($X93&lt;&gt;"","Mezzo Chiuso",IF($W93="","Non al Carico",IF($G93-'INformazioni per calcoli'!$AB$5-'INformazioni per calcoli'!$AB$3+$J93&lt;0,"LFLS",IF($K93&lt;&gt;"","Safe Parking",IF($W93&lt;&gt;"",IF($E93="MXP",$G93-'INformazioni per calcoli'!$AB$6-'INformazioni per calcoli'!$AB$3+$J93,$G93-'INformazioni per calcoli'!$AB$5-'INformazioni per calcoli'!$AB$3+$J93),"Non al carico"))))))),"")</f>
        <v>Mezzo Chiuso</v>
      </c>
      <c r="I93" s="17" t="str">
        <f ca="1">IFERROR(IF($H93&lt;&gt;"",IF($H93="Safe Parking","",IF($W93&lt;&gt;"",IF(AND($U93="X",$V93="X"),$H93-(--"00:30"),""),IF($X93&lt;&gt;"","Mezzo Chiuso","Non al carico"))),""),"")</f>
        <v/>
      </c>
      <c r="J93" s="306">
        <f ca="1">IFERROR(IF($B93&lt;&gt;"",IF(AND('INformazioni per calcoli'!$AB$3&lt;(--"15:00"),'INformazioni per calcoli'!$AB$3&gt;(--"00:00")),0,IF($G93&lt;(--"18:30"),"+1",0)),""),"")</f>
        <v>0</v>
      </c>
      <c r="K93" s="17"/>
      <c r="L93" s="25" t="s">
        <v>658</v>
      </c>
      <c r="M93" s="25" t="str">
        <f>IFERROR(_xlfn.XLOOKUP($Q93,'Elenco Casse'!$D:$D,'Elenco Casse'!$E:$E),"")</f>
        <v>Forlani Trasporti Srl</v>
      </c>
      <c r="N93" s="25">
        <f>IFERROR(_xlfn.XLOOKUP($Q93,'Elenco Casse'!$D:$D,'Elenco Casse'!$F:$F),"")</f>
        <v>0</v>
      </c>
      <c r="O93" s="286" t="s">
        <v>418</v>
      </c>
      <c r="P93" s="295" t="str">
        <f>IFERROR(_xlfn.XLOOKUP($Q93,'Elenco Casse'!$D:$D,'Elenco Casse'!$G:$G),"")</f>
        <v>trailer 80 m3 2/3 axles</v>
      </c>
      <c r="Q93" s="355" t="s">
        <v>757</v>
      </c>
      <c r="R93" s="23" t="s">
        <v>420</v>
      </c>
      <c r="S93" s="25" t="s">
        <v>421</v>
      </c>
      <c r="T93" s="25" t="s">
        <v>460</v>
      </c>
      <c r="U93" s="23" t="str">
        <f>IF(ISNUMBER(SEARCH("Parcel",$T93)),"X","")</f>
        <v>X</v>
      </c>
      <c r="V93" s="23" t="str">
        <f>IF(ISNUMBER(SEARCH("Freight",$T93)),"X","")</f>
        <v/>
      </c>
      <c r="W93" s="26">
        <v>424</v>
      </c>
      <c r="X93" s="27">
        <v>0.89513888888888893</v>
      </c>
      <c r="Y93" s="25" t="str">
        <f>IF(Out_Table[[#This Row],[DOC Del. hr. (RTH)]]&lt;&gt;"","XXX","")</f>
        <v>XXX</v>
      </c>
      <c r="Z93" s="25"/>
      <c r="AA93" s="25" t="s">
        <v>40</v>
      </c>
      <c r="AB93" s="57">
        <v>1</v>
      </c>
      <c r="AC93" s="25"/>
      <c r="AD93" s="25"/>
      <c r="AE93" s="57"/>
      <c r="AF93" s="57"/>
      <c r="AG93" s="25"/>
      <c r="AH93" s="57"/>
      <c r="AI93" s="339">
        <v>27</v>
      </c>
      <c r="AJ93" s="339"/>
      <c r="AK93" s="297" t="str">
        <f>IF(X93&lt;&gt;"",CONCATENATE(IF(AA93&lt;&gt;"",CONCATENATE(Z93," ",AA93," ",BI93),""),IF(AD93&lt;&gt;"",CONCATENATE(","," ",AC93," ",AD93," ",BJ93),""),IF(AG93&lt;&gt;"",CONCATENATE(","," ",AF93," ",AG93," ",BK93),""),IF(AJ93&lt;&gt;"",CONCATENATE(","," ","DD"," ",BL93),"")," ",IF(AI93&lt;&gt;"",CONCATENATE(" - ",AI93," Bag"),"")),"")</f>
        <v xml:space="preserve"> LL 14  - 27 Bag</v>
      </c>
      <c r="AL93" s="287" t="s">
        <v>421</v>
      </c>
      <c r="AM93" s="287"/>
      <c r="AN93" s="287"/>
      <c r="AO93" s="287"/>
      <c r="AP93" s="370" t="str">
        <f>IFERROR(VLOOKUP(#REF!,Outlist!$A$5:$V$120,20,FALSE),"")</f>
        <v/>
      </c>
      <c r="AQ93" s="288" t="s">
        <v>758</v>
      </c>
      <c r="AS93" s="24"/>
      <c r="AT93" s="24">
        <v>0.79305555555555551</v>
      </c>
      <c r="AU93" s="27">
        <v>0.89722222222222225</v>
      </c>
      <c r="AV93" s="27" t="s">
        <v>736</v>
      </c>
      <c r="AW93" s="20" t="s">
        <v>443</v>
      </c>
      <c r="AX93" s="20" t="str">
        <f>IFERROR(IF(Out_Table[[#This Row],[Cancellazione linea]]="Cancellata","yes",""),"")</f>
        <v/>
      </c>
      <c r="AY93" s="72" t="str">
        <f>IF(BA93="",BZ93,IF(AND(BA93&lt;(--"23:59:59"),BA93&gt;(--"15:00:00"),G93&lt;(--"14:00:00"),G93&gt;(--"00:00:01")),"",IF(BA93&gt;G93,BZ93,"")))</f>
        <v/>
      </c>
      <c r="AZ93" s="27">
        <v>0.90138888888888891</v>
      </c>
      <c r="BA93" s="32">
        <v>0.90972222222222221</v>
      </c>
      <c r="BB93" s="72"/>
      <c r="BC93" s="72" t="str">
        <f>IFERROR(VLOOKUP(Out_Table[[#This Row],[Aggiornamento STATUS]],'INformazioni per calcoli'!$Y$70:$AA$76,2,FALSE),"")</f>
        <v/>
      </c>
      <c r="BD93" s="289"/>
      <c r="BE93" s="289"/>
      <c r="BF93" s="47" t="str">
        <f>LEFT($E93,3)</f>
        <v>FC5</v>
      </c>
      <c r="BG93" s="298" t="str">
        <f>IF(Out_Table[[#This Row],[Ora Uscita    (GH)]]&lt;&gt;"","x","")</f>
        <v>x</v>
      </c>
      <c r="BH93" s="299">
        <f>VLOOKUP($O93,'INformazioni per calcoli'!$Y$20:$AA$23,3,FALSE)</f>
        <v>14</v>
      </c>
      <c r="BI93" s="299">
        <f>MROUND(Out_Table[[#This Row],[Mtr. Trailer]]*AB93,0.5)</f>
        <v>14</v>
      </c>
      <c r="BJ93" s="299">
        <f>MROUND(Out_Table[[#This Row],[Mtr. Trailer]]*AE93,0.5)</f>
        <v>0</v>
      </c>
      <c r="BK93" s="299">
        <f>MROUND(Out_Table[[#This Row],[Mtr. Trailer]]*AH93,0.5)</f>
        <v>0</v>
      </c>
      <c r="BL93" s="300">
        <f>Out_Table[[#This Row],[Double Deck trailer N° bumpers]]</f>
        <v>0</v>
      </c>
      <c r="BM93" s="301"/>
      <c r="BN93" s="299" t="str">
        <f>B93</f>
        <v>ITD12302</v>
      </c>
      <c r="BO93" s="299" t="str">
        <f>E93</f>
        <v>FC5</v>
      </c>
      <c r="BP93" s="302">
        <f>IF(AND(G93&gt;(--"00:00:01"),G93&lt;(--"15:00:00")),IF(AND(X93&gt;(--"00:00:01"),X93&lt;(--"15:00:00")),G93-X93,G93+1-X93),G93-X93)</f>
        <v>2.1527777777777701E-2</v>
      </c>
      <c r="BQ93" s="303">
        <f>AE93+AF93+AH93+AJ93</f>
        <v>0</v>
      </c>
      <c r="BR93" s="304" t="str">
        <f>IF(OR(BP93&lt;=(--"00:20:00"),BQ93&gt;=100%),"OK","Not OK")</f>
        <v>Not OK</v>
      </c>
      <c r="BS93" s="302">
        <f>IF(AND(G93&gt;(--"00:00:01"),G93&lt;(--"15:00:00")),IF(AND(AU93&gt;(--"00:00:01"),AU93&lt;(--"15:00:00")),G93-AU93,G93+1-AU93),G93-AU93)</f>
        <v>1.9444444444444375E-2</v>
      </c>
      <c r="BT93" s="302">
        <f>IF(AND(AZ93&gt;(--"00:00:01"),AZ93&lt;(--"15:00:00")),IF(AND(AU93&gt;(--"00:00:01"),AU93&lt;(--"15:00:00")),AZ93-AU93,AZ93+1-AU93),AZ93-AU93)</f>
        <v>4.1666666666666519E-3</v>
      </c>
      <c r="BU93" s="302">
        <f>IF(AND(BA93&gt;(--"00:00:01"),BA93&lt;(--"15:00:00")),IF(AND(AZ93&gt;(--"00:00:01"),AZ93&lt;(--"15:00:00")),BA93-AZ93,BA93+1-AZ93),BA93-AZ93)</f>
        <v>8.3333333333333037E-3</v>
      </c>
      <c r="BV93" s="299" t="str">
        <f>AV93</f>
        <v>Autista non presente</v>
      </c>
      <c r="BW93" s="301"/>
      <c r="BX93" s="299" t="str">
        <f>IF(AV93="T Status",IF(AV93&lt;&gt;T93,"X",""),"")</f>
        <v/>
      </c>
      <c r="BY93" s="301"/>
      <c r="BZ93" s="299" t="str">
        <f>IF(X93&lt;&gt;"",IF(CC93="X","Driver Delay",IF(CA93="X","Paperwork Delay",IF(CB93="X","Late freight late sort",IF(CD93="X","Chiamare Control Room",IF(CE93="X","Chiamare Control Room",IF(CF93="X","Chiamare Control Room","")))))),"")</f>
        <v>Driver Delay</v>
      </c>
      <c r="CA93" s="302" t="str">
        <f>IF(K93="",IF(IF(AND(G93&gt;(--"00:00:01"),G93&lt;(--"15:00:00")),IF(AND(AT93&gt;(--"08:00:00"),AT93&lt;(--"23:59:59")),G93+1-AT93,G93-AT93),G93-AT93)&gt;(--"00:20:00"),"","X"),"")</f>
        <v/>
      </c>
      <c r="CB93" s="299" t="str">
        <f>IF(K93="",IF(BP93&gt;=(--"00:20:00"),"","X"),"")</f>
        <v/>
      </c>
      <c r="CC93" s="299" t="str">
        <f>IF(OR(AV93="Autista non presente",AV93="Dati driver non presenti"),"X","")</f>
        <v>X</v>
      </c>
      <c r="CD93" s="299" t="str">
        <f>IF(K93="",IF(AND(CC93="",BS93&lt;(--"00:20:00")),"X",""),"")</f>
        <v/>
      </c>
      <c r="CE93" s="299" t="str">
        <f>IF(K93="",IF(BT93&gt;(--"00:15:00"),"X",""),IF(AZ93&lt;&gt;"",IF(G93-AZ93&gt;(--"00:30:00"),"X",""),""))</f>
        <v/>
      </c>
      <c r="CF93" s="299" t="str">
        <f>IF(AND(CA93="",CB93="",CC93="",CD93="",CE93=""),"X","")</f>
        <v/>
      </c>
      <c r="CG93" s="301"/>
      <c r="CH93" s="299" t="str">
        <f>IF(BT93&gt;(--"00:15:00"),"X","")</f>
        <v/>
      </c>
      <c r="CI93" s="302" t="str">
        <f>AY93</f>
        <v/>
      </c>
      <c r="CJ93" s="299" t="str">
        <f>IF(AND(CH93&lt;&gt;"",CI93&lt;&gt;"",LEFT(B93,3)="ITD"),AP93,"")</f>
        <v/>
      </c>
      <c r="CK93" s="305" t="str">
        <f>IF(CJ93&lt;&gt;"",BT93,"")</f>
        <v/>
      </c>
      <c r="CL93" s="301"/>
      <c r="CM93" s="305" t="str">
        <f>IFERROR(VLOOKUP(Q93,'Elenco Casse'!$D$4:$F$292,3,FALSE),"")</f>
        <v/>
      </c>
      <c r="CN93" s="301"/>
      <c r="CO93" s="305" t="str">
        <f>IFERROR(VLOOKUP(S93,'Elenco Casse'!$D$4:$F$292,3,FALSE),"")</f>
        <v/>
      </c>
      <c r="CP93" s="305" t="str">
        <f>IFERROR(IF(VLOOKUP($E93,Outlist!$A$5:$S$120,19,FALSE)&lt;&gt;0,"Y",""),"")</f>
        <v/>
      </c>
      <c r="CQ93" s="301"/>
      <c r="CR93" s="305" t="str">
        <f>CONCATENATE($B93,$E93,$G93)</f>
        <v>ITD12302FC50.916666666666667</v>
      </c>
      <c r="CS93" s="301"/>
      <c r="CT93" s="305" t="e">
        <f>VLOOKUP(Out_Table[[#This Row],[Destination             ORANGE (From Planning)]],Outlist!$A$5:$W$120,22,FALSE)</f>
        <v>#N/A</v>
      </c>
    </row>
    <row r="94" spans="1:98" s="20" customFormat="1" ht="30.75">
      <c r="A94" s="305" t="str">
        <f>$CR94</f>
        <v>ITD12868FC50.9375</v>
      </c>
      <c r="B94" s="284" t="s">
        <v>759</v>
      </c>
      <c r="C94" s="290" t="str">
        <f>IFERROR(IF(LEFT(B94,3)='STAT 77'!$X$2,_xlfn.XLOOKUP(B94,'STAT 77'!C:C,'STAT 77'!B:B),_xlfn.XLOOKUP(B94,'STAT 77'!B:B,'STAT 77'!C:C)),"NON TROVATO")</f>
        <v>ITD32483</v>
      </c>
      <c r="D94" s="25" t="s">
        <v>760</v>
      </c>
      <c r="E94" s="290" t="s">
        <v>751</v>
      </c>
      <c r="F94" s="290" t="str">
        <f>IFERROR(VLOOKUP(E94,'Cambio O2P'!C:E,2,FALSE),"")</f>
        <v>ZIPH</v>
      </c>
      <c r="G94" s="285">
        <v>0.9375</v>
      </c>
      <c r="H94" s="293" t="str">
        <f ca="1">IFERROR(IF(AND('INformazioni per calcoli'!$AB$3&lt;(--"14:30"),'INformazioni per calcoli'!$AB$3&gt;(--"10:00")),"",IF($B94="","",IF($X94&lt;&gt;"","Mezzo Chiuso",IF($W94="","Non al Carico",IF($G94-'INformazioni per calcoli'!$AB$5-'INformazioni per calcoli'!$AB$3+$J94&lt;0,"LFLS",IF($K94&lt;&gt;"","Safe Parking",IF($W94&lt;&gt;"",IF($E94="MXP",$G94-'INformazioni per calcoli'!$AB$6-'INformazioni per calcoli'!$AB$3+$J94,$G94-'INformazioni per calcoli'!$AB$5-'INformazioni per calcoli'!$AB$3+$J94),"Non al carico"))))))),"")</f>
        <v>Mezzo Chiuso</v>
      </c>
      <c r="I94" s="17" t="str">
        <f ca="1">IFERROR(IF($H94&lt;&gt;"",IF($H94="Safe Parking","",IF($W94&lt;&gt;"",IF(AND($U94="X",$V94="X"),$H94-(--"00:30"),""),IF($X94&lt;&gt;"","Mezzo Chiuso","Non al carico"))),""),"")</f>
        <v/>
      </c>
      <c r="J94" s="306">
        <f ca="1">IFERROR(IF($B94&lt;&gt;"",IF(AND('INformazioni per calcoli'!$AB$3&lt;(--"15:00"),'INformazioni per calcoli'!$AB$3&gt;(--"00:00")),0,IF($G94&lt;(--"18:30"),"+1",0)),""),"")</f>
        <v>0</v>
      </c>
      <c r="K94" s="17"/>
      <c r="L94" s="25" t="s">
        <v>592</v>
      </c>
      <c r="M94" s="25" t="str">
        <f>IFERROR(_xlfn.XLOOKUP($Q94,'Elenco Casse'!$D:$D,'Elenco Casse'!$E:$E),"")</f>
        <v>S.T.I. S.R.L.</v>
      </c>
      <c r="N94" s="25">
        <f>IFERROR(_xlfn.XLOOKUP($Q94,'Elenco Casse'!$D:$D,'Elenco Casse'!$F:$F),"")</f>
        <v>0</v>
      </c>
      <c r="O94" s="286" t="s">
        <v>418</v>
      </c>
      <c r="P94" s="295" t="str">
        <f>IFERROR(_xlfn.XLOOKUP($Q94,'Elenco Casse'!$D:$D,'Elenco Casse'!$G:$G),"")</f>
        <v>trailer 80 m3 2/3 axles</v>
      </c>
      <c r="Q94" s="355" t="s">
        <v>761</v>
      </c>
      <c r="R94" s="23" t="s">
        <v>420</v>
      </c>
      <c r="S94" s="25" t="s">
        <v>544</v>
      </c>
      <c r="T94" s="25" t="s">
        <v>460</v>
      </c>
      <c r="U94" s="23" t="str">
        <f>IF(ISNUMBER(SEARCH("Parcel",$T94)),"X","")</f>
        <v>X</v>
      </c>
      <c r="V94" s="23" t="str">
        <f>IF(ISNUMBER(SEARCH("Freight",$T94)),"X","")</f>
        <v/>
      </c>
      <c r="W94" s="26">
        <v>425</v>
      </c>
      <c r="X94" s="27">
        <v>0.92222222222222228</v>
      </c>
      <c r="Y94" s="25" t="str">
        <f>IF(Out_Table[[#This Row],[DOC Del. hr. (RTH)]]&lt;&gt;"","XXX","")</f>
        <v>XXX</v>
      </c>
      <c r="Z94" s="25"/>
      <c r="AA94" s="25" t="s">
        <v>40</v>
      </c>
      <c r="AB94" s="57">
        <v>0.7</v>
      </c>
      <c r="AC94" s="25"/>
      <c r="AD94" s="25"/>
      <c r="AE94" s="57"/>
      <c r="AF94" s="57"/>
      <c r="AG94" s="25"/>
      <c r="AH94" s="57"/>
      <c r="AI94" s="339">
        <v>10</v>
      </c>
      <c r="AJ94" s="339"/>
      <c r="AK94" s="297" t="str">
        <f>IF(X94&lt;&gt;"",CONCATENATE(IF(AA94&lt;&gt;"",CONCATENATE(Z94," ",AA94," ",BI94),""),IF(AD94&lt;&gt;"",CONCATENATE(","," ",AC94," ",AD94," ",BJ94),""),IF(AG94&lt;&gt;"",CONCATENATE(","," ",AF94," ",AG94," ",BK94),""),IF(AJ94&lt;&gt;"",CONCATENATE(","," ","DD"," ",BL94),"")," ",IF(AI94&lt;&gt;"",CONCATENATE(" - ",AI94," Bag"),"")),"")</f>
        <v xml:space="preserve"> LL 10  - 10 Bag</v>
      </c>
      <c r="AL94" s="287" t="s">
        <v>421</v>
      </c>
      <c r="AM94" s="287"/>
      <c r="AN94" s="287"/>
      <c r="AO94" s="287"/>
      <c r="AP94" s="370" t="str">
        <f>IFERROR(VLOOKUP(#REF!,Outlist!$A$5:$V$120,20,FALSE),"")</f>
        <v/>
      </c>
      <c r="AQ94" s="288" t="s">
        <v>762</v>
      </c>
      <c r="AS94" s="24"/>
      <c r="AT94" s="24">
        <v>0.45694444444444443</v>
      </c>
      <c r="AU94" s="27">
        <v>0.92291666666666672</v>
      </c>
      <c r="AV94" s="27"/>
      <c r="AW94" s="20" t="s">
        <v>443</v>
      </c>
      <c r="AX94" s="20" t="str">
        <f>IFERROR(IF(Out_Table[[#This Row],[Cancellazione linea]]="Cancellata","yes",""),"")</f>
        <v/>
      </c>
      <c r="AY94" s="72" t="str">
        <f>IF(BA94="",BZ94,IF(AND(BA94&lt;(--"23:59:59"),BA94&gt;(--"15:00:00"),G94&lt;(--"14:00:00"),G94&gt;(--"00:00:01")),"",IF(BA94&gt;G94,BZ94,"")))</f>
        <v/>
      </c>
      <c r="AZ94" s="27">
        <v>0.92569444444444449</v>
      </c>
      <c r="BA94" s="32">
        <v>0.93333333333333335</v>
      </c>
      <c r="BB94" s="72"/>
      <c r="BC94" s="72" t="str">
        <f>IFERROR(VLOOKUP(Out_Table[[#This Row],[Aggiornamento STATUS]],'INformazioni per calcoli'!$Y$70:$AA$76,2,FALSE),"")</f>
        <v/>
      </c>
      <c r="BD94" s="289"/>
      <c r="BE94" s="289"/>
      <c r="BF94" s="47" t="str">
        <f>LEFT($E94,3)</f>
        <v>FC5</v>
      </c>
      <c r="BG94" s="298" t="str">
        <f>IF(Out_Table[[#This Row],[Ora Uscita    (GH)]]&lt;&gt;"","x","")</f>
        <v>x</v>
      </c>
      <c r="BH94" s="299">
        <f>VLOOKUP($O94,'INformazioni per calcoli'!$Y$20:$AA$23,3,FALSE)</f>
        <v>14</v>
      </c>
      <c r="BI94" s="299">
        <f>MROUND(Out_Table[[#This Row],[Mtr. Trailer]]*AB94,0.5)</f>
        <v>10</v>
      </c>
      <c r="BJ94" s="299">
        <f>MROUND(Out_Table[[#This Row],[Mtr. Trailer]]*AE94,0.5)</f>
        <v>0</v>
      </c>
      <c r="BK94" s="299">
        <f>MROUND(Out_Table[[#This Row],[Mtr. Trailer]]*AH94,0.5)</f>
        <v>0</v>
      </c>
      <c r="BL94" s="300">
        <f>Out_Table[[#This Row],[Double Deck trailer N° bumpers]]</f>
        <v>0</v>
      </c>
      <c r="BM94" s="301"/>
      <c r="BN94" s="299" t="str">
        <f>B94</f>
        <v>ITD12868</v>
      </c>
      <c r="BO94" s="299" t="str">
        <f>E94</f>
        <v>FC5</v>
      </c>
      <c r="BP94" s="302">
        <f>IF(AND(G94&gt;(--"00:00:01"),G94&lt;(--"15:00:00")),IF(AND(X94&gt;(--"00:00:01"),X94&lt;(--"15:00:00")),G94-X94,G94+1-X94),G94-X94)</f>
        <v>1.5277777777777724E-2</v>
      </c>
      <c r="BQ94" s="303">
        <f>AE94+AF94+AH94+AJ94</f>
        <v>0</v>
      </c>
      <c r="BR94" s="304" t="str">
        <f>IF(OR(BP94&lt;=(--"00:20:00"),BQ94&gt;=100%),"OK","Not OK")</f>
        <v>Not OK</v>
      </c>
      <c r="BS94" s="302">
        <f>IF(AND(G94&gt;(--"00:00:01"),G94&lt;(--"15:00:00")),IF(AND(AU94&gt;(--"00:00:01"),AU94&lt;(--"15:00:00")),G94-AU94,G94+1-AU94),G94-AU94)</f>
        <v>1.4583333333333282E-2</v>
      </c>
      <c r="BT94" s="302">
        <f>IF(AND(AZ94&gt;(--"00:00:01"),AZ94&lt;(--"15:00:00")),IF(AND(AU94&gt;(--"00:00:01"),AU94&lt;(--"15:00:00")),AZ94-AU94,AZ94+1-AU94),AZ94-AU94)</f>
        <v>2.7777777777777679E-3</v>
      </c>
      <c r="BU94" s="302">
        <f>IF(AND(BA94&gt;(--"00:00:01"),BA94&lt;(--"15:00:00")),IF(AND(AZ94&gt;(--"00:00:01"),AZ94&lt;(--"15:00:00")),BA94-AZ94,BA94+1-AZ94),BA94-AZ94)</f>
        <v>7.6388888888888618E-3</v>
      </c>
      <c r="BV94" s="299">
        <f>AV94</f>
        <v>0</v>
      </c>
      <c r="BW94" s="301"/>
      <c r="BX94" s="299" t="str">
        <f>IF(AV94="T Status",IF(AV94&lt;&gt;T94,"X",""),"")</f>
        <v/>
      </c>
      <c r="BY94" s="301"/>
      <c r="BZ94" s="299" t="str">
        <f>IF(X94&lt;&gt;"",IF(CC94="X","Driver Delay",IF(CA94="X","Paperwork Delay",IF(CB94="X","Late freight late sort",IF(CD94="X","Chiamare Control Room",IF(CE94="X","Chiamare Control Room",IF(CF94="X","Chiamare Control Room","")))))),"")</f>
        <v>Chiamare Control Room</v>
      </c>
      <c r="CA94" s="302" t="str">
        <f>IF(K94="",IF(IF(AND(G94&gt;(--"00:00:01"),G94&lt;(--"15:00:00")),IF(AND(AT94&gt;(--"08:00:00"),AT94&lt;(--"23:59:59")),G94+1-AT94,G94-AT94),G94-AT94)&gt;(--"00:20:00"),"","X"),"")</f>
        <v/>
      </c>
      <c r="CB94" s="299" t="str">
        <f>IF(K94="",IF(BP94&gt;=(--"00:20:00"),"","X"),"")</f>
        <v/>
      </c>
      <c r="CC94" s="299" t="str">
        <f>IF(OR(AV94="Autista non presente",AV94="Dati driver non presenti"),"X","")</f>
        <v/>
      </c>
      <c r="CD94" s="299" t="str">
        <f>IF(K94="",IF(AND(CC94="",BS94&lt;(--"00:20:00")),"X",""),"")</f>
        <v/>
      </c>
      <c r="CE94" s="299" t="str">
        <f>IF(K94="",IF(BT94&gt;(--"00:15:00"),"X",""),IF(AZ94&lt;&gt;"",IF(G94-AZ94&gt;(--"00:30:00"),"X",""),""))</f>
        <v/>
      </c>
      <c r="CF94" s="299" t="str">
        <f>IF(AND(CA94="",CB94="",CC94="",CD94="",CE94=""),"X","")</f>
        <v>X</v>
      </c>
      <c r="CG94" s="301"/>
      <c r="CH94" s="299" t="str">
        <f>IF(BT94&gt;(--"00:15:00"),"X","")</f>
        <v/>
      </c>
      <c r="CI94" s="302" t="str">
        <f>AY94</f>
        <v/>
      </c>
      <c r="CJ94" s="299" t="str">
        <f>IF(AND(CH94&lt;&gt;"",CI94&lt;&gt;"",LEFT(B94,3)="ITD"),AP94,"")</f>
        <v/>
      </c>
      <c r="CK94" s="305" t="str">
        <f>IF(CJ94&lt;&gt;"",BT94,"")</f>
        <v/>
      </c>
      <c r="CL94" s="301"/>
      <c r="CM94" s="305" t="str">
        <f>IFERROR(VLOOKUP(Q94,'Elenco Casse'!$D$4:$F$292,3,FALSE),"")</f>
        <v/>
      </c>
      <c r="CN94" s="301"/>
      <c r="CO94" s="305" t="str">
        <f>IFERROR(VLOOKUP(S94,'Elenco Casse'!$D$4:$F$292,3,FALSE),"")</f>
        <v/>
      </c>
      <c r="CP94" s="305" t="str">
        <f>IFERROR(IF(VLOOKUP($E94,Outlist!$A$5:$S$120,19,FALSE)&lt;&gt;0,"Y",""),"")</f>
        <v/>
      </c>
      <c r="CQ94" s="301"/>
      <c r="CR94" s="305" t="str">
        <f>CONCATENATE($B94,$E94,$G94)</f>
        <v>ITD12868FC50.9375</v>
      </c>
      <c r="CS94" s="301"/>
      <c r="CT94" s="305" t="e">
        <f>VLOOKUP(Out_Table[[#This Row],[Destination             ORANGE (From Planning)]],Outlist!$A$5:$W$120,22,FALSE)</f>
        <v>#N/A</v>
      </c>
    </row>
    <row r="95" spans="1:98" s="20" customFormat="1" ht="30.75">
      <c r="A95" s="305" t="str">
        <f>$CR95</f>
        <v>ITD12208FC50.864583333333333</v>
      </c>
      <c r="B95" s="284" t="s">
        <v>763</v>
      </c>
      <c r="C95" s="290" t="str">
        <f>IFERROR(IF(LEFT(B95,3)='STAT 77'!$X$2,_xlfn.XLOOKUP(B95,'STAT 77'!C:C,'STAT 77'!B:B),_xlfn.XLOOKUP(B95,'STAT 77'!B:B,'STAT 77'!C:C)),"NON TROVATO")</f>
        <v>ITD31082</v>
      </c>
      <c r="D95" s="25" t="s">
        <v>764</v>
      </c>
      <c r="E95" s="290" t="s">
        <v>751</v>
      </c>
      <c r="F95" s="290" t="str">
        <f>IFERROR(VLOOKUP(E95,'Cambio O2P'!C:E,2,FALSE),"")</f>
        <v>ZIPH</v>
      </c>
      <c r="G95" s="285">
        <v>0.86458333333333337</v>
      </c>
      <c r="H95" s="293" t="str">
        <f ca="1">IFERROR(IF(AND('INformazioni per calcoli'!$AB$3&lt;(--"14:30"),'INformazioni per calcoli'!$AB$3&gt;(--"10:00")),"",IF($B95="","",IF($X95&lt;&gt;"","Mezzo Chiuso",IF($W95="","Non al Carico",IF($G95-'INformazioni per calcoli'!$AB$5-'INformazioni per calcoli'!$AB$3+$J95&lt;0,"LFLS",IF($K95&lt;&gt;"","Safe Parking",IF($W95&lt;&gt;"",IF($E95="MXP",$G95-'INformazioni per calcoli'!$AB$6-'INformazioni per calcoli'!$AB$3+$J95,$G95-'INformazioni per calcoli'!$AB$5-'INformazioni per calcoli'!$AB$3+$J95),"Non al carico"))))))),"")</f>
        <v>Mezzo Chiuso</v>
      </c>
      <c r="I95" s="17" t="str">
        <f ca="1">IFERROR(IF($H95&lt;&gt;"",IF($H95="Safe Parking","",IF($W95&lt;&gt;"",IF(AND($U95="X",$V95="X"),$H95-(--"00:30"),""),IF($X95&lt;&gt;"","Mezzo Chiuso","Non al carico"))),""),"")</f>
        <v/>
      </c>
      <c r="J95" s="306">
        <f ca="1">IFERROR(IF($B95&lt;&gt;"",IF(AND('INformazioni per calcoli'!$AB$3&lt;(--"15:00"),'INformazioni per calcoli'!$AB$3&gt;(--"00:00")),0,IF($G95&lt;(--"18:30"),"+1",0)),""),"")</f>
        <v>0</v>
      </c>
      <c r="K95" s="17"/>
      <c r="L95" s="25" t="s">
        <v>451</v>
      </c>
      <c r="M95" s="25" t="str">
        <f>IFERROR(_xlfn.XLOOKUP($Q95,'Elenco Casse'!$D:$D,'Elenco Casse'!$E:$E),"")</f>
        <v>F.M. Trasporti S.R.L.</v>
      </c>
      <c r="N95" s="25">
        <f>IFERROR(_xlfn.XLOOKUP($Q95,'Elenco Casse'!$D:$D,'Elenco Casse'!$F:$F),"")</f>
        <v>0</v>
      </c>
      <c r="O95" s="286" t="s">
        <v>418</v>
      </c>
      <c r="P95" s="295" t="str">
        <f>IFERROR(_xlfn.XLOOKUP($Q95,'Elenco Casse'!$D:$D,'Elenco Casse'!$G:$G),"")</f>
        <v>trailer 80 m3 2/3 axles</v>
      </c>
      <c r="Q95" s="355" t="s">
        <v>765</v>
      </c>
      <c r="R95" s="23" t="s">
        <v>420</v>
      </c>
      <c r="S95" s="25" t="s">
        <v>421</v>
      </c>
      <c r="T95" s="25" t="s">
        <v>460</v>
      </c>
      <c r="U95" s="23" t="str">
        <f>IF(ISNUMBER(SEARCH("Parcel",$T95)),"X","")</f>
        <v>X</v>
      </c>
      <c r="V95" s="23" t="str">
        <f>IF(ISNUMBER(SEARCH("Freight",$T95)),"X","")</f>
        <v/>
      </c>
      <c r="W95" s="26">
        <v>426</v>
      </c>
      <c r="X95" s="27">
        <v>0.7944444444444444</v>
      </c>
      <c r="Y95" s="25" t="s">
        <v>766</v>
      </c>
      <c r="Z95" s="25"/>
      <c r="AA95" s="25" t="s">
        <v>40</v>
      </c>
      <c r="AB95" s="57">
        <v>0.9</v>
      </c>
      <c r="AC95" s="25"/>
      <c r="AD95" s="25"/>
      <c r="AE95" s="57"/>
      <c r="AF95" s="57"/>
      <c r="AG95" s="25"/>
      <c r="AH95" s="57"/>
      <c r="AI95" s="339">
        <v>36</v>
      </c>
      <c r="AJ95" s="339"/>
      <c r="AK95" s="297" t="str">
        <f>IF(X95&lt;&gt;"",CONCATENATE(IF(AA95&lt;&gt;"",CONCATENATE(Z95," ",AA95," ",BI95),""),IF(AD95&lt;&gt;"",CONCATENATE(","," ",AC95," ",AD95," ",BJ95),""),IF(AG95&lt;&gt;"",CONCATENATE(","," ",AF95," ",AG95," ",BK95),""),IF(AJ95&lt;&gt;"",CONCATENATE(","," ","DD"," ",BL95),"")," ",IF(AI95&lt;&gt;"",CONCATENATE(" - ",AI95," Bag"),"")),"")</f>
        <v xml:space="preserve"> LL 12.5  - 36 Bag</v>
      </c>
      <c r="AL95" s="287" t="s">
        <v>421</v>
      </c>
      <c r="AM95" s="287"/>
      <c r="AN95" s="287"/>
      <c r="AO95" s="287"/>
      <c r="AP95" s="370" t="str">
        <f>IFERROR(VLOOKUP(#REF!,Outlist!$A$5:$V$120,20,FALSE),"")</f>
        <v/>
      </c>
      <c r="AQ95" s="288" t="s">
        <v>767</v>
      </c>
      <c r="AS95" s="24"/>
      <c r="AT95" s="24">
        <v>0.45069444444444445</v>
      </c>
      <c r="AU95" s="27">
        <v>0.81805555555555554</v>
      </c>
      <c r="AV95" s="27"/>
      <c r="AW95" s="20" t="s">
        <v>443</v>
      </c>
      <c r="AX95" s="20" t="str">
        <f>IFERROR(IF(Out_Table[[#This Row],[Cancellazione linea]]="Cancellata","yes",""),"")</f>
        <v/>
      </c>
      <c r="AY95" s="72" t="str">
        <f>IF(BA95="",BZ95,IF(AND(BA95&lt;(--"23:59:59"),BA95&gt;(--"15:00:00"),G95&lt;(--"14:00:00"),G95&gt;(--"00:00:01")),"",IF(BA95&gt;G95,BZ95,"")))</f>
        <v/>
      </c>
      <c r="AZ95" s="27">
        <v>0.82430555555555551</v>
      </c>
      <c r="BA95" s="32">
        <v>0.83472222222222225</v>
      </c>
      <c r="BB95" s="72"/>
      <c r="BC95" s="72" t="str">
        <f>IFERROR(VLOOKUP(Out_Table[[#This Row],[Aggiornamento STATUS]],'INformazioni per calcoli'!$Y$70:$AA$76,2,FALSE),"")</f>
        <v/>
      </c>
      <c r="BD95" s="289"/>
      <c r="BE95" s="289"/>
      <c r="BF95" s="47" t="str">
        <f>LEFT($E95,3)</f>
        <v>FC5</v>
      </c>
      <c r="BG95" s="298" t="str">
        <f>IF(Out_Table[[#This Row],[Ora Uscita    (GH)]]&lt;&gt;"","x","")</f>
        <v>x</v>
      </c>
      <c r="BH95" s="299">
        <f>VLOOKUP($O95,'INformazioni per calcoli'!$Y$20:$AA$23,3,FALSE)</f>
        <v>14</v>
      </c>
      <c r="BI95" s="299">
        <f>MROUND(Out_Table[[#This Row],[Mtr. Trailer]]*AB95,0.5)</f>
        <v>12.5</v>
      </c>
      <c r="BJ95" s="299">
        <f>MROUND(Out_Table[[#This Row],[Mtr. Trailer]]*AE95,0.5)</f>
        <v>0</v>
      </c>
      <c r="BK95" s="299">
        <f>MROUND(Out_Table[[#This Row],[Mtr. Trailer]]*AH95,0.5)</f>
        <v>0</v>
      </c>
      <c r="BL95" s="300">
        <f>Out_Table[[#This Row],[Double Deck trailer N° bumpers]]</f>
        <v>0</v>
      </c>
      <c r="BM95" s="301"/>
      <c r="BN95" s="299" t="str">
        <f>B95</f>
        <v>ITD12208</v>
      </c>
      <c r="BO95" s="299" t="str">
        <f>E95</f>
        <v>FC5</v>
      </c>
      <c r="BP95" s="302">
        <f>IF(AND(G95&gt;(--"00:00:01"),G95&lt;(--"15:00:00")),IF(AND(X95&gt;(--"00:00:01"),X95&lt;(--"15:00:00")),G95-X95,G95+1-X95),G95-X95)</f>
        <v>7.0138888888888973E-2</v>
      </c>
      <c r="BQ95" s="303">
        <f>AE95+AF95+AH95+AJ95</f>
        <v>0</v>
      </c>
      <c r="BR95" s="304" t="str">
        <f>IF(OR(BP95&lt;=(--"00:20:00"),BQ95&gt;=100%),"OK","Not OK")</f>
        <v>Not OK</v>
      </c>
      <c r="BS95" s="302">
        <f>IF(AND(G95&gt;(--"00:00:01"),G95&lt;(--"15:00:00")),IF(AND(AU95&gt;(--"00:00:01"),AU95&lt;(--"15:00:00")),G95-AU95,G95+1-AU95),G95-AU95)</f>
        <v>4.6527777777777835E-2</v>
      </c>
      <c r="BT95" s="302">
        <f>IF(AND(AZ95&gt;(--"00:00:01"),AZ95&lt;(--"15:00:00")),IF(AND(AU95&gt;(--"00:00:01"),AU95&lt;(--"15:00:00")),AZ95-AU95,AZ95+1-AU95),AZ95-AU95)</f>
        <v>6.2499999999999778E-3</v>
      </c>
      <c r="BU95" s="302">
        <f>IF(AND(BA95&gt;(--"00:00:01"),BA95&lt;(--"15:00:00")),IF(AND(AZ95&gt;(--"00:00:01"),AZ95&lt;(--"15:00:00")),BA95-AZ95,BA95+1-AZ95),BA95-AZ95)</f>
        <v>1.0416666666666741E-2</v>
      </c>
      <c r="BV95" s="299">
        <f>AV95</f>
        <v>0</v>
      </c>
      <c r="BW95" s="301"/>
      <c r="BX95" s="299" t="str">
        <f>IF(AV95="T Status",IF(AV95&lt;&gt;T95,"X",""),"")</f>
        <v/>
      </c>
      <c r="BY95" s="301"/>
      <c r="BZ95" s="299" t="str">
        <f>IF(X95&lt;&gt;"",IF(CC95="X","Driver Delay",IF(CA95="X","Paperwork Delay",IF(CB95="X","Late freight late sort",IF(CD95="X","Chiamare Control Room",IF(CE95="X","Chiamare Control Room",IF(CF95="X","Chiamare Control Room","")))))),"")</f>
        <v>Chiamare Control Room</v>
      </c>
      <c r="CA95" s="302" t="str">
        <f>IF(K95="",IF(IF(AND(G95&gt;(--"00:00:01"),G95&lt;(--"15:00:00")),IF(AND(AT95&gt;(--"08:00:00"),AT95&lt;(--"23:59:59")),G95+1-AT95,G95-AT95),G95-AT95)&gt;(--"00:20:00"),"","X"),"")</f>
        <v/>
      </c>
      <c r="CB95" s="299" t="str">
        <f>IF(K95="",IF(BP95&gt;=(--"00:20:00"),"","X"),"")</f>
        <v/>
      </c>
      <c r="CC95" s="299" t="str">
        <f>IF(OR(AV95="Autista non presente",AV95="Dati driver non presenti"),"X","")</f>
        <v/>
      </c>
      <c r="CD95" s="299" t="str">
        <f>IF(K95="",IF(AND(CC95="",BS95&lt;(--"00:20:00")),"X",""),"")</f>
        <v/>
      </c>
      <c r="CE95" s="299" t="str">
        <f>IF(K95="",IF(BT95&gt;(--"00:15:00"),"X",""),IF(AZ95&lt;&gt;"",IF(G95-AZ95&gt;(--"00:30:00"),"X",""),""))</f>
        <v/>
      </c>
      <c r="CF95" s="299" t="str">
        <f>IF(AND(CA95="",CB95="",CC95="",CD95="",CE95=""),"X","")</f>
        <v>X</v>
      </c>
      <c r="CG95" s="301"/>
      <c r="CH95" s="299" t="str">
        <f>IF(BT95&gt;(--"00:15:00"),"X","")</f>
        <v/>
      </c>
      <c r="CI95" s="302" t="str">
        <f>AY95</f>
        <v/>
      </c>
      <c r="CJ95" s="299" t="str">
        <f>IF(AND(CH95&lt;&gt;"",CI95&lt;&gt;"",LEFT(B95,3)="ITD"),AP95,"")</f>
        <v/>
      </c>
      <c r="CK95" s="305" t="str">
        <f>IF(CJ95&lt;&gt;"",BT95,"")</f>
        <v/>
      </c>
      <c r="CL95" s="301"/>
      <c r="CM95" s="305" t="str">
        <f>IFERROR(VLOOKUP(Q95,'Elenco Casse'!$D$4:$F$292,3,FALSE),"")</f>
        <v/>
      </c>
      <c r="CN95" s="301"/>
      <c r="CO95" s="305" t="str">
        <f>IFERROR(VLOOKUP(S95,'Elenco Casse'!$D$4:$F$292,3,FALSE),"")</f>
        <v/>
      </c>
      <c r="CP95" s="305" t="str">
        <f>IFERROR(IF(VLOOKUP($E95,Outlist!$A$5:$S$120,19,FALSE)&lt;&gt;0,"Y",""),"")</f>
        <v/>
      </c>
      <c r="CQ95" s="301"/>
      <c r="CR95" s="305" t="str">
        <f>CONCATENATE($B95,$E95,$G95)</f>
        <v>ITD12208FC50.864583333333333</v>
      </c>
      <c r="CS95" s="301"/>
      <c r="CT95" s="305" t="e">
        <f>VLOOKUP(Out_Table[[#This Row],[Destination             ORANGE (From Planning)]],Outlist!$A$5:$W$120,22,FALSE)</f>
        <v>#N/A</v>
      </c>
    </row>
    <row r="96" spans="1:98" s="20" customFormat="1" ht="30.75">
      <c r="A96" s="305" t="str">
        <f>$CR96</f>
        <v>ITD12220FC50.958333333333333</v>
      </c>
      <c r="B96" s="284" t="s">
        <v>768</v>
      </c>
      <c r="C96" s="290" t="str">
        <f>IFERROR(IF(LEFT(B96,3)='STAT 77'!$X$2,_xlfn.XLOOKUP(B96,'STAT 77'!C:C,'STAT 77'!B:B),_xlfn.XLOOKUP(B96,'STAT 77'!B:B,'STAT 77'!C:C)),"NON TROVATO")</f>
        <v>ITD31116</v>
      </c>
      <c r="D96" s="25" t="s">
        <v>769</v>
      </c>
      <c r="E96" s="290" t="s">
        <v>751</v>
      </c>
      <c r="F96" s="290" t="str">
        <f>IFERROR(VLOOKUP(E96,'Cambio O2P'!C:E,2,FALSE),"")</f>
        <v>ZIPH</v>
      </c>
      <c r="G96" s="285">
        <v>0.95833333333333337</v>
      </c>
      <c r="H96" s="293" t="str">
        <f ca="1">IFERROR(IF(AND('INformazioni per calcoli'!$AB$3&lt;(--"14:30"),'INformazioni per calcoli'!$AB$3&gt;(--"10:00")),"",IF($B96="","",IF($X96&lt;&gt;"","Mezzo Chiuso",IF($W96="","Non al Carico",IF($G96-'INformazioni per calcoli'!$AB$5-'INformazioni per calcoli'!$AB$3+$J96&lt;0,"LFLS",IF($K96&lt;&gt;"","Safe Parking",IF($W96&lt;&gt;"",IF($E96="MXP",$G96-'INformazioni per calcoli'!$AB$6-'INformazioni per calcoli'!$AB$3+$J96,$G96-'INformazioni per calcoli'!$AB$5-'INformazioni per calcoli'!$AB$3+$J96),"Non al carico"))))))),"")</f>
        <v>Mezzo Chiuso</v>
      </c>
      <c r="I96" s="17" t="str">
        <f ca="1">IFERROR(IF($H96&lt;&gt;"",IF($H96="Safe Parking","",IF($W96&lt;&gt;"",IF(AND($U96="X",$V96="X"),$H96-(--"00:30"),""),IF($X96&lt;&gt;"","Mezzo Chiuso","Non al carico"))),""),"")</f>
        <v/>
      </c>
      <c r="J96" s="306">
        <f ca="1">IFERROR(IF($B96&lt;&gt;"",IF(AND('INformazioni per calcoli'!$AB$3&lt;(--"15:00"),'INformazioni per calcoli'!$AB$3&gt;(--"00:00")),0,IF($G96&lt;(--"18:30"),"+1",0)),""),"")</f>
        <v>0</v>
      </c>
      <c r="K96" s="17"/>
      <c r="L96" s="25" t="s">
        <v>427</v>
      </c>
      <c r="M96" s="25" t="str">
        <f>IFERROR(_xlfn.XLOOKUP($Q96,'Elenco Casse'!$D:$D,'Elenco Casse'!$E:$E),"")</f>
        <v/>
      </c>
      <c r="N96" s="25" t="str">
        <f>IFERROR(_xlfn.XLOOKUP($Q96,'Elenco Casse'!$D:$D,'Elenco Casse'!$F:$F),"")</f>
        <v/>
      </c>
      <c r="O96" s="286" t="s">
        <v>418</v>
      </c>
      <c r="P96" s="295" t="str">
        <f>IFERROR(_xlfn.XLOOKUP($Q96,'Elenco Casse'!$D:$D,'Elenco Casse'!$G:$G),"")</f>
        <v/>
      </c>
      <c r="Q96" s="355" t="s">
        <v>770</v>
      </c>
      <c r="R96" s="23" t="s">
        <v>420</v>
      </c>
      <c r="S96" s="25" t="s">
        <v>421</v>
      </c>
      <c r="T96" s="25" t="s">
        <v>460</v>
      </c>
      <c r="U96" s="23" t="str">
        <f>IF(ISNUMBER(SEARCH("Parcel",$T96)),"X","")</f>
        <v>X</v>
      </c>
      <c r="V96" s="23" t="str">
        <f>IF(ISNUMBER(SEARCH("Freight",$T96)),"X","")</f>
        <v/>
      </c>
      <c r="W96" s="26">
        <v>426</v>
      </c>
      <c r="X96" s="27">
        <v>0.94305555555555554</v>
      </c>
      <c r="Y96" s="25" t="s">
        <v>624</v>
      </c>
      <c r="Z96" s="25"/>
      <c r="AA96" s="25" t="s">
        <v>40</v>
      </c>
      <c r="AB96" s="57">
        <v>0.3</v>
      </c>
      <c r="AC96" s="25"/>
      <c r="AD96" s="25"/>
      <c r="AE96" s="57"/>
      <c r="AF96" s="57"/>
      <c r="AG96" s="25"/>
      <c r="AH96" s="57"/>
      <c r="AI96" s="339">
        <v>1</v>
      </c>
      <c r="AJ96" s="339"/>
      <c r="AK96" s="297" t="str">
        <f>IF(X96&lt;&gt;"",CONCATENATE(IF(AA96&lt;&gt;"",CONCATENATE(Z96," ",AA96," ",BI96),""),IF(AD96&lt;&gt;"",CONCATENATE(","," ",AC96," ",AD96," ",BJ96),""),IF(AG96&lt;&gt;"",CONCATENATE(","," ",AF96," ",AG96," ",BK96),""),IF(AJ96&lt;&gt;"",CONCATENATE(","," ","DD"," ",BL96),"")," ",IF(AI96&lt;&gt;"",CONCATENATE(" - ",AI96," Bag"),"")),"")</f>
        <v xml:space="preserve"> LL 4  - 1 Bag</v>
      </c>
      <c r="AL96" s="287" t="s">
        <v>421</v>
      </c>
      <c r="AM96" s="287"/>
      <c r="AN96" s="287"/>
      <c r="AO96" s="287"/>
      <c r="AP96" s="370" t="str">
        <f>IFERROR(VLOOKUP(#REF!,Outlist!$A$5:$V$120,20,FALSE),"")</f>
        <v/>
      </c>
      <c r="AQ96" s="288" t="s">
        <v>771</v>
      </c>
      <c r="AS96" s="24"/>
      <c r="AT96" s="24">
        <v>0.80069444444444449</v>
      </c>
      <c r="AU96" s="27">
        <v>0.94444444444444442</v>
      </c>
      <c r="AV96" s="27"/>
      <c r="AW96" s="20" t="s">
        <v>443</v>
      </c>
      <c r="AX96" s="20" t="str">
        <f>IFERROR(IF(Out_Table[[#This Row],[Cancellazione linea]]="Cancellata","yes",""),"")</f>
        <v/>
      </c>
      <c r="AY96" s="72" t="str">
        <f>IF(BA96="",BZ96,IF(AND(BA96&lt;(--"23:59:59"),BA96&gt;(--"15:00:00"),G96&lt;(--"14:00:00"),G96&gt;(--"00:00:01")),"",IF(BA96&gt;G96,BZ96,"")))</f>
        <v/>
      </c>
      <c r="AZ96" s="27">
        <v>0.94861111111111107</v>
      </c>
      <c r="BA96" s="32">
        <v>0.95625000000000004</v>
      </c>
      <c r="BB96" s="72"/>
      <c r="BC96" s="72" t="str">
        <f>IFERROR(VLOOKUP(Out_Table[[#This Row],[Aggiornamento STATUS]],'INformazioni per calcoli'!$Y$70:$AA$76,2,FALSE),"")</f>
        <v/>
      </c>
      <c r="BD96" s="289"/>
      <c r="BE96" s="289"/>
      <c r="BF96" s="47" t="str">
        <f>LEFT($E96,3)</f>
        <v>FC5</v>
      </c>
      <c r="BG96" s="298" t="str">
        <f>IF(Out_Table[[#This Row],[Ora Uscita    (GH)]]&lt;&gt;"","x","")</f>
        <v>x</v>
      </c>
      <c r="BH96" s="299">
        <f>VLOOKUP($O96,'INformazioni per calcoli'!$Y$20:$AA$23,3,FALSE)</f>
        <v>14</v>
      </c>
      <c r="BI96" s="299">
        <f>MROUND(Out_Table[[#This Row],[Mtr. Trailer]]*AB96,0.5)</f>
        <v>4</v>
      </c>
      <c r="BJ96" s="299">
        <f>MROUND(Out_Table[[#This Row],[Mtr. Trailer]]*AE96,0.5)</f>
        <v>0</v>
      </c>
      <c r="BK96" s="299">
        <f>MROUND(Out_Table[[#This Row],[Mtr. Trailer]]*AH96,0.5)</f>
        <v>0</v>
      </c>
      <c r="BL96" s="300">
        <f>Out_Table[[#This Row],[Double Deck trailer N° bumpers]]</f>
        <v>0</v>
      </c>
      <c r="BM96" s="301"/>
      <c r="BN96" s="299" t="str">
        <f>B96</f>
        <v>ITD12220</v>
      </c>
      <c r="BO96" s="299" t="str">
        <f>E96</f>
        <v>FC5</v>
      </c>
      <c r="BP96" s="302">
        <f>IF(AND(G96&gt;(--"00:00:01"),G96&lt;(--"15:00:00")),IF(AND(X96&gt;(--"00:00:01"),X96&lt;(--"15:00:00")),G96-X96,G96+1-X96),G96-X96)</f>
        <v>1.5277777777777835E-2</v>
      </c>
      <c r="BQ96" s="303">
        <f>AE96+AF96+AH96+AJ96</f>
        <v>0</v>
      </c>
      <c r="BR96" s="304" t="str">
        <f>IF(OR(BP96&lt;=(--"00:20:00"),BQ96&gt;=100%),"OK","Not OK")</f>
        <v>Not OK</v>
      </c>
      <c r="BS96" s="302">
        <f>IF(AND(G96&gt;(--"00:00:01"),G96&lt;(--"15:00:00")),IF(AND(AU96&gt;(--"00:00:01"),AU96&lt;(--"15:00:00")),G96-AU96,G96+1-AU96),G96-AU96)</f>
        <v>1.3888888888888951E-2</v>
      </c>
      <c r="BT96" s="302">
        <f>IF(AND(AZ96&gt;(--"00:00:01"),AZ96&lt;(--"15:00:00")),IF(AND(AU96&gt;(--"00:00:01"),AU96&lt;(--"15:00:00")),AZ96-AU96,AZ96+1-AU96),AZ96-AU96)</f>
        <v>4.1666666666666519E-3</v>
      </c>
      <c r="BU96" s="302">
        <f>IF(AND(BA96&gt;(--"00:00:01"),BA96&lt;(--"15:00:00")),IF(AND(AZ96&gt;(--"00:00:01"),AZ96&lt;(--"15:00:00")),BA96-AZ96,BA96+1-AZ96),BA96-AZ96)</f>
        <v>7.6388888888889728E-3</v>
      </c>
      <c r="BV96" s="299">
        <f>AV96</f>
        <v>0</v>
      </c>
      <c r="BW96" s="301"/>
      <c r="BX96" s="299" t="str">
        <f>IF(AV96="T Status",IF(AV96&lt;&gt;T96,"X",""),"")</f>
        <v/>
      </c>
      <c r="BY96" s="301"/>
      <c r="BZ96" s="299" t="str">
        <f>IF(X96&lt;&gt;"",IF(CC96="X","Driver Delay",IF(CA96="X","Paperwork Delay",IF(CB96="X","Late freight late sort",IF(CD96="X","Chiamare Control Room",IF(CE96="X","Chiamare Control Room",IF(CF96="X","Chiamare Control Room","")))))),"")</f>
        <v>Chiamare Control Room</v>
      </c>
      <c r="CA96" s="302" t="str">
        <f>IF(K96="",IF(IF(AND(G96&gt;(--"00:00:01"),G96&lt;(--"15:00:00")),IF(AND(AT96&gt;(--"08:00:00"),AT96&lt;(--"23:59:59")),G96+1-AT96,G96-AT96),G96-AT96)&gt;(--"00:20:00"),"","X"),"")</f>
        <v/>
      </c>
      <c r="CB96" s="299" t="str">
        <f>IF(K96="",IF(BP96&gt;=(--"00:20:00"),"","X"),"")</f>
        <v/>
      </c>
      <c r="CC96" s="299" t="str">
        <f>IF(OR(AV96="Autista non presente",AV96="Dati driver non presenti"),"X","")</f>
        <v/>
      </c>
      <c r="CD96" s="299" t="str">
        <f>IF(K96="",IF(AND(CC96="",BS96&lt;(--"00:20:00")),"X",""),"")</f>
        <v/>
      </c>
      <c r="CE96" s="299" t="str">
        <f>IF(K96="",IF(BT96&gt;(--"00:15:00"),"X",""),IF(AZ96&lt;&gt;"",IF(G96-AZ96&gt;(--"00:30:00"),"X",""),""))</f>
        <v/>
      </c>
      <c r="CF96" s="299" t="str">
        <f>IF(AND(CA96="",CB96="",CC96="",CD96="",CE96=""),"X","")</f>
        <v>X</v>
      </c>
      <c r="CG96" s="301"/>
      <c r="CH96" s="299" t="str">
        <f>IF(BT96&gt;(--"00:15:00"),"X","")</f>
        <v/>
      </c>
      <c r="CI96" s="302" t="str">
        <f>AY96</f>
        <v/>
      </c>
      <c r="CJ96" s="299" t="str">
        <f>IF(AND(CH96&lt;&gt;"",CI96&lt;&gt;"",LEFT(B96,3)="ITD"),AP96,"")</f>
        <v/>
      </c>
      <c r="CK96" s="305" t="str">
        <f>IF(CJ96&lt;&gt;"",BT96,"")</f>
        <v/>
      </c>
      <c r="CL96" s="301"/>
      <c r="CM96" s="305" t="str">
        <f>IFERROR(VLOOKUP(Q96,'Elenco Casse'!$D$4:$F$292,3,FALSE),"")</f>
        <v/>
      </c>
      <c r="CN96" s="301"/>
      <c r="CO96" s="305" t="str">
        <f>IFERROR(VLOOKUP(S96,'Elenco Casse'!$D$4:$F$292,3,FALSE),"")</f>
        <v/>
      </c>
      <c r="CP96" s="305" t="str">
        <f>IFERROR(IF(VLOOKUP($E96,Outlist!$A$5:$S$120,19,FALSE)&lt;&gt;0,"Y",""),"")</f>
        <v/>
      </c>
      <c r="CQ96" s="301"/>
      <c r="CR96" s="305" t="str">
        <f>CONCATENATE($B96,$E96,$G96)</f>
        <v>ITD12220FC50.958333333333333</v>
      </c>
      <c r="CS96" s="301"/>
      <c r="CT96" s="305" t="e">
        <f>VLOOKUP(Out_Table[[#This Row],[Destination             ORANGE (From Planning)]],Outlist!$A$5:$W$120,22,FALSE)</f>
        <v>#N/A</v>
      </c>
    </row>
    <row r="97" spans="1:98" s="20" customFormat="1" ht="15">
      <c r="A97" s="305" t="str">
        <f>$CR97</f>
        <v>ITD12784QPZ0.208333333333333</v>
      </c>
      <c r="B97" s="284" t="s">
        <v>772</v>
      </c>
      <c r="C97" s="290" t="str">
        <f>IFERROR(IF(LEFT(B97,3)='STAT 77'!$X$2,_xlfn.XLOOKUP(B97,'STAT 77'!C:C,'STAT 77'!B:B),_xlfn.XLOOKUP(B97,'STAT 77'!B:B,'STAT 77'!C:C)),"NON TROVATO")</f>
        <v>ITD32316</v>
      </c>
      <c r="D97" s="25" t="s">
        <v>773</v>
      </c>
      <c r="E97" s="290" t="s">
        <v>774</v>
      </c>
      <c r="F97" s="290" t="str">
        <f>IFERROR(VLOOKUP(E97,'Cambio O2P'!C:E,2,FALSE),"")</f>
        <v>QPZT8</v>
      </c>
      <c r="G97" s="285">
        <v>0.20833333333333334</v>
      </c>
      <c r="H97" s="293">
        <f ca="1">IFERROR(IF(AND('INformazioni per calcoli'!$AB$3&lt;(--"14:30"),'INformazioni per calcoli'!$AB$3&gt;(--"10:00")),"",IF($B97="","",IF($X97&lt;&gt;"","Mezzo Chiuso",IF($W97="","Non al Carico",IF($G97-'INformazioni per calcoli'!$AB$5-'INformazioni per calcoli'!$AB$3+$J97&lt;0,"LFLS",IF($K97&lt;&gt;"","Safe Parking",IF($W97&lt;&gt;"",IF($E97="MXP",$G97-'INformazioni per calcoli'!$AB$6-'INformazioni per calcoli'!$AB$3+$J97,$G97-'INformazioni per calcoli'!$AB$5-'INformazioni per calcoli'!$AB$3+$J97),"Non al carico"))))))),"")</f>
        <v>4.8981481481481487E-2</v>
      </c>
      <c r="I97" s="17">
        <f ca="1">IFERROR(IF($H97&lt;&gt;"",IF($H97="Safe Parking","",IF($W97&lt;&gt;"",IF(AND($U97="X",$V97="X"),$H97-(--"00:30"),""),IF($X97&lt;&gt;"","Mezzo Chiuso","Non al carico"))),""),"")</f>
        <v>2.8148148148148155E-2</v>
      </c>
      <c r="J97" s="306">
        <f ca="1">IFERROR(IF($B97&lt;&gt;"",IF(AND('INformazioni per calcoli'!$AB$3&lt;(--"15:00"),'INformazioni per calcoli'!$AB$3&gt;(--"00:00")),0,IF($G97&lt;(--"18:30"),"+1",0)),""),"")</f>
        <v>0</v>
      </c>
      <c r="K97" s="17"/>
      <c r="L97" s="25" t="s">
        <v>430</v>
      </c>
      <c r="M97" s="25" t="str">
        <f>IFERROR(_xlfn.XLOOKUP($Q97,'Elenco Casse'!$D:$D,'Elenco Casse'!$E:$E),"")</f>
        <v>Trans Speedy S.R.L</v>
      </c>
      <c r="N97" s="25">
        <f>IFERROR(_xlfn.XLOOKUP($Q97,'Elenco Casse'!$D:$D,'Elenco Casse'!$F:$F),"")</f>
        <v>0</v>
      </c>
      <c r="O97" s="286" t="s">
        <v>418</v>
      </c>
      <c r="P97" s="295" t="str">
        <f>IFERROR(_xlfn.XLOOKUP($Q97,'Elenco Casse'!$D:$D,'Elenco Casse'!$G:$G),"")</f>
        <v>trailer 80 m3 2/3 axles</v>
      </c>
      <c r="Q97" s="355" t="s">
        <v>775</v>
      </c>
      <c r="R97" s="23" t="s">
        <v>420</v>
      </c>
      <c r="S97" s="25" t="s">
        <v>421</v>
      </c>
      <c r="T97" s="25"/>
      <c r="U97" s="23" t="s">
        <v>61</v>
      </c>
      <c r="V97" s="23" t="s">
        <v>61</v>
      </c>
      <c r="W97" s="26">
        <v>427</v>
      </c>
      <c r="X97" s="27"/>
      <c r="Y97" s="25"/>
      <c r="Z97" s="25"/>
      <c r="AA97" s="25" t="s">
        <v>40</v>
      </c>
      <c r="AB97" s="57"/>
      <c r="AC97" s="25"/>
      <c r="AD97" s="25" t="s">
        <v>487</v>
      </c>
      <c r="AE97" s="57"/>
      <c r="AF97" s="57"/>
      <c r="AG97" s="25" t="s">
        <v>488</v>
      </c>
      <c r="AH97" s="57"/>
      <c r="AI97" s="339"/>
      <c r="AJ97" s="339"/>
      <c r="AK97" s="297" t="str">
        <f>IF(X97&lt;&gt;"",CONCATENATE(IF(AA97&lt;&gt;"",CONCATENATE(Z97," ",AA97," ",BI97),""),IF(AD97&lt;&gt;"",CONCATENATE(","," ",AC97," ",AD97," ",BJ97),""),IF(AG97&lt;&gt;"",CONCATENATE(","," ",AF97," ",AG97," ",BK97),""),IF(AJ97&lt;&gt;"",CONCATENATE(","," ","DD"," ",BL97),"")," ",IF(AI97&lt;&gt;"",CONCATENATE(" - ",AI97," Bag"),"")),"")</f>
        <v/>
      </c>
      <c r="AL97" s="287"/>
      <c r="AM97" s="287"/>
      <c r="AN97" s="287"/>
      <c r="AO97" s="287"/>
      <c r="AP97" s="370" t="str">
        <f>IFERROR(VLOOKUP($E94,Outlist!$A$5:$V$120,20,FALSE),"")</f>
        <v/>
      </c>
      <c r="AQ97" s="288" t="str">
        <f>IFERROR(IF(VLOOKUP($A97,#REF!,8,FALSE)&lt;&gt;"",VLOOKUP($A97,#REF!,8,FALSE),""),"")</f>
        <v/>
      </c>
      <c r="AS97" s="24"/>
      <c r="AT97" s="24">
        <v>0.96388888888888891</v>
      </c>
      <c r="AU97" s="27"/>
      <c r="AV97" s="27"/>
      <c r="AX97" s="20" t="str">
        <f>IFERROR(IF(Out_Table[[#This Row],[Cancellazione linea]]="Cancellata","yes",""),"")</f>
        <v/>
      </c>
      <c r="AY97" s="72" t="str">
        <f>IF(BA97="",BZ97,IF(AND(BA97&lt;(--"23:59:59"),BA97&gt;(--"15:00:00"),G97&lt;(--"14:00:00"),G97&gt;(--"00:00:01")),"",IF(BA97&gt;G97,BZ97,"")))</f>
        <v/>
      </c>
      <c r="AZ97" s="27"/>
      <c r="BA97" s="32"/>
      <c r="BB97" s="72"/>
      <c r="BC97" s="72" t="str">
        <f>IFERROR(VLOOKUP(Out_Table[[#This Row],[Aggiornamento STATUS]],'INformazioni per calcoli'!$Y$70:$AA$76,2,FALSE),"")</f>
        <v/>
      </c>
      <c r="BD97" s="289"/>
      <c r="BE97" s="289"/>
      <c r="BF97" s="47" t="str">
        <f>LEFT($E97,3)</f>
        <v>QPZ</v>
      </c>
      <c r="BG97" s="298" t="str">
        <f>IF(Out_Table[[#This Row],[Ora Uscita    (GH)]]&lt;&gt;"","x","")</f>
        <v/>
      </c>
      <c r="BH97" s="299">
        <f>VLOOKUP($O97,'INformazioni per calcoli'!$Y$20:$AA$23,3,FALSE)</f>
        <v>14</v>
      </c>
      <c r="BI97" s="299">
        <f>MROUND(Out_Table[[#This Row],[Mtr. Trailer]]*AB97,0.5)</f>
        <v>0</v>
      </c>
      <c r="BJ97" s="299">
        <f>MROUND(Out_Table[[#This Row],[Mtr. Trailer]]*AE97,0.5)</f>
        <v>0</v>
      </c>
      <c r="BK97" s="299">
        <f>MROUND(Out_Table[[#This Row],[Mtr. Trailer]]*AH97,0.5)</f>
        <v>0</v>
      </c>
      <c r="BL97" s="300">
        <f>Out_Table[[#This Row],[Double Deck trailer N° bumpers]]</f>
        <v>0</v>
      </c>
      <c r="BM97" s="301"/>
      <c r="BN97" s="299" t="str">
        <f>B97</f>
        <v>ITD12784</v>
      </c>
      <c r="BO97" s="299" t="str">
        <f>E97</f>
        <v>QPZ</v>
      </c>
      <c r="BP97" s="302">
        <f>IF(AND(G97&gt;(--"00:00:01"),G97&lt;(--"15:00:00")),IF(AND(X97&gt;(--"00:00:01"),X97&lt;(--"15:00:00")),G97-X97,G97+1-X97),G97-X97)</f>
        <v>1.2083333333333333</v>
      </c>
      <c r="BQ97" s="303">
        <f>AE97+AF97+AH97+AJ97</f>
        <v>0</v>
      </c>
      <c r="BR97" s="304" t="str">
        <f>IF(OR(BP97&lt;=(--"00:20:00"),BQ97&gt;=100%),"OK","Not OK")</f>
        <v>Not OK</v>
      </c>
      <c r="BS97" s="302">
        <f>IF(AND(G97&gt;(--"00:00:01"),G97&lt;(--"15:00:00")),IF(AND(AU97&gt;(--"00:00:01"),AU97&lt;(--"15:00:00")),G97-AU97,G97+1-AU97),G97-AU97)</f>
        <v>1.2083333333333333</v>
      </c>
      <c r="BT97" s="302">
        <f>IF(AND(AZ97&gt;(--"00:00:01"),AZ97&lt;(--"15:00:00")),IF(AND(AU97&gt;(--"00:00:01"),AU97&lt;(--"15:00:00")),AZ97-AU97,AZ97+1-AU97),AZ97-AU97)</f>
        <v>0</v>
      </c>
      <c r="BU97" s="302">
        <f>IF(AND(BA97&gt;(--"00:00:01"),BA97&lt;(--"15:00:00")),IF(AND(AZ97&gt;(--"00:00:01"),AZ97&lt;(--"15:00:00")),BA97-AZ97,BA97+1-AZ97),BA97-AZ97)</f>
        <v>0</v>
      </c>
      <c r="BV97" s="299">
        <f>AV97</f>
        <v>0</v>
      </c>
      <c r="BW97" s="301"/>
      <c r="BX97" s="299" t="str">
        <f>IF(AV97="T Status",IF(AV97&lt;&gt;T97,"X",""),"")</f>
        <v/>
      </c>
      <c r="BY97" s="301"/>
      <c r="BZ97" s="299" t="str">
        <f>IF(X97&lt;&gt;"",IF(CC97="X","Driver Delay",IF(CA97="X","Paperwork Delay",IF(CB97="X","Late freight late sort",IF(CD97="X","Chiamare Control Room",IF(CE97="X","Chiamare Control Room",IF(CF97="X","Chiamare Control Room","")))))),"")</f>
        <v/>
      </c>
      <c r="CA97" s="302" t="str">
        <f>IF(K97="",IF(IF(AND(G97&gt;(--"00:00:01"),G97&lt;(--"15:00:00")),IF(AND(AT97&gt;(--"08:00:00"),AT97&lt;(--"23:59:59")),G97+1-AT97,G97-AT97),G97-AT97)&gt;(--"00:20:00"),"","X"),"")</f>
        <v/>
      </c>
      <c r="CB97" s="299" t="str">
        <f>IF(K97="",IF(BP97&gt;=(--"00:20:00"),"","X"),"")</f>
        <v/>
      </c>
      <c r="CC97" s="299" t="str">
        <f>IF(OR(AV97="Autista non presente",AV97="Dati driver non presenti"),"X","")</f>
        <v/>
      </c>
      <c r="CD97" s="299" t="str">
        <f>IF(K97="",IF(AND(CC97="",BS97&lt;(--"00:20:00")),"X",""),"")</f>
        <v/>
      </c>
      <c r="CE97" s="299" t="str">
        <f>IF(K97="",IF(BT97&gt;(--"00:15:00"),"X",""),IF(AZ97&lt;&gt;"",IF(G97-AZ97&gt;(--"00:30:00"),"X",""),""))</f>
        <v/>
      </c>
      <c r="CF97" s="299" t="str">
        <f>IF(AND(CA97="",CB97="",CC97="",CD97="",CE97=""),"X","")</f>
        <v>X</v>
      </c>
      <c r="CG97" s="301"/>
      <c r="CH97" s="299" t="str">
        <f>IF(BT97&gt;(--"00:15:00"),"X","")</f>
        <v/>
      </c>
      <c r="CI97" s="302" t="str">
        <f>AY97</f>
        <v/>
      </c>
      <c r="CJ97" s="299" t="str">
        <f>IF(AND(CH97&lt;&gt;"",CI97&lt;&gt;"",LEFT(B97,3)="ITD"),AP97,"")</f>
        <v/>
      </c>
      <c r="CK97" s="305" t="str">
        <f>IF(CJ97&lt;&gt;"",BT97,"")</f>
        <v/>
      </c>
      <c r="CL97" s="301"/>
      <c r="CM97" s="305" t="str">
        <f>IFERROR(VLOOKUP(Q97,'Elenco Casse'!$D$4:$F$292,3,FALSE),"")</f>
        <v/>
      </c>
      <c r="CN97" s="301"/>
      <c r="CO97" s="305" t="str">
        <f>IFERROR(VLOOKUP(S97,'Elenco Casse'!$D$4:$F$292,3,FALSE),"")</f>
        <v/>
      </c>
      <c r="CP97" s="305" t="str">
        <f>IFERROR(IF(VLOOKUP($E97,Outlist!$A$5:$S$120,19,FALSE)&lt;&gt;0,"Y",""),"")</f>
        <v/>
      </c>
      <c r="CQ97" s="301"/>
      <c r="CR97" s="305" t="str">
        <f>CONCATENATE($B97,$E97,$G97)</f>
        <v>ITD12784QPZ0.208333333333333</v>
      </c>
      <c r="CS97" s="301"/>
      <c r="CT97" s="305" t="e">
        <f>VLOOKUP(Out_Table[[#This Row],[Destination             ORANGE (From Planning)]],Outlist!$A$5:$W$120,22,FALSE)</f>
        <v>#N/A</v>
      </c>
    </row>
    <row r="98" spans="1:98" s="20" customFormat="1" ht="30.75">
      <c r="A98" s="305" t="str">
        <f>$CR98</f>
        <v>ERN18191Z8C0.0833333333357587</v>
      </c>
      <c r="B98" s="351" t="str">
        <f>IFERROR(VLOOKUP(E98,Outlist!$A$5:$AC$120,2,FALSE),"")</f>
        <v>ERN18191</v>
      </c>
      <c r="C98" s="352" t="str">
        <f>IFERROR(IF(LEFT(B98,3)='STAT 77'!$X$2,_xlfn.XLOOKUP(B98,'STAT 77'!C:C,'STAT 77'!B:B),_xlfn.XLOOKUP(B98,'STAT 77'!B:B,'STAT 77'!C:C)),"NON TROVATO")</f>
        <v>ERN09228</v>
      </c>
      <c r="D98" s="4"/>
      <c r="E98" s="352" t="str">
        <f>IFERROR(IF(Outlist!$A80&lt;&gt;"",Outlist!$A80,""),"")</f>
        <v>Z8C</v>
      </c>
      <c r="F98" s="352" t="str">
        <f>IFERROR(VLOOKUP(E98,'Cambio O2P'!C:E,2,FALSE),"")</f>
        <v>ZCBA</v>
      </c>
      <c r="G98" s="353">
        <f>IFERROR(VLOOKUP(E98,Outlist!$A$5:$AC$120,5,FALSE)-INT(VLOOKUP(E98,Outlist!$A$5:$AC$120,5,FALSE)),"")</f>
        <v>8.3333333335758653E-2</v>
      </c>
      <c r="H98" s="294" t="str">
        <f ca="1">IFERROR(IF(AND('INformazioni per calcoli'!$AB$3&lt;(--"14:30"),'INformazioni per calcoli'!$AB$3&gt;(--"10:00")),"",IF($B98="","",IF($X98&lt;&gt;"","Mezzo Chiuso",IF($W98="","Non al Carico",IF($K98="Safe Parking","Safe Parking", IF(OR($BF98='INformazioni per calcoli'!$AF$8,$BF98='INformazioni per calcoli'!$AC$8,$BF98='INformazioni per calcoli'!$AD$8,$BF98='INformazioni per calcoli'!$AE$8,$BF98='INformazioni per calcoli'!$AG$8,$BF98='INformazioni per calcoli'!$AH$8,$BF98='INformazioni per calcoli'!$AI$8,$BF98='INformazioni per calcoli'!$AJ$8),IF($G98-'INformazioni per calcoli'!$AB$6-'INformazioni per calcoli'!$AB$3+$J98&lt;0,"LFLS",$G98-'INformazioni per calcoli'!$AB$6-'INformazioni per calcoli'!$AB$3+$J98), IF(OR($BF98='INformazioni per calcoli'!$AF$6,$BF98='INformazioni per calcoli'!$AD$6,$BF98='INformazioni per calcoli'!$AE$6,$BF98='INformazioni per calcoli'!$AG$6),IF($G98-'INformazioni per calcoli'!$AB$8-'INformazioni per calcoli'!$AB$3+$J98&lt;0,"LFLS",$G98-'INformazioni per calcoli'!$AB$8-'INformazioni per calcoli'!$AB$3+$J98), IF($G98-'INformazioni per calcoli'!$AB$7-'INformazioni per calcoli'!$AB$3+$J98&lt;0,"LFLS",$G98-'INformazioni per calcoli'!$AB$7-'INformazioni per calcoli'!$AB$3+$J98)))))))),"")</f>
        <v>Mezzo Chiuso</v>
      </c>
      <c r="I98" s="17" t="str">
        <f ca="1">IFERROR(IF($H98&lt;&gt;"",IF($H98="Safe Parking","",IF($W98&lt;&gt;"",IF(AND($U98="X",$V98="X"),$H98-(--"00:30"),""),IF($X98&lt;&gt;"","Mezzo Chiuso","Non al carico"))),""),"")</f>
        <v/>
      </c>
      <c r="J98" s="306">
        <f ca="1">IFERROR(IF($B98&lt;&gt;"",IF(AND('INformazioni per calcoli'!$AB$3&lt;(--"15:00"),'INformazioni per calcoli'!$AB$3&gt;(--"00:00")),0,IF($G98&lt;(--"18:30"),"+1",0)),""),"")</f>
        <v>0</v>
      </c>
      <c r="K98" s="27">
        <f>IF(E98&lt;&gt;"",IFERROR(VLOOKUP(E98,Outlist!$A$5:$AC$120,22,FALSE),""),"")</f>
        <v>0</v>
      </c>
      <c r="L98" s="352" t="str">
        <f>IF(E98&lt;&gt;"",IFERROR(VLOOKUP(E98,Outlist!$A$5:$AC$120,3,FALSE),""),"")</f>
        <v>Galileo Transport Srl</v>
      </c>
      <c r="M98" s="4" t="str">
        <f>IFERROR(_xlfn.XLOOKUP($Q98,'Elenco Casse'!$D:$D,'Elenco Casse'!$E:$E),"")</f>
        <v/>
      </c>
      <c r="N98" s="4" t="str">
        <f>IFERROR(_xlfn.XLOOKUP($Q98,'Elenco Casse'!$D:$D,'Elenco Casse'!$F:$F),"")</f>
        <v/>
      </c>
      <c r="O98" s="4" t="str">
        <f>IF($L98&lt;&gt;"","TT-2/3","")</f>
        <v>TT-2/3</v>
      </c>
      <c r="P98" s="296" t="str">
        <f>IFERROR(IF(VLOOKUP(E98,Outlist!$A$5:$AC$120,21,FALSE)="YES","Linea Variata",""),"")</f>
        <v/>
      </c>
      <c r="Q98" s="355" t="s">
        <v>776</v>
      </c>
      <c r="R98" s="23" t="s">
        <v>420</v>
      </c>
      <c r="S98" s="25" t="str">
        <f>IFERROR(IF(VLOOKUP(E98,Outlist!$A$5:$AC$120,7,FALSE)="X","SUBCO",""),"")</f>
        <v/>
      </c>
      <c r="T98" s="25"/>
      <c r="U98" s="23" t="s">
        <v>500</v>
      </c>
      <c r="V98" s="23"/>
      <c r="W98" s="26">
        <v>432</v>
      </c>
      <c r="X98" s="27">
        <v>2.8472222222222222E-2</v>
      </c>
      <c r="Y98" s="25" t="s">
        <v>588</v>
      </c>
      <c r="Z98" s="25"/>
      <c r="AA98" s="25" t="s">
        <v>40</v>
      </c>
      <c r="AB98" s="57">
        <v>0.4</v>
      </c>
      <c r="AC98" s="25"/>
      <c r="AD98" s="25"/>
      <c r="AE98" s="57"/>
      <c r="AF98" s="57"/>
      <c r="AG98" s="25"/>
      <c r="AH98" s="57"/>
      <c r="AI98" s="339">
        <v>38</v>
      </c>
      <c r="AJ98" s="339"/>
      <c r="AK98" s="297" t="str">
        <f>IF(X98&lt;&gt;"",CONCATENATE(IF(AA98&lt;&gt;"",CONCATENATE(Z98," ",AA98," ",BI98),""),IF(AD98&lt;&gt;"",CONCATENATE(","," ",AC98," ",AD98," ",BJ98),""),IF(AG98&lt;&gt;"",CONCATENATE(","," ",AF98," ",AG98," ",BK98),""),IF(AJ98&lt;&gt;"",CONCATENATE(","," ","DD"," ",BL98),"")," ",IF(AI98&lt;&gt;"",CONCATENATE(" - ",AI98," Bag"),"")),"")</f>
        <v xml:space="preserve"> LL 5.5  - 38 Bag</v>
      </c>
      <c r="AL98" s="287" t="s">
        <v>421</v>
      </c>
      <c r="AM98" s="287"/>
      <c r="AN98" s="287"/>
      <c r="AO98" s="287"/>
      <c r="AP98" s="370">
        <f>IFERROR(VLOOKUP($E98,Outlist!$A$5:$V$120,20,FALSE),"")</f>
        <v>0</v>
      </c>
      <c r="AQ98" s="288" t="s">
        <v>777</v>
      </c>
      <c r="AR98" s="430">
        <v>3.0555555555555555E-2</v>
      </c>
      <c r="AS98" s="24">
        <v>3.4722222222222224E-2</v>
      </c>
      <c r="AT98" s="24">
        <v>3.5416666666666666E-2</v>
      </c>
      <c r="AU98" s="27"/>
      <c r="AV98" s="27"/>
      <c r="AW98" s="20" t="s">
        <v>443</v>
      </c>
      <c r="AX98" s="20" t="str">
        <f>IFERROR(IF(Out_Table[[#This Row],[Cancellazione linea]]="Cancellata","yes",""),"")</f>
        <v/>
      </c>
      <c r="AY98" s="72"/>
      <c r="AZ98" s="27">
        <v>4.1666666666666664E-2</v>
      </c>
      <c r="BA98" s="32">
        <v>5.4166666666666669E-2</v>
      </c>
      <c r="BB98" s="72"/>
      <c r="BC98" s="72" t="str">
        <f>IFERROR(VLOOKUP(Out_Table[[#This Row],[Aggiornamento STATUS]],'INformazioni per calcoli'!$Y$70:$AA$76,2,FALSE),"")</f>
        <v/>
      </c>
      <c r="BD98" s="289"/>
      <c r="BE98" s="289"/>
      <c r="BF98" s="47" t="str">
        <f>LEFT($E98,3)</f>
        <v>Z8C</v>
      </c>
      <c r="BG98" s="298" t="str">
        <f>IF(Out_Table[[#This Row],[Ora Uscita    (GH)]]&lt;&gt;"","x","")</f>
        <v>x</v>
      </c>
      <c r="BH98" s="299">
        <f>VLOOKUP($O98,'INformazioni per calcoli'!$Y$20:$AA$23,3,FALSE)</f>
        <v>14</v>
      </c>
      <c r="BI98" s="299">
        <f>MROUND(Out_Table[[#This Row],[Mtr. Trailer]]*AB98,0.5)</f>
        <v>5.5</v>
      </c>
      <c r="BJ98" s="299">
        <f>MROUND(Out_Table[[#This Row],[Mtr. Trailer]]*AE98,0.5)</f>
        <v>0</v>
      </c>
      <c r="BK98" s="299">
        <f>MROUND(Out_Table[[#This Row],[Mtr. Trailer]]*AH98,0.5)</f>
        <v>0</v>
      </c>
      <c r="BL98" s="300">
        <f>Out_Table[[#This Row],[Double Deck trailer N° bumpers]]</f>
        <v>0</v>
      </c>
      <c r="BM98" s="301"/>
      <c r="BN98" s="299" t="str">
        <f>B98</f>
        <v>ERN18191</v>
      </c>
      <c r="BO98" s="299" t="str">
        <f>E98</f>
        <v>Z8C</v>
      </c>
      <c r="BP98" s="302">
        <f>IF(AND(G98&gt;(--"00:00:01"),G98&lt;(--"15:00:00")),IF(AND(X98&gt;(--"00:00:01"),X98&lt;(--"15:00:00")),G98-X98,G98+1-X98),G98-X98)</f>
        <v>5.4861111113536434E-2</v>
      </c>
      <c r="BQ98" s="303">
        <f>AE98+AF98+AH98+AJ98</f>
        <v>0</v>
      </c>
      <c r="BR98" s="304" t="str">
        <f>IF(OR(BP98&lt;=(--"00:20:00"),BQ98&gt;=100%),"OK","Not OK")</f>
        <v>Not OK</v>
      </c>
      <c r="BS98" s="302">
        <f>IF(AND(G98&gt;(--"00:00:01"),G98&lt;(--"15:00:00")),IF(AND(AU98&gt;(--"00:00:01"),AU98&lt;(--"15:00:00")),G98-AU98,G98+1-AU98),G98-AU98)</f>
        <v>1.0833333333357587</v>
      </c>
      <c r="BT98" s="302">
        <f>IF(AND(AZ98&gt;(--"00:00:01"),AZ98&lt;(--"15:00:00")),IF(AND(AU98&gt;(--"00:00:01"),AU98&lt;(--"15:00:00")),AZ98-AU98,AZ98+1-AU98),AZ98-AU98)</f>
        <v>1.0416666666666667</v>
      </c>
      <c r="BU98" s="302">
        <f>IF(AND(BA98&gt;(--"00:00:01"),BA98&lt;(--"15:00:00")),IF(AND(AZ98&gt;(--"00:00:01"),AZ98&lt;(--"15:00:00")),BA98-AZ98,BA98+1-AZ98),BA98-AZ98)</f>
        <v>1.2500000000000004E-2</v>
      </c>
      <c r="BV98" s="299">
        <f>AV98</f>
        <v>0</v>
      </c>
      <c r="BW98" s="301"/>
      <c r="BX98" s="299" t="str">
        <f>IF(AV98="T Status",IF(AV98&lt;&gt;T98,"X",""),"")</f>
        <v/>
      </c>
      <c r="BY98" s="301"/>
      <c r="BZ98" s="299" t="str">
        <f>IF(X98&lt;&gt;"",IF(CC98="X","Driver Delay",IF(CA98="X","Paperwork Delay",IF(CB98="X","Late freight late sort",IF(CD98="X","Chiamare Control Room",IF(CE98="X","Chiamare Control Room",IF(CF98="X","Chiamare Control Room","")))))),"")</f>
        <v>Chiamare Control Room</v>
      </c>
      <c r="CA98" s="302" t="str">
        <f>IF(K98="",IF(IF(AND(G98&gt;(--"00:00:01"),G98&lt;(--"15:00:00")),IF(AND(AT98&gt;(--"08:00:00"),AT98&lt;(--"23:59:59")),G98+1-AT98,G98-AT98),G98-AT98)&gt;(--"00:20:00"),"","X"),"")</f>
        <v/>
      </c>
      <c r="CB98" s="299" t="str">
        <f>IF(K98="",IF(BP98&gt;=(--"00:20:00"),"","X"),"")</f>
        <v/>
      </c>
      <c r="CC98" s="299" t="str">
        <f>IF(OR(AV98="Autista non presente",AV98="Dati driver non presenti"),"X","")</f>
        <v/>
      </c>
      <c r="CD98" s="299" t="str">
        <f>IF(K98="",IF(AND(CC98="",BS98&lt;(--"00:20:00")),"X",""),"")</f>
        <v/>
      </c>
      <c r="CE98" s="299" t="str">
        <f>IF(K98="",IF(BT98&gt;(--"00:15:00"),"X",""),IF(AZ98&lt;&gt;"",IF(G98-AZ98&gt;(--"00:30:00"),"X",""),""))</f>
        <v>X</v>
      </c>
      <c r="CF98" s="299" t="str">
        <f>IF(AND(CA98="",CB98="",CC98="",CD98="",CE98=""),"X","")</f>
        <v/>
      </c>
      <c r="CG98" s="301"/>
      <c r="CH98" s="299" t="str">
        <f>IF(BT98&gt;(--"00:15:00"),"X","")</f>
        <v>X</v>
      </c>
      <c r="CI98" s="302">
        <f>AY98</f>
        <v>0</v>
      </c>
      <c r="CJ98" s="299" t="str">
        <f>IF(AND(CH98&lt;&gt;"",CI98&lt;&gt;"",LEFT(B98,3)="ITD"),AP98,"")</f>
        <v/>
      </c>
      <c r="CK98" s="305" t="str">
        <f>IF(CJ98&lt;&gt;"",BT98,"")</f>
        <v/>
      </c>
      <c r="CL98" s="301"/>
      <c r="CM98" s="305" t="str">
        <f>IFERROR(VLOOKUP(Q98,'Elenco Casse'!$D$4:$F$292,3,FALSE),"")</f>
        <v/>
      </c>
      <c r="CN98" s="301"/>
      <c r="CO98" s="305" t="str">
        <f>IFERROR(VLOOKUP(E98,Outlist!$A$5:$H$120,8,FALSE),"")</f>
        <v>enb17832</v>
      </c>
      <c r="CP98" s="305" t="str">
        <f>IFERROR(IF(VLOOKUP($E98,Outlist!$A$5:$S$120,19,FALSE)&lt;&gt;0,"Y",""),"")</f>
        <v>Y</v>
      </c>
      <c r="CQ98" s="301"/>
      <c r="CR98" s="305" t="str">
        <f>CONCATENATE($B98,$E98,$G98)</f>
        <v>ERN18191Z8C0.0833333333357587</v>
      </c>
      <c r="CS98" s="301"/>
      <c r="CT98" s="305">
        <f>VLOOKUP(Out_Table[[#This Row],[Destination             ORANGE (From Planning)]],Outlist!$A$5:$W$120,22,FALSE)</f>
        <v>0</v>
      </c>
    </row>
    <row r="99" spans="1:98" s="20" customFormat="1" ht="30.75">
      <c r="A99" s="305" t="str">
        <f>$CR99</f>
        <v>ITD12876FIA0.864583333333333</v>
      </c>
      <c r="B99" s="284" t="s">
        <v>778</v>
      </c>
      <c r="C99" s="290" t="str">
        <f>IFERROR(IF(LEFT(B99,3)='STAT 77'!$X$2,_xlfn.XLOOKUP(B99,'STAT 77'!C:C,'STAT 77'!B:B),_xlfn.XLOOKUP(B99,'STAT 77'!B:B,'STAT 77'!C:C)),"NON TROVATO")</f>
        <v>ITD32495</v>
      </c>
      <c r="D99" s="25" t="s">
        <v>779</v>
      </c>
      <c r="E99" s="290" t="s">
        <v>780</v>
      </c>
      <c r="F99" s="290" t="str">
        <f>IFERROR(VLOOKUP(E99,'Cambio O2P'!C:E,2,FALSE),"")</f>
        <v>ZIQH</v>
      </c>
      <c r="G99" s="285">
        <v>0.86458333333333337</v>
      </c>
      <c r="H99" s="293" t="str">
        <f ca="1">IFERROR(IF(AND('INformazioni per calcoli'!$AB$3&lt;(--"14:30"),'INformazioni per calcoli'!$AB$3&gt;(--"10:00")),"",IF($B99="","",IF($X99&lt;&gt;"","Mezzo Chiuso",IF($W99="","Non al Carico",IF($G99-'INformazioni per calcoli'!$AB$5-'INformazioni per calcoli'!$AB$3+$J99&lt;0,"LFLS",IF($K99&lt;&gt;"","Safe Parking",IF($W99&lt;&gt;"",IF($E99="MXP",$G99-'INformazioni per calcoli'!$AB$6-'INformazioni per calcoli'!$AB$3+$J99,$G99-'INformazioni per calcoli'!$AB$5-'INformazioni per calcoli'!$AB$3+$J99),"Non al carico"))))))),"")</f>
        <v>Mezzo Chiuso</v>
      </c>
      <c r="I99" s="17" t="str">
        <f ca="1">IFERROR(IF($H99&lt;&gt;"",IF($H99="Safe Parking","",IF($W99&lt;&gt;"",IF(AND($U99="X",$V99="X"),$H99-(--"00:30"),""),IF($X99&lt;&gt;"","Mezzo Chiuso","Non al carico"))),""),"")</f>
        <v/>
      </c>
      <c r="J99" s="306">
        <f ca="1">IFERROR(IF($B99&lt;&gt;"",IF(AND('INformazioni per calcoli'!$AB$3&lt;(--"15:00"),'INformazioni per calcoli'!$AB$3&gt;(--"00:00")),0,IF($G99&lt;(--"18:30"),"+1",0)),""),"")</f>
        <v>0</v>
      </c>
      <c r="K99" s="17"/>
      <c r="L99" s="25" t="s">
        <v>451</v>
      </c>
      <c r="M99" s="25" t="str">
        <f>IFERROR(_xlfn.XLOOKUP($Q99,'Elenco Casse'!$D:$D,'Elenco Casse'!$E:$E),"")</f>
        <v>F.M. Trasporti S.R.L.</v>
      </c>
      <c r="N99" s="25">
        <f>IFERROR(_xlfn.XLOOKUP($Q99,'Elenco Casse'!$D:$D,'Elenco Casse'!$F:$F),"")</f>
        <v>0</v>
      </c>
      <c r="O99" s="286" t="s">
        <v>418</v>
      </c>
      <c r="P99" s="295" t="str">
        <f>IFERROR(_xlfn.XLOOKUP($Q99,'Elenco Casse'!$D:$D,'Elenco Casse'!$G:$G),"")</f>
        <v>trailer 80 m3 2/3 axes</v>
      </c>
      <c r="Q99" s="355" t="s">
        <v>781</v>
      </c>
      <c r="R99" s="23" t="s">
        <v>420</v>
      </c>
      <c r="S99" s="25" t="s">
        <v>544</v>
      </c>
      <c r="T99" s="25" t="s">
        <v>460</v>
      </c>
      <c r="U99" s="23" t="str">
        <f>IF(ISNUMBER(SEARCH("Parcel",$T99)),"X","")</f>
        <v>X</v>
      </c>
      <c r="V99" s="23" t="str">
        <f>IF(ISNUMBER(SEARCH("Freight",$T99)),"X","")</f>
        <v/>
      </c>
      <c r="W99" s="26">
        <v>433</v>
      </c>
      <c r="X99" s="27">
        <v>0.75138888888888888</v>
      </c>
      <c r="Y99" s="25" t="s">
        <v>782</v>
      </c>
      <c r="Z99" s="25"/>
      <c r="AA99" s="25" t="s">
        <v>40</v>
      </c>
      <c r="AB99" s="57">
        <v>1</v>
      </c>
      <c r="AC99" s="25"/>
      <c r="AD99" s="25"/>
      <c r="AE99" s="57"/>
      <c r="AF99" s="57"/>
      <c r="AG99" s="25"/>
      <c r="AH99" s="57"/>
      <c r="AI99" s="339">
        <v>21</v>
      </c>
      <c r="AJ99" s="339"/>
      <c r="AK99" s="297" t="str">
        <f>IF(X99&lt;&gt;"",CONCATENATE(IF(AA99&lt;&gt;"",CONCATENATE(Z99," ",AA99," ",BI99),""),IF(AD99&lt;&gt;"",CONCATENATE(","," ",AC99," ",AD99," ",BJ99),""),IF(AG99&lt;&gt;"",CONCATENATE(","," ",AF99," ",AG99," ",BK99),""),IF(AJ99&lt;&gt;"",CONCATENATE(","," ","DD"," ",BL99),"")," ",IF(AI99&lt;&gt;"",CONCATENATE(" - ",AI99," Bag"),"")),"")</f>
        <v xml:space="preserve"> LL 14  - 21 Bag</v>
      </c>
      <c r="AL99" s="287" t="s">
        <v>421</v>
      </c>
      <c r="AM99" s="287"/>
      <c r="AN99" s="287"/>
      <c r="AO99" s="287"/>
      <c r="AP99" s="370" t="str">
        <f>IFERROR(VLOOKUP(#REF!,Outlist!$A$5:$V$120,20,FALSE),"")</f>
        <v/>
      </c>
      <c r="AQ99" s="288" t="s">
        <v>783</v>
      </c>
      <c r="AS99" s="24"/>
      <c r="AT99" s="24">
        <v>0.45069444444444445</v>
      </c>
      <c r="AU99" s="27">
        <v>0.81736111111111109</v>
      </c>
      <c r="AV99" s="27"/>
      <c r="AW99" s="20" t="s">
        <v>443</v>
      </c>
      <c r="AX99" s="20" t="str">
        <f>IFERROR(IF(Out_Table[[#This Row],[Cancellazione linea]]="Cancellata","yes",""),"")</f>
        <v/>
      </c>
      <c r="AY99" s="72" t="str">
        <f>IF(BA99="",BZ99,IF(AND(BA99&lt;(--"23:59:59"),BA99&gt;(--"15:00:00"),G99&lt;(--"14:00:00"),G99&gt;(--"00:00:01")),"",IF(BA99&gt;G99,BZ99,"")))</f>
        <v/>
      </c>
      <c r="AZ99" s="27">
        <v>0.82291666666666663</v>
      </c>
      <c r="BA99" s="32">
        <v>0.83125000000000004</v>
      </c>
      <c r="BB99" s="72"/>
      <c r="BC99" s="72" t="str">
        <f>IFERROR(VLOOKUP(Out_Table[[#This Row],[Aggiornamento STATUS]],'INformazioni per calcoli'!$Y$70:$AA$76,2,FALSE),"")</f>
        <v/>
      </c>
      <c r="BD99" s="289"/>
      <c r="BE99" s="289"/>
      <c r="BF99" s="47" t="str">
        <f>LEFT($E99,3)</f>
        <v>FIA</v>
      </c>
      <c r="BG99" s="298" t="str">
        <f>IF(Out_Table[[#This Row],[Ora Uscita    (GH)]]&lt;&gt;"","x","")</f>
        <v>x</v>
      </c>
      <c r="BH99" s="299">
        <f>VLOOKUP($O99,'INformazioni per calcoli'!$Y$20:$AA$23,3,FALSE)</f>
        <v>14</v>
      </c>
      <c r="BI99" s="299">
        <f>MROUND(Out_Table[[#This Row],[Mtr. Trailer]]*AB99,0.5)</f>
        <v>14</v>
      </c>
      <c r="BJ99" s="299">
        <f>MROUND(Out_Table[[#This Row],[Mtr. Trailer]]*AE99,0.5)</f>
        <v>0</v>
      </c>
      <c r="BK99" s="299">
        <f>MROUND(Out_Table[[#This Row],[Mtr. Trailer]]*AH99,0.5)</f>
        <v>0</v>
      </c>
      <c r="BL99" s="300">
        <f>Out_Table[[#This Row],[Double Deck trailer N° bumpers]]</f>
        <v>0</v>
      </c>
      <c r="BM99" s="301"/>
      <c r="BN99" s="299" t="str">
        <f>B99</f>
        <v>ITD12876</v>
      </c>
      <c r="BO99" s="299" t="str">
        <f>E99</f>
        <v>FIA</v>
      </c>
      <c r="BP99" s="302">
        <f>IF(AND(G99&gt;(--"00:00:01"),G99&lt;(--"15:00:00")),IF(AND(X99&gt;(--"00:00:01"),X99&lt;(--"15:00:00")),G99-X99,G99+1-X99),G99-X99)</f>
        <v>0.11319444444444449</v>
      </c>
      <c r="BQ99" s="303">
        <f>AE99+AF99+AH99+AJ99</f>
        <v>0</v>
      </c>
      <c r="BR99" s="304" t="str">
        <f>IF(OR(BP99&lt;=(--"00:20:00"),BQ99&gt;=100%),"OK","Not OK")</f>
        <v>Not OK</v>
      </c>
      <c r="BS99" s="302">
        <f>IF(AND(G99&gt;(--"00:00:01"),G99&lt;(--"15:00:00")),IF(AND(AU99&gt;(--"00:00:01"),AU99&lt;(--"15:00:00")),G99-AU99,G99+1-AU99),G99-AU99)</f>
        <v>4.7222222222222276E-2</v>
      </c>
      <c r="BT99" s="302">
        <f>IF(AND(AZ99&gt;(--"00:00:01"),AZ99&lt;(--"15:00:00")),IF(AND(AU99&gt;(--"00:00:01"),AU99&lt;(--"15:00:00")),AZ99-AU99,AZ99+1-AU99),AZ99-AU99)</f>
        <v>5.5555555555555358E-3</v>
      </c>
      <c r="BU99" s="302">
        <f>IF(AND(BA99&gt;(--"00:00:01"),BA99&lt;(--"15:00:00")),IF(AND(AZ99&gt;(--"00:00:01"),AZ99&lt;(--"15:00:00")),BA99-AZ99,BA99+1-AZ99),BA99-AZ99)</f>
        <v>8.3333333333334147E-3</v>
      </c>
      <c r="BV99" s="299">
        <f>AV99</f>
        <v>0</v>
      </c>
      <c r="BW99" s="301"/>
      <c r="BX99" s="299" t="str">
        <f>IF(AV99="T Status",IF(AV99&lt;&gt;T99,"X",""),"")</f>
        <v/>
      </c>
      <c r="BY99" s="301"/>
      <c r="BZ99" s="299" t="str">
        <f>IF(X99&lt;&gt;"",IF(CC99="X","Driver Delay",IF(CA99="X","Paperwork Delay",IF(CB99="X","Late freight late sort",IF(CD99="X","Chiamare Control Room",IF(CE99="X","Chiamare Control Room",IF(CF99="X","Chiamare Control Room","")))))),"")</f>
        <v>Chiamare Control Room</v>
      </c>
      <c r="CA99" s="302" t="str">
        <f>IF(K99="",IF(IF(AND(G99&gt;(--"00:00:01"),G99&lt;(--"15:00:00")),IF(AND(AT99&gt;(--"08:00:00"),AT99&lt;(--"23:59:59")),G99+1-AT99,G99-AT99),G99-AT99)&gt;(--"00:20:00"),"","X"),"")</f>
        <v/>
      </c>
      <c r="CB99" s="299" t="str">
        <f>IF(K99="",IF(BP99&gt;=(--"00:20:00"),"","X"),"")</f>
        <v/>
      </c>
      <c r="CC99" s="299" t="str">
        <f>IF(OR(AV99="Autista non presente",AV99="Dati driver non presenti"),"X","")</f>
        <v/>
      </c>
      <c r="CD99" s="299" t="str">
        <f>IF(K99="",IF(AND(CC99="",BS99&lt;(--"00:20:00")),"X",""),"")</f>
        <v/>
      </c>
      <c r="CE99" s="299" t="str">
        <f>IF(K99="",IF(BT99&gt;(--"00:15:00"),"X",""),IF(AZ99&lt;&gt;"",IF(G99-AZ99&gt;(--"00:30:00"),"X",""),""))</f>
        <v/>
      </c>
      <c r="CF99" s="299" t="str">
        <f>IF(AND(CA99="",CB99="",CC99="",CD99="",CE99=""),"X","")</f>
        <v>X</v>
      </c>
      <c r="CG99" s="301"/>
      <c r="CH99" s="299" t="str">
        <f>IF(BT99&gt;(--"00:15:00"),"X","")</f>
        <v/>
      </c>
      <c r="CI99" s="302" t="str">
        <f>AY99</f>
        <v/>
      </c>
      <c r="CJ99" s="299" t="str">
        <f>IF(AND(CH99&lt;&gt;"",CI99&lt;&gt;"",LEFT(B99,3)="ITD"),AP99,"")</f>
        <v/>
      </c>
      <c r="CK99" s="305" t="str">
        <f>IF(CJ99&lt;&gt;"",BT99,"")</f>
        <v/>
      </c>
      <c r="CL99" s="301"/>
      <c r="CM99" s="305" t="str">
        <f>IFERROR(VLOOKUP(Q99,'Elenco Casse'!$D$4:$F$292,3,FALSE),"")</f>
        <v/>
      </c>
      <c r="CN99" s="301"/>
      <c r="CO99" s="305" t="str">
        <f>IFERROR(VLOOKUP(S99,'Elenco Casse'!$D$4:$F$292,3,FALSE),"")</f>
        <v/>
      </c>
      <c r="CP99" s="305" t="str">
        <f>IFERROR(IF(VLOOKUP($E99,Outlist!$A$5:$S$120,19,FALSE)&lt;&gt;0,"Y",""),"")</f>
        <v/>
      </c>
      <c r="CQ99" s="301"/>
      <c r="CR99" s="305" t="str">
        <f>CONCATENATE($B99,$E99,$G99)</f>
        <v>ITD12876FIA0.864583333333333</v>
      </c>
      <c r="CS99" s="301"/>
      <c r="CT99" s="305" t="e">
        <f>VLOOKUP(Out_Table[[#This Row],[Destination             ORANGE (From Planning)]],Outlist!$A$5:$W$120,22,FALSE)</f>
        <v>#N/A</v>
      </c>
    </row>
    <row r="100" spans="1:98" s="20" customFormat="1" ht="30.75">
      <c r="A100" s="305" t="str">
        <f>$CR100</f>
        <v>ITD12094FIA0.920138888888889</v>
      </c>
      <c r="B100" s="284" t="s">
        <v>784</v>
      </c>
      <c r="C100" s="290" t="str">
        <f>IFERROR(IF(LEFT(B100,3)='STAT 77'!$X$2,_xlfn.XLOOKUP(B100,'STAT 77'!C:C,'STAT 77'!B:B),_xlfn.XLOOKUP(B100,'STAT 77'!B:B,'STAT 77'!C:C)),"NON TROVATO")</f>
        <v>ITD30848</v>
      </c>
      <c r="D100" s="25" t="s">
        <v>785</v>
      </c>
      <c r="E100" s="290" t="s">
        <v>780</v>
      </c>
      <c r="F100" s="290" t="str">
        <f>IFERROR(VLOOKUP(E100,'Cambio O2P'!C:E,2,FALSE),"")</f>
        <v>ZIQH</v>
      </c>
      <c r="G100" s="285">
        <v>0.92013888888888884</v>
      </c>
      <c r="H100" s="293" t="str">
        <f ca="1">IFERROR(IF(AND('INformazioni per calcoli'!$AB$3&lt;(--"14:30"),'INformazioni per calcoli'!$AB$3&gt;(--"10:00")),"",IF($B100="","",IF($X100&lt;&gt;"","Mezzo Chiuso",IF($W100="","Non al Carico",IF($G100-'INformazioni per calcoli'!$AB$5-'INformazioni per calcoli'!$AB$3+$J100&lt;0,"LFLS",IF($K100&lt;&gt;"","Safe Parking",IF($W100&lt;&gt;"",IF($E100="MXP",$G100-'INformazioni per calcoli'!$AB$6-'INformazioni per calcoli'!$AB$3+$J100,$G100-'INformazioni per calcoli'!$AB$5-'INformazioni per calcoli'!$AB$3+$J100),"Non al carico"))))))),"")</f>
        <v>Mezzo Chiuso</v>
      </c>
      <c r="I100" s="17" t="str">
        <f ca="1">IFERROR(IF($H100&lt;&gt;"",IF($H100="Safe Parking","",IF($W100&lt;&gt;"",IF(AND($U100="X",$V100="X"),$H100-(--"00:30"),""),IF($X100&lt;&gt;"","Mezzo Chiuso","Non al carico"))),""),"")</f>
        <v/>
      </c>
      <c r="J100" s="306">
        <f ca="1">IFERROR(IF($B100&lt;&gt;"",IF(AND('INformazioni per calcoli'!$AB$3&lt;(--"15:00"),'INformazioni per calcoli'!$AB$3&gt;(--"00:00")),0,IF($G100&lt;(--"18:30"),"+1",0)),""),"")</f>
        <v>0</v>
      </c>
      <c r="K100" s="17"/>
      <c r="L100" s="25" t="s">
        <v>446</v>
      </c>
      <c r="M100" s="25" t="str">
        <f>IFERROR(_xlfn.XLOOKUP($Q100,'Elenco Casse'!$D:$D,'Elenco Casse'!$E:$E),"")</f>
        <v/>
      </c>
      <c r="N100" s="25" t="str">
        <f>IFERROR(_xlfn.XLOOKUP($Q100,'Elenco Casse'!$D:$D,'Elenco Casse'!$F:$F),"")</f>
        <v/>
      </c>
      <c r="O100" s="286" t="s">
        <v>418</v>
      </c>
      <c r="P100" s="295" t="str">
        <f>IFERROR(_xlfn.XLOOKUP($Q100,'Elenco Casse'!$D:$D,'Elenco Casse'!$G:$G),"")</f>
        <v/>
      </c>
      <c r="Q100" s="355" t="s">
        <v>786</v>
      </c>
      <c r="R100" s="23" t="s">
        <v>420</v>
      </c>
      <c r="S100" s="25" t="s">
        <v>421</v>
      </c>
      <c r="T100" s="25" t="s">
        <v>460</v>
      </c>
      <c r="U100" s="23" t="str">
        <f>IF(ISNUMBER(SEARCH("Parcel",$T100)),"X","")</f>
        <v>X</v>
      </c>
      <c r="V100" s="23" t="str">
        <f>IF(ISNUMBER(SEARCH("Freight",$T100)),"X","")</f>
        <v/>
      </c>
      <c r="W100" s="26">
        <v>434</v>
      </c>
      <c r="X100" s="27">
        <v>0.89861111111111114</v>
      </c>
      <c r="Y100" s="25" t="str">
        <f>IF(Out_Table[[#This Row],[DOC Del. hr. (RTH)]]&lt;&gt;"","XXX","")</f>
        <v>XXX</v>
      </c>
      <c r="Z100" s="25"/>
      <c r="AA100" s="25" t="s">
        <v>40</v>
      </c>
      <c r="AB100" s="57">
        <v>1</v>
      </c>
      <c r="AC100" s="25"/>
      <c r="AD100" s="25"/>
      <c r="AE100" s="57"/>
      <c r="AF100" s="57"/>
      <c r="AG100" s="25"/>
      <c r="AH100" s="57"/>
      <c r="AI100" s="339">
        <v>18</v>
      </c>
      <c r="AJ100" s="339"/>
      <c r="AK100" s="297" t="str">
        <f>IF(X100&lt;&gt;"",CONCATENATE(IF(AA100&lt;&gt;"",CONCATENATE(Z100," ",AA100," ",BI100),""),IF(AD100&lt;&gt;"",CONCATENATE(","," ",AC100," ",AD100," ",BJ100),""),IF(AG100&lt;&gt;"",CONCATENATE(","," ",AF100," ",AG100," ",BK100),""),IF(AJ100&lt;&gt;"",CONCATENATE(","," ","DD"," ",BL100),"")," ",IF(AI100&lt;&gt;"",CONCATENATE(" - ",AI100," Bag"),"")),"")</f>
        <v xml:space="preserve"> LL 14  - 18 Bag</v>
      </c>
      <c r="AL100" s="287" t="s">
        <v>421</v>
      </c>
      <c r="AM100" s="287"/>
      <c r="AN100" s="287"/>
      <c r="AO100" s="287"/>
      <c r="AP100" s="370" t="str">
        <f>IFERROR(VLOOKUP(#REF!,Outlist!$A$5:$V$120,20,FALSE),"")</f>
        <v/>
      </c>
      <c r="AQ100" s="288" t="s">
        <v>787</v>
      </c>
      <c r="AS100" s="24"/>
      <c r="AT100" s="24">
        <v>0.47916666666666669</v>
      </c>
      <c r="AU100" s="27">
        <v>0.90138888888888891</v>
      </c>
      <c r="AV100" s="27"/>
      <c r="AW100" s="20" t="s">
        <v>443</v>
      </c>
      <c r="AX100" s="20" t="str">
        <f>IFERROR(IF(Out_Table[[#This Row],[Cancellazione linea]]="Cancellata","yes",""),"")</f>
        <v/>
      </c>
      <c r="AY100" s="72" t="str">
        <f>IF(BA100="",BZ100,IF(AND(BA100&lt;(--"23:59:59"),BA100&gt;(--"15:00:00"),G100&lt;(--"14:00:00"),G100&gt;(--"00:00:01")),"",IF(BA100&gt;G100,BZ100,"")))</f>
        <v/>
      </c>
      <c r="AZ100" s="27">
        <v>0.90416666666666667</v>
      </c>
      <c r="BA100" s="32">
        <v>0.91041666666666665</v>
      </c>
      <c r="BB100" s="72"/>
      <c r="BC100" s="72" t="str">
        <f>IFERROR(VLOOKUP(Out_Table[[#This Row],[Aggiornamento STATUS]],'INformazioni per calcoli'!$Y$70:$AA$76,2,FALSE),"")</f>
        <v/>
      </c>
      <c r="BD100" s="289"/>
      <c r="BE100" s="289"/>
      <c r="BF100" s="47" t="str">
        <f>LEFT($E100,3)</f>
        <v>FIA</v>
      </c>
      <c r="BG100" s="298" t="str">
        <f>IF(Out_Table[[#This Row],[Ora Uscita    (GH)]]&lt;&gt;"","x","")</f>
        <v>x</v>
      </c>
      <c r="BH100" s="299">
        <f>VLOOKUP($O100,'INformazioni per calcoli'!$Y$20:$AA$23,3,FALSE)</f>
        <v>14</v>
      </c>
      <c r="BI100" s="299">
        <f>MROUND(Out_Table[[#This Row],[Mtr. Trailer]]*AB100,0.5)</f>
        <v>14</v>
      </c>
      <c r="BJ100" s="299">
        <f>MROUND(Out_Table[[#This Row],[Mtr. Trailer]]*AE100,0.5)</f>
        <v>0</v>
      </c>
      <c r="BK100" s="299">
        <f>MROUND(Out_Table[[#This Row],[Mtr. Trailer]]*AH100,0.5)</f>
        <v>0</v>
      </c>
      <c r="BL100" s="300">
        <f>Out_Table[[#This Row],[Double Deck trailer N° bumpers]]</f>
        <v>0</v>
      </c>
      <c r="BM100" s="301"/>
      <c r="BN100" s="299" t="str">
        <f>B100</f>
        <v>ITD12094</v>
      </c>
      <c r="BO100" s="299" t="str">
        <f>E100</f>
        <v>FIA</v>
      </c>
      <c r="BP100" s="302">
        <f>IF(AND(G100&gt;(--"00:00:01"),G100&lt;(--"15:00:00")),IF(AND(X100&gt;(--"00:00:01"),X100&lt;(--"15:00:00")),G100-X100,G100+1-X100),G100-X100)</f>
        <v>2.1527777777777701E-2</v>
      </c>
      <c r="BQ100" s="303">
        <f>AE100+AF100+AH100+AJ100</f>
        <v>0</v>
      </c>
      <c r="BR100" s="304" t="str">
        <f>IF(OR(BP100&lt;=(--"00:20:00"),BQ100&gt;=100%),"OK","Not OK")</f>
        <v>Not OK</v>
      </c>
      <c r="BS100" s="302">
        <f>IF(AND(G100&gt;(--"00:00:01"),G100&lt;(--"15:00:00")),IF(AND(AU100&gt;(--"00:00:01"),AU100&lt;(--"15:00:00")),G100-AU100,G100+1-AU100),G100-AU100)</f>
        <v>1.8749999999999933E-2</v>
      </c>
      <c r="BT100" s="302">
        <f>IF(AND(AZ100&gt;(--"00:00:01"),AZ100&lt;(--"15:00:00")),IF(AND(AU100&gt;(--"00:00:01"),AU100&lt;(--"15:00:00")),AZ100-AU100,AZ100+1-AU100),AZ100-AU100)</f>
        <v>2.7777777777777679E-3</v>
      </c>
      <c r="BU100" s="302">
        <f>IF(AND(BA100&gt;(--"00:00:01"),BA100&lt;(--"15:00:00")),IF(AND(AZ100&gt;(--"00:00:01"),AZ100&lt;(--"15:00:00")),BA100-AZ100,BA100+1-AZ100),BA100-AZ100)</f>
        <v>6.2499999999999778E-3</v>
      </c>
      <c r="BV100" s="299">
        <f>AV100</f>
        <v>0</v>
      </c>
      <c r="BW100" s="301"/>
      <c r="BX100" s="299" t="str">
        <f>IF(AV100="T Status",IF(AV100&lt;&gt;T100,"X",""),"")</f>
        <v/>
      </c>
      <c r="BY100" s="301"/>
      <c r="BZ100" s="299" t="str">
        <f>IF(X100&lt;&gt;"",IF(CC100="X","Driver Delay",IF(CA100="X","Paperwork Delay",IF(CB100="X","Late freight late sort",IF(CD100="X","Chiamare Control Room",IF(CE100="X","Chiamare Control Room",IF(CF100="X","Chiamare Control Room","")))))),"")</f>
        <v>Chiamare Control Room</v>
      </c>
      <c r="CA100" s="302" t="str">
        <f>IF(K100="",IF(IF(AND(G100&gt;(--"00:00:01"),G100&lt;(--"15:00:00")),IF(AND(AT100&gt;(--"08:00:00"),AT100&lt;(--"23:59:59")),G100+1-AT100,G100-AT100),G100-AT100)&gt;(--"00:20:00"),"","X"),"")</f>
        <v/>
      </c>
      <c r="CB100" s="299" t="str">
        <f>IF(K100="",IF(BP100&gt;=(--"00:20:00"),"","X"),"")</f>
        <v/>
      </c>
      <c r="CC100" s="299" t="str">
        <f>IF(OR(AV100="Autista non presente",AV100="Dati driver non presenti"),"X","")</f>
        <v/>
      </c>
      <c r="CD100" s="299" t="str">
        <f>IF(K100="",IF(AND(CC100="",BS100&lt;(--"00:20:00")),"X",""),"")</f>
        <v/>
      </c>
      <c r="CE100" s="299" t="str">
        <f>IF(K100="",IF(BT100&gt;(--"00:15:00"),"X",""),IF(AZ100&lt;&gt;"",IF(G100-AZ100&gt;(--"00:30:00"),"X",""),""))</f>
        <v/>
      </c>
      <c r="CF100" s="299" t="str">
        <f>IF(AND(CA100="",CB100="",CC100="",CD100="",CE100=""),"X","")</f>
        <v>X</v>
      </c>
      <c r="CG100" s="301"/>
      <c r="CH100" s="299" t="str">
        <f>IF(BT100&gt;(--"00:15:00"),"X","")</f>
        <v/>
      </c>
      <c r="CI100" s="302" t="str">
        <f>AY100</f>
        <v/>
      </c>
      <c r="CJ100" s="299" t="str">
        <f>IF(AND(CH100&lt;&gt;"",CI100&lt;&gt;"",LEFT(B100,3)="ITD"),AP100,"")</f>
        <v/>
      </c>
      <c r="CK100" s="305" t="str">
        <f>IF(CJ100&lt;&gt;"",BT100,"")</f>
        <v/>
      </c>
      <c r="CL100" s="301"/>
      <c r="CM100" s="305" t="str">
        <f>IFERROR(VLOOKUP(Q100,'Elenco Casse'!$D$4:$F$292,3,FALSE),"")</f>
        <v/>
      </c>
      <c r="CN100" s="301"/>
      <c r="CO100" s="305" t="str">
        <f>IFERROR(VLOOKUP(S100,'Elenco Casse'!$D$4:$F$292,3,FALSE),"")</f>
        <v/>
      </c>
      <c r="CP100" s="305" t="str">
        <f>IFERROR(IF(VLOOKUP($E100,Outlist!$A$5:$S$120,19,FALSE)&lt;&gt;0,"Y",""),"")</f>
        <v/>
      </c>
      <c r="CQ100" s="301"/>
      <c r="CR100" s="305" t="str">
        <f>CONCATENATE($B100,$E100,$G100)</f>
        <v>ITD12094FIA0.920138888888889</v>
      </c>
      <c r="CS100" s="301"/>
      <c r="CT100" s="305" t="e">
        <f>VLOOKUP(Out_Table[[#This Row],[Destination             ORANGE (From Planning)]],Outlist!$A$5:$W$120,22,FALSE)</f>
        <v>#N/A</v>
      </c>
    </row>
    <row r="101" spans="1:98" s="20" customFormat="1" ht="30.75">
      <c r="A101" s="305" t="str">
        <f>$CR101</f>
        <v>ITD12101AN60.78125</v>
      </c>
      <c r="B101" s="284" t="s">
        <v>788</v>
      </c>
      <c r="C101" s="290" t="str">
        <f>IFERROR(IF(LEFT(B101,3)='STAT 77'!$X$2,_xlfn.XLOOKUP(B101,'STAT 77'!C:C,'STAT 77'!B:B),_xlfn.XLOOKUP(B101,'STAT 77'!B:B,'STAT 77'!C:C)),"NON TROVATO")</f>
        <v>ITD30866</v>
      </c>
      <c r="D101" s="25" t="s">
        <v>789</v>
      </c>
      <c r="E101" s="290" t="s">
        <v>790</v>
      </c>
      <c r="F101" s="290" t="str">
        <f>IFERROR(VLOOKUP(E101,'Cambio O2P'!C:E,2,FALSE),"")</f>
        <v>AOIP</v>
      </c>
      <c r="G101" s="285">
        <v>0.78125</v>
      </c>
      <c r="H101" s="293" t="str">
        <f ca="1">IFERROR(IF(AND('INformazioni per calcoli'!$AB$3&lt;(--"14:30"),'INformazioni per calcoli'!$AB$3&gt;(--"10:00")),"",IF($B101="","",IF($X101&lt;&gt;"","Mezzo Chiuso",IF($W101="","Non al Carico",IF($G101-'INformazioni per calcoli'!$AB$5-'INformazioni per calcoli'!$AB$3+$J101&lt;0,"LFLS",IF($K101&lt;&gt;"","Safe Parking",IF($W101&lt;&gt;"",IF($E101="MXP",$G101-'INformazioni per calcoli'!$AB$6-'INformazioni per calcoli'!$AB$3+$J101,$G101-'INformazioni per calcoli'!$AB$5-'INformazioni per calcoli'!$AB$3+$J101),"Non al carico"))))))),"")</f>
        <v>Mezzo Chiuso</v>
      </c>
      <c r="I101" s="17" t="str">
        <f ca="1">IFERROR(IF($H101&lt;&gt;"",IF($H101="Safe Parking","",IF($W101&lt;&gt;"",IF(AND($U101="X",$V101="X"),$H101-(--"00:30"),""),IF($X101&lt;&gt;"","Mezzo Chiuso","Non al carico"))),""),"")</f>
        <v/>
      </c>
      <c r="J101" s="306">
        <f ca="1">IFERROR(IF($B101&lt;&gt;"",IF(AND('INformazioni per calcoli'!$AB$3&lt;(--"15:00"),'INformazioni per calcoli'!$AB$3&gt;(--"00:00")),0,IF($G101&lt;(--"18:30"),"+1",0)),""),"")</f>
        <v>0</v>
      </c>
      <c r="K101" s="17"/>
      <c r="L101" s="17" t="s">
        <v>791</v>
      </c>
      <c r="M101" s="25" t="str">
        <f>IFERROR(_xlfn.XLOOKUP($Q101,'Elenco Casse'!$D:$D,'Elenco Casse'!$E:$E),"")</f>
        <v>Cds Trasp. E Logistica Srl</v>
      </c>
      <c r="N101" s="25">
        <f>IFERROR(_xlfn.XLOOKUP($Q101,'Elenco Casse'!$D:$D,'Elenco Casse'!$F:$F),"")</f>
        <v>0</v>
      </c>
      <c r="O101" s="286" t="s">
        <v>418</v>
      </c>
      <c r="P101" s="295" t="str">
        <f>IFERROR(_xlfn.XLOOKUP($Q101,'Elenco Casse'!$D:$D,'Elenco Casse'!$G:$G),"")</f>
        <v>trailer 80 m3 2/3 axes</v>
      </c>
      <c r="Q101" s="355" t="s">
        <v>792</v>
      </c>
      <c r="R101" s="23" t="s">
        <v>420</v>
      </c>
      <c r="S101" s="25" t="s">
        <v>421</v>
      </c>
      <c r="T101" s="25" t="s">
        <v>460</v>
      </c>
      <c r="U101" s="23" t="str">
        <f>IF(ISNUMBER(SEARCH("Parcel",$T101)),"X","")</f>
        <v>X</v>
      </c>
      <c r="V101" s="23" t="str">
        <f>IF(ISNUMBER(SEARCH("Freight",$T101)),"X","")</f>
        <v/>
      </c>
      <c r="W101" s="26">
        <v>435</v>
      </c>
      <c r="X101" s="27">
        <v>0.71944444444444444</v>
      </c>
      <c r="Y101" s="25" t="s">
        <v>766</v>
      </c>
      <c r="Z101" s="25"/>
      <c r="AA101" s="25" t="s">
        <v>40</v>
      </c>
      <c r="AB101" s="57">
        <v>1</v>
      </c>
      <c r="AC101" s="25"/>
      <c r="AD101" s="25"/>
      <c r="AE101" s="57"/>
      <c r="AF101" s="57"/>
      <c r="AG101" s="25"/>
      <c r="AH101" s="57"/>
      <c r="AI101" s="339">
        <v>18</v>
      </c>
      <c r="AJ101" s="339"/>
      <c r="AK101" s="297" t="str">
        <f>IF(X101&lt;&gt;"",CONCATENATE(IF(AA101&lt;&gt;"",CONCATENATE(Z101," ",AA101," ",BI101),""),IF(AD101&lt;&gt;"",CONCATENATE(","," ",AC101," ",AD101," ",BJ101),""),IF(AG101&lt;&gt;"",CONCATENATE(","," ",AF101," ",AG101," ",BK101),""),IF(AJ101&lt;&gt;"",CONCATENATE(","," ","DD"," ",BL101),"")," ",IF(AI101&lt;&gt;"",CONCATENATE(" - ",AI101," Bag"),"")),"")</f>
        <v xml:space="preserve"> LL 14  - 18 Bag</v>
      </c>
      <c r="AL101" s="287" t="s">
        <v>421</v>
      </c>
      <c r="AM101" s="287"/>
      <c r="AN101" s="287"/>
      <c r="AO101" s="287"/>
      <c r="AP101" s="370" t="str">
        <f>IFERROR(VLOOKUP(#REF!,Outlist!$A$5:$V$120,20,FALSE),"")</f>
        <v/>
      </c>
      <c r="AQ101" s="288" t="s">
        <v>793</v>
      </c>
      <c r="AS101" s="24"/>
      <c r="AT101" s="24">
        <v>0.4909722222222222</v>
      </c>
      <c r="AU101" s="27">
        <v>0.75138888888888888</v>
      </c>
      <c r="AV101" s="27"/>
      <c r="AW101" s="20" t="s">
        <v>443</v>
      </c>
      <c r="AY101" s="72" t="str">
        <f>IF(BA101="",BZ101,IF(AND(BA101&lt;(--"23:59:59"),BA101&gt;(--"15:00:00"),G101&lt;(--"14:00:00"),G101&gt;(--"00:00:01")),"",IF(BA101&gt;G101,BZ101,"")))</f>
        <v/>
      </c>
      <c r="AZ101" s="27">
        <v>0.75555555555555554</v>
      </c>
      <c r="BA101" s="32">
        <v>0.76111111111111107</v>
      </c>
      <c r="BB101" s="72"/>
      <c r="BC101" s="72" t="str">
        <f>IFERROR(VLOOKUP(Out_Table[[#This Row],[Aggiornamento STATUS]],'INformazioni per calcoli'!$Y$70:$AA$76,2,FALSE),"")</f>
        <v/>
      </c>
      <c r="BD101" s="289"/>
      <c r="BE101" s="289"/>
      <c r="BF101" s="47" t="str">
        <f>LEFT($E101,3)</f>
        <v>AN6</v>
      </c>
      <c r="BG101" s="298" t="str">
        <f>IF(Out_Table[[#This Row],[Ora Uscita    (GH)]]&lt;&gt;"","x","")</f>
        <v>x</v>
      </c>
      <c r="BH101" s="299">
        <f>VLOOKUP($O101,'INformazioni per calcoli'!$Y$20:$AA$23,3,FALSE)</f>
        <v>14</v>
      </c>
      <c r="BI101" s="299">
        <f>MROUND(Out_Table[[#This Row],[Mtr. Trailer]]*AB101,0.5)</f>
        <v>14</v>
      </c>
      <c r="BJ101" s="299">
        <f>MROUND(Out_Table[[#This Row],[Mtr. Trailer]]*AE101,0.5)</f>
        <v>0</v>
      </c>
      <c r="BK101" s="299">
        <f>MROUND(Out_Table[[#This Row],[Mtr. Trailer]]*AH101,0.5)</f>
        <v>0</v>
      </c>
      <c r="BL101" s="300">
        <f>Out_Table[[#This Row],[Double Deck trailer N° bumpers]]</f>
        <v>0</v>
      </c>
      <c r="BM101" s="301"/>
      <c r="BN101" s="299" t="str">
        <f>B101</f>
        <v>ITD12101</v>
      </c>
      <c r="BO101" s="299" t="str">
        <f>E101</f>
        <v>AN6</v>
      </c>
      <c r="BP101" s="302">
        <f>IF(AND(G101&gt;(--"00:00:01"),G101&lt;(--"15:00:00")),IF(AND(X101&gt;(--"00:00:01"),X101&lt;(--"15:00:00")),G101-X101,G101+1-X101),G101-X101)</f>
        <v>6.1805555555555558E-2</v>
      </c>
      <c r="BQ101" s="303">
        <f>AE101+AF101+AH101+AJ101</f>
        <v>0</v>
      </c>
      <c r="BR101" s="304" t="str">
        <f>IF(OR(BP101&lt;=(--"00:20:00"),BQ101&gt;=100%),"OK","Not OK")</f>
        <v>Not OK</v>
      </c>
      <c r="BS101" s="302">
        <f>IF(AND(G101&gt;(--"00:00:01"),G101&lt;(--"15:00:00")),IF(AND(AU101&gt;(--"00:00:01"),AU101&lt;(--"15:00:00")),G101-AU101,G101+1-AU101),G101-AU101)</f>
        <v>2.9861111111111116E-2</v>
      </c>
      <c r="BT101" s="302">
        <f>IF(AND(AZ101&gt;(--"00:00:01"),AZ101&lt;(--"15:00:00")),IF(AND(AU101&gt;(--"00:00:01"),AU101&lt;(--"15:00:00")),AZ101-AU101,AZ101+1-AU101),AZ101-AU101)</f>
        <v>4.1666666666666519E-3</v>
      </c>
      <c r="BU101" s="302">
        <f>IF(AND(BA101&gt;(--"00:00:01"),BA101&lt;(--"15:00:00")),IF(AND(AZ101&gt;(--"00:00:01"),AZ101&lt;(--"15:00:00")),BA101-AZ101,BA101+1-AZ101),BA101-AZ101)</f>
        <v>5.5555555555555358E-3</v>
      </c>
      <c r="BV101" s="299">
        <f>AV101</f>
        <v>0</v>
      </c>
      <c r="BW101" s="301"/>
      <c r="BX101" s="299" t="str">
        <f>IF(AV101="T Status",IF(AV101&lt;&gt;T101,"X",""),"")</f>
        <v/>
      </c>
      <c r="BY101" s="301"/>
      <c r="BZ101" s="299" t="str">
        <f>IF(X101&lt;&gt;"",IF(CC101="X","Driver Delay",IF(CA101="X","Paperwork Delay",IF(CB101="X","Late freight late sort",IF(CD101="X","Chiamare Control Room",IF(CE101="X","Chiamare Control Room",IF(CF101="X","Chiamare Control Room","")))))),"")</f>
        <v>Chiamare Control Room</v>
      </c>
      <c r="CA101" s="302" t="str">
        <f>IF(K101="",IF(IF(AND(G101&gt;(--"00:00:01"),G101&lt;(--"15:00:00")),IF(AND(AT101&gt;(--"08:00:00"),AT101&lt;(--"23:59:59")),G101+1-AT101,G101-AT101),G101-AT101)&gt;(--"00:20:00"),"","X"),"")</f>
        <v/>
      </c>
      <c r="CB101" s="299" t="str">
        <f>IF(K101="",IF(BP101&gt;=(--"00:20:00"),"","X"),"")</f>
        <v/>
      </c>
      <c r="CC101" s="299" t="str">
        <f>IF(OR(AV101="Autista non presente",AV101="Dati driver non presenti"),"X","")</f>
        <v/>
      </c>
      <c r="CD101" s="299" t="str">
        <f>IF(K101="",IF(AND(CC101="",BS101&lt;(--"00:20:00")),"X",""),"")</f>
        <v/>
      </c>
      <c r="CE101" s="299" t="str">
        <f>IF(K101="",IF(BT101&gt;(--"00:15:00"),"X",""),IF(AZ101&lt;&gt;"",IF(G101-AZ101&gt;(--"00:30:00"),"X",""),""))</f>
        <v/>
      </c>
      <c r="CF101" s="299" t="str">
        <f>IF(AND(CA101="",CB101="",CC101="",CD101="",CE101=""),"X","")</f>
        <v>X</v>
      </c>
      <c r="CG101" s="301"/>
      <c r="CH101" s="299" t="str">
        <f>IF(BT101&gt;(--"00:15:00"),"X","")</f>
        <v/>
      </c>
      <c r="CI101" s="302" t="str">
        <f>AY101</f>
        <v/>
      </c>
      <c r="CJ101" s="299" t="str">
        <f>IF(AND(CH101&lt;&gt;"",CI101&lt;&gt;"",LEFT(B101,3)="ITD"),AP101,"")</f>
        <v/>
      </c>
      <c r="CK101" s="305" t="str">
        <f>IF(CJ101&lt;&gt;"",BT101,"")</f>
        <v/>
      </c>
      <c r="CL101" s="301"/>
      <c r="CM101" s="305">
        <f>IFERROR(VLOOKUP(Q101,'Elenco Casse'!$D$4:$F$292,3,FALSE),"")</f>
        <v>0</v>
      </c>
      <c r="CN101" s="301"/>
      <c r="CO101" s="305" t="str">
        <f>IFERROR(VLOOKUP(S101,'Elenco Casse'!$D$4:$F$292,3,FALSE),"")</f>
        <v/>
      </c>
      <c r="CP101" s="305" t="str">
        <f>IFERROR(IF(VLOOKUP($E101,Outlist!$A$5:$S$120,19,FALSE)&lt;&gt;0,"Y",""),"")</f>
        <v/>
      </c>
      <c r="CQ101" s="301"/>
      <c r="CR101" s="305" t="str">
        <f>CONCATENATE($B101,$E101,$G101)</f>
        <v>ITD12101AN60.78125</v>
      </c>
      <c r="CS101" s="301"/>
      <c r="CT101" s="305" t="e">
        <f>VLOOKUP(Out_Table[[#This Row],[Destination             ORANGE (From Planning)]],Outlist!$A$5:$W$120,22,FALSE)</f>
        <v>#N/A</v>
      </c>
    </row>
    <row r="102" spans="1:98" s="20" customFormat="1" ht="30.75">
      <c r="A102" s="305" t="str">
        <f>$CR102</f>
        <v>ITD12097AN60.947916666666667</v>
      </c>
      <c r="B102" s="284" t="s">
        <v>794</v>
      </c>
      <c r="C102" s="290" t="str">
        <f>IFERROR(IF(LEFT(B102,3)='STAT 77'!$X$2,_xlfn.XLOOKUP(B102,'STAT 77'!C:C,'STAT 77'!B:B),_xlfn.XLOOKUP(B102,'STAT 77'!B:B,'STAT 77'!C:C)),"NON TROVATO")</f>
        <v>ITD30856</v>
      </c>
      <c r="D102" s="25" t="s">
        <v>795</v>
      </c>
      <c r="E102" s="290" t="s">
        <v>790</v>
      </c>
      <c r="F102" s="290" t="str">
        <f>IFERROR(VLOOKUP(E102,'Cambio O2P'!C:E,2,FALSE),"")</f>
        <v>AOIP</v>
      </c>
      <c r="G102" s="285">
        <v>0.94791666666666663</v>
      </c>
      <c r="H102" s="293" t="str">
        <f ca="1">IFERROR(IF(AND('INformazioni per calcoli'!$AB$3&lt;(--"14:30"),'INformazioni per calcoli'!$AB$3&gt;(--"10:00")),"",IF($B102="","",IF($X102&lt;&gt;"","Mezzo Chiuso",IF($W102="","Non al Carico",IF($G102-'INformazioni per calcoli'!$AB$5-'INformazioni per calcoli'!$AB$3+$J102&lt;0,"LFLS",IF($K102&lt;&gt;"","Safe Parking",IF($W102&lt;&gt;"",IF($E102="MXP",$G102-'INformazioni per calcoli'!$AB$6-'INformazioni per calcoli'!$AB$3+$J102,$G102-'INformazioni per calcoli'!$AB$5-'INformazioni per calcoli'!$AB$3+$J102),"Non al carico"))))))),"")</f>
        <v>Mezzo Chiuso</v>
      </c>
      <c r="I102" s="17" t="str">
        <f ca="1">IFERROR(IF($H102&lt;&gt;"",IF($H102="Safe Parking","",IF($W102&lt;&gt;"",IF(AND($U102="X",$V102="X"),$H102-(--"00:30"),""),IF($X102&lt;&gt;"","Mezzo Chiuso","Non al carico"))),""),"")</f>
        <v/>
      </c>
      <c r="J102" s="306">
        <f ca="1">IFERROR(IF($B102&lt;&gt;"",IF(AND('INformazioni per calcoli'!$AB$3&lt;(--"15:00"),'INformazioni per calcoli'!$AB$3&gt;(--"00:00")),0,IF($G102&lt;(--"18:30"),"+1",0)),""),"")</f>
        <v>0</v>
      </c>
      <c r="K102" s="17"/>
      <c r="L102" s="25" t="s">
        <v>692</v>
      </c>
      <c r="M102" s="25" t="str">
        <f>IFERROR(_xlfn.XLOOKUP($Q102,'Elenco Casse'!$D:$D,'Elenco Casse'!$E:$E),"")</f>
        <v>Canguro S.P.A.</v>
      </c>
      <c r="N102" s="25">
        <f>IFERROR(_xlfn.XLOOKUP($Q102,'Elenco Casse'!$D:$D,'Elenco Casse'!$F:$F),"")</f>
        <v>0</v>
      </c>
      <c r="O102" s="286" t="s">
        <v>418</v>
      </c>
      <c r="P102" s="295" t="str">
        <f>IFERROR(_xlfn.XLOOKUP($Q102,'Elenco Casse'!$D:$D,'Elenco Casse'!$G:$G),"")</f>
        <v>trailer 80 m3 2/3 axes</v>
      </c>
      <c r="Q102" s="355" t="s">
        <v>796</v>
      </c>
      <c r="R102" s="23" t="s">
        <v>420</v>
      </c>
      <c r="S102" s="25" t="s">
        <v>421</v>
      </c>
      <c r="T102" s="25" t="s">
        <v>460</v>
      </c>
      <c r="U102" s="23" t="str">
        <f>IF(ISNUMBER(SEARCH("Parcel",$T102)),"X","")</f>
        <v>X</v>
      </c>
      <c r="V102" s="23" t="str">
        <f>IF(ISNUMBER(SEARCH("Freight",$T102)),"X","")</f>
        <v/>
      </c>
      <c r="W102" s="26">
        <v>435</v>
      </c>
      <c r="X102" s="27">
        <v>0.9243055555555556</v>
      </c>
      <c r="Y102" s="25" t="str">
        <f>IF(Out_Table[[#This Row],[DOC Del. hr. (RTH)]]&lt;&gt;"","XXX","")</f>
        <v>XXX</v>
      </c>
      <c r="Z102" s="25"/>
      <c r="AA102" s="25" t="s">
        <v>40</v>
      </c>
      <c r="AB102" s="57">
        <v>0.5</v>
      </c>
      <c r="AC102" s="25"/>
      <c r="AD102" s="25"/>
      <c r="AE102" s="57"/>
      <c r="AF102" s="57"/>
      <c r="AG102" s="25"/>
      <c r="AH102" s="57"/>
      <c r="AI102" s="339">
        <v>16</v>
      </c>
      <c r="AJ102" s="339"/>
      <c r="AK102" s="297" t="str">
        <f>IF(X102&lt;&gt;"",CONCATENATE(IF(AA102&lt;&gt;"",CONCATENATE(Z102," ",AA102," ",BI102),""),IF(AD102&lt;&gt;"",CONCATENATE(","," ",AC102," ",AD102," ",BJ102),""),IF(AG102&lt;&gt;"",CONCATENATE(","," ",AF102," ",AG102," ",BK102),""),IF(AJ102&lt;&gt;"",CONCATENATE(","," ","DD"," ",BL102),"")," ",IF(AI102&lt;&gt;"",CONCATENATE(" - ",AI102," Bag"),"")),"")</f>
        <v xml:space="preserve"> LL 7  - 16 Bag</v>
      </c>
      <c r="AL102" s="287" t="s">
        <v>421</v>
      </c>
      <c r="AM102" s="287"/>
      <c r="AN102" s="287"/>
      <c r="AO102" s="287"/>
      <c r="AP102" s="370" t="str">
        <f>IFERROR(VLOOKUP(#REF!,Outlist!$A$5:$V$120,20,FALSE),"")</f>
        <v/>
      </c>
      <c r="AQ102" s="288" t="s">
        <v>797</v>
      </c>
      <c r="AS102" s="24"/>
      <c r="AT102" s="24">
        <v>0.79583333333333328</v>
      </c>
      <c r="AU102" s="27">
        <v>0.92500000000000004</v>
      </c>
      <c r="AV102" s="27"/>
      <c r="AW102" s="20" t="s">
        <v>443</v>
      </c>
      <c r="AX102" s="20" t="str">
        <f>IFERROR(IF(Out_Table[[#This Row],[Cancellazione linea]]="Cancellata","yes",""),"")</f>
        <v/>
      </c>
      <c r="AY102" s="72" t="str">
        <f>IF(BA102="",BZ102,IF(AND(BA102&lt;(--"23:59:59"),BA102&gt;(--"15:00:00"),G102&lt;(--"14:00:00"),G102&gt;(--"00:00:01")),"",IF(BA102&gt;G102,BZ102,"")))</f>
        <v/>
      </c>
      <c r="AZ102" s="27">
        <v>0.92708333333333337</v>
      </c>
      <c r="BA102" s="32">
        <v>0.93194444444444446</v>
      </c>
      <c r="BB102" s="72"/>
      <c r="BC102" s="72" t="str">
        <f>IFERROR(VLOOKUP(Out_Table[[#This Row],[Aggiornamento STATUS]],'INformazioni per calcoli'!$Y$70:$AA$76,2,FALSE),"")</f>
        <v/>
      </c>
      <c r="BD102" s="289"/>
      <c r="BE102" s="289"/>
      <c r="BF102" s="47" t="str">
        <f>LEFT($E102,3)</f>
        <v>AN6</v>
      </c>
      <c r="BG102" s="298" t="str">
        <f>IF(Out_Table[[#This Row],[Ora Uscita    (GH)]]&lt;&gt;"","x","")</f>
        <v>x</v>
      </c>
      <c r="BH102" s="299">
        <f>VLOOKUP($O102,'INformazioni per calcoli'!$Y$20:$AA$23,3,FALSE)</f>
        <v>14</v>
      </c>
      <c r="BI102" s="299">
        <f>MROUND(Out_Table[[#This Row],[Mtr. Trailer]]*AB102,0.5)</f>
        <v>7</v>
      </c>
      <c r="BJ102" s="299">
        <f>MROUND(Out_Table[[#This Row],[Mtr. Trailer]]*AE102,0.5)</f>
        <v>0</v>
      </c>
      <c r="BK102" s="299">
        <f>MROUND(Out_Table[[#This Row],[Mtr. Trailer]]*AH102,0.5)</f>
        <v>0</v>
      </c>
      <c r="BL102" s="300">
        <f>Out_Table[[#This Row],[Double Deck trailer N° bumpers]]</f>
        <v>0</v>
      </c>
      <c r="BM102" s="301"/>
      <c r="BN102" s="299" t="str">
        <f>B102</f>
        <v>ITD12097</v>
      </c>
      <c r="BO102" s="299" t="str">
        <f>E102</f>
        <v>AN6</v>
      </c>
      <c r="BP102" s="302">
        <f>IF(AND(G102&gt;(--"00:00:01"),G102&lt;(--"15:00:00")),IF(AND(X102&gt;(--"00:00:01"),X102&lt;(--"15:00:00")),G102-X102,G102+1-X102),G102-X102)</f>
        <v>2.3611111111111027E-2</v>
      </c>
      <c r="BQ102" s="303">
        <f>AE102+AF102+AH102+AJ102</f>
        <v>0</v>
      </c>
      <c r="BR102" s="304" t="str">
        <f>IF(OR(BP102&lt;=(--"00:20:00"),BQ102&gt;=100%),"OK","Not OK")</f>
        <v>Not OK</v>
      </c>
      <c r="BS102" s="302">
        <f>IF(AND(G102&gt;(--"00:00:01"),G102&lt;(--"15:00:00")),IF(AND(AU102&gt;(--"00:00:01"),AU102&lt;(--"15:00:00")),G102-AU102,G102+1-AU102),G102-AU102)</f>
        <v>2.2916666666666585E-2</v>
      </c>
      <c r="BT102" s="302">
        <f>IF(AND(AZ102&gt;(--"00:00:01"),AZ102&lt;(--"15:00:00")),IF(AND(AU102&gt;(--"00:00:01"),AU102&lt;(--"15:00:00")),AZ102-AU102,AZ102+1-AU102),AZ102-AU102)</f>
        <v>2.0833333333333259E-3</v>
      </c>
      <c r="BU102" s="302">
        <f>IF(AND(BA102&gt;(--"00:00:01"),BA102&lt;(--"15:00:00")),IF(AND(AZ102&gt;(--"00:00:01"),AZ102&lt;(--"15:00:00")),BA102-AZ102,BA102+1-AZ102),BA102-AZ102)</f>
        <v>4.8611111111110938E-3</v>
      </c>
      <c r="BV102" s="299">
        <f>AV102</f>
        <v>0</v>
      </c>
      <c r="BW102" s="301"/>
      <c r="BX102" s="299" t="str">
        <f>IF(AV102="T Status",IF(AV102&lt;&gt;T102,"X",""),"")</f>
        <v/>
      </c>
      <c r="BY102" s="301"/>
      <c r="BZ102" s="299" t="str">
        <f>IF(X102&lt;&gt;"",IF(CC102="X","Driver Delay",IF(CA102="X","Paperwork Delay",IF(CB102="X","Late freight late sort",IF(CD102="X","Chiamare Control Room",IF(CE102="X","Chiamare Control Room",IF(CF102="X","Chiamare Control Room","")))))),"")</f>
        <v>Chiamare Control Room</v>
      </c>
      <c r="CA102" s="302" t="str">
        <f>IF(K102="",IF(IF(AND(G102&gt;(--"00:00:01"),G102&lt;(--"15:00:00")),IF(AND(AT102&gt;(--"08:00:00"),AT102&lt;(--"23:59:59")),G102+1-AT102,G102-AT102),G102-AT102)&gt;(--"00:20:00"),"","X"),"")</f>
        <v/>
      </c>
      <c r="CB102" s="299" t="str">
        <f>IF(K102="",IF(BP102&gt;=(--"00:20:00"),"","X"),"")</f>
        <v/>
      </c>
      <c r="CC102" s="299" t="str">
        <f>IF(OR(AV102="Autista non presente",AV102="Dati driver non presenti"),"X","")</f>
        <v/>
      </c>
      <c r="CD102" s="299" t="str">
        <f>IF(K102="",IF(AND(CC102="",BS102&lt;(--"00:20:00")),"X",""),"")</f>
        <v/>
      </c>
      <c r="CE102" s="299" t="str">
        <f>IF(K102="",IF(BT102&gt;(--"00:15:00"),"X",""),IF(AZ102&lt;&gt;"",IF(G102-AZ102&gt;(--"00:30:00"),"X",""),""))</f>
        <v/>
      </c>
      <c r="CF102" s="299" t="str">
        <f>IF(AND(CA102="",CB102="",CC102="",CD102="",CE102=""),"X","")</f>
        <v>X</v>
      </c>
      <c r="CG102" s="301"/>
      <c r="CH102" s="299" t="str">
        <f>IF(BT102&gt;(--"00:15:00"),"X","")</f>
        <v/>
      </c>
      <c r="CI102" s="302" t="str">
        <f>AY102</f>
        <v/>
      </c>
      <c r="CJ102" s="299" t="str">
        <f>IF(AND(CH102&lt;&gt;"",CI102&lt;&gt;"",LEFT(B102,3)="ITD"),AP102,"")</f>
        <v/>
      </c>
      <c r="CK102" s="305" t="str">
        <f>IF(CJ102&lt;&gt;"",BT102,"")</f>
        <v/>
      </c>
      <c r="CL102" s="301"/>
      <c r="CM102" s="305" t="str">
        <f>IFERROR(VLOOKUP(Q102,'Elenco Casse'!$D$4:$F$292,3,FALSE),"")</f>
        <v/>
      </c>
      <c r="CN102" s="301"/>
      <c r="CO102" s="305" t="str">
        <f>IFERROR(VLOOKUP(S102,'Elenco Casse'!$D$4:$F$292,3,FALSE),"")</f>
        <v/>
      </c>
      <c r="CP102" s="305" t="str">
        <f>IFERROR(IF(VLOOKUP($E102,Outlist!$A$5:$S$120,19,FALSE)&lt;&gt;0,"Y",""),"")</f>
        <v/>
      </c>
      <c r="CQ102" s="301"/>
      <c r="CR102" s="305" t="str">
        <f>CONCATENATE($B102,$E102,$G102)</f>
        <v>ITD12097AN60.947916666666667</v>
      </c>
      <c r="CS102" s="301"/>
      <c r="CT102" s="305" t="e">
        <f>VLOOKUP(Out_Table[[#This Row],[Destination             ORANGE (From Planning)]],Outlist!$A$5:$W$120,22,FALSE)</f>
        <v>#N/A</v>
      </c>
    </row>
    <row r="103" spans="1:98" s="20" customFormat="1" ht="30.75">
      <c r="A103" s="305" t="str">
        <f>$CR103</f>
        <v>ITD12731AN60.854166666666667</v>
      </c>
      <c r="B103" s="284" t="s">
        <v>798</v>
      </c>
      <c r="C103" s="290" t="str">
        <f>IFERROR(IF(LEFT(B103,3)='STAT 77'!$X$2,_xlfn.XLOOKUP(B103,'STAT 77'!C:C,'STAT 77'!B:B),_xlfn.XLOOKUP(B103,'STAT 77'!B:B,'STAT 77'!C:C)),"NON TROVATO")</f>
        <v>ITD32173</v>
      </c>
      <c r="D103" s="25" t="s">
        <v>799</v>
      </c>
      <c r="E103" s="290" t="s">
        <v>790</v>
      </c>
      <c r="F103" s="290" t="str">
        <f>IFERROR(VLOOKUP(E103,'Cambio O2P'!C:E,2,FALSE),"")</f>
        <v>AOIP</v>
      </c>
      <c r="G103" s="285">
        <v>0.85416666666666663</v>
      </c>
      <c r="H103" s="293" t="str">
        <f ca="1">IFERROR(IF(AND('INformazioni per calcoli'!$AB$3&lt;(--"14:30"),'INformazioni per calcoli'!$AB$3&gt;(--"10:00")),"",IF($B103="","",IF($X103&lt;&gt;"","Mezzo Chiuso",IF($W103="","Non al Carico",IF($G103-'INformazioni per calcoli'!$AB$5-'INformazioni per calcoli'!$AB$3+$J103&lt;0,"LFLS",IF($K103&lt;&gt;"","Safe Parking",IF($W103&lt;&gt;"",IF($E103="MXP",$G103-'INformazioni per calcoli'!$AB$6-'INformazioni per calcoli'!$AB$3+$J103,$G103-'INformazioni per calcoli'!$AB$5-'INformazioni per calcoli'!$AB$3+$J103),"Non al carico"))))))),"")</f>
        <v>Mezzo Chiuso</v>
      </c>
      <c r="I103" s="17" t="str">
        <f ca="1">IFERROR(IF($H103&lt;&gt;"",IF($H103="Safe Parking","",IF($W103&lt;&gt;"",IF(AND($U103="X",$V103="X"),$H103-(--"00:30"),""),IF($X103&lt;&gt;"","Mezzo Chiuso","Non al carico"))),""),"")</f>
        <v/>
      </c>
      <c r="J103" s="306">
        <f ca="1">IFERROR(IF($B103&lt;&gt;"",IF(AND('INformazioni per calcoli'!$AB$3&lt;(--"15:00"),'INformazioni per calcoli'!$AB$3&gt;(--"00:00")),0,IF($G103&lt;(--"18:30"),"+1",0)),""),"")</f>
        <v>0</v>
      </c>
      <c r="K103" s="17"/>
      <c r="L103" s="25" t="s">
        <v>800</v>
      </c>
      <c r="M103" s="25" t="str">
        <f>IFERROR(_xlfn.XLOOKUP($Q103,'Elenco Casse'!$D:$D,'Elenco Casse'!$E:$E),"")</f>
        <v>Autotrasporti Rds Srl</v>
      </c>
      <c r="N103" s="25">
        <f>IFERROR(_xlfn.XLOOKUP($Q103,'Elenco Casse'!$D:$D,'Elenco Casse'!$F:$F),"")</f>
        <v>0</v>
      </c>
      <c r="O103" s="286" t="s">
        <v>418</v>
      </c>
      <c r="P103" s="295" t="str">
        <f>IFERROR(_xlfn.XLOOKUP($Q103,'Elenco Casse'!$D:$D,'Elenco Casse'!$G:$G),"")</f>
        <v>trailer 80 m3 2/3 axes</v>
      </c>
      <c r="Q103" s="355" t="s">
        <v>801</v>
      </c>
      <c r="R103" s="23" t="s">
        <v>420</v>
      </c>
      <c r="S103" s="25" t="s">
        <v>421</v>
      </c>
      <c r="T103" s="25" t="s">
        <v>460</v>
      </c>
      <c r="U103" s="23" t="str">
        <f>IF(ISNUMBER(SEARCH("Parcel",$T103)),"X","")</f>
        <v>X</v>
      </c>
      <c r="V103" s="23" t="str">
        <f>IF(ISNUMBER(SEARCH("Freight",$T103)),"X","")</f>
        <v/>
      </c>
      <c r="W103" s="26">
        <v>436</v>
      </c>
      <c r="X103" s="27">
        <v>0.82916666666666672</v>
      </c>
      <c r="Y103" s="25" t="str">
        <f>IF(Out_Table[[#This Row],[DOC Del. hr. (RTH)]]&lt;&gt;"","XXX","")</f>
        <v>XXX</v>
      </c>
      <c r="Z103" s="25"/>
      <c r="AA103" s="25" t="s">
        <v>40</v>
      </c>
      <c r="AB103" s="57">
        <v>0.9</v>
      </c>
      <c r="AC103" s="25"/>
      <c r="AD103" s="25"/>
      <c r="AE103" s="57"/>
      <c r="AF103" s="57"/>
      <c r="AG103" s="25"/>
      <c r="AH103" s="57"/>
      <c r="AI103" s="339">
        <v>18</v>
      </c>
      <c r="AJ103" s="339"/>
      <c r="AK103" s="297" t="str">
        <f>IF(X103&lt;&gt;"",CONCATENATE(IF(AA103&lt;&gt;"",CONCATENATE(Z103," ",AA103," ",BI103),""),IF(AD103&lt;&gt;"",CONCATENATE(","," ",AC103," ",AD103," ",BJ103),""),IF(AG103&lt;&gt;"",CONCATENATE(","," ",AF103," ",AG103," ",BK103),""),IF(AJ103&lt;&gt;"",CONCATENATE(","," ","DD"," ",BL103),"")," ",IF(AI103&lt;&gt;"",CONCATENATE(" - ",AI103," Bag"),"")),"")</f>
        <v xml:space="preserve"> LL 12.5  - 18 Bag</v>
      </c>
      <c r="AL103" s="287" t="s">
        <v>421</v>
      </c>
      <c r="AM103" s="287"/>
      <c r="AN103" s="287"/>
      <c r="AO103" s="287"/>
      <c r="AP103" s="370" t="str">
        <f>IFERROR(VLOOKUP(#REF!,Outlist!$A$5:$V$120,20,FALSE),"")</f>
        <v/>
      </c>
      <c r="AQ103" s="288" t="s">
        <v>802</v>
      </c>
      <c r="AS103" s="24"/>
      <c r="AT103" s="24">
        <v>0.79027777777777775</v>
      </c>
      <c r="AU103" s="27">
        <v>0.83402777777777781</v>
      </c>
      <c r="AV103" s="27"/>
      <c r="AW103" s="20" t="s">
        <v>443</v>
      </c>
      <c r="AX103" s="20" t="str">
        <f>IFERROR(IF(Out_Table[[#This Row],[Cancellazione linea]]="Cancellata","yes",""),"")</f>
        <v/>
      </c>
      <c r="AY103" s="72" t="str">
        <f>IF(BA103="",BZ103,IF(AND(BA103&lt;(--"23:59:59"),BA103&gt;(--"15:00:00"),G103&lt;(--"14:00:00"),G103&gt;(--"00:00:01")),"",IF(BA103&gt;G103,BZ103,"")))</f>
        <v/>
      </c>
      <c r="AZ103" s="27">
        <v>0.84375</v>
      </c>
      <c r="BA103" s="32">
        <v>0.85</v>
      </c>
      <c r="BB103" s="72"/>
      <c r="BC103" s="72" t="str">
        <f>IFERROR(VLOOKUP(Out_Table[[#This Row],[Aggiornamento STATUS]],'INformazioni per calcoli'!$Y$70:$AA$76,2,FALSE),"")</f>
        <v/>
      </c>
      <c r="BD103" s="289"/>
      <c r="BE103" s="289"/>
      <c r="BF103" s="47" t="str">
        <f>LEFT($E103,3)</f>
        <v>AN6</v>
      </c>
      <c r="BG103" s="298" t="str">
        <f>IF(Out_Table[[#This Row],[Ora Uscita    (GH)]]&lt;&gt;"","x","")</f>
        <v>x</v>
      </c>
      <c r="BH103" s="299">
        <f>VLOOKUP($O103,'INformazioni per calcoli'!$Y$20:$AA$23,3,FALSE)</f>
        <v>14</v>
      </c>
      <c r="BI103" s="299">
        <f>MROUND(Out_Table[[#This Row],[Mtr. Trailer]]*AB103,0.5)</f>
        <v>12.5</v>
      </c>
      <c r="BJ103" s="299">
        <f>MROUND(Out_Table[[#This Row],[Mtr. Trailer]]*AE103,0.5)</f>
        <v>0</v>
      </c>
      <c r="BK103" s="299">
        <f>MROUND(Out_Table[[#This Row],[Mtr. Trailer]]*AH103,0.5)</f>
        <v>0</v>
      </c>
      <c r="BL103" s="300">
        <f>Out_Table[[#This Row],[Double Deck trailer N° bumpers]]</f>
        <v>0</v>
      </c>
      <c r="BM103" s="301"/>
      <c r="BN103" s="299" t="str">
        <f>B103</f>
        <v>ITD12731</v>
      </c>
      <c r="BO103" s="299" t="str">
        <f>E103</f>
        <v>AN6</v>
      </c>
      <c r="BP103" s="302">
        <f>IF(AND(G103&gt;(--"00:00:01"),G103&lt;(--"15:00:00")),IF(AND(X103&gt;(--"00:00:01"),X103&lt;(--"15:00:00")),G103-X103,G103+1-X103),G103-X103)</f>
        <v>2.4999999999999911E-2</v>
      </c>
      <c r="BQ103" s="303">
        <f>AE103+AF103+AH103+AJ103</f>
        <v>0</v>
      </c>
      <c r="BR103" s="304" t="str">
        <f>IF(OR(BP103&lt;=(--"00:20:00"),BQ103&gt;=100%),"OK","Not OK")</f>
        <v>Not OK</v>
      </c>
      <c r="BS103" s="302">
        <f>IF(AND(G103&gt;(--"00:00:01"),G103&lt;(--"15:00:00")),IF(AND(AU103&gt;(--"00:00:01"),AU103&lt;(--"15:00:00")),G103-AU103,G103+1-AU103),G103-AU103)</f>
        <v>2.0138888888888817E-2</v>
      </c>
      <c r="BT103" s="302">
        <f>IF(AND(AZ103&gt;(--"00:00:01"),AZ103&lt;(--"15:00:00")),IF(AND(AU103&gt;(--"00:00:01"),AU103&lt;(--"15:00:00")),AZ103-AU103,AZ103+1-AU103),AZ103-AU103)</f>
        <v>9.7222222222221877E-3</v>
      </c>
      <c r="BU103" s="302">
        <f>IF(AND(BA103&gt;(--"00:00:01"),BA103&lt;(--"15:00:00")),IF(AND(AZ103&gt;(--"00:00:01"),AZ103&lt;(--"15:00:00")),BA103-AZ103,BA103+1-AZ103),BA103-AZ103)</f>
        <v>6.2499999999999778E-3</v>
      </c>
      <c r="BV103" s="299">
        <f>AV103</f>
        <v>0</v>
      </c>
      <c r="BW103" s="301"/>
      <c r="BX103" s="299" t="str">
        <f>IF(AV103="T Status",IF(AV103&lt;&gt;T103,"X",""),"")</f>
        <v/>
      </c>
      <c r="BY103" s="301"/>
      <c r="BZ103" s="299" t="str">
        <f>IF(X103&lt;&gt;"",IF(CC103="X","Driver Delay",IF(CA103="X","Paperwork Delay",IF(CB103="X","Late freight late sort",IF(CD103="X","Chiamare Control Room",IF(CE103="X","Chiamare Control Room",IF(CF103="X","Chiamare Control Room","")))))),"")</f>
        <v>Chiamare Control Room</v>
      </c>
      <c r="CA103" s="302" t="str">
        <f>IF(K103="",IF(IF(AND(G103&gt;(--"00:00:01"),G103&lt;(--"15:00:00")),IF(AND(AT103&gt;(--"08:00:00"),AT103&lt;(--"23:59:59")),G103+1-AT103,G103-AT103),G103-AT103)&gt;(--"00:20:00"),"","X"),"")</f>
        <v/>
      </c>
      <c r="CB103" s="299" t="str">
        <f>IF(K103="",IF(BP103&gt;=(--"00:20:00"),"","X"),"")</f>
        <v/>
      </c>
      <c r="CC103" s="299" t="str">
        <f>IF(OR(AV103="Autista non presente",AV103="Dati driver non presenti"),"X","")</f>
        <v/>
      </c>
      <c r="CD103" s="299" t="str">
        <f>IF(K103="",IF(AND(CC103="",BS103&lt;(--"00:20:00")),"X",""),"")</f>
        <v/>
      </c>
      <c r="CE103" s="299" t="str">
        <f>IF(K103="",IF(BT103&gt;(--"00:15:00"),"X",""),IF(AZ103&lt;&gt;"",IF(G103-AZ103&gt;(--"00:30:00"),"X",""),""))</f>
        <v/>
      </c>
      <c r="CF103" s="299" t="str">
        <f>IF(AND(CA103="",CB103="",CC103="",CD103="",CE103=""),"X","")</f>
        <v>X</v>
      </c>
      <c r="CG103" s="301"/>
      <c r="CH103" s="299" t="str">
        <f>IF(BT103&gt;(--"00:15:00"),"X","")</f>
        <v/>
      </c>
      <c r="CI103" s="302" t="str">
        <f>AY103</f>
        <v/>
      </c>
      <c r="CJ103" s="299" t="str">
        <f>IF(AND(CH103&lt;&gt;"",CI103&lt;&gt;"",LEFT(B103,3)="ITD"),AP103,"")</f>
        <v/>
      </c>
      <c r="CK103" s="305" t="str">
        <f>IF(CJ103&lt;&gt;"",BT103,"")</f>
        <v/>
      </c>
      <c r="CL103" s="301"/>
      <c r="CM103" s="305" t="str">
        <f>IFERROR(VLOOKUP(Q103,'Elenco Casse'!$D$4:$F$292,3,FALSE),"")</f>
        <v/>
      </c>
      <c r="CN103" s="301"/>
      <c r="CO103" s="305" t="str">
        <f>IFERROR(VLOOKUP(S103,'Elenco Casse'!$D$4:$F$292,3,FALSE),"")</f>
        <v/>
      </c>
      <c r="CP103" s="305" t="str">
        <f>IFERROR(IF(VLOOKUP($E103,Outlist!$A$5:$S$120,19,FALSE)&lt;&gt;0,"Y",""),"")</f>
        <v/>
      </c>
      <c r="CQ103" s="301"/>
      <c r="CR103" s="305" t="str">
        <f>CONCATENATE($B103,$E103,$G103)</f>
        <v>ITD12731AN60.854166666666667</v>
      </c>
      <c r="CS103" s="301"/>
      <c r="CT103" s="305" t="e">
        <f>VLOOKUP(Out_Table[[#This Row],[Destination             ORANGE (From Planning)]],Outlist!$A$5:$W$120,22,FALSE)</f>
        <v>#N/A</v>
      </c>
    </row>
    <row r="104" spans="1:98" s="20" customFormat="1" ht="30.75">
      <c r="A104" s="305" t="str">
        <f>$CR104</f>
        <v>ITD12879NC30.885416666666667</v>
      </c>
      <c r="B104" s="284" t="s">
        <v>803</v>
      </c>
      <c r="C104" s="290" t="str">
        <f>IFERROR(IF(LEFT(B104,3)='STAT 77'!$X$2,_xlfn.XLOOKUP(B104,'STAT 77'!C:C,'STAT 77'!B:B),_xlfn.XLOOKUP(B104,'STAT 77'!B:B,'STAT 77'!C:C)),"NON TROVATO")</f>
        <v>ITD32500</v>
      </c>
      <c r="D104" s="25" t="s">
        <v>804</v>
      </c>
      <c r="E104" s="290" t="s">
        <v>805</v>
      </c>
      <c r="F104" s="290" t="str">
        <f>IFERROR(VLOOKUP(E104,'Cambio O2P'!C:E,2,FALSE),"")</f>
        <v>SAYA</v>
      </c>
      <c r="G104" s="285">
        <v>0.88541666666666663</v>
      </c>
      <c r="H104" s="293" t="str">
        <f ca="1">IFERROR(IF(AND('INformazioni per calcoli'!$AB$3&lt;(--"14:30"),'INformazioni per calcoli'!$AB$3&gt;(--"10:00")),"",IF($B104="","",IF($X104&lt;&gt;"","Mezzo Chiuso",IF($W104="","Non al Carico",IF($G104-'INformazioni per calcoli'!$AB$5-'INformazioni per calcoli'!$AB$3+$J104&lt;0,"LFLS",IF($K104&lt;&gt;"","Safe Parking",IF($W104&lt;&gt;"",IF($E104="MXP",$G104-'INformazioni per calcoli'!$AB$6-'INformazioni per calcoli'!$AB$3+$J104,$G104-'INformazioni per calcoli'!$AB$5-'INformazioni per calcoli'!$AB$3+$J104),"Non al carico"))))))),"")</f>
        <v>Mezzo Chiuso</v>
      </c>
      <c r="I104" s="17" t="str">
        <f ca="1">IFERROR(IF($H104&lt;&gt;"",IF($H104="Safe Parking","",IF($W104&lt;&gt;"",IF(AND($U104="X",$V104="X"),$H104-(--"00:30"),""),IF($X104&lt;&gt;"","Mezzo Chiuso","Non al carico"))),""),"")</f>
        <v/>
      </c>
      <c r="J104" s="306">
        <f ca="1">IFERROR(IF($B104&lt;&gt;"",IF(AND('INformazioni per calcoli'!$AB$3&lt;(--"15:00"),'INformazioni per calcoli'!$AB$3&gt;(--"00:00")),0,IF($G104&lt;(--"18:30"),"+1",0)),""),"")</f>
        <v>0</v>
      </c>
      <c r="K104" s="17"/>
      <c r="L104" s="25" t="s">
        <v>692</v>
      </c>
      <c r="M104" s="25" t="str">
        <f>IFERROR(_xlfn.XLOOKUP($Q104,'Elenco Casse'!$D:$D,'Elenco Casse'!$E:$E),"")</f>
        <v>Canguro S.P.A.</v>
      </c>
      <c r="N104" s="25">
        <f>IFERROR(_xlfn.XLOOKUP($Q104,'Elenco Casse'!$D:$D,'Elenco Casse'!$F:$F),"")</f>
        <v>0</v>
      </c>
      <c r="O104" s="286" t="s">
        <v>418</v>
      </c>
      <c r="P104" s="295" t="str">
        <f>IFERROR(_xlfn.XLOOKUP($Q104,'Elenco Casse'!$D:$D,'Elenco Casse'!$G:$G),"")</f>
        <v>trailer 80 m3 2/3 axes</v>
      </c>
      <c r="Q104" s="355" t="s">
        <v>806</v>
      </c>
      <c r="R104" s="23" t="s">
        <v>420</v>
      </c>
      <c r="S104" s="25" t="s">
        <v>544</v>
      </c>
      <c r="T104" s="25" t="s">
        <v>482</v>
      </c>
      <c r="U104" s="23" t="str">
        <f>IF(ISNUMBER(SEARCH("Parcel",$T104)),"X","")</f>
        <v>X</v>
      </c>
      <c r="V104" s="23" t="str">
        <f>IF(ISNUMBER(SEARCH("Freight",$T104)),"X","")</f>
        <v/>
      </c>
      <c r="W104" s="26">
        <v>437</v>
      </c>
      <c r="X104" s="27">
        <v>0.77847222222222223</v>
      </c>
      <c r="Y104" s="25" t="s">
        <v>807</v>
      </c>
      <c r="Z104" s="25"/>
      <c r="AA104" s="25" t="s">
        <v>40</v>
      </c>
      <c r="AB104" s="57">
        <v>1</v>
      </c>
      <c r="AC104" s="25"/>
      <c r="AD104" s="25"/>
      <c r="AE104" s="57"/>
      <c r="AF104" s="57"/>
      <c r="AG104" s="25"/>
      <c r="AH104" s="57"/>
      <c r="AI104" s="339">
        <v>17</v>
      </c>
      <c r="AJ104" s="339"/>
      <c r="AK104" s="297" t="str">
        <f>IF(X104&lt;&gt;"",CONCATENATE(IF(AA104&lt;&gt;"",CONCATENATE(Z104," ",AA104," ",BI104),""),IF(AD104&lt;&gt;"",CONCATENATE(","," ",AC104," ",AD104," ",BJ104),""),IF(AG104&lt;&gt;"",CONCATENATE(","," ",AF104," ",AG104," ",BK104),""),IF(AJ104&lt;&gt;"",CONCATENATE(","," ","DD"," ",BL104),"")," ",IF(AI104&lt;&gt;"",CONCATENATE(" - ",AI104," Bag"),"")),"")</f>
        <v xml:space="preserve"> LL 14  - 17 Bag</v>
      </c>
      <c r="AL104" s="287" t="s">
        <v>421</v>
      </c>
      <c r="AM104" s="287"/>
      <c r="AN104" s="287"/>
      <c r="AO104" s="287"/>
      <c r="AP104" s="370" t="str">
        <f>IFERROR(VLOOKUP($E101,Outlist!$A$5:$V$120,20,FALSE),"")</f>
        <v/>
      </c>
      <c r="AQ104" s="288" t="s">
        <v>808</v>
      </c>
      <c r="AS104" s="24"/>
      <c r="AT104" s="24">
        <v>0.46180555555555558</v>
      </c>
      <c r="AU104" s="27">
        <v>0.86944444444444446</v>
      </c>
      <c r="AV104" s="27" t="s">
        <v>736</v>
      </c>
      <c r="AW104" s="20" t="s">
        <v>443</v>
      </c>
      <c r="AX104" s="20" t="str">
        <f>IFERROR(IF(Out_Table[[#This Row],[Cancellazione linea]]="Cancellata","yes",""),"")</f>
        <v/>
      </c>
      <c r="AY104" s="72" t="str">
        <f>IF(BA104="",BZ104,IF(AND(BA104&lt;(--"23:59:59"),BA104&gt;(--"15:00:00"),G104&lt;(--"14:00:00"),G104&gt;(--"00:00:01")),"",IF(BA104&gt;G104,BZ104,"")))</f>
        <v/>
      </c>
      <c r="AZ104" s="27">
        <v>0.87777777777777777</v>
      </c>
      <c r="BA104" s="32">
        <v>0.88402777777777775</v>
      </c>
      <c r="BB104" s="72"/>
      <c r="BC104" s="72" t="str">
        <f>IFERROR(VLOOKUP(Out_Table[[#This Row],[Aggiornamento STATUS]],'INformazioni per calcoli'!$Y$70:$AA$76,2,FALSE),"")</f>
        <v/>
      </c>
      <c r="BD104" s="289"/>
      <c r="BE104" s="289"/>
      <c r="BF104" s="47" t="str">
        <f>LEFT($E104,3)</f>
        <v>NC3</v>
      </c>
      <c r="BG104" s="298" t="str">
        <f>IF(Out_Table[[#This Row],[Ora Uscita    (GH)]]&lt;&gt;"","x","")</f>
        <v>x</v>
      </c>
      <c r="BH104" s="299">
        <f>VLOOKUP($O104,'INformazioni per calcoli'!$Y$20:$AA$23,3,FALSE)</f>
        <v>14</v>
      </c>
      <c r="BI104" s="299">
        <f>MROUND(Out_Table[[#This Row],[Mtr. Trailer]]*AB104,0.5)</f>
        <v>14</v>
      </c>
      <c r="BJ104" s="299">
        <f>MROUND(Out_Table[[#This Row],[Mtr. Trailer]]*AE104,0.5)</f>
        <v>0</v>
      </c>
      <c r="BK104" s="299">
        <f>MROUND(Out_Table[[#This Row],[Mtr. Trailer]]*AH104,0.5)</f>
        <v>0</v>
      </c>
      <c r="BL104" s="300">
        <f>Out_Table[[#This Row],[Double Deck trailer N° bumpers]]</f>
        <v>0</v>
      </c>
      <c r="BM104" s="301"/>
      <c r="BN104" s="299" t="str">
        <f>B104</f>
        <v>ITD12879</v>
      </c>
      <c r="BO104" s="299" t="str">
        <f>E104</f>
        <v>NC3</v>
      </c>
      <c r="BP104" s="302">
        <f>IF(AND(G104&gt;(--"00:00:01"),G104&lt;(--"15:00:00")),IF(AND(X104&gt;(--"00:00:01"),X104&lt;(--"15:00:00")),G104-X104,G104+1-X104),G104-X104)</f>
        <v>0.1069444444444444</v>
      </c>
      <c r="BQ104" s="303">
        <f>AE104+AF104+AH104+AJ104</f>
        <v>0</v>
      </c>
      <c r="BR104" s="304" t="str">
        <f>IF(OR(BP104&lt;=(--"00:20:00"),BQ104&gt;=100%),"OK","Not OK")</f>
        <v>Not OK</v>
      </c>
      <c r="BS104" s="302">
        <f>IF(AND(G104&gt;(--"00:00:01"),G104&lt;(--"15:00:00")),IF(AND(AU104&gt;(--"00:00:01"),AU104&lt;(--"15:00:00")),G104-AU104,G104+1-AU104),G104-AU104)</f>
        <v>1.5972222222222165E-2</v>
      </c>
      <c r="BT104" s="302">
        <f>IF(AND(AZ104&gt;(--"00:00:01"),AZ104&lt;(--"15:00:00")),IF(AND(AU104&gt;(--"00:00:01"),AU104&lt;(--"15:00:00")),AZ104-AU104,AZ104+1-AU104),AZ104-AU104)</f>
        <v>8.3333333333333037E-3</v>
      </c>
      <c r="BU104" s="302">
        <f>IF(AND(BA104&gt;(--"00:00:01"),BA104&lt;(--"15:00:00")),IF(AND(AZ104&gt;(--"00:00:01"),AZ104&lt;(--"15:00:00")),BA104-AZ104,BA104+1-AZ104),BA104-AZ104)</f>
        <v>6.2499999999999778E-3</v>
      </c>
      <c r="BV104" s="299" t="str">
        <f>AV104</f>
        <v>Autista non presente</v>
      </c>
      <c r="BW104" s="301"/>
      <c r="BX104" s="299" t="str">
        <f>IF(AV104="T Status",IF(AV104&lt;&gt;T104,"X",""),"")</f>
        <v/>
      </c>
      <c r="BY104" s="301"/>
      <c r="BZ104" s="299" t="str">
        <f>IF(X104&lt;&gt;"",IF(CC104="X","Driver Delay",IF(CA104="X","Paperwork Delay",IF(CB104="X","Late freight late sort",IF(CD104="X","Chiamare Control Room",IF(CE104="X","Chiamare Control Room",IF(CF104="X","Chiamare Control Room","")))))),"")</f>
        <v>Driver Delay</v>
      </c>
      <c r="CA104" s="302" t="str">
        <f>IF(K104="",IF(IF(AND(G104&gt;(--"00:00:01"),G104&lt;(--"15:00:00")),IF(AND(AT104&gt;(--"08:00:00"),AT104&lt;(--"23:59:59")),G104+1-AT104,G104-AT104),G104-AT104)&gt;(--"00:20:00"),"","X"),"")</f>
        <v/>
      </c>
      <c r="CB104" s="299" t="str">
        <f>IF(K104="",IF(BP104&gt;=(--"00:20:00"),"","X"),"")</f>
        <v/>
      </c>
      <c r="CC104" s="299" t="str">
        <f>IF(OR(AV104="Autista non presente",AV104="Dati driver non presenti"),"X","")</f>
        <v>X</v>
      </c>
      <c r="CD104" s="299" t="str">
        <f>IF(K104="",IF(AND(CC104="",BS104&lt;(--"00:20:00")),"X",""),"")</f>
        <v/>
      </c>
      <c r="CE104" s="299" t="str">
        <f>IF(K104="",IF(BT104&gt;(--"00:15:00"),"X",""),IF(AZ104&lt;&gt;"",IF(G104-AZ104&gt;(--"00:30:00"),"X",""),""))</f>
        <v/>
      </c>
      <c r="CF104" s="299" t="str">
        <f>IF(AND(CA104="",CB104="",CC104="",CD104="",CE104=""),"X","")</f>
        <v/>
      </c>
      <c r="CG104" s="301"/>
      <c r="CH104" s="299" t="str">
        <f>IF(BT104&gt;(--"00:15:00"),"X","")</f>
        <v/>
      </c>
      <c r="CI104" s="302" t="str">
        <f>AY104</f>
        <v/>
      </c>
      <c r="CJ104" s="299" t="str">
        <f>IF(AND(CH104&lt;&gt;"",CI104&lt;&gt;"",LEFT(B104,3)="ITD"),AP104,"")</f>
        <v/>
      </c>
      <c r="CK104" s="305" t="str">
        <f>IF(CJ104&lt;&gt;"",BT104,"")</f>
        <v/>
      </c>
      <c r="CL104" s="301"/>
      <c r="CM104" s="305" t="str">
        <f>IFERROR(VLOOKUP(Q104,'Elenco Casse'!$D$4:$F$292,3,FALSE),"")</f>
        <v/>
      </c>
      <c r="CN104" s="301"/>
      <c r="CO104" s="305" t="str">
        <f>IFERROR(VLOOKUP(S104,'Elenco Casse'!$D$4:$F$292,3,FALSE),"")</f>
        <v/>
      </c>
      <c r="CP104" s="305" t="str">
        <f>IFERROR(IF(VLOOKUP($E104,Outlist!$A$5:$S$120,19,FALSE)&lt;&gt;0,"Y",""),"")</f>
        <v/>
      </c>
      <c r="CQ104" s="301"/>
      <c r="CR104" s="305" t="str">
        <f>CONCATENATE($B104,$E104,$G104)</f>
        <v>ITD12879NC30.885416666666667</v>
      </c>
      <c r="CS104" s="301"/>
      <c r="CT104" s="305" t="e">
        <f>VLOOKUP(Out_Table[[#This Row],[Destination             ORANGE (From Planning)]],Outlist!$A$5:$W$120,22,FALSE)</f>
        <v>#N/A</v>
      </c>
    </row>
    <row r="105" spans="1:98" s="20" customFormat="1" ht="30.75">
      <c r="A105" s="305" t="str">
        <f>$CR105</f>
        <v>ITD12023NT30.770833333333333</v>
      </c>
      <c r="B105" s="284" t="s">
        <v>809</v>
      </c>
      <c r="C105" s="290" t="str">
        <f>IFERROR(IF(LEFT(B105,3)='STAT 77'!$X$2,_xlfn.XLOOKUP(B105,'STAT 77'!C:C,'STAT 77'!B:B),_xlfn.XLOOKUP(B105,'STAT 77'!B:B,'STAT 77'!C:C)),"NON TROVATO")</f>
        <v>NON TROVATO</v>
      </c>
      <c r="D105" s="25" t="s">
        <v>810</v>
      </c>
      <c r="E105" s="290" t="s">
        <v>811</v>
      </c>
      <c r="F105" s="290" t="str">
        <f>IFERROR(VLOOKUP(E105,'Cambio O2P'!C:E,2,FALSE),"")</f>
        <v>ZJYH</v>
      </c>
      <c r="G105" s="285">
        <v>0.77083333333333337</v>
      </c>
      <c r="H105" s="293" t="str">
        <f ca="1">IFERROR(IF(AND('INformazioni per calcoli'!$AB$3&lt;(--"14:30"),'INformazioni per calcoli'!$AB$3&gt;(--"10:00")),"",IF($B105="","",IF($X105&lt;&gt;"","Mezzo Chiuso",IF($W105="","Non al Carico",IF($G105-'INformazioni per calcoli'!$AB$5-'INformazioni per calcoli'!$AB$3+$J105&lt;0,"LFLS",IF($K105&lt;&gt;"","Safe Parking",IF($W105&lt;&gt;"",IF($E105="MXP",$G105-'INformazioni per calcoli'!$AB$6-'INformazioni per calcoli'!$AB$3+$J105,$G105-'INformazioni per calcoli'!$AB$5-'INformazioni per calcoli'!$AB$3+$J105),"Non al carico"))))))),"")</f>
        <v>Mezzo Chiuso</v>
      </c>
      <c r="I105" s="17" t="str">
        <f ca="1">IFERROR(IF($H105&lt;&gt;"",IF($H105="Safe Parking","",IF($W105&lt;&gt;"",IF(AND($U105="X",$V105="X"),$H105-(--"00:30"),""),IF($X105&lt;&gt;"","Mezzo Chiuso","Non al carico"))),""),"")</f>
        <v/>
      </c>
      <c r="J105" s="306">
        <f ca="1">IFERROR(IF($B105&lt;&gt;"",IF(AND('INformazioni per calcoli'!$AB$3&lt;(--"15:00"),'INformazioni per calcoli'!$AB$3&gt;(--"00:00")),0,IF($G105&lt;(--"18:30"),"+1",0)),""),"")</f>
        <v>0</v>
      </c>
      <c r="K105" s="17"/>
      <c r="L105" s="25" t="s">
        <v>812</v>
      </c>
      <c r="M105" s="25" t="str">
        <f>IFERROR(_xlfn.XLOOKUP($Q105,'Elenco Casse'!$D:$D,'Elenco Casse'!$E:$E),"")</f>
        <v>Nuova Express Line S.R.L.</v>
      </c>
      <c r="N105" s="25">
        <f>IFERROR(_xlfn.XLOOKUP($Q105,'Elenco Casse'!$D:$D,'Elenco Casse'!$F:$F),"")</f>
        <v>0</v>
      </c>
      <c r="O105" s="286" t="s">
        <v>418</v>
      </c>
      <c r="P105" s="295" t="str">
        <f>IFERROR(_xlfn.XLOOKUP($Q105,'Elenco Casse'!$D:$D,'Elenco Casse'!$G:$G),"")</f>
        <v>trailer 80 m3 2/3 axes</v>
      </c>
      <c r="Q105" s="355" t="s">
        <v>813</v>
      </c>
      <c r="R105" s="23" t="s">
        <v>420</v>
      </c>
      <c r="S105" s="25" t="s">
        <v>421</v>
      </c>
      <c r="T105" s="25" t="s">
        <v>460</v>
      </c>
      <c r="U105" s="23" t="str">
        <f>IF(ISNUMBER(SEARCH("Parcel",$T105)),"X","")</f>
        <v>X</v>
      </c>
      <c r="V105" s="23" t="str">
        <f>IF(ISNUMBER(SEARCH("Freight",$T105)),"X","")</f>
        <v/>
      </c>
      <c r="W105" s="26">
        <v>438</v>
      </c>
      <c r="X105" s="27">
        <v>0.69027777777777777</v>
      </c>
      <c r="Y105" s="25" t="s">
        <v>814</v>
      </c>
      <c r="Z105" s="25"/>
      <c r="AA105" s="25" t="s">
        <v>40</v>
      </c>
      <c r="AB105" s="57">
        <v>1</v>
      </c>
      <c r="AC105" s="25"/>
      <c r="AD105" s="25"/>
      <c r="AE105" s="57"/>
      <c r="AF105" s="57"/>
      <c r="AG105" s="25"/>
      <c r="AH105" s="57"/>
      <c r="AI105" s="339">
        <v>18</v>
      </c>
      <c r="AJ105" s="339"/>
      <c r="AK105" s="297" t="str">
        <f>IF(X105&lt;&gt;"",CONCATENATE(IF(AA105&lt;&gt;"",CONCATENATE(Z105," ",AA105," ",BI105),""),IF(AD105&lt;&gt;"",CONCATENATE(","," ",AC105," ",AD105," ",BJ105),""),IF(AG105&lt;&gt;"",CONCATENATE(","," ",AF105," ",AG105," ",BK105),""),IF(AJ105&lt;&gt;"",CONCATENATE(","," ","DD"," ",BL105),"")," ",IF(AI105&lt;&gt;"",CONCATENATE(" - ",AI105," Bag"),"")),"")</f>
        <v xml:space="preserve"> LL 14  - 18 Bag</v>
      </c>
      <c r="AL105" s="287" t="s">
        <v>421</v>
      </c>
      <c r="AM105" s="287"/>
      <c r="AN105" s="287"/>
      <c r="AO105" s="287"/>
      <c r="AP105" s="370" t="str">
        <f>IFERROR(VLOOKUP($E102,Outlist!$A$5:$V$120,20,FALSE),"")</f>
        <v/>
      </c>
      <c r="AQ105" s="288" t="s">
        <v>815</v>
      </c>
      <c r="AS105" s="24"/>
      <c r="AT105" s="24">
        <v>0.49375000000000002</v>
      </c>
      <c r="AU105" s="27">
        <v>0.73472222222222228</v>
      </c>
      <c r="AV105" s="27"/>
      <c r="AW105" s="20" t="s">
        <v>443</v>
      </c>
      <c r="AX105" s="20" t="str">
        <f>IFERROR(IF(Out_Table[[#This Row],[Cancellazione linea]]="Cancellata","yes",""),"")</f>
        <v/>
      </c>
      <c r="AY105" s="72" t="str">
        <f>IF(BA105="",BZ105,IF(AND(BA105&lt;(--"23:59:59"),BA105&gt;(--"15:00:00"),G105&lt;(--"14:00:00"),G105&gt;(--"00:00:01")),"",IF(BA105&gt;G105,BZ105,"")))</f>
        <v/>
      </c>
      <c r="AZ105" s="27">
        <v>0.73611111111111116</v>
      </c>
      <c r="BA105" s="32">
        <v>0.74236111111111114</v>
      </c>
      <c r="BB105" s="72"/>
      <c r="BC105" s="72" t="str">
        <f>IFERROR(VLOOKUP(Out_Table[[#This Row],[Aggiornamento STATUS]],'INformazioni per calcoli'!$Y$70:$AA$76,2,FALSE),"")</f>
        <v/>
      </c>
      <c r="BD105" s="289"/>
      <c r="BE105" s="289"/>
      <c r="BF105" s="47" t="str">
        <f>LEFT($E105,3)</f>
        <v>NT3</v>
      </c>
      <c r="BG105" s="298" t="str">
        <f>IF(Out_Table[[#This Row],[Ora Uscita    (GH)]]&lt;&gt;"","x","")</f>
        <v>x</v>
      </c>
      <c r="BH105" s="299">
        <f>VLOOKUP($O105,'INformazioni per calcoli'!$Y$20:$AA$23,3,FALSE)</f>
        <v>14</v>
      </c>
      <c r="BI105" s="299">
        <f>MROUND(Out_Table[[#This Row],[Mtr. Trailer]]*AB105,0.5)</f>
        <v>14</v>
      </c>
      <c r="BJ105" s="299">
        <f>MROUND(Out_Table[[#This Row],[Mtr. Trailer]]*AE105,0.5)</f>
        <v>0</v>
      </c>
      <c r="BK105" s="299">
        <f>MROUND(Out_Table[[#This Row],[Mtr. Trailer]]*AH105,0.5)</f>
        <v>0</v>
      </c>
      <c r="BL105" s="300">
        <f>Out_Table[[#This Row],[Double Deck trailer N° bumpers]]</f>
        <v>0</v>
      </c>
      <c r="BM105" s="301"/>
      <c r="BN105" s="299" t="str">
        <f>B105</f>
        <v>ITD12023</v>
      </c>
      <c r="BO105" s="299" t="str">
        <f>E105</f>
        <v>NT3</v>
      </c>
      <c r="BP105" s="302">
        <f>IF(AND(G105&gt;(--"00:00:01"),G105&lt;(--"15:00:00")),IF(AND(X105&gt;(--"00:00:01"),X105&lt;(--"15:00:00")),G105-X105,G105+1-X105),G105-X105)</f>
        <v>8.0555555555555602E-2</v>
      </c>
      <c r="BQ105" s="303">
        <f>AE105+AF105+AH105+AJ105</f>
        <v>0</v>
      </c>
      <c r="BR105" s="304" t="str">
        <f>IF(OR(BP105&lt;=(--"00:20:00"),BQ105&gt;=100%),"OK","Not OK")</f>
        <v>Not OK</v>
      </c>
      <c r="BS105" s="302">
        <f>IF(AND(G105&gt;(--"00:00:01"),G105&lt;(--"15:00:00")),IF(AND(AU105&gt;(--"00:00:01"),AU105&lt;(--"15:00:00")),G105-AU105,G105+1-AU105),G105-AU105)</f>
        <v>3.6111111111111094E-2</v>
      </c>
      <c r="BT105" s="302">
        <f>IF(AND(AZ105&gt;(--"00:00:01"),AZ105&lt;(--"15:00:00")),IF(AND(AU105&gt;(--"00:00:01"),AU105&lt;(--"15:00:00")),AZ105-AU105,AZ105+1-AU105),AZ105-AU105)</f>
        <v>1.388888888888884E-3</v>
      </c>
      <c r="BU105" s="302">
        <f>IF(AND(BA105&gt;(--"00:00:01"),BA105&lt;(--"15:00:00")),IF(AND(AZ105&gt;(--"00:00:01"),AZ105&lt;(--"15:00:00")),BA105-AZ105,BA105+1-AZ105),BA105-AZ105)</f>
        <v>6.2499999999999778E-3</v>
      </c>
      <c r="BV105" s="299">
        <f>AV105</f>
        <v>0</v>
      </c>
      <c r="BW105" s="301"/>
      <c r="BX105" s="299" t="str">
        <f>IF(AV105="T Status",IF(AV105&lt;&gt;T105,"X",""),"")</f>
        <v/>
      </c>
      <c r="BY105" s="301"/>
      <c r="BZ105" s="299" t="str">
        <f>IF(X105&lt;&gt;"",IF(CC105="X","Driver Delay",IF(CA105="X","Paperwork Delay",IF(CB105="X","Late freight late sort",IF(CD105="X","Chiamare Control Room",IF(CE105="X","Chiamare Control Room",IF(CF105="X","Chiamare Control Room","")))))),"")</f>
        <v>Chiamare Control Room</v>
      </c>
      <c r="CA105" s="302" t="str">
        <f>IF(K105="",IF(IF(AND(G105&gt;(--"00:00:01"),G105&lt;(--"15:00:00")),IF(AND(AT105&gt;(--"08:00:00"),AT105&lt;(--"23:59:59")),G105+1-AT105,G105-AT105),G105-AT105)&gt;(--"00:20:00"),"","X"),"")</f>
        <v/>
      </c>
      <c r="CB105" s="299" t="str">
        <f>IF(K105="",IF(BP105&gt;=(--"00:20:00"),"","X"),"")</f>
        <v/>
      </c>
      <c r="CC105" s="299" t="str">
        <f>IF(OR(AV105="Autista non presente",AV105="Dati driver non presenti"),"X","")</f>
        <v/>
      </c>
      <c r="CD105" s="299" t="str">
        <f>IF(K105="",IF(AND(CC105="",BS105&lt;(--"00:20:00")),"X",""),"")</f>
        <v/>
      </c>
      <c r="CE105" s="299" t="str">
        <f>IF(K105="",IF(BT105&gt;(--"00:15:00"),"X",""),IF(AZ105&lt;&gt;"",IF(G105-AZ105&gt;(--"00:30:00"),"X",""),""))</f>
        <v/>
      </c>
      <c r="CF105" s="299" t="str">
        <f>IF(AND(CA105="",CB105="",CC105="",CD105="",CE105=""),"X","")</f>
        <v>X</v>
      </c>
      <c r="CG105" s="301"/>
      <c r="CH105" s="299" t="str">
        <f>IF(BT105&gt;(--"00:15:00"),"X","")</f>
        <v/>
      </c>
      <c r="CI105" s="302" t="str">
        <f>AY105</f>
        <v/>
      </c>
      <c r="CJ105" s="299" t="str">
        <f>IF(AND(CH105&lt;&gt;"",CI105&lt;&gt;"",LEFT(B105,3)="ITD"),AP105,"")</f>
        <v/>
      </c>
      <c r="CK105" s="305" t="str">
        <f>IF(CJ105&lt;&gt;"",BT105,"")</f>
        <v/>
      </c>
      <c r="CL105" s="301"/>
      <c r="CM105" s="305" t="str">
        <f>IFERROR(VLOOKUP(Q105,'Elenco Casse'!$D$4:$F$292,3,FALSE),"")</f>
        <v/>
      </c>
      <c r="CN105" s="301"/>
      <c r="CO105" s="305" t="str">
        <f>IFERROR(VLOOKUP(S105,'Elenco Casse'!$D$4:$F$292,3,FALSE),"")</f>
        <v/>
      </c>
      <c r="CP105" s="305" t="str">
        <f>IFERROR(IF(VLOOKUP($E105,Outlist!$A$5:$S$120,19,FALSE)&lt;&gt;0,"Y",""),"")</f>
        <v/>
      </c>
      <c r="CQ105" s="301"/>
      <c r="CR105" s="305" t="str">
        <f>CONCATENATE($B105,$E105,$G105)</f>
        <v>ITD12023NT30.770833333333333</v>
      </c>
      <c r="CS105" s="301"/>
      <c r="CT105" s="305" t="e">
        <f>VLOOKUP(Out_Table[[#This Row],[Destination             ORANGE (From Planning)]],Outlist!$A$5:$W$120,22,FALSE)</f>
        <v>#N/A</v>
      </c>
    </row>
    <row r="106" spans="1:98" s="20" customFormat="1" ht="30.75">
      <c r="A106" s="305" t="str">
        <f>$CR106</f>
        <v>ITD12017NT30.833333333333333</v>
      </c>
      <c r="B106" s="284" t="s">
        <v>816</v>
      </c>
      <c r="C106" s="290" t="str">
        <f>IFERROR(IF(LEFT(B106,3)='STAT 77'!$X$2,_xlfn.XLOOKUP(B106,'STAT 77'!C:C,'STAT 77'!B:B),_xlfn.XLOOKUP(B106,'STAT 77'!B:B,'STAT 77'!C:C)),"NON TROVATO")</f>
        <v>ITD30739</v>
      </c>
      <c r="D106" s="25" t="s">
        <v>810</v>
      </c>
      <c r="E106" s="290" t="s">
        <v>811</v>
      </c>
      <c r="F106" s="290" t="str">
        <f>IFERROR(VLOOKUP(E106,'Cambio O2P'!C:E,2,FALSE),"")</f>
        <v>ZJYH</v>
      </c>
      <c r="G106" s="285">
        <v>0.83333333333333337</v>
      </c>
      <c r="H106" s="293" t="str">
        <f ca="1">IFERROR(IF(AND('INformazioni per calcoli'!$AB$3&lt;(--"14:30"),'INformazioni per calcoli'!$AB$3&gt;(--"10:00")),"",IF($B106="","",IF($X106&lt;&gt;"","Mezzo Chiuso",IF($W106="","Non al Carico",IF($G106-'INformazioni per calcoli'!$AB$5-'INformazioni per calcoli'!$AB$3+$J106&lt;0,"LFLS",IF($K106&lt;&gt;"","Safe Parking",IF($W106&lt;&gt;"",IF($E106="MXP",$G106-'INformazioni per calcoli'!$AB$6-'INformazioni per calcoli'!$AB$3+$J106,$G106-'INformazioni per calcoli'!$AB$5-'INformazioni per calcoli'!$AB$3+$J106),"Non al carico"))))))),"")</f>
        <v>Mezzo Chiuso</v>
      </c>
      <c r="I106" s="17" t="str">
        <f ca="1">IFERROR(IF($H106&lt;&gt;"",IF($H106="Safe Parking","",IF($W106&lt;&gt;"",IF(AND($U106="X",$V106="X"),$H106-(--"00:30"),""),IF($X106&lt;&gt;"","Mezzo Chiuso","Non al carico"))),""),"")</f>
        <v/>
      </c>
      <c r="J106" s="306">
        <f ca="1">IFERROR(IF($B106&lt;&gt;"",IF(AND('INformazioni per calcoli'!$AB$3&lt;(--"15:00"),'INformazioni per calcoli'!$AB$3&gt;(--"00:00")),0,IF($G106&lt;(--"18:30"),"+1",0)),""),"")</f>
        <v>0</v>
      </c>
      <c r="K106" s="27"/>
      <c r="L106" s="25" t="s">
        <v>791</v>
      </c>
      <c r="M106" s="25" t="str">
        <f>IFERROR(_xlfn.XLOOKUP($Q106,'Elenco Casse'!$D:$D,'Elenco Casse'!$E:$E),"")</f>
        <v/>
      </c>
      <c r="N106" s="25" t="str">
        <f>IFERROR(_xlfn.XLOOKUP($Q106,'Elenco Casse'!$D:$D,'Elenco Casse'!$F:$F),"")</f>
        <v/>
      </c>
      <c r="O106" s="286" t="s">
        <v>418</v>
      </c>
      <c r="P106" s="295" t="str">
        <f>IFERROR(_xlfn.XLOOKUP($Q106,'Elenco Casse'!$D:$D,'Elenco Casse'!$G:$G),"")</f>
        <v/>
      </c>
      <c r="Q106" s="355" t="s">
        <v>817</v>
      </c>
      <c r="R106" s="23" t="s">
        <v>420</v>
      </c>
      <c r="S106" s="25" t="s">
        <v>421</v>
      </c>
      <c r="T106" s="25" t="s">
        <v>460</v>
      </c>
      <c r="U106" s="23" t="str">
        <f>IF(ISNUMBER(SEARCH("Parcel",$T106)),"X","")</f>
        <v>X</v>
      </c>
      <c r="V106" s="23" t="str">
        <f>IF(ISNUMBER(SEARCH("Freight",$T106)),"X","")</f>
        <v/>
      </c>
      <c r="W106" s="26">
        <v>439</v>
      </c>
      <c r="X106" s="27">
        <v>0.76875000000000004</v>
      </c>
      <c r="Y106" s="25" t="s">
        <v>818</v>
      </c>
      <c r="Z106" s="25"/>
      <c r="AA106" s="25" t="s">
        <v>40</v>
      </c>
      <c r="AB106" s="57">
        <v>1</v>
      </c>
      <c r="AC106" s="25"/>
      <c r="AD106" s="25"/>
      <c r="AE106" s="57"/>
      <c r="AF106" s="57"/>
      <c r="AG106" s="25"/>
      <c r="AH106" s="57"/>
      <c r="AI106" s="339">
        <v>10</v>
      </c>
      <c r="AJ106" s="339"/>
      <c r="AK106" s="297" t="str">
        <f>IF(X106&lt;&gt;"",CONCATENATE(IF(AA106&lt;&gt;"",CONCATENATE(Z106," ",AA106," ",BI106),""),IF(AD106&lt;&gt;"",CONCATENATE(","," ",AC106," ",AD106," ",BJ106),""),IF(AG106&lt;&gt;"",CONCATENATE(","," ",AF106," ",AG106," ",BK106),""),IF(AJ106&lt;&gt;"",CONCATENATE(","," ","DD"," ",BL106),"")," ",IF(AI106&lt;&gt;"",CONCATENATE(" - ",AI106," Bag"),"")),"")</f>
        <v xml:space="preserve"> LL 14  - 10 Bag</v>
      </c>
      <c r="AL106" s="287" t="s">
        <v>421</v>
      </c>
      <c r="AM106" s="287"/>
      <c r="AN106" s="287"/>
      <c r="AO106" s="287"/>
      <c r="AP106" s="370" t="str">
        <f>IFERROR(VLOOKUP($E103,Outlist!$A$5:$V$120,20,FALSE),"")</f>
        <v/>
      </c>
      <c r="AQ106" s="288" t="s">
        <v>819</v>
      </c>
      <c r="AS106" s="24"/>
      <c r="AT106" s="24">
        <v>0.4909722222222222</v>
      </c>
      <c r="AU106" s="27">
        <v>0.79722222222222228</v>
      </c>
      <c r="AV106" s="27"/>
      <c r="AW106" s="20" t="s">
        <v>443</v>
      </c>
      <c r="AX106" s="20" t="str">
        <f>IFERROR(IF(Out_Table[[#This Row],[Cancellazione linea]]="Cancellata","yes",""),"")</f>
        <v/>
      </c>
      <c r="AY106" s="72" t="str">
        <f>IF(BA106="",BZ106,IF(AND(BA106&lt;(--"23:59:59"),BA106&gt;(--"15:00:00"),G106&lt;(--"14:00:00"),G106&gt;(--"00:00:01")),"",IF(BA106&gt;G106,BZ106,"")))</f>
        <v/>
      </c>
      <c r="AZ106" s="27">
        <v>0.81319444444444444</v>
      </c>
      <c r="BA106" s="32">
        <v>0.82152777777777775</v>
      </c>
      <c r="BB106" s="72"/>
      <c r="BC106" s="72" t="str">
        <f>IFERROR(VLOOKUP(Out_Table[[#This Row],[Aggiornamento STATUS]],'INformazioni per calcoli'!$Y$70:$AA$76,2,FALSE),"")</f>
        <v/>
      </c>
      <c r="BD106" s="289"/>
      <c r="BE106" s="289"/>
      <c r="BF106" s="47" t="str">
        <f>LEFT($E106,3)</f>
        <v>NT3</v>
      </c>
      <c r="BG106" s="298" t="str">
        <f>IF(Out_Table[[#This Row],[Ora Uscita    (GH)]]&lt;&gt;"","x","")</f>
        <v>x</v>
      </c>
      <c r="BH106" s="299">
        <f>VLOOKUP($O106,'INformazioni per calcoli'!$Y$20:$AA$23,3,FALSE)</f>
        <v>14</v>
      </c>
      <c r="BI106" s="299">
        <f>MROUND(Out_Table[[#This Row],[Mtr. Trailer]]*AB106,0.5)</f>
        <v>14</v>
      </c>
      <c r="BJ106" s="299">
        <f>MROUND(Out_Table[[#This Row],[Mtr. Trailer]]*AE106,0.5)</f>
        <v>0</v>
      </c>
      <c r="BK106" s="299">
        <f>MROUND(Out_Table[[#This Row],[Mtr. Trailer]]*AH106,0.5)</f>
        <v>0</v>
      </c>
      <c r="BL106" s="300">
        <f>Out_Table[[#This Row],[Double Deck trailer N° bumpers]]</f>
        <v>0</v>
      </c>
      <c r="BM106" s="301"/>
      <c r="BN106" s="299" t="str">
        <f>B106</f>
        <v>ITD12017</v>
      </c>
      <c r="BO106" s="299" t="str">
        <f>E106</f>
        <v>NT3</v>
      </c>
      <c r="BP106" s="302">
        <f>IF(AND(G106&gt;(--"00:00:01"),G106&lt;(--"15:00:00")),IF(AND(X106&gt;(--"00:00:01"),X106&lt;(--"15:00:00")),G106-X106,G106+1-X106),G106-X106)</f>
        <v>6.4583333333333326E-2</v>
      </c>
      <c r="BQ106" s="303">
        <f>AE106+AF106+AH106+AJ106</f>
        <v>0</v>
      </c>
      <c r="BR106" s="304" t="str">
        <f>IF(OR(BP106&lt;=(--"00:20:00"),BQ106&gt;=100%),"OK","Not OK")</f>
        <v>Not OK</v>
      </c>
      <c r="BS106" s="302">
        <f>IF(AND(G106&gt;(--"00:00:01"),G106&lt;(--"15:00:00")),IF(AND(AU106&gt;(--"00:00:01"),AU106&lt;(--"15:00:00")),G106-AU106,G106+1-AU106),G106-AU106)</f>
        <v>3.6111111111111094E-2</v>
      </c>
      <c r="BT106" s="302">
        <f>IF(AND(AZ106&gt;(--"00:00:01"),AZ106&lt;(--"15:00:00")),IF(AND(AU106&gt;(--"00:00:01"),AU106&lt;(--"15:00:00")),AZ106-AU106,AZ106+1-AU106),AZ106-AU106)</f>
        <v>1.5972222222222165E-2</v>
      </c>
      <c r="BU106" s="302">
        <f>IF(AND(BA106&gt;(--"00:00:01"),BA106&lt;(--"15:00:00")),IF(AND(AZ106&gt;(--"00:00:01"),AZ106&lt;(--"15:00:00")),BA106-AZ106,BA106+1-AZ106),BA106-AZ106)</f>
        <v>8.3333333333333037E-3</v>
      </c>
      <c r="BV106" s="299">
        <f>AV106</f>
        <v>0</v>
      </c>
      <c r="BW106" s="301"/>
      <c r="BX106" s="299" t="str">
        <f>IF(AV106="T Status",IF(AV106&lt;&gt;T106,"X",""),"")</f>
        <v/>
      </c>
      <c r="BY106" s="301"/>
      <c r="BZ106" s="299" t="str">
        <f>IF(X106&lt;&gt;"",IF(CC106="X","Driver Delay",IF(CA106="X","Paperwork Delay",IF(CB106="X","Late freight late sort",IF(CD106="X","Chiamare Control Room",IF(CE106="X","Chiamare Control Room",IF(CF106="X","Chiamare Control Room","")))))),"")</f>
        <v>Chiamare Control Room</v>
      </c>
      <c r="CA106" s="302" t="str">
        <f>IF(K106="",IF(IF(AND(G106&gt;(--"00:00:01"),G106&lt;(--"15:00:00")),IF(AND(AT106&gt;(--"08:00:00"),AT106&lt;(--"23:59:59")),G106+1-AT106,G106-AT106),G106-AT106)&gt;(--"00:20:00"),"","X"),"")</f>
        <v/>
      </c>
      <c r="CB106" s="299" t="str">
        <f>IF(K106="",IF(BP106&gt;=(--"00:20:00"),"","X"),"")</f>
        <v/>
      </c>
      <c r="CC106" s="299" t="str">
        <f>IF(OR(AV106="Autista non presente",AV106="Dati driver non presenti"),"X","")</f>
        <v/>
      </c>
      <c r="CD106" s="299" t="str">
        <f>IF(K106="",IF(AND(CC106="",BS106&lt;(--"00:20:00")),"X",""),"")</f>
        <v/>
      </c>
      <c r="CE106" s="299" t="str">
        <f>IF(K106="",IF(BT106&gt;(--"00:15:00"),"X",""),IF(AZ106&lt;&gt;"",IF(G106-AZ106&gt;(--"00:30:00"),"X",""),""))</f>
        <v>X</v>
      </c>
      <c r="CF106" s="299" t="str">
        <f>IF(AND(CA106="",CB106="",CC106="",CD106="",CE106=""),"X","")</f>
        <v/>
      </c>
      <c r="CG106" s="301"/>
      <c r="CH106" s="299" t="str">
        <f>IF(BT106&gt;(--"00:15:00"),"X","")</f>
        <v>X</v>
      </c>
      <c r="CI106" s="302" t="str">
        <f>AY106</f>
        <v/>
      </c>
      <c r="CJ106" s="299" t="str">
        <f>IF(AND(CH106&lt;&gt;"",CI106&lt;&gt;"",LEFT(B106,3)="ITD"),AP106,"")</f>
        <v/>
      </c>
      <c r="CK106" s="305" t="str">
        <f>IF(CJ106&lt;&gt;"",BT106,"")</f>
        <v/>
      </c>
      <c r="CL106" s="301"/>
      <c r="CM106" s="305" t="str">
        <f>IFERROR(VLOOKUP(Q106,'Elenco Casse'!$D$4:$F$292,3,FALSE),"")</f>
        <v/>
      </c>
      <c r="CN106" s="301"/>
      <c r="CO106" s="305" t="str">
        <f>IFERROR(VLOOKUP(S106,'Elenco Casse'!$D$4:$F$292,3,FALSE),"")</f>
        <v/>
      </c>
      <c r="CP106" s="305" t="str">
        <f>IFERROR(IF(VLOOKUP($E106,Outlist!$A$5:$S$120,19,FALSE)&lt;&gt;0,"Y",""),"")</f>
        <v/>
      </c>
      <c r="CQ106" s="301"/>
      <c r="CR106" s="305" t="str">
        <f>CONCATENATE($B106,$E106,$G106)</f>
        <v>ITD12017NT30.833333333333333</v>
      </c>
      <c r="CS106" s="301"/>
      <c r="CT106" s="305" t="e">
        <f>VLOOKUP(Out_Table[[#This Row],[Destination             ORANGE (From Planning)]],Outlist!$A$5:$W$120,22,FALSE)</f>
        <v>#N/A</v>
      </c>
    </row>
    <row r="107" spans="1:98" s="20" customFormat="1" ht="30.75">
      <c r="A107" s="305" t="str">
        <f>$CR107</f>
        <v>ITD12061NT30.885416666666667</v>
      </c>
      <c r="B107" s="284" t="s">
        <v>820</v>
      </c>
      <c r="C107" s="290" t="str">
        <f>IFERROR(IF(LEFT(B107,3)='STAT 77'!$X$2,_xlfn.XLOOKUP(B107,'STAT 77'!C:C,'STAT 77'!B:B),_xlfn.XLOOKUP(B107,'STAT 77'!B:B,'STAT 77'!C:C)),"NON TROVATO")</f>
        <v>ITD30791</v>
      </c>
      <c r="D107" s="25" t="s">
        <v>810</v>
      </c>
      <c r="E107" s="290" t="s">
        <v>811</v>
      </c>
      <c r="F107" s="290" t="str">
        <f>IFERROR(VLOOKUP(E107,'Cambio O2P'!C:E,2,FALSE),"")</f>
        <v>ZJYH</v>
      </c>
      <c r="G107" s="285">
        <v>0.88541666666666663</v>
      </c>
      <c r="H107" s="293" t="str">
        <f ca="1">IFERROR(IF(AND('INformazioni per calcoli'!$AB$3&lt;(--"14:30"),'INformazioni per calcoli'!$AB$3&gt;(--"10:00")),"",IF($B107="","",IF($X107&lt;&gt;"","Mezzo Chiuso",IF($W107="","Non al Carico",IF($G107-'INformazioni per calcoli'!$AB$5-'INformazioni per calcoli'!$AB$3+$J107&lt;0,"LFLS",IF($K107&lt;&gt;"","Safe Parking",IF($W107&lt;&gt;"",IF($E107="MXP",$G107-'INformazioni per calcoli'!$AB$6-'INformazioni per calcoli'!$AB$3+$J107,$G107-'INformazioni per calcoli'!$AB$5-'INformazioni per calcoli'!$AB$3+$J107),"Non al carico"))))))),"")</f>
        <v>Mezzo Chiuso</v>
      </c>
      <c r="I107" s="17" t="str">
        <f ca="1">IFERROR(IF($H107&lt;&gt;"",IF($H107="Safe Parking","",IF($W107&lt;&gt;"",IF(AND($U107="X",$V107="X"),$H107-(--"00:30"),""),IF($X107&lt;&gt;"","Mezzo Chiuso","Non al carico"))),""),"")</f>
        <v/>
      </c>
      <c r="J107" s="306">
        <f ca="1">IFERROR(IF($B107&lt;&gt;"",IF(AND('INformazioni per calcoli'!$AB$3&lt;(--"15:00"),'INformazioni per calcoli'!$AB$3&gt;(--"00:00")),0,IF($G107&lt;(--"18:30"),"+1",0)),""),"")</f>
        <v>0</v>
      </c>
      <c r="K107" s="17"/>
      <c r="L107" s="25" t="s">
        <v>692</v>
      </c>
      <c r="M107" s="25" t="str">
        <f>IFERROR(_xlfn.XLOOKUP($Q107,'Elenco Casse'!$D:$D,'Elenco Casse'!$E:$E),"")</f>
        <v>Canguro S.P.A.</v>
      </c>
      <c r="N107" s="25">
        <f>IFERROR(_xlfn.XLOOKUP($Q107,'Elenco Casse'!$D:$D,'Elenco Casse'!$F:$F),"")</f>
        <v>0</v>
      </c>
      <c r="O107" s="286" t="s">
        <v>418</v>
      </c>
      <c r="P107" s="295" t="str">
        <f>IFERROR(_xlfn.XLOOKUP($Q107,'Elenco Casse'!$D:$D,'Elenco Casse'!$G:$G),"")</f>
        <v>trailer 80 m3 2/3 axes</v>
      </c>
      <c r="Q107" s="355" t="s">
        <v>821</v>
      </c>
      <c r="R107" s="23" t="s">
        <v>420</v>
      </c>
      <c r="S107" s="25" t="s">
        <v>544</v>
      </c>
      <c r="T107" s="25" t="s">
        <v>726</v>
      </c>
      <c r="U107" s="23" t="s">
        <v>500</v>
      </c>
      <c r="V107" s="23" t="str">
        <f>IF(ISNUMBER(SEARCH("Freight",$T107)),"X","")</f>
        <v>X</v>
      </c>
      <c r="W107" s="26">
        <v>439</v>
      </c>
      <c r="X107" s="27">
        <v>0.84375</v>
      </c>
      <c r="Y107" s="25" t="s">
        <v>716</v>
      </c>
      <c r="Z107" s="25"/>
      <c r="AA107" s="25" t="s">
        <v>40</v>
      </c>
      <c r="AB107" s="57">
        <v>1</v>
      </c>
      <c r="AC107" s="25"/>
      <c r="AD107" s="25"/>
      <c r="AE107" s="57"/>
      <c r="AF107" s="57"/>
      <c r="AG107" s="25"/>
      <c r="AH107" s="57"/>
      <c r="AI107" s="339">
        <v>16</v>
      </c>
      <c r="AJ107" s="339"/>
      <c r="AK107" s="297" t="str">
        <f>IF(X107&lt;&gt;"",CONCATENATE(IF(AA107&lt;&gt;"",CONCATENATE(Z107," ",AA107," ",BI107),""),IF(AD107&lt;&gt;"",CONCATENATE(","," ",AC107," ",AD107," ",BJ107),""),IF(AG107&lt;&gt;"",CONCATENATE(","," ",AF107," ",AG107," ",BK107),""),IF(AJ107&lt;&gt;"",CONCATENATE(","," ","DD"," ",BL107),"")," ",IF(AI107&lt;&gt;"",CONCATENATE(" - ",AI107," Bag"),"")),"")</f>
        <v xml:space="preserve"> LL 14  - 16 Bag</v>
      </c>
      <c r="AL107" s="287" t="s">
        <v>421</v>
      </c>
      <c r="AM107" s="287"/>
      <c r="AN107" s="287"/>
      <c r="AO107" s="287"/>
      <c r="AP107" s="370" t="str">
        <f>IFERROR(VLOOKUP($E104,Outlist!$A$5:$V$120,20,FALSE),"")</f>
        <v/>
      </c>
      <c r="AQ107" s="288" t="s">
        <v>822</v>
      </c>
      <c r="AS107" s="24"/>
      <c r="AT107" s="24">
        <v>0.79166666666666663</v>
      </c>
      <c r="AU107" s="27">
        <v>0.8618055555555556</v>
      </c>
      <c r="AV107" s="27"/>
      <c r="AW107" s="20" t="s">
        <v>443</v>
      </c>
      <c r="AX107" s="20" t="str">
        <f>IFERROR(IF(Out_Table[[#This Row],[Cancellazione linea]]="Cancellata","yes",""),"")</f>
        <v/>
      </c>
      <c r="AY107" s="72" t="str">
        <f>IF(BA107="",BZ107,IF(AND(BA107&lt;(--"23:59:59"),BA107&gt;(--"15:00:00"),G107&lt;(--"14:00:00"),G107&gt;(--"00:00:01")),"",IF(BA107&gt;G107,BZ107,"")))</f>
        <v/>
      </c>
      <c r="AZ107" s="27">
        <v>0.86319444444444449</v>
      </c>
      <c r="BA107" s="32">
        <v>0.87430555555555556</v>
      </c>
      <c r="BB107" s="72"/>
      <c r="BC107" s="72" t="str">
        <f>IFERROR(VLOOKUP(Out_Table[[#This Row],[Aggiornamento STATUS]],'INformazioni per calcoli'!$Y$70:$AA$76,2,FALSE),"")</f>
        <v/>
      </c>
      <c r="BD107" s="289"/>
      <c r="BE107" s="289"/>
      <c r="BF107" s="47" t="str">
        <f>LEFT($E107,3)</f>
        <v>NT3</v>
      </c>
      <c r="BG107" s="298" t="str">
        <f>IF(Out_Table[[#This Row],[Ora Uscita    (GH)]]&lt;&gt;"","x","")</f>
        <v>x</v>
      </c>
      <c r="BH107" s="299">
        <f>VLOOKUP($O107,'INformazioni per calcoli'!$Y$20:$AA$23,3,FALSE)</f>
        <v>14</v>
      </c>
      <c r="BI107" s="299">
        <f>MROUND(Out_Table[[#This Row],[Mtr. Trailer]]*AB107,0.5)</f>
        <v>14</v>
      </c>
      <c r="BJ107" s="299">
        <f>MROUND(Out_Table[[#This Row],[Mtr. Trailer]]*AE107,0.5)</f>
        <v>0</v>
      </c>
      <c r="BK107" s="299">
        <f>MROUND(Out_Table[[#This Row],[Mtr. Trailer]]*AH107,0.5)</f>
        <v>0</v>
      </c>
      <c r="BL107" s="300">
        <f>Out_Table[[#This Row],[Double Deck trailer N° bumpers]]</f>
        <v>0</v>
      </c>
      <c r="BM107" s="301"/>
      <c r="BN107" s="299" t="str">
        <f>B107</f>
        <v>ITD12061</v>
      </c>
      <c r="BO107" s="299" t="str">
        <f>E107</f>
        <v>NT3</v>
      </c>
      <c r="BP107" s="302">
        <f>IF(AND(G107&gt;(--"00:00:01"),G107&lt;(--"15:00:00")),IF(AND(X107&gt;(--"00:00:01"),X107&lt;(--"15:00:00")),G107-X107,G107+1-X107),G107-X107)</f>
        <v>4.166666666666663E-2</v>
      </c>
      <c r="BQ107" s="303">
        <f>AE107+AF107+AH107+AJ107</f>
        <v>0</v>
      </c>
      <c r="BR107" s="304" t="str">
        <f>IF(OR(BP107&lt;=(--"00:20:00"),BQ107&gt;=100%),"OK","Not OK")</f>
        <v>Not OK</v>
      </c>
      <c r="BS107" s="302">
        <f>IF(AND(G107&gt;(--"00:00:01"),G107&lt;(--"15:00:00")),IF(AND(AU107&gt;(--"00:00:01"),AU107&lt;(--"15:00:00")),G107-AU107,G107+1-AU107),G107-AU107)</f>
        <v>2.3611111111111027E-2</v>
      </c>
      <c r="BT107" s="302">
        <f>IF(AND(AZ107&gt;(--"00:00:01"),AZ107&lt;(--"15:00:00")),IF(AND(AU107&gt;(--"00:00:01"),AU107&lt;(--"15:00:00")),AZ107-AU107,AZ107+1-AU107),AZ107-AU107)</f>
        <v>1.388888888888884E-3</v>
      </c>
      <c r="BU107" s="302">
        <f>IF(AND(BA107&gt;(--"00:00:01"),BA107&lt;(--"15:00:00")),IF(AND(AZ107&gt;(--"00:00:01"),AZ107&lt;(--"15:00:00")),BA107-AZ107,BA107+1-AZ107),BA107-AZ107)</f>
        <v>1.1111111111111072E-2</v>
      </c>
      <c r="BV107" s="299">
        <f>AV107</f>
        <v>0</v>
      </c>
      <c r="BW107" s="301"/>
      <c r="BX107" s="299" t="str">
        <f>IF(AV107="T Status",IF(AV107&lt;&gt;T107,"X",""),"")</f>
        <v/>
      </c>
      <c r="BY107" s="301"/>
      <c r="BZ107" s="299" t="str">
        <f>IF(X107&lt;&gt;"",IF(CC107="X","Driver Delay",IF(CA107="X","Paperwork Delay",IF(CB107="X","Late freight late sort",IF(CD107="X","Chiamare Control Room",IF(CE107="X","Chiamare Control Room",IF(CF107="X","Chiamare Control Room","")))))),"")</f>
        <v>Chiamare Control Room</v>
      </c>
      <c r="CA107" s="302" t="str">
        <f>IF(K107="",IF(IF(AND(G107&gt;(--"00:00:01"),G107&lt;(--"15:00:00")),IF(AND(AT107&gt;(--"08:00:00"),AT107&lt;(--"23:59:59")),G107+1-AT107,G107-AT107),G107-AT107)&gt;(--"00:20:00"),"","X"),"")</f>
        <v/>
      </c>
      <c r="CB107" s="299" t="str">
        <f>IF(K107="",IF(BP107&gt;=(--"00:20:00"),"","X"),"")</f>
        <v/>
      </c>
      <c r="CC107" s="299" t="str">
        <f>IF(OR(AV107="Autista non presente",AV107="Dati driver non presenti"),"X","")</f>
        <v/>
      </c>
      <c r="CD107" s="299" t="str">
        <f>IF(K107="",IF(AND(CC107="",BS107&lt;(--"00:20:00")),"X",""),"")</f>
        <v/>
      </c>
      <c r="CE107" s="299" t="str">
        <f>IF(K107="",IF(BT107&gt;(--"00:15:00"),"X",""),IF(AZ107&lt;&gt;"",IF(G107-AZ107&gt;(--"00:30:00"),"X",""),""))</f>
        <v/>
      </c>
      <c r="CF107" s="299" t="str">
        <f>IF(AND(CA107="",CB107="",CC107="",CD107="",CE107=""),"X","")</f>
        <v>X</v>
      </c>
      <c r="CG107" s="301"/>
      <c r="CH107" s="299" t="str">
        <f>IF(BT107&gt;(--"00:15:00"),"X","")</f>
        <v/>
      </c>
      <c r="CI107" s="302" t="str">
        <f>AY107</f>
        <v/>
      </c>
      <c r="CJ107" s="299" t="str">
        <f>IF(AND(CH107&lt;&gt;"",CI107&lt;&gt;"",LEFT(B107,3)="ITD"),AP107,"")</f>
        <v/>
      </c>
      <c r="CK107" s="305" t="str">
        <f>IF(CJ107&lt;&gt;"",BT107,"")</f>
        <v/>
      </c>
      <c r="CL107" s="301"/>
      <c r="CM107" s="305">
        <f>IFERROR(VLOOKUP(Q107,'Elenco Casse'!$D$4:$F$292,3,FALSE),"")</f>
        <v>0</v>
      </c>
      <c r="CN107" s="301"/>
      <c r="CO107" s="305" t="str">
        <f>IFERROR(VLOOKUP(S107,'Elenco Casse'!$D$4:$F$292,3,FALSE),"")</f>
        <v/>
      </c>
      <c r="CP107" s="305" t="str">
        <f>IFERROR(IF(VLOOKUP($E107,Outlist!$A$5:$S$120,19,FALSE)&lt;&gt;0,"Y",""),"")</f>
        <v/>
      </c>
      <c r="CQ107" s="301"/>
      <c r="CR107" s="305" t="str">
        <f>CONCATENATE($B107,$E107,$G107)</f>
        <v>ITD12061NT30.885416666666667</v>
      </c>
      <c r="CS107" s="301"/>
      <c r="CT107" s="305" t="e">
        <f>VLOOKUP(Out_Table[[#This Row],[Destination             ORANGE (From Planning)]],Outlist!$A$5:$W$120,22,FALSE)</f>
        <v>#N/A</v>
      </c>
    </row>
    <row r="108" spans="1:98" s="20" customFormat="1" ht="30.75">
      <c r="A108" s="305" t="str">
        <f>$CR108</f>
        <v>ITD12073RMZ0.875</v>
      </c>
      <c r="B108" s="284" t="s">
        <v>823</v>
      </c>
      <c r="C108" s="290" t="str">
        <f>IFERROR(IF(LEFT(B108,3)='STAT 77'!$X$2,_xlfn.XLOOKUP(B108,'STAT 77'!C:C,'STAT 77'!B:B),_xlfn.XLOOKUP(B108,'STAT 77'!B:B,'STAT 77'!C:C)),"NON TROVATO")</f>
        <v>ITD30812</v>
      </c>
      <c r="D108" s="25" t="s">
        <v>824</v>
      </c>
      <c r="E108" s="290" t="s">
        <v>825</v>
      </c>
      <c r="F108" s="290" t="str">
        <f>IFERROR(VLOOKUP(E108,'Cambio O2P'!C:E,2,FALSE),"")</f>
        <v>QCZA</v>
      </c>
      <c r="G108" s="285">
        <v>0.875</v>
      </c>
      <c r="H108" s="293" t="str">
        <f ca="1">IFERROR(IF(AND('INformazioni per calcoli'!$AB$3&lt;(--"14:30"),'INformazioni per calcoli'!$AB$3&gt;(--"10:00")),"",IF($B108="","",IF($X108&lt;&gt;"","Mezzo Chiuso",IF($W108="","Non al Carico",IF($G108-'INformazioni per calcoli'!$AB$5-'INformazioni per calcoli'!$AB$3+$J108&lt;0,"LFLS",IF($K108&lt;&gt;"","Safe Parking",IF($W108&lt;&gt;"",IF($E108="MXP",$G108-'INformazioni per calcoli'!$AB$6-'INformazioni per calcoli'!$AB$3+$J108,$G108-'INformazioni per calcoli'!$AB$5-'INformazioni per calcoli'!$AB$3+$J108),"Non al carico"))))))),"")</f>
        <v>Mezzo Chiuso</v>
      </c>
      <c r="I108" s="17" t="str">
        <f ca="1">IFERROR(IF($H108&lt;&gt;"",IF($H108="Safe Parking","",IF($W108&lt;&gt;"",IF(AND($U108="X",$V108="X"),$H108-(--"00:30"),""),IF($X108&lt;&gt;"","Mezzo Chiuso","Non al carico"))),""),"")</f>
        <v/>
      </c>
      <c r="J108" s="306">
        <f ca="1">IFERROR(IF($B108&lt;&gt;"",IF(AND('INformazioni per calcoli'!$AB$3&lt;(--"15:00"),'INformazioni per calcoli'!$AB$3&gt;(--"00:00")),0,IF($G108&lt;(--"18:30"),"+1",0)),""),"")</f>
        <v>0</v>
      </c>
      <c r="K108" s="17"/>
      <c r="L108" s="25" t="s">
        <v>826</v>
      </c>
      <c r="M108" s="25" t="str">
        <f>IFERROR(_xlfn.XLOOKUP($Q108,'Elenco Casse'!$D:$D,'Elenco Casse'!$E:$E),"")</f>
        <v/>
      </c>
      <c r="N108" s="25" t="str">
        <f>IFERROR(_xlfn.XLOOKUP($Q108,'Elenco Casse'!$D:$D,'Elenco Casse'!$F:$F),"")</f>
        <v/>
      </c>
      <c r="O108" s="286" t="s">
        <v>418</v>
      </c>
      <c r="P108" s="295" t="str">
        <f>IFERROR(_xlfn.XLOOKUP($Q108,'Elenco Casse'!$D:$D,'Elenco Casse'!$G:$G),"")</f>
        <v/>
      </c>
      <c r="Q108" s="355" t="s">
        <v>827</v>
      </c>
      <c r="R108" s="23" t="s">
        <v>420</v>
      </c>
      <c r="S108" s="25" t="s">
        <v>421</v>
      </c>
      <c r="T108" s="25" t="s">
        <v>432</v>
      </c>
      <c r="U108" s="23" t="str">
        <f>IF(ISNUMBER(SEARCH("Parcel",$T108)),"X","")</f>
        <v>X</v>
      </c>
      <c r="V108" s="23" t="str">
        <f>IF(ISNUMBER(SEARCH("Freight",$T108)),"X","")</f>
        <v/>
      </c>
      <c r="W108" s="26">
        <v>441</v>
      </c>
      <c r="X108" s="27">
        <v>0.77777777777777779</v>
      </c>
      <c r="Y108" s="25" t="s">
        <v>766</v>
      </c>
      <c r="Z108" s="25"/>
      <c r="AA108" s="25" t="s">
        <v>40</v>
      </c>
      <c r="AB108" s="57">
        <v>1</v>
      </c>
      <c r="AC108" s="25"/>
      <c r="AD108" s="25"/>
      <c r="AE108" s="57"/>
      <c r="AF108" s="57"/>
      <c r="AG108" s="25"/>
      <c r="AH108" s="57"/>
      <c r="AI108" s="339">
        <v>17</v>
      </c>
      <c r="AJ108" s="339"/>
      <c r="AK108" s="297" t="str">
        <f>IF(X108&lt;&gt;"",CONCATENATE(IF(AA108&lt;&gt;"",CONCATENATE(Z108," ",AA108," ",BI108),""),IF(AD108&lt;&gt;"",CONCATENATE(","," ",AC108," ",AD108," ",BJ108),""),IF(AG108&lt;&gt;"",CONCATENATE(","," ",AF108," ",AG108," ",BK108),""),IF(AJ108&lt;&gt;"",CONCATENATE(","," ","DD"," ",BL108),"")," ",IF(AI108&lt;&gt;"",CONCATENATE(" - ",AI108," Bag"),"")),"")</f>
        <v xml:space="preserve"> LL 14  - 17 Bag</v>
      </c>
      <c r="AL108" s="287" t="s">
        <v>421</v>
      </c>
      <c r="AM108" s="287"/>
      <c r="AN108" s="287"/>
      <c r="AO108" s="287"/>
      <c r="AP108" s="370" t="str">
        <f>IFERROR(VLOOKUP($E105,Outlist!$A$5:$V$120,20,FALSE),"")</f>
        <v/>
      </c>
      <c r="AQ108" s="288" t="s">
        <v>828</v>
      </c>
      <c r="AS108" s="24"/>
      <c r="AT108" s="24">
        <v>0.48680555555555555</v>
      </c>
      <c r="AU108" s="27">
        <v>0.78125</v>
      </c>
      <c r="AV108" s="27"/>
      <c r="AW108" s="20" t="s">
        <v>443</v>
      </c>
      <c r="AX108" s="20" t="str">
        <f>IFERROR(IF(Out_Table[[#This Row],[Cancellazione linea]]="Cancellata","yes",""),"")</f>
        <v/>
      </c>
      <c r="AY108" s="72" t="str">
        <f>IF(BA108="",BZ108,IF(AND(BA108&lt;(--"23:59:59"),BA108&gt;(--"15:00:00"),G108&lt;(--"14:00:00"),G108&gt;(--"00:00:01")),"",IF(BA108&gt;G108,BZ108,"")))</f>
        <v/>
      </c>
      <c r="AZ108" s="27">
        <v>0.78611111111111109</v>
      </c>
      <c r="BA108" s="32">
        <v>0.79374999999999996</v>
      </c>
      <c r="BB108" s="72"/>
      <c r="BC108" s="72" t="str">
        <f>IFERROR(VLOOKUP(Out_Table[[#This Row],[Aggiornamento STATUS]],'INformazioni per calcoli'!$Y$70:$AA$76,2,FALSE),"")</f>
        <v/>
      </c>
      <c r="BD108" s="289"/>
      <c r="BE108" s="289"/>
      <c r="BF108" s="47" t="str">
        <f>LEFT($E108,3)</f>
        <v>RMZ</v>
      </c>
      <c r="BG108" s="298" t="str">
        <f>IF(Out_Table[[#This Row],[Ora Uscita    (GH)]]&lt;&gt;"","x","")</f>
        <v>x</v>
      </c>
      <c r="BH108" s="299">
        <f>VLOOKUP($O108,'INformazioni per calcoli'!$Y$20:$AA$23,3,FALSE)</f>
        <v>14</v>
      </c>
      <c r="BI108" s="299">
        <f>MROUND(Out_Table[[#This Row],[Mtr. Trailer]]*AB108,0.5)</f>
        <v>14</v>
      </c>
      <c r="BJ108" s="299">
        <f>MROUND(Out_Table[[#This Row],[Mtr. Trailer]]*AE108,0.5)</f>
        <v>0</v>
      </c>
      <c r="BK108" s="299">
        <f>MROUND(Out_Table[[#This Row],[Mtr. Trailer]]*AH108,0.5)</f>
        <v>0</v>
      </c>
      <c r="BL108" s="300">
        <f>Out_Table[[#This Row],[Double Deck trailer N° bumpers]]</f>
        <v>0</v>
      </c>
      <c r="BM108" s="301"/>
      <c r="BN108" s="299" t="str">
        <f>B108</f>
        <v>ITD12073</v>
      </c>
      <c r="BO108" s="299" t="str">
        <f>E108</f>
        <v>RMZ</v>
      </c>
      <c r="BP108" s="302">
        <f>IF(AND(G108&gt;(--"00:00:01"),G108&lt;(--"15:00:00")),IF(AND(X108&gt;(--"00:00:01"),X108&lt;(--"15:00:00")),G108-X108,G108+1-X108),G108-X108)</f>
        <v>9.722222222222221E-2</v>
      </c>
      <c r="BQ108" s="303">
        <f>AE108+AF108+AH108+AJ108</f>
        <v>0</v>
      </c>
      <c r="BR108" s="304" t="str">
        <f>IF(OR(BP108&lt;=(--"00:20:00"),BQ108&gt;=100%),"OK","Not OK")</f>
        <v>Not OK</v>
      </c>
      <c r="BS108" s="302">
        <f>IF(AND(G108&gt;(--"00:00:01"),G108&lt;(--"15:00:00")),IF(AND(AU108&gt;(--"00:00:01"),AU108&lt;(--"15:00:00")),G108-AU108,G108+1-AU108),G108-AU108)</f>
        <v>9.375E-2</v>
      </c>
      <c r="BT108" s="302">
        <f>IF(AND(AZ108&gt;(--"00:00:01"),AZ108&lt;(--"15:00:00")),IF(AND(AU108&gt;(--"00:00:01"),AU108&lt;(--"15:00:00")),AZ108-AU108,AZ108+1-AU108),AZ108-AU108)</f>
        <v>4.8611111111110938E-3</v>
      </c>
      <c r="BU108" s="302">
        <f>IF(AND(BA108&gt;(--"00:00:01"),BA108&lt;(--"15:00:00")),IF(AND(AZ108&gt;(--"00:00:01"),AZ108&lt;(--"15:00:00")),BA108-AZ108,BA108+1-AZ108),BA108-AZ108)</f>
        <v>7.6388888888888618E-3</v>
      </c>
      <c r="BV108" s="299">
        <f>AV108</f>
        <v>0</v>
      </c>
      <c r="BW108" s="301"/>
      <c r="BX108" s="299" t="str">
        <f>IF(AV108="T Status",IF(AV108&lt;&gt;T108,"X",""),"")</f>
        <v/>
      </c>
      <c r="BY108" s="301"/>
      <c r="BZ108" s="299" t="str">
        <f>IF(X108&lt;&gt;"",IF(CC108="X","Driver Delay",IF(CA108="X","Paperwork Delay",IF(CB108="X","Late freight late sort",IF(CD108="X","Chiamare Control Room",IF(CE108="X","Chiamare Control Room",IF(CF108="X","Chiamare Control Room","")))))),"")</f>
        <v>Chiamare Control Room</v>
      </c>
      <c r="CA108" s="302" t="str">
        <f>IF(K108="",IF(IF(AND(G108&gt;(--"00:00:01"),G108&lt;(--"15:00:00")),IF(AND(AT108&gt;(--"08:00:00"),AT108&lt;(--"23:59:59")),G108+1-AT108,G108-AT108),G108-AT108)&gt;(--"00:20:00"),"","X"),"")</f>
        <v/>
      </c>
      <c r="CB108" s="299" t="str">
        <f>IF(K108="",IF(BP108&gt;=(--"00:20:00"),"","X"),"")</f>
        <v/>
      </c>
      <c r="CC108" s="299" t="str">
        <f>IF(OR(AV108="Autista non presente",AV108="Dati driver non presenti"),"X","")</f>
        <v/>
      </c>
      <c r="CD108" s="299" t="str">
        <f>IF(K108="",IF(AND(CC108="",BS108&lt;(--"00:20:00")),"X",""),"")</f>
        <v/>
      </c>
      <c r="CE108" s="299" t="str">
        <f>IF(K108="",IF(BT108&gt;(--"00:15:00"),"X",""),IF(AZ108&lt;&gt;"",IF(G108-AZ108&gt;(--"00:30:00"),"X",""),""))</f>
        <v/>
      </c>
      <c r="CF108" s="299" t="str">
        <f>IF(AND(CA108="",CB108="",CC108="",CD108="",CE108=""),"X","")</f>
        <v>X</v>
      </c>
      <c r="CG108" s="301"/>
      <c r="CH108" s="299" t="str">
        <f>IF(BT108&gt;(--"00:15:00"),"X","")</f>
        <v/>
      </c>
      <c r="CI108" s="302" t="str">
        <f>AY108</f>
        <v/>
      </c>
      <c r="CJ108" s="299" t="str">
        <f>IF(AND(CH108&lt;&gt;"",CI108&lt;&gt;"",LEFT(B108,3)="ITD"),AP108,"")</f>
        <v/>
      </c>
      <c r="CK108" s="305" t="str">
        <f>IF(CJ108&lt;&gt;"",BT108,"")</f>
        <v/>
      </c>
      <c r="CL108" s="301"/>
      <c r="CM108" s="305" t="str">
        <f>IFERROR(VLOOKUP(Q108,'Elenco Casse'!$D$4:$F$292,3,FALSE),"")</f>
        <v/>
      </c>
      <c r="CN108" s="301"/>
      <c r="CO108" s="305" t="str">
        <f>IFERROR(VLOOKUP(S108,'Elenco Casse'!$D$4:$F$292,3,FALSE),"")</f>
        <v/>
      </c>
      <c r="CP108" s="305" t="str">
        <f>IFERROR(IF(VLOOKUP($E108,Outlist!$A$5:$S$120,19,FALSE)&lt;&gt;0,"Y",""),"")</f>
        <v/>
      </c>
      <c r="CQ108" s="301"/>
      <c r="CR108" s="305" t="str">
        <f>CONCATENATE($B108,$E108,$G108)</f>
        <v>ITD12073RMZ0.875</v>
      </c>
      <c r="CS108" s="301"/>
      <c r="CT108" s="305" t="e">
        <f>VLOOKUP(Out_Table[[#This Row],[Destination             ORANGE (From Planning)]],Outlist!$A$5:$W$120,22,FALSE)</f>
        <v>#N/A</v>
      </c>
    </row>
    <row r="109" spans="1:98" s="20" customFormat="1" ht="30.75">
      <c r="A109" s="305" t="str">
        <f>$CR109</f>
        <v>ITD12241PD20.864583333333333</v>
      </c>
      <c r="B109" s="284" t="s">
        <v>829</v>
      </c>
      <c r="C109" s="290" t="str">
        <f>IFERROR(IF(LEFT(B109,3)='STAT 77'!$X$2,_xlfn.XLOOKUP(B109,'STAT 77'!C:C,'STAT 77'!B:B),_xlfn.XLOOKUP(B109,'STAT 77'!B:B,'STAT 77'!C:C)),"NON TROVATO")</f>
        <v>ITD31173</v>
      </c>
      <c r="D109" s="25" t="s">
        <v>830</v>
      </c>
      <c r="E109" s="290" t="s">
        <v>831</v>
      </c>
      <c r="F109" s="290" t="str">
        <f>IFERROR(VLOOKUP(E109,'Cambio O2P'!C:E,2,FALSE),"")</f>
        <v>ZMFH</v>
      </c>
      <c r="G109" s="285">
        <v>0.86458333333333337</v>
      </c>
      <c r="H109" s="293" t="str">
        <f ca="1">IFERROR(IF(AND('INformazioni per calcoli'!$AB$3&lt;(--"14:30"),'INformazioni per calcoli'!$AB$3&gt;(--"10:00")),"",IF($B109="","",IF($X109&lt;&gt;"","Mezzo Chiuso",IF($W109="","Non al Carico",IF($G109-'INformazioni per calcoli'!$AB$5-'INformazioni per calcoli'!$AB$3+$J109&lt;0,"LFLS",IF($K109&lt;&gt;"","Safe Parking",IF($W109&lt;&gt;"",IF($E109="MXP",$G109-'INformazioni per calcoli'!$AB$6-'INformazioni per calcoli'!$AB$3+$J109,$G109-'INformazioni per calcoli'!$AB$5-'INformazioni per calcoli'!$AB$3+$J109),"Non al carico"))))))),"")</f>
        <v>Mezzo Chiuso</v>
      </c>
      <c r="I109" s="17" t="str">
        <f ca="1">IFERROR(IF($H109&lt;&gt;"",IF($H109="Safe Parking","",IF($W109&lt;&gt;"",IF(AND($U109="X",$V109="X"),$H109-(--"00:30"),""),IF($X109&lt;&gt;"","Mezzo Chiuso","Non al carico"))),""),"")</f>
        <v/>
      </c>
      <c r="J109" s="306">
        <f ca="1">IFERROR(IF($B109&lt;&gt;"",IF(AND('INformazioni per calcoli'!$AB$3&lt;(--"15:00"),'INformazioni per calcoli'!$AB$3&gt;(--"00:00")),0,IF($G109&lt;(--"18:30"),"+1",0)),""),"")</f>
        <v>0</v>
      </c>
      <c r="K109" s="27"/>
      <c r="L109" s="25" t="s">
        <v>451</v>
      </c>
      <c r="M109" s="25" t="str">
        <f>IFERROR(_xlfn.XLOOKUP($Q109,'Elenco Casse'!$D:$D,'Elenco Casse'!$E:$E),"")</f>
        <v>F.M. Trasporti S.R.L.</v>
      </c>
      <c r="N109" s="25">
        <f>IFERROR(_xlfn.XLOOKUP($Q109,'Elenco Casse'!$D:$D,'Elenco Casse'!$F:$F),"")</f>
        <v>0</v>
      </c>
      <c r="O109" s="286" t="s">
        <v>418</v>
      </c>
      <c r="P109" s="295" t="str">
        <f>IFERROR(_xlfn.XLOOKUP($Q109,'Elenco Casse'!$D:$D,'Elenco Casse'!$G:$G),"")</f>
        <v>trailer 80 m3 2/3 axes</v>
      </c>
      <c r="Q109" s="355" t="s">
        <v>832</v>
      </c>
      <c r="R109" s="23" t="s">
        <v>420</v>
      </c>
      <c r="S109" s="25" t="s">
        <v>421</v>
      </c>
      <c r="T109" s="25" t="s">
        <v>460</v>
      </c>
      <c r="U109" s="23" t="str">
        <f>IF(ISNUMBER(SEARCH("Parcel",$T109)),"X","")</f>
        <v>X</v>
      </c>
      <c r="V109" s="23" t="str">
        <f>IF(ISNUMBER(SEARCH("Freight",$T109)),"X","")</f>
        <v/>
      </c>
      <c r="W109" s="26">
        <v>442</v>
      </c>
      <c r="X109" s="27">
        <v>0.80208333333333337</v>
      </c>
      <c r="Y109" s="25" t="s">
        <v>833</v>
      </c>
      <c r="Z109" s="25"/>
      <c r="AA109" s="25" t="s">
        <v>40</v>
      </c>
      <c r="AB109" s="57">
        <v>1</v>
      </c>
      <c r="AC109" s="25"/>
      <c r="AD109" s="25"/>
      <c r="AE109" s="57"/>
      <c r="AF109" s="57"/>
      <c r="AG109" s="25"/>
      <c r="AH109" s="57"/>
      <c r="AI109" s="339">
        <v>29</v>
      </c>
      <c r="AJ109" s="339"/>
      <c r="AK109" s="297" t="str">
        <f>IF(X109&lt;&gt;"",CONCATENATE(IF(AA109&lt;&gt;"",CONCATENATE(Z109," ",AA109," ",BI109),""),IF(AD109&lt;&gt;"",CONCATENATE(","," ",AC109," ",AD109," ",BJ109),""),IF(AG109&lt;&gt;"",CONCATENATE(","," ",AF109," ",AG109," ",BK109),""),IF(AJ109&lt;&gt;"",CONCATENATE(","," ","DD"," ",BL109),"")," ",IF(AI109&lt;&gt;"",CONCATENATE(" - ",AI109," Bag"),"")),"")</f>
        <v xml:space="preserve"> LL 14  - 29 Bag</v>
      </c>
      <c r="AL109" s="287" t="s">
        <v>421</v>
      </c>
      <c r="AM109" s="287"/>
      <c r="AN109" s="287"/>
      <c r="AO109" s="287"/>
      <c r="AP109" s="370" t="str">
        <f>IFERROR(VLOOKUP($E106,Outlist!$A$5:$V$120,20,FALSE),"")</f>
        <v/>
      </c>
      <c r="AQ109" s="288" t="s">
        <v>834</v>
      </c>
      <c r="AS109" s="24"/>
      <c r="AT109" s="24">
        <v>0.45069444444444445</v>
      </c>
      <c r="AU109" s="27">
        <v>0.83958333333333335</v>
      </c>
      <c r="AV109" s="27"/>
      <c r="AW109" s="20" t="s">
        <v>443</v>
      </c>
      <c r="AX109" s="20" t="str">
        <f>IFERROR(IF(Out_Table[[#This Row],[Cancellazione linea]]="Cancellata","yes",""),"")</f>
        <v/>
      </c>
      <c r="AY109" s="72" t="str">
        <f>IF(BA109="",BZ109,IF(AND(BA109&lt;(--"23:59:59"),BA109&gt;(--"15:00:00"),G109&lt;(--"14:00:00"),G109&gt;(--"00:00:01")),"",IF(BA109&gt;G109,BZ109,"")))</f>
        <v>Chiamare Control Room</v>
      </c>
      <c r="AZ109" s="27">
        <v>0.8666666666666667</v>
      </c>
      <c r="BA109" s="32">
        <v>0.87361111111111112</v>
      </c>
      <c r="BB109" s="72"/>
      <c r="BC109" s="72" t="str">
        <f>IFERROR(VLOOKUP(Out_Table[[#This Row],[Aggiornamento STATUS]],'INformazioni per calcoli'!$Y$70:$AA$76,2,FALSE),"")</f>
        <v/>
      </c>
      <c r="BD109" s="289"/>
      <c r="BE109" s="289"/>
      <c r="BF109" s="47" t="str">
        <f>LEFT($E109,3)</f>
        <v>PD2</v>
      </c>
      <c r="BG109" s="298" t="str">
        <f>IF(Out_Table[[#This Row],[Ora Uscita    (GH)]]&lt;&gt;"","x","")</f>
        <v>x</v>
      </c>
      <c r="BH109" s="299">
        <f>VLOOKUP($O109,'INformazioni per calcoli'!$Y$20:$AA$23,3,FALSE)</f>
        <v>14</v>
      </c>
      <c r="BI109" s="299">
        <f>MROUND(Out_Table[[#This Row],[Mtr. Trailer]]*AB109,0.5)</f>
        <v>14</v>
      </c>
      <c r="BJ109" s="299">
        <f>MROUND(Out_Table[[#This Row],[Mtr. Trailer]]*AE109,0.5)</f>
        <v>0</v>
      </c>
      <c r="BK109" s="299">
        <f>MROUND(Out_Table[[#This Row],[Mtr. Trailer]]*AH109,0.5)</f>
        <v>0</v>
      </c>
      <c r="BL109" s="300">
        <f>Out_Table[[#This Row],[Double Deck trailer N° bumpers]]</f>
        <v>0</v>
      </c>
      <c r="BM109" s="301"/>
      <c r="BN109" s="299" t="str">
        <f>B109</f>
        <v>ITD12241</v>
      </c>
      <c r="BO109" s="299" t="str">
        <f>E109</f>
        <v>PD2</v>
      </c>
      <c r="BP109" s="302">
        <f>IF(AND(G109&gt;(--"00:00:01"),G109&lt;(--"15:00:00")),IF(AND(X109&gt;(--"00:00:01"),X109&lt;(--"15:00:00")),G109-X109,G109+1-X109),G109-X109)</f>
        <v>6.25E-2</v>
      </c>
      <c r="BQ109" s="303">
        <f>AE109+AF109+AH109+AJ109</f>
        <v>0</v>
      </c>
      <c r="BR109" s="304" t="str">
        <f>IF(OR(BP109&lt;=(--"00:20:00"),BQ109&gt;=100%),"OK","Not OK")</f>
        <v>Not OK</v>
      </c>
      <c r="BS109" s="302">
        <f>IF(AND(G109&gt;(--"00:00:01"),G109&lt;(--"15:00:00")),IF(AND(AU109&gt;(--"00:00:01"),AU109&lt;(--"15:00:00")),G109-AU109,G109+1-AU109),G109-AU109)</f>
        <v>2.5000000000000022E-2</v>
      </c>
      <c r="BT109" s="302">
        <f>IF(AND(AZ109&gt;(--"00:00:01"),AZ109&lt;(--"15:00:00")),IF(AND(AU109&gt;(--"00:00:01"),AU109&lt;(--"15:00:00")),AZ109-AU109,AZ109+1-AU109),AZ109-AU109)</f>
        <v>2.7083333333333348E-2</v>
      </c>
      <c r="BU109" s="302">
        <f>IF(AND(BA109&gt;(--"00:00:01"),BA109&lt;(--"15:00:00")),IF(AND(AZ109&gt;(--"00:00:01"),AZ109&lt;(--"15:00:00")),BA109-AZ109,BA109+1-AZ109),BA109-AZ109)</f>
        <v>6.9444444444444198E-3</v>
      </c>
      <c r="BV109" s="299">
        <f>AV109</f>
        <v>0</v>
      </c>
      <c r="BW109" s="301"/>
      <c r="BX109" s="299" t="str">
        <f>IF(AV109="T Status",IF(AV109&lt;&gt;T109,"X",""),"")</f>
        <v/>
      </c>
      <c r="BY109" s="301"/>
      <c r="BZ109" s="299" t="str">
        <f>IF(X109&lt;&gt;"",IF(CC109="X","Driver Delay",IF(CA109="X","Paperwork Delay",IF(CB109="X","Late freight late sort",IF(CD109="X","Chiamare Control Room",IF(CE109="X","Chiamare Control Room",IF(CF109="X","Chiamare Control Room","")))))),"")</f>
        <v>Chiamare Control Room</v>
      </c>
      <c r="CA109" s="302" t="str">
        <f>IF(K109="",IF(IF(AND(G109&gt;(--"00:00:01"),G109&lt;(--"15:00:00")),IF(AND(AT109&gt;(--"08:00:00"),AT109&lt;(--"23:59:59")),G109+1-AT109,G109-AT109),G109-AT109)&gt;(--"00:20:00"),"","X"),"")</f>
        <v/>
      </c>
      <c r="CB109" s="299" t="str">
        <f>IF(K109="",IF(BP109&gt;=(--"00:20:00"),"","X"),"")</f>
        <v/>
      </c>
      <c r="CC109" s="299" t="str">
        <f>IF(OR(AV109="Autista non presente",AV109="Dati driver non presenti"),"X","")</f>
        <v/>
      </c>
      <c r="CD109" s="299" t="str">
        <f>IF(K109="",IF(AND(CC109="",BS109&lt;(--"00:20:00")),"X",""),"")</f>
        <v/>
      </c>
      <c r="CE109" s="299" t="str">
        <f>IF(K109="",IF(BT109&gt;(--"00:15:00"),"X",""),IF(AZ109&lt;&gt;"",IF(G109-AZ109&gt;(--"00:30:00"),"X",""),""))</f>
        <v>X</v>
      </c>
      <c r="CF109" s="299" t="str">
        <f>IF(AND(CA109="",CB109="",CC109="",CD109="",CE109=""),"X","")</f>
        <v/>
      </c>
      <c r="CG109" s="301"/>
      <c r="CH109" s="299" t="str">
        <f>IF(BT109&gt;(--"00:15:00"),"X","")</f>
        <v>X</v>
      </c>
      <c r="CI109" s="302" t="str">
        <f>AY109</f>
        <v>Chiamare Control Room</v>
      </c>
      <c r="CJ109" s="299" t="str">
        <f>IF(AND(CH109&lt;&gt;"",CI109&lt;&gt;"",LEFT(B109,3)="ITD"),AP109,"")</f>
        <v/>
      </c>
      <c r="CK109" s="305" t="str">
        <f>IF(CJ109&lt;&gt;"",BT109,"")</f>
        <v/>
      </c>
      <c r="CL109" s="301"/>
      <c r="CM109" s="305" t="str">
        <f>IFERROR(VLOOKUP(Q109,'Elenco Casse'!$D$4:$F$292,3,FALSE),"")</f>
        <v/>
      </c>
      <c r="CN109" s="301"/>
      <c r="CO109" s="305" t="str">
        <f>IFERROR(VLOOKUP(S109,'Elenco Casse'!$D$4:$F$292,3,FALSE),"")</f>
        <v/>
      </c>
      <c r="CP109" s="305" t="str">
        <f>IFERROR(IF(VLOOKUP($E109,Outlist!$A$5:$S$120,19,FALSE)&lt;&gt;0,"Y",""),"")</f>
        <v/>
      </c>
      <c r="CQ109" s="301"/>
      <c r="CR109" s="305" t="str">
        <f>CONCATENATE($B109,$E109,$G109)</f>
        <v>ITD12241PD20.864583333333333</v>
      </c>
      <c r="CS109" s="301"/>
      <c r="CT109" s="305" t="e">
        <f>VLOOKUP(Out_Table[[#This Row],[Destination             ORANGE (From Planning)]],Outlist!$A$5:$W$120,22,FALSE)</f>
        <v>#N/A</v>
      </c>
    </row>
    <row r="110" spans="1:98" s="20" customFormat="1" ht="30.75">
      <c r="A110" s="305" t="str">
        <f>$CR110</f>
        <v>ITD12247PD20.00694444444444444</v>
      </c>
      <c r="B110" s="284" t="s">
        <v>835</v>
      </c>
      <c r="C110" s="290" t="str">
        <f>IFERROR(IF(LEFT(B110,3)='STAT 77'!$X$2,_xlfn.XLOOKUP(B110,'STAT 77'!C:C,'STAT 77'!B:B),_xlfn.XLOOKUP(B110,'STAT 77'!B:B,'STAT 77'!C:C)),"NON TROVATO")</f>
        <v>ITD31191</v>
      </c>
      <c r="D110" s="25" t="s">
        <v>830</v>
      </c>
      <c r="E110" s="290" t="s">
        <v>831</v>
      </c>
      <c r="F110" s="290" t="str">
        <f>IFERROR(VLOOKUP(E110,'Cambio O2P'!C:E,2,FALSE),"")</f>
        <v>ZMFH</v>
      </c>
      <c r="G110" s="285">
        <v>6.9444444444444441E-3</v>
      </c>
      <c r="H110" s="293" t="str">
        <f ca="1">IFERROR(IF(AND('INformazioni per calcoli'!$AB$3&lt;(--"14:30"),'INformazioni per calcoli'!$AB$3&gt;(--"10:00")),"",IF($B110="","",IF($X110&lt;&gt;"","Mezzo Chiuso",IF($W110="","Non al Carico",IF($G110-'INformazioni per calcoli'!$AB$5-'INformazioni per calcoli'!$AB$3+$J110&lt;0,"LFLS",IF($K110&lt;&gt;"","Safe Parking",IF($W110&lt;&gt;"",IF($E110="MXP",$G110-'INformazioni per calcoli'!$AB$6-'INformazioni per calcoli'!$AB$3+$J110,$G110-'INformazioni per calcoli'!$AB$5-'INformazioni per calcoli'!$AB$3+$J110),"Non al carico"))))))),"")</f>
        <v>Mezzo Chiuso</v>
      </c>
      <c r="I110" s="17" t="str">
        <f ca="1">IFERROR(IF($H110&lt;&gt;"",IF($H110="Safe Parking","",IF($W110&lt;&gt;"",IF(AND($U110="X",$V110="X"),$H110-(--"00:30"),""),IF($X110&lt;&gt;"","Mezzo Chiuso","Non al carico"))),""),"")</f>
        <v/>
      </c>
      <c r="J110" s="306">
        <f ca="1">IFERROR(IF($B110&lt;&gt;"",IF(AND('INformazioni per calcoli'!$AB$3&lt;(--"15:00"),'INformazioni per calcoli'!$AB$3&gt;(--"00:00")),0,IF($G110&lt;(--"18:30"),"+1",0)),""),"")</f>
        <v>0</v>
      </c>
      <c r="K110" s="27"/>
      <c r="L110" s="25" t="s">
        <v>451</v>
      </c>
      <c r="M110" s="25" t="str">
        <f>IFERROR(_xlfn.XLOOKUP($Q110,'Elenco Casse'!$D:$D,'Elenco Casse'!$E:$E),"")</f>
        <v>F.M. Trasporti S.R.L.</v>
      </c>
      <c r="N110" s="25">
        <f>IFERROR(_xlfn.XLOOKUP($Q110,'Elenco Casse'!$D:$D,'Elenco Casse'!$F:$F),"")</f>
        <v>0</v>
      </c>
      <c r="O110" s="286" t="s">
        <v>418</v>
      </c>
      <c r="P110" s="295" t="str">
        <f>IFERROR(_xlfn.XLOOKUP($Q110,'Elenco Casse'!$D:$D,'Elenco Casse'!$G:$G),"")</f>
        <v>trailer 80 m3 2/3 axes</v>
      </c>
      <c r="Q110" s="355" t="s">
        <v>836</v>
      </c>
      <c r="R110" s="23" t="s">
        <v>420</v>
      </c>
      <c r="S110" s="25" t="s">
        <v>421</v>
      </c>
      <c r="T110" s="25" t="s">
        <v>460</v>
      </c>
      <c r="U110" s="23" t="str">
        <f>IF(ISNUMBER(SEARCH("Parcel",$T110)),"X","")</f>
        <v>X</v>
      </c>
      <c r="V110" s="23"/>
      <c r="W110" s="26">
        <v>444</v>
      </c>
      <c r="X110" s="27">
        <v>0.9819444444444444</v>
      </c>
      <c r="Y110" s="25" t="s">
        <v>624</v>
      </c>
      <c r="Z110" s="25"/>
      <c r="AA110" s="25" t="s">
        <v>40</v>
      </c>
      <c r="AB110" s="57">
        <v>1</v>
      </c>
      <c r="AC110" s="25"/>
      <c r="AD110" s="25"/>
      <c r="AE110" s="57"/>
      <c r="AF110" s="57"/>
      <c r="AG110" s="25"/>
      <c r="AH110" s="57"/>
      <c r="AI110" s="339">
        <v>23</v>
      </c>
      <c r="AJ110" s="339"/>
      <c r="AK110" s="297" t="str">
        <f>IF(X110&lt;&gt;"",CONCATENATE(IF(AA110&lt;&gt;"",CONCATENATE(Z110," ",AA110," ",BI110),""),IF(AD110&lt;&gt;"",CONCATENATE(","," ",AC110," ",AD110," ",BJ110),""),IF(AG110&lt;&gt;"",CONCATENATE(","," ",AF110," ",AG110," ",BK110),""),IF(AJ110&lt;&gt;"",CONCATENATE(","," ","DD"," ",BL110),"")," ",IF(AI110&lt;&gt;"",CONCATENATE(" - ",AI110," Bag"),"")),"")</f>
        <v xml:space="preserve"> LL 14  - 23 Bag</v>
      </c>
      <c r="AL110" s="287" t="s">
        <v>421</v>
      </c>
      <c r="AM110" s="287"/>
      <c r="AN110" s="287"/>
      <c r="AO110" s="287"/>
      <c r="AP110" s="370" t="str">
        <f>IFERROR(VLOOKUP($E107,Outlist!$A$5:$V$120,20,FALSE),"")</f>
        <v/>
      </c>
      <c r="AQ110" s="288" t="s">
        <v>837</v>
      </c>
      <c r="AS110" s="24"/>
      <c r="AT110" s="24">
        <v>0.93541666666666667</v>
      </c>
      <c r="AU110" s="27">
        <v>0.98333333333333328</v>
      </c>
      <c r="AV110" s="27"/>
      <c r="AW110" s="20" t="s">
        <v>443</v>
      </c>
      <c r="AX110" s="20" t="str">
        <f>IFERROR(IF(Out_Table[[#This Row],[Cancellazione linea]]="Cancellata","yes",""),"")</f>
        <v/>
      </c>
      <c r="AY110" s="72" t="str">
        <f>IF(BA110="",BZ110,IF(AND(BA110&lt;(--"23:59:59"),BA110&gt;(--"15:00:00"),G110&lt;(--"14:00:00"),G110&gt;(--"00:00:01")),"",IF(BA110&gt;G110,BZ110,"")))</f>
        <v/>
      </c>
      <c r="AZ110" s="27">
        <v>0.98750000000000004</v>
      </c>
      <c r="BA110" s="32">
        <v>0.99513888888888891</v>
      </c>
      <c r="BB110" s="72"/>
      <c r="BC110" s="72" t="str">
        <f>IFERROR(VLOOKUP(Out_Table[[#This Row],[Aggiornamento STATUS]],'INformazioni per calcoli'!$Y$70:$AA$76,2,FALSE),"")</f>
        <v/>
      </c>
      <c r="BD110" s="289"/>
      <c r="BE110" s="289"/>
      <c r="BF110" s="47" t="str">
        <f>LEFT($E110,3)</f>
        <v>PD2</v>
      </c>
      <c r="BG110" s="298" t="str">
        <f>IF(Out_Table[[#This Row],[Ora Uscita    (GH)]]&lt;&gt;"","x","")</f>
        <v>x</v>
      </c>
      <c r="BH110" s="299">
        <f>VLOOKUP($O110,'INformazioni per calcoli'!$Y$20:$AA$23,3,FALSE)</f>
        <v>14</v>
      </c>
      <c r="BI110" s="299">
        <f>MROUND(Out_Table[[#This Row],[Mtr. Trailer]]*AB110,0.5)</f>
        <v>14</v>
      </c>
      <c r="BJ110" s="299">
        <f>MROUND(Out_Table[[#This Row],[Mtr. Trailer]]*AE110,0.5)</f>
        <v>0</v>
      </c>
      <c r="BK110" s="299">
        <f>MROUND(Out_Table[[#This Row],[Mtr. Trailer]]*AH110,0.5)</f>
        <v>0</v>
      </c>
      <c r="BL110" s="300">
        <f>Out_Table[[#This Row],[Double Deck trailer N° bumpers]]</f>
        <v>0</v>
      </c>
      <c r="BM110" s="301"/>
      <c r="BN110" s="299" t="str">
        <f>B110</f>
        <v>ITD12247</v>
      </c>
      <c r="BO110" s="299" t="str">
        <f>E110</f>
        <v>PD2</v>
      </c>
      <c r="BP110" s="302">
        <f>IF(AND(G110&gt;(--"00:00:01"),G110&lt;(--"15:00:00")),IF(AND(X110&gt;(--"00:00:01"),X110&lt;(--"15:00:00")),G110-X110,G110+1-X110),G110-X110)</f>
        <v>2.5000000000000022E-2</v>
      </c>
      <c r="BQ110" s="303">
        <f>AE110+AF110+AH110+AJ110</f>
        <v>0</v>
      </c>
      <c r="BR110" s="304" t="str">
        <f>IF(OR(BP110&lt;=(--"00:20:00"),BQ110&gt;=100%),"OK","Not OK")</f>
        <v>Not OK</v>
      </c>
      <c r="BS110" s="302">
        <f>IF(AND(G110&gt;(--"00:00:01"),G110&lt;(--"15:00:00")),IF(AND(AU110&gt;(--"00:00:01"),AU110&lt;(--"15:00:00")),G110-AU110,G110+1-AU110),G110-AU110)</f>
        <v>2.3611111111111138E-2</v>
      </c>
      <c r="BT110" s="302">
        <f>IF(AND(AZ110&gt;(--"00:00:01"),AZ110&lt;(--"15:00:00")),IF(AND(AU110&gt;(--"00:00:01"),AU110&lt;(--"15:00:00")),AZ110-AU110,AZ110+1-AU110),AZ110-AU110)</f>
        <v>4.1666666666667629E-3</v>
      </c>
      <c r="BU110" s="302">
        <f>IF(AND(BA110&gt;(--"00:00:01"),BA110&lt;(--"15:00:00")),IF(AND(AZ110&gt;(--"00:00:01"),AZ110&lt;(--"15:00:00")),BA110-AZ110,BA110+1-AZ110),BA110-AZ110)</f>
        <v>7.6388888888888618E-3</v>
      </c>
      <c r="BV110" s="299">
        <f>AV110</f>
        <v>0</v>
      </c>
      <c r="BW110" s="301"/>
      <c r="BX110" s="299" t="str">
        <f>IF(AV110="T Status",IF(AV110&lt;&gt;T110,"X",""),"")</f>
        <v/>
      </c>
      <c r="BY110" s="301"/>
      <c r="BZ110" s="299" t="str">
        <f>IF(X110&lt;&gt;"",IF(CC110="X","Driver Delay",IF(CA110="X","Paperwork Delay",IF(CB110="X","Late freight late sort",IF(CD110="X","Chiamare Control Room",IF(CE110="X","Chiamare Control Room",IF(CF110="X","Chiamare Control Room","")))))),"")</f>
        <v>Chiamare Control Room</v>
      </c>
      <c r="CA110" s="302" t="str">
        <f>IF(K110="",IF(IF(AND(G110&gt;(--"00:00:01"),G110&lt;(--"15:00:00")),IF(AND(AT110&gt;(--"08:00:00"),AT110&lt;(--"23:59:59")),G110+1-AT110,G110-AT110),G110-AT110)&gt;(--"00:20:00"),"","X"),"")</f>
        <v/>
      </c>
      <c r="CB110" s="299" t="str">
        <f>IF(K110="",IF(BP110&gt;=(--"00:20:00"),"","X"),"")</f>
        <v/>
      </c>
      <c r="CC110" s="299" t="str">
        <f>IF(OR(AV110="Autista non presente",AV110="Dati driver non presenti"),"X","")</f>
        <v/>
      </c>
      <c r="CD110" s="299" t="str">
        <f>IF(K110="",IF(AND(CC110="",BS110&lt;(--"00:20:00")),"X",""),"")</f>
        <v/>
      </c>
      <c r="CE110" s="299" t="str">
        <f>IF(K110="",IF(BT110&gt;(--"00:15:00"),"X",""),IF(AZ110&lt;&gt;"",IF(G110-AZ110&gt;(--"00:30:00"),"X",""),""))</f>
        <v/>
      </c>
      <c r="CF110" s="299" t="str">
        <f>IF(AND(CA110="",CB110="",CC110="",CD110="",CE110=""),"X","")</f>
        <v>X</v>
      </c>
      <c r="CG110" s="301"/>
      <c r="CH110" s="299" t="str">
        <f>IF(BT110&gt;(--"00:15:00"),"X","")</f>
        <v/>
      </c>
      <c r="CI110" s="302" t="str">
        <f>AY110</f>
        <v/>
      </c>
      <c r="CJ110" s="299" t="str">
        <f>IF(AND(CH110&lt;&gt;"",CI110&lt;&gt;"",LEFT(B110,3)="ITD"),AP110,"")</f>
        <v/>
      </c>
      <c r="CK110" s="305" t="str">
        <f>IF(CJ110&lt;&gt;"",BT110,"")</f>
        <v/>
      </c>
      <c r="CL110" s="301"/>
      <c r="CM110" s="305" t="str">
        <f>IFERROR(VLOOKUP(Q110,'Elenco Casse'!$D$4:$F$292,3,FALSE),"")</f>
        <v/>
      </c>
      <c r="CN110" s="301"/>
      <c r="CO110" s="305" t="str">
        <f>IFERROR(VLOOKUP(S110,'Elenco Casse'!$D$4:$F$292,3,FALSE),"")</f>
        <v/>
      </c>
      <c r="CP110" s="305" t="str">
        <f>IFERROR(IF(VLOOKUP($E110,Outlist!$A$5:$S$120,19,FALSE)&lt;&gt;0,"Y",""),"")</f>
        <v/>
      </c>
      <c r="CQ110" s="301"/>
      <c r="CR110" s="305" t="str">
        <f>CONCATENATE($B110,$E110,$G110)</f>
        <v>ITD12247PD20.00694444444444444</v>
      </c>
      <c r="CS110" s="301"/>
      <c r="CT110" s="305" t="e">
        <f>VLOOKUP(Out_Table[[#This Row],[Destination             ORANGE (From Planning)]],Outlist!$A$5:$W$120,22,FALSE)</f>
        <v>#N/A</v>
      </c>
    </row>
    <row r="111" spans="1:98" s="20" customFormat="1" ht="30.75">
      <c r="A111" s="305" t="str">
        <f>$CR111</f>
        <v>ITD12171PD20.90625</v>
      </c>
      <c r="B111" s="284" t="s">
        <v>838</v>
      </c>
      <c r="C111" s="290" t="str">
        <f>IFERROR(IF(LEFT(B111,3)='STAT 77'!$X$2,_xlfn.XLOOKUP(B111,'STAT 77'!C:C,'STAT 77'!B:B),_xlfn.XLOOKUP(B111,'STAT 77'!B:B,'STAT 77'!C:C)),"NON TROVATO")</f>
        <v>ITD32250</v>
      </c>
      <c r="D111" s="25" t="s">
        <v>839</v>
      </c>
      <c r="E111" s="290" t="s">
        <v>831</v>
      </c>
      <c r="F111" s="290" t="str">
        <f>IFERROR(VLOOKUP(E111,'Cambio O2P'!C:E,2,FALSE),"")</f>
        <v>ZMFH</v>
      </c>
      <c r="G111" s="285">
        <v>0.90625</v>
      </c>
      <c r="H111" s="293" t="str">
        <f ca="1">IFERROR(IF(AND('INformazioni per calcoli'!$AB$3&lt;(--"14:30"),'INformazioni per calcoli'!$AB$3&gt;(--"10:00")),"",IF($B111="","",IF($X111&lt;&gt;"","Mezzo Chiuso",IF($W111="","Non al Carico",IF($G111-'INformazioni per calcoli'!$AB$5-'INformazioni per calcoli'!$AB$3+$J111&lt;0,"LFLS",IF($K111&lt;&gt;"","Safe Parking",IF($W111&lt;&gt;"",IF($E111="MXP",$G111-'INformazioni per calcoli'!$AB$6-'INformazioni per calcoli'!$AB$3+$J111,$G111-'INformazioni per calcoli'!$AB$5-'INformazioni per calcoli'!$AB$3+$J111),"Non al carico"))))))),"")</f>
        <v>Mezzo Chiuso</v>
      </c>
      <c r="I111" s="17" t="str">
        <f ca="1">IFERROR(IF($H111&lt;&gt;"",IF($H111="Safe Parking","",IF($W111&lt;&gt;"",IF(AND($U111="X",$V111="X"),$H111-(--"00:30"),""),IF($X111&lt;&gt;"","Mezzo Chiuso","Non al carico"))),""),"")</f>
        <v/>
      </c>
      <c r="J111" s="306">
        <f ca="1">IFERROR(IF($B111&lt;&gt;"",IF(AND('INformazioni per calcoli'!$AB$3&lt;(--"15:00"),'INformazioni per calcoli'!$AB$3&gt;(--"00:00")),0,IF($G111&lt;(--"18:30"),"+1",0)),""),"")</f>
        <v>0</v>
      </c>
      <c r="K111" s="17"/>
      <c r="L111" s="25" t="s">
        <v>451</v>
      </c>
      <c r="M111" s="25" t="str">
        <f>IFERROR(_xlfn.XLOOKUP($Q111,'Elenco Casse'!$D:$D,'Elenco Casse'!$E:$E),"")</f>
        <v>F.M. Trasporti S.R.L.</v>
      </c>
      <c r="N111" s="25">
        <f>IFERROR(_xlfn.XLOOKUP($Q111,'Elenco Casse'!$D:$D,'Elenco Casse'!$F:$F),"")</f>
        <v>0</v>
      </c>
      <c r="O111" s="286" t="s">
        <v>418</v>
      </c>
      <c r="P111" s="295" t="str">
        <f>IFERROR(_xlfn.XLOOKUP($Q111,'Elenco Casse'!$D:$D,'Elenco Casse'!$G:$G),"")</f>
        <v>trailer 80 m3 2/3 axles</v>
      </c>
      <c r="Q111" s="355" t="s">
        <v>840</v>
      </c>
      <c r="R111" s="23" t="s">
        <v>420</v>
      </c>
      <c r="S111" s="25" t="s">
        <v>421</v>
      </c>
      <c r="T111" s="25" t="s">
        <v>460</v>
      </c>
      <c r="U111" s="23" t="str">
        <f>IF(ISNUMBER(SEARCH("Parcel",$T111)),"X","")</f>
        <v>X</v>
      </c>
      <c r="V111" s="23" t="str">
        <f>IF(ISNUMBER(SEARCH("Freight",$T111)),"X","")</f>
        <v/>
      </c>
      <c r="W111" s="26">
        <v>444</v>
      </c>
      <c r="X111" s="27">
        <v>0.87291666666666667</v>
      </c>
      <c r="Y111" s="25" t="s">
        <v>841</v>
      </c>
      <c r="Z111" s="25"/>
      <c r="AA111" s="25" t="s">
        <v>40</v>
      </c>
      <c r="AB111" s="57">
        <v>1</v>
      </c>
      <c r="AC111" s="25"/>
      <c r="AD111" s="25"/>
      <c r="AE111" s="57"/>
      <c r="AF111" s="57"/>
      <c r="AG111" s="25"/>
      <c r="AH111" s="57"/>
      <c r="AI111" s="339">
        <v>11</v>
      </c>
      <c r="AJ111" s="339"/>
      <c r="AK111" s="297" t="str">
        <f>IF(X111&lt;&gt;"",CONCATENATE(IF(AA111&lt;&gt;"",CONCATENATE(Z111," ",AA111," ",BI111),""),IF(AD111&lt;&gt;"",CONCATENATE(","," ",AC111," ",AD111," ",BJ111),""),IF(AG111&lt;&gt;"",CONCATENATE(","," ",AF111," ",AG111," ",BK111),""),IF(AJ111&lt;&gt;"",CONCATENATE(","," ","DD"," ",BL111),"")," ",IF(AI111&lt;&gt;"",CONCATENATE(" - ",AI111," Bag"),"")),"")</f>
        <v xml:space="preserve"> LL 14  - 11 Bag</v>
      </c>
      <c r="AL111" s="287" t="s">
        <v>421</v>
      </c>
      <c r="AM111" s="287"/>
      <c r="AN111" s="287"/>
      <c r="AO111" s="287"/>
      <c r="AP111" s="370" t="str">
        <f>IFERROR(VLOOKUP($E108,Outlist!$A$5:$V$120,20,FALSE),"")</f>
        <v/>
      </c>
      <c r="AQ111" s="288" t="s">
        <v>842</v>
      </c>
      <c r="AS111" s="24"/>
      <c r="AT111" s="24">
        <v>0.45069444444444445</v>
      </c>
      <c r="AU111" s="27">
        <v>0.87430555555555556</v>
      </c>
      <c r="AV111" s="27"/>
      <c r="AW111" s="20" t="s">
        <v>443</v>
      </c>
      <c r="AX111" s="20" t="str">
        <f>IFERROR(IF(Out_Table[[#This Row],[Cancellazione linea]]="Cancellata","yes",""),"")</f>
        <v/>
      </c>
      <c r="AY111" s="72" t="str">
        <f>IF(BA111="",BZ111,IF(AND(BA111&lt;(--"23:59:59"),BA111&gt;(--"15:00:00"),G111&lt;(--"14:00:00"),G111&gt;(--"00:00:01")),"",IF(BA111&gt;G111,BZ111,"")))</f>
        <v/>
      </c>
      <c r="AZ111" s="27">
        <v>0.87847222222222221</v>
      </c>
      <c r="BA111" s="32">
        <v>0.89236111111111116</v>
      </c>
      <c r="BB111" s="72"/>
      <c r="BC111" s="72" t="str">
        <f>IFERROR(VLOOKUP(Out_Table[[#This Row],[Aggiornamento STATUS]],'INformazioni per calcoli'!$Y$70:$AA$76,2,FALSE),"")</f>
        <v/>
      </c>
      <c r="BD111" s="289"/>
      <c r="BE111" s="289"/>
      <c r="BF111" s="47" t="str">
        <f>LEFT($E111,3)</f>
        <v>PD2</v>
      </c>
      <c r="BG111" s="298" t="str">
        <f>IF(Out_Table[[#This Row],[Ora Uscita    (GH)]]&lt;&gt;"","x","")</f>
        <v>x</v>
      </c>
      <c r="BH111" s="299">
        <f>VLOOKUP($O111,'INformazioni per calcoli'!$Y$20:$AA$23,3,FALSE)</f>
        <v>14</v>
      </c>
      <c r="BI111" s="299">
        <f>MROUND(Out_Table[[#This Row],[Mtr. Trailer]]*AB111,0.5)</f>
        <v>14</v>
      </c>
      <c r="BJ111" s="299">
        <f>MROUND(Out_Table[[#This Row],[Mtr. Trailer]]*AE111,0.5)</f>
        <v>0</v>
      </c>
      <c r="BK111" s="299">
        <f>MROUND(Out_Table[[#This Row],[Mtr. Trailer]]*AH111,0.5)</f>
        <v>0</v>
      </c>
      <c r="BL111" s="300">
        <f>Out_Table[[#This Row],[Double Deck trailer N° bumpers]]</f>
        <v>0</v>
      </c>
      <c r="BM111" s="301"/>
      <c r="BN111" s="299" t="str">
        <f>B111</f>
        <v>ITD12171</v>
      </c>
      <c r="BO111" s="299" t="str">
        <f>E111</f>
        <v>PD2</v>
      </c>
      <c r="BP111" s="302">
        <f>IF(AND(G111&gt;(--"00:00:01"),G111&lt;(--"15:00:00")),IF(AND(X111&gt;(--"00:00:01"),X111&lt;(--"15:00:00")),G111-X111,G111+1-X111),G111-X111)</f>
        <v>3.3333333333333326E-2</v>
      </c>
      <c r="BQ111" s="303">
        <f>AE111+AF111+AH111+AJ111</f>
        <v>0</v>
      </c>
      <c r="BR111" s="304" t="str">
        <f>IF(OR(BP111&lt;=(--"00:20:00"),BQ111&gt;=100%),"OK","Not OK")</f>
        <v>Not OK</v>
      </c>
      <c r="BS111" s="302">
        <f>IF(AND(G111&gt;(--"00:00:01"),G111&lt;(--"15:00:00")),IF(AND(AU111&gt;(--"00:00:01"),AU111&lt;(--"15:00:00")),G111-AU111,G111+1-AU111),G111-AU111)</f>
        <v>3.1944444444444442E-2</v>
      </c>
      <c r="BT111" s="302">
        <f>IF(AND(AZ111&gt;(--"00:00:01"),AZ111&lt;(--"15:00:00")),IF(AND(AU111&gt;(--"00:00:01"),AU111&lt;(--"15:00:00")),AZ111-AU111,AZ111+1-AU111),AZ111-AU111)</f>
        <v>4.1666666666666519E-3</v>
      </c>
      <c r="BU111" s="302">
        <f>IF(AND(BA111&gt;(--"00:00:01"),BA111&lt;(--"15:00:00")),IF(AND(AZ111&gt;(--"00:00:01"),AZ111&lt;(--"15:00:00")),BA111-AZ111,BA111+1-AZ111),BA111-AZ111)</f>
        <v>1.3888888888888951E-2</v>
      </c>
      <c r="BV111" s="299">
        <f>AV111</f>
        <v>0</v>
      </c>
      <c r="BW111" s="301"/>
      <c r="BX111" s="299" t="str">
        <f>IF(AV111="T Status",IF(AV111&lt;&gt;T111,"X",""),"")</f>
        <v/>
      </c>
      <c r="BY111" s="301"/>
      <c r="BZ111" s="299" t="str">
        <f>IF(X111&lt;&gt;"",IF(CC111="X","Driver Delay",IF(CA111="X","Paperwork Delay",IF(CB111="X","Late freight late sort",IF(CD111="X","Chiamare Control Room",IF(CE111="X","Chiamare Control Room",IF(CF111="X","Chiamare Control Room","")))))),"")</f>
        <v>Chiamare Control Room</v>
      </c>
      <c r="CA111" s="302" t="str">
        <f>IF(K111="",IF(IF(AND(G111&gt;(--"00:00:01"),G111&lt;(--"15:00:00")),IF(AND(AT111&gt;(--"08:00:00"),AT111&lt;(--"23:59:59")),G111+1-AT111,G111-AT111),G111-AT111)&gt;(--"00:20:00"),"","X"),"")</f>
        <v/>
      </c>
      <c r="CB111" s="299" t="str">
        <f>IF(K111="",IF(BP111&gt;=(--"00:20:00"),"","X"),"")</f>
        <v/>
      </c>
      <c r="CC111" s="299" t="str">
        <f>IF(OR(AV111="Autista non presente",AV111="Dati driver non presenti"),"X","")</f>
        <v/>
      </c>
      <c r="CD111" s="299" t="str">
        <f>IF(K111="",IF(AND(CC111="",BS111&lt;(--"00:20:00")),"X",""),"")</f>
        <v/>
      </c>
      <c r="CE111" s="299" t="str">
        <f>IF(K111="",IF(BT111&gt;(--"00:15:00"),"X",""),IF(AZ111&lt;&gt;"",IF(G111-AZ111&gt;(--"00:30:00"),"X",""),""))</f>
        <v/>
      </c>
      <c r="CF111" s="299" t="str">
        <f>IF(AND(CA111="",CB111="",CC111="",CD111="",CE111=""),"X","")</f>
        <v>X</v>
      </c>
      <c r="CG111" s="301"/>
      <c r="CH111" s="299" t="str">
        <f>IF(BT111&gt;(--"00:15:00"),"X","")</f>
        <v/>
      </c>
      <c r="CI111" s="302" t="str">
        <f>AY111</f>
        <v/>
      </c>
      <c r="CJ111" s="299" t="str">
        <f>IF(AND(CH111&lt;&gt;"",CI111&lt;&gt;"",LEFT(B111,3)="ITD"),AP111,"")</f>
        <v/>
      </c>
      <c r="CK111" s="305" t="str">
        <f>IF(CJ111&lt;&gt;"",BT111,"")</f>
        <v/>
      </c>
      <c r="CL111" s="301"/>
      <c r="CM111" s="305" t="str">
        <f>IFERROR(VLOOKUP(Q111,'Elenco Casse'!$D$4:$F$292,3,FALSE),"")</f>
        <v/>
      </c>
      <c r="CN111" s="301"/>
      <c r="CO111" s="305" t="str">
        <f>IFERROR(VLOOKUP(S111,'Elenco Casse'!$D$4:$F$292,3,FALSE),"")</f>
        <v/>
      </c>
      <c r="CP111" s="305" t="str">
        <f>IFERROR(IF(VLOOKUP($E111,Outlist!$A$5:$S$120,19,FALSE)&lt;&gt;0,"Y",""),"")</f>
        <v/>
      </c>
      <c r="CQ111" s="301"/>
      <c r="CR111" s="305" t="str">
        <f>CONCATENATE($B111,$E111,$G111)</f>
        <v>ITD12171PD20.90625</v>
      </c>
      <c r="CS111" s="301"/>
      <c r="CT111" s="305" t="e">
        <f>VLOOKUP(Out_Table[[#This Row],[Destination             ORANGE (From Planning)]],Outlist!$A$5:$W$120,22,FALSE)</f>
        <v>#N/A</v>
      </c>
    </row>
    <row r="112" spans="1:98" s="20" customFormat="1" ht="15">
      <c r="A112" s="305" t="str">
        <f>$CR112</f>
        <v>ITD12164QPA0.190972222222222</v>
      </c>
      <c r="B112" s="284" t="s">
        <v>843</v>
      </c>
      <c r="C112" s="290" t="str">
        <f>IFERROR(IF(LEFT(B112,3)='STAT 77'!$X$2,_xlfn.XLOOKUP(B112,'STAT 77'!C:C,'STAT 77'!B:B),_xlfn.XLOOKUP(B112,'STAT 77'!B:B,'STAT 77'!C:C)),"NON TROVATO")</f>
        <v>ITD30972</v>
      </c>
      <c r="D112" s="25" t="s">
        <v>844</v>
      </c>
      <c r="E112" s="290" t="s">
        <v>845</v>
      </c>
      <c r="F112" s="290" t="str">
        <f>IFERROR(VLOOKUP(E112,'Cambio O2P'!C:E,2,FALSE),"")</f>
        <v>QPAT8</v>
      </c>
      <c r="G112" s="285">
        <v>0.19097222222222221</v>
      </c>
      <c r="H112" s="293">
        <f ca="1">IFERROR(IF(AND('INformazioni per calcoli'!$AB$3&lt;(--"14:30"),'INformazioni per calcoli'!$AB$3&gt;(--"10:00")),"",IF($B112="","",IF($X112&lt;&gt;"","Mezzo Chiuso",IF($W112="","Non al Carico",IF($G112-'INformazioni per calcoli'!$AB$5-'INformazioni per calcoli'!$AB$3+$J112&lt;0,"LFLS",IF($K112&lt;&gt;"","Safe Parking",IF($W112&lt;&gt;"",IF($E112="MXP",$G112-'INformazioni per calcoli'!$AB$6-'INformazioni per calcoli'!$AB$3+$J112,$G112-'INformazioni per calcoli'!$AB$5-'INformazioni per calcoli'!$AB$3+$J112),"Non al carico"))))))),"")</f>
        <v>3.1620370370370354E-2</v>
      </c>
      <c r="I112" s="17"/>
      <c r="J112" s="306">
        <f ca="1">IFERROR(IF($B112&lt;&gt;"",IF(AND('INformazioni per calcoli'!$AB$3&lt;(--"15:00"),'INformazioni per calcoli'!$AB$3&gt;(--"00:00")),0,IF($G112&lt;(--"18:30"),"+1",0)),""),"")</f>
        <v>0</v>
      </c>
      <c r="K112" s="17"/>
      <c r="L112" s="25" t="s">
        <v>446</v>
      </c>
      <c r="M112" s="25" t="str">
        <f>IFERROR(_xlfn.XLOOKUP($Q112,'Elenco Casse'!$D:$D,'Elenco Casse'!$E:$E),"")</f>
        <v>Transeuropa S.R.L.</v>
      </c>
      <c r="N112" s="25">
        <f>IFERROR(_xlfn.XLOOKUP($Q112,'Elenco Casse'!$D:$D,'Elenco Casse'!$F:$F),"")</f>
        <v>0</v>
      </c>
      <c r="O112" s="286" t="s">
        <v>418</v>
      </c>
      <c r="P112" s="295" t="str">
        <f>IFERROR(_xlfn.XLOOKUP($Q112,'Elenco Casse'!$D:$D,'Elenco Casse'!$G:$G),"")</f>
        <v>trailer 80 m3 2/3 axes</v>
      </c>
      <c r="Q112" s="355" t="s">
        <v>846</v>
      </c>
      <c r="R112" s="23" t="s">
        <v>420</v>
      </c>
      <c r="S112" s="25" t="s">
        <v>421</v>
      </c>
      <c r="T112" s="25" t="s">
        <v>847</v>
      </c>
      <c r="U112" s="23" t="str">
        <f>IF(ISNUMBER(SEARCH("Parcel",$T112)),"X","")</f>
        <v>X</v>
      </c>
      <c r="V112" s="23" t="str">
        <f>IF(ISNUMBER(SEARCH("Freight",$T112)),"X","")</f>
        <v>X</v>
      </c>
      <c r="W112" s="26">
        <v>822</v>
      </c>
      <c r="X112" s="27"/>
      <c r="Y112" s="25"/>
      <c r="Z112" s="25"/>
      <c r="AA112" s="25" t="s">
        <v>40</v>
      </c>
      <c r="AB112" s="57"/>
      <c r="AC112" s="25"/>
      <c r="AD112" s="25" t="s">
        <v>487</v>
      </c>
      <c r="AE112" s="57"/>
      <c r="AF112" s="57"/>
      <c r="AG112" s="25"/>
      <c r="AH112" s="57"/>
      <c r="AI112" s="339"/>
      <c r="AJ112" s="339"/>
      <c r="AK112" s="297" t="str">
        <f>IF(X112&lt;&gt;"",CONCATENATE(IF(AA112&lt;&gt;"",CONCATENATE(Z112," ",AA112," ",BI112),""),IF(AD112&lt;&gt;"",CONCATENATE(","," ",AC112," ",AD112," ",BJ112),""),IF(AG112&lt;&gt;"",CONCATENATE(","," ",AF112," ",AG112," ",BK112),""),IF(AJ112&lt;&gt;"",CONCATENATE(","," ","DD"," ",BL112),"")," ",IF(AI112&lt;&gt;"",CONCATENATE(" - ",AI112," Bag"),"")),"")</f>
        <v/>
      </c>
      <c r="AL112" s="287"/>
      <c r="AM112" s="287"/>
      <c r="AN112" s="287"/>
      <c r="AO112" s="287"/>
      <c r="AP112" s="370" t="str">
        <f>IFERROR(VLOOKUP($E109,Outlist!$A$5:$V$120,20,FALSE),"")</f>
        <v/>
      </c>
      <c r="AQ112" s="288" t="str">
        <f>IFERROR(IF(VLOOKUP($A112,#REF!,8,FALSE)&lt;&gt;"",VLOOKUP($A112,#REF!,8,FALSE),""),"")</f>
        <v/>
      </c>
      <c r="AS112" s="24"/>
      <c r="AT112" s="24">
        <v>0.46875</v>
      </c>
      <c r="AU112" s="27"/>
      <c r="AV112" s="27"/>
      <c r="AX112" s="20" t="str">
        <f>IFERROR(IF(Out_Table[[#This Row],[Cancellazione linea]]="Cancellata","yes",""),"")</f>
        <v/>
      </c>
      <c r="AY112" s="72" t="str">
        <f>IF(BA112="",BZ112,IF(AND(BA112&lt;(--"23:59:59"),BA112&gt;(--"15:00:00"),G112&lt;(--"14:00:00"),G112&gt;(--"00:00:01")),"",IF(BA112&gt;G112,BZ112,"")))</f>
        <v/>
      </c>
      <c r="AZ112" s="27"/>
      <c r="BA112" s="32"/>
      <c r="BB112" s="72"/>
      <c r="BC112" s="72" t="str">
        <f>IFERROR(VLOOKUP(Out_Table[[#This Row],[Aggiornamento STATUS]],'INformazioni per calcoli'!$Y$70:$AA$76,2,FALSE),"")</f>
        <v/>
      </c>
      <c r="BD112" s="289"/>
      <c r="BE112" s="289"/>
      <c r="BF112" s="47" t="str">
        <f>LEFT($E112,3)</f>
        <v>QPA</v>
      </c>
      <c r="BG112" s="298" t="str">
        <f>IF(Out_Table[[#This Row],[Ora Uscita    (GH)]]&lt;&gt;"","x","")</f>
        <v/>
      </c>
      <c r="BH112" s="299">
        <f>VLOOKUP($O112,'INformazioni per calcoli'!$Y$20:$AA$23,3,FALSE)</f>
        <v>14</v>
      </c>
      <c r="BI112" s="299">
        <f>MROUND(Out_Table[[#This Row],[Mtr. Trailer]]*AB112,0.5)</f>
        <v>0</v>
      </c>
      <c r="BJ112" s="299">
        <f>MROUND(Out_Table[[#This Row],[Mtr. Trailer]]*AE112,0.5)</f>
        <v>0</v>
      </c>
      <c r="BK112" s="299">
        <f>MROUND(Out_Table[[#This Row],[Mtr. Trailer]]*AH112,0.5)</f>
        <v>0</v>
      </c>
      <c r="BL112" s="300">
        <f>Out_Table[[#This Row],[Double Deck trailer N° bumpers]]</f>
        <v>0</v>
      </c>
      <c r="BM112" s="301"/>
      <c r="BN112" s="299" t="str">
        <f>B112</f>
        <v>ITD12164</v>
      </c>
      <c r="BO112" s="299" t="str">
        <f>E112</f>
        <v>QPA</v>
      </c>
      <c r="BP112" s="302">
        <f>IF(AND(G112&gt;(--"00:00:01"),G112&lt;(--"15:00:00")),IF(AND(X112&gt;(--"00:00:01"),X112&lt;(--"15:00:00")),G112-X112,G112+1-X112),G112-X112)</f>
        <v>1.1909722222222223</v>
      </c>
      <c r="BQ112" s="303">
        <f>AE112+AF112+AH112+AJ112</f>
        <v>0</v>
      </c>
      <c r="BR112" s="304" t="str">
        <f>IF(OR(BP112&lt;=(--"00:20:00"),BQ112&gt;=100%),"OK","Not OK")</f>
        <v>Not OK</v>
      </c>
      <c r="BS112" s="302">
        <f>IF(AND(G112&gt;(--"00:00:01"),G112&lt;(--"15:00:00")),IF(AND(AU112&gt;(--"00:00:01"),AU112&lt;(--"15:00:00")),G112-AU112,G112+1-AU112),G112-AU112)</f>
        <v>1.1909722222222223</v>
      </c>
      <c r="BT112" s="302">
        <f>IF(AND(AZ112&gt;(--"00:00:01"),AZ112&lt;(--"15:00:00")),IF(AND(AU112&gt;(--"00:00:01"),AU112&lt;(--"15:00:00")),AZ112-AU112,AZ112+1-AU112),AZ112-AU112)</f>
        <v>0</v>
      </c>
      <c r="BU112" s="302">
        <f>IF(AND(BA112&gt;(--"00:00:01"),BA112&lt;(--"15:00:00")),IF(AND(AZ112&gt;(--"00:00:01"),AZ112&lt;(--"15:00:00")),BA112-AZ112,BA112+1-AZ112),BA112-AZ112)</f>
        <v>0</v>
      </c>
      <c r="BV112" s="299">
        <f>AV112</f>
        <v>0</v>
      </c>
      <c r="BW112" s="301"/>
      <c r="BX112" s="299" t="str">
        <f>IF(AV112="T Status",IF(AV112&lt;&gt;T112,"X",""),"")</f>
        <v/>
      </c>
      <c r="BY112" s="301"/>
      <c r="BZ112" s="299" t="str">
        <f>IF(X112&lt;&gt;"",IF(CC112="X","Driver Delay",IF(CA112="X","Paperwork Delay",IF(CB112="X","Late freight late sort",IF(CD112="X","Chiamare Control Room",IF(CE112="X","Chiamare Control Room",IF(CF112="X","Chiamare Control Room","")))))),"")</f>
        <v/>
      </c>
      <c r="CA112" s="302" t="str">
        <f>IF(K112="",IF(IF(AND(G112&gt;(--"00:00:01"),G112&lt;(--"15:00:00")),IF(AND(AT112&gt;(--"08:00:00"),AT112&lt;(--"23:59:59")),G112+1-AT112,G112-AT112),G112-AT112)&gt;(--"00:20:00"),"","X"),"")</f>
        <v/>
      </c>
      <c r="CB112" s="299" t="str">
        <f>IF(K112="",IF(BP112&gt;=(--"00:20:00"),"","X"),"")</f>
        <v/>
      </c>
      <c r="CC112" s="299" t="str">
        <f>IF(OR(AV112="Autista non presente",AV112="Dati driver non presenti"),"X","")</f>
        <v/>
      </c>
      <c r="CD112" s="299" t="str">
        <f>IF(K112="",IF(AND(CC112="",BS112&lt;(--"00:20:00")),"X",""),"")</f>
        <v/>
      </c>
      <c r="CE112" s="299" t="str">
        <f>IF(K112="",IF(BT112&gt;(--"00:15:00"),"X",""),IF(AZ112&lt;&gt;"",IF(G112-AZ112&gt;(--"00:30:00"),"X",""),""))</f>
        <v/>
      </c>
      <c r="CF112" s="299" t="str">
        <f>IF(AND(CA112="",CB112="",CC112="",CD112="",CE112=""),"X","")</f>
        <v>X</v>
      </c>
      <c r="CG112" s="301"/>
      <c r="CH112" s="299" t="str">
        <f>IF(BT112&gt;(--"00:15:00"),"X","")</f>
        <v/>
      </c>
      <c r="CI112" s="302" t="str">
        <f>AY112</f>
        <v/>
      </c>
      <c r="CJ112" s="299" t="str">
        <f>IF(AND(CH112&lt;&gt;"",CI112&lt;&gt;"",LEFT(B112,3)="ITD"),AP112,"")</f>
        <v/>
      </c>
      <c r="CK112" s="305" t="str">
        <f>IF(CJ112&lt;&gt;"",BT112,"")</f>
        <v/>
      </c>
      <c r="CL112" s="301"/>
      <c r="CM112" s="305" t="str">
        <f>IFERROR(VLOOKUP(Q112,'Elenco Casse'!$D$4:$F$292,3,FALSE),"")</f>
        <v/>
      </c>
      <c r="CN112" s="301"/>
      <c r="CO112" s="305" t="str">
        <f>IFERROR(VLOOKUP(S112,'Elenco Casse'!$D$4:$F$292,3,FALSE),"")</f>
        <v/>
      </c>
      <c r="CP112" s="305" t="str">
        <f>IFERROR(IF(VLOOKUP($E112,Outlist!$A$5:$S$120,19,FALSE)&lt;&gt;0,"Y",""),"")</f>
        <v/>
      </c>
      <c r="CQ112" s="301"/>
      <c r="CR112" s="305" t="str">
        <f>CONCATENATE($B112,$E112,$G112)</f>
        <v>ITD12164QPA0.190972222222222</v>
      </c>
      <c r="CS112" s="301"/>
      <c r="CT112" s="305" t="e">
        <f>VLOOKUP(Out_Table[[#This Row],[Destination             ORANGE (From Planning)]],Outlist!$A$5:$W$120,22,FALSE)</f>
        <v>#N/A</v>
      </c>
    </row>
    <row r="113" spans="1:98" s="20" customFormat="1" ht="30.75">
      <c r="A113" s="305" t="str">
        <f>$CR113</f>
        <v>ITD12279TV10.0416666666666667</v>
      </c>
      <c r="B113" s="284" t="s">
        <v>848</v>
      </c>
      <c r="C113" s="290" t="str">
        <f>IFERROR(IF(LEFT(B113,3)='STAT 77'!$X$2,_xlfn.XLOOKUP(B113,'STAT 77'!C:C,'STAT 77'!B:B),_xlfn.XLOOKUP(B113,'STAT 77'!B:B,'STAT 77'!C:C)),"NON TROVATO")</f>
        <v>ITD31282</v>
      </c>
      <c r="D113" s="25" t="s">
        <v>849</v>
      </c>
      <c r="E113" s="290" t="s">
        <v>850</v>
      </c>
      <c r="F113" s="290" t="str">
        <f>IFERROR(VLOOKUP(E113,'Cambio O2P'!C:E,2,FALSE),"")</f>
        <v>XNCA</v>
      </c>
      <c r="G113" s="285">
        <v>4.1666666666666664E-2</v>
      </c>
      <c r="H113" s="293" t="str">
        <f ca="1">IFERROR(IF(AND('INformazioni per calcoli'!$AB$3&lt;(--"14:30"),'INformazioni per calcoli'!$AB$3&gt;(--"10:00")),"",IF($B113="","",IF($X113&lt;&gt;"","Mezzo Chiuso",IF($W113="","Non al Carico",IF($G113-'INformazioni per calcoli'!$AB$5-'INformazioni per calcoli'!$AB$3+$J113&lt;0,"LFLS",IF($K113&lt;&gt;"","Safe Parking",IF($W113&lt;&gt;"",IF($E113="MXP",$G113-'INformazioni per calcoli'!$AB$6-'INformazioni per calcoli'!$AB$3+$J113,$G113-'INformazioni per calcoli'!$AB$5-'INformazioni per calcoli'!$AB$3+$J113),"Non al carico"))))))),"")</f>
        <v>Mezzo Chiuso</v>
      </c>
      <c r="I113" s="17" t="str">
        <f ca="1">IFERROR(IF($H113&lt;&gt;"",IF($H113="Safe Parking","",IF($W113&lt;&gt;"",IF(AND($U113="X",$V113="X"),$H113-(--"00:30"),""),IF($X113&lt;&gt;"","Mezzo Chiuso","Non al carico"))),""),"")</f>
        <v/>
      </c>
      <c r="J113" s="306">
        <f ca="1">IFERROR(IF($B113&lt;&gt;"",IF(AND('INformazioni per calcoli'!$AB$3&lt;(--"15:00"),'INformazioni per calcoli'!$AB$3&gt;(--"00:00")),0,IF($G113&lt;(--"18:30"),"+1",0)),""),"")</f>
        <v>0</v>
      </c>
      <c r="K113" s="27"/>
      <c r="L113" s="25" t="s">
        <v>436</v>
      </c>
      <c r="M113" s="25" t="str">
        <f>IFERROR(_xlfn.XLOOKUP($Q113,'Elenco Casse'!$D:$D,'Elenco Casse'!$E:$E),"")</f>
        <v>Cornali Autotrasporti Srl</v>
      </c>
      <c r="N113" s="25">
        <f>IFERROR(_xlfn.XLOOKUP($Q113,'Elenco Casse'!$D:$D,'Elenco Casse'!$F:$F),"")</f>
        <v>0</v>
      </c>
      <c r="O113" s="286" t="s">
        <v>418</v>
      </c>
      <c r="P113" s="295" t="str">
        <f>IFERROR(_xlfn.XLOOKUP($Q113,'Elenco Casse'!$D:$D,'Elenco Casse'!$G:$G),"")</f>
        <v>trailer 80 m3 2/3 axes</v>
      </c>
      <c r="Q113" s="355" t="s">
        <v>851</v>
      </c>
      <c r="R113" s="23" t="s">
        <v>420</v>
      </c>
      <c r="S113" s="25" t="s">
        <v>421</v>
      </c>
      <c r="T113" s="25" t="s">
        <v>432</v>
      </c>
      <c r="U113" s="23" t="str">
        <f>IF(ISNUMBER(SEARCH("Parcel",$T113)),"X","")</f>
        <v>X</v>
      </c>
      <c r="V113" s="23" t="str">
        <f>IF(ISNUMBER(SEARCH("Freight",$T113)),"X","")</f>
        <v/>
      </c>
      <c r="W113" s="26">
        <v>446</v>
      </c>
      <c r="X113" s="27">
        <v>0.99513888888888891</v>
      </c>
      <c r="Y113" s="25" t="s">
        <v>814</v>
      </c>
      <c r="Z113" s="25"/>
      <c r="AA113" s="25" t="s">
        <v>40</v>
      </c>
      <c r="AB113" s="57">
        <v>0.8</v>
      </c>
      <c r="AC113" s="25"/>
      <c r="AD113" s="25"/>
      <c r="AE113" s="57"/>
      <c r="AF113" s="57"/>
      <c r="AG113" s="25"/>
      <c r="AH113" s="57"/>
      <c r="AI113" s="339">
        <v>13</v>
      </c>
      <c r="AJ113" s="339"/>
      <c r="AK113" s="297" t="str">
        <f>IF(X113&lt;&gt;"",CONCATENATE(IF(AA113&lt;&gt;"",CONCATENATE(Z113," ",AA113," ",BI113),""),IF(AD113&lt;&gt;"",CONCATENATE(","," ",AC113," ",AD113," ",BJ113),""),IF(AG113&lt;&gt;"",CONCATENATE(","," ",AF113," ",AG113," ",BK113),""),IF(AJ113&lt;&gt;"",CONCATENATE(","," ","DD"," ",BL113),"")," ",IF(AI113&lt;&gt;"",CONCATENATE(" - ",AI113," Bag"),"")),"")</f>
        <v xml:space="preserve"> LL 11  - 13 Bag</v>
      </c>
      <c r="AL113" s="287" t="s">
        <v>421</v>
      </c>
      <c r="AM113" s="287"/>
      <c r="AN113" s="287"/>
      <c r="AO113" s="287"/>
      <c r="AP113" s="370" t="str">
        <f>IFERROR(VLOOKUP($E110,Outlist!$A$5:$V$120,20,FALSE),"")</f>
        <v/>
      </c>
      <c r="AQ113" s="288" t="s">
        <v>852</v>
      </c>
      <c r="AS113" s="24"/>
      <c r="AT113" s="24">
        <v>0.93611111111111112</v>
      </c>
      <c r="AU113" s="27">
        <v>1.1805555555555555E-2</v>
      </c>
      <c r="AV113" s="27"/>
      <c r="AW113" s="20" t="s">
        <v>443</v>
      </c>
      <c r="AX113" s="20" t="str">
        <f>IFERROR(IF(Out_Table[[#This Row],[Cancellazione linea]]="Cancellata","yes",""),"")</f>
        <v/>
      </c>
      <c r="AY113" s="72" t="str">
        <f>IF(BA113="",BZ113,IF(AND(BA113&lt;(--"23:59:59"),BA113&gt;(--"15:00:00"),G113&lt;(--"14:00:00"),G113&gt;(--"00:00:01")),"",IF(BA113&gt;G113,BZ113,"")))</f>
        <v/>
      </c>
      <c r="AZ113" s="27"/>
      <c r="BA113" s="32">
        <v>3.888888888888889E-2</v>
      </c>
      <c r="BB113" s="72"/>
      <c r="BC113" s="72" t="str">
        <f>IFERROR(VLOOKUP(Out_Table[[#This Row],[Aggiornamento STATUS]],'INformazioni per calcoli'!$Y$70:$AA$76,2,FALSE),"")</f>
        <v/>
      </c>
      <c r="BD113" s="289"/>
      <c r="BE113" s="289"/>
      <c r="BF113" s="47" t="str">
        <f>LEFT($E113,3)</f>
        <v>TV1</v>
      </c>
      <c r="BG113" s="298" t="str">
        <f>IF(Out_Table[[#This Row],[Ora Uscita    (GH)]]&lt;&gt;"","x","")</f>
        <v>x</v>
      </c>
      <c r="BH113" s="299">
        <f>VLOOKUP($O113,'INformazioni per calcoli'!$Y$20:$AA$23,3,FALSE)</f>
        <v>14</v>
      </c>
      <c r="BI113" s="299">
        <f>MROUND(Out_Table[[#This Row],[Mtr. Trailer]]*AB113,0.5)</f>
        <v>11</v>
      </c>
      <c r="BJ113" s="299">
        <f>MROUND(Out_Table[[#This Row],[Mtr. Trailer]]*AE113,0.5)</f>
        <v>0</v>
      </c>
      <c r="BK113" s="299">
        <f>MROUND(Out_Table[[#This Row],[Mtr. Trailer]]*AH113,0.5)</f>
        <v>0</v>
      </c>
      <c r="BL113" s="300">
        <f>Out_Table[[#This Row],[Double Deck trailer N° bumpers]]</f>
        <v>0</v>
      </c>
      <c r="BM113" s="301"/>
      <c r="BN113" s="299" t="str">
        <f>B113</f>
        <v>ITD12279</v>
      </c>
      <c r="BO113" s="299" t="str">
        <f>E113</f>
        <v>TV1</v>
      </c>
      <c r="BP113" s="302">
        <f>IF(AND(G113&gt;(--"00:00:01"),G113&lt;(--"15:00:00")),IF(AND(X113&gt;(--"00:00:01"),X113&lt;(--"15:00:00")),G113-X113,G113+1-X113),G113-X113)</f>
        <v>4.6527777777777835E-2</v>
      </c>
      <c r="BQ113" s="303">
        <f>AE113+AF113+AH113+AJ113</f>
        <v>0</v>
      </c>
      <c r="BR113" s="304" t="str">
        <f>IF(OR(BP113&lt;=(--"00:20:00"),BQ113&gt;=100%),"OK","Not OK")</f>
        <v>Not OK</v>
      </c>
      <c r="BS113" s="302">
        <f>IF(AND(G113&gt;(--"00:00:01"),G113&lt;(--"15:00:00")),IF(AND(AU113&gt;(--"00:00:01"),AU113&lt;(--"15:00:00")),G113-AU113,G113+1-AU113),G113-AU113)</f>
        <v>2.9861111111111109E-2</v>
      </c>
      <c r="BT113" s="302">
        <f>IF(AND(AZ113&gt;(--"00:00:01"),AZ113&lt;(--"15:00:00")),IF(AND(AU113&gt;(--"00:00:01"),AU113&lt;(--"15:00:00")),AZ113-AU113,AZ113+1-AU113),AZ113-AU113)</f>
        <v>-1.1805555555555555E-2</v>
      </c>
      <c r="BU113" s="302">
        <f>IF(AND(BA113&gt;(--"00:00:01"),BA113&lt;(--"15:00:00")),IF(AND(AZ113&gt;(--"00:00:01"),AZ113&lt;(--"15:00:00")),BA113-AZ113,BA113+1-AZ113),BA113-AZ113)</f>
        <v>1.038888888888889</v>
      </c>
      <c r="BV113" s="299">
        <f>AV113</f>
        <v>0</v>
      </c>
      <c r="BW113" s="301"/>
      <c r="BX113" s="299" t="str">
        <f>IF(AV113="T Status",IF(AV113&lt;&gt;T113,"X",""),"")</f>
        <v/>
      </c>
      <c r="BY113" s="301"/>
      <c r="BZ113" s="299" t="str">
        <f>IF(X113&lt;&gt;"",IF(CC113="X","Driver Delay",IF(CA113="X","Paperwork Delay",IF(CB113="X","Late freight late sort",IF(CD113="X","Chiamare Control Room",IF(CE113="X","Chiamare Control Room",IF(CF113="X","Chiamare Control Room","")))))),"")</f>
        <v>Chiamare Control Room</v>
      </c>
      <c r="CA113" s="302" t="str">
        <f>IF(K113="",IF(IF(AND(G113&gt;(--"00:00:01"),G113&lt;(--"15:00:00")),IF(AND(AT113&gt;(--"08:00:00"),AT113&lt;(--"23:59:59")),G113+1-AT113,G113-AT113),G113-AT113)&gt;(--"00:20:00"),"","X"),"")</f>
        <v/>
      </c>
      <c r="CB113" s="299" t="str">
        <f>IF(K113="",IF(BP113&gt;=(--"00:20:00"),"","X"),"")</f>
        <v/>
      </c>
      <c r="CC113" s="299" t="str">
        <f>IF(OR(AV113="Autista non presente",AV113="Dati driver non presenti"),"X","")</f>
        <v/>
      </c>
      <c r="CD113" s="299" t="str">
        <f>IF(K113="",IF(AND(CC113="",BS113&lt;(--"00:20:00")),"X",""),"")</f>
        <v/>
      </c>
      <c r="CE113" s="299" t="str">
        <f>IF(K113="",IF(BT113&gt;(--"00:15:00"),"X",""),IF(AZ113&lt;&gt;"",IF(G113-AZ113&gt;(--"00:30:00"),"X",""),""))</f>
        <v/>
      </c>
      <c r="CF113" s="299" t="str">
        <f>IF(AND(CA113="",CB113="",CC113="",CD113="",CE113=""),"X","")</f>
        <v>X</v>
      </c>
      <c r="CG113" s="301"/>
      <c r="CH113" s="299" t="str">
        <f>IF(BT113&gt;(--"00:15:00"),"X","")</f>
        <v/>
      </c>
      <c r="CI113" s="302" t="str">
        <f>AY113</f>
        <v/>
      </c>
      <c r="CJ113" s="299" t="str">
        <f>IF(AND(CH113&lt;&gt;"",CI113&lt;&gt;"",LEFT(B113,3)="ITD"),AP113,"")</f>
        <v/>
      </c>
      <c r="CK113" s="305" t="str">
        <f>IF(CJ113&lt;&gt;"",BT113,"")</f>
        <v/>
      </c>
      <c r="CL113" s="301"/>
      <c r="CM113" s="305">
        <f>IFERROR(VLOOKUP(Q113,'Elenco Casse'!$D$4:$F$292,3,FALSE),"")</f>
        <v>0</v>
      </c>
      <c r="CN113" s="301"/>
      <c r="CO113" s="305" t="str">
        <f>IFERROR(VLOOKUP(S113,'Elenco Casse'!$D$4:$F$292,3,FALSE),"")</f>
        <v/>
      </c>
      <c r="CP113" s="305" t="str">
        <f>IFERROR(IF(VLOOKUP($E113,Outlist!$A$5:$S$120,19,FALSE)&lt;&gt;0,"Y",""),"")</f>
        <v/>
      </c>
      <c r="CQ113" s="301"/>
      <c r="CR113" s="305" t="str">
        <f>CONCATENATE($B113,$E113,$G113)</f>
        <v>ITD12279TV10.0416666666666667</v>
      </c>
      <c r="CS113" s="301"/>
      <c r="CT113" s="305" t="e">
        <f>VLOOKUP(Out_Table[[#This Row],[Destination             ORANGE (From Planning)]],Outlist!$A$5:$W$120,22,FALSE)</f>
        <v>#N/A</v>
      </c>
    </row>
    <row r="114" spans="1:98" s="20" customFormat="1" ht="15">
      <c r="A114" s="305" t="str">
        <f>$CR114</f>
        <v>ITD12244ILJ0.260416666666667</v>
      </c>
      <c r="B114" s="284" t="s">
        <v>853</v>
      </c>
      <c r="C114" s="290" t="str">
        <f>IFERROR(IF(LEFT(B114,3)='STAT 77'!$X$2,_xlfn.XLOOKUP(B114,'STAT 77'!C:C,'STAT 77'!B:B),_xlfn.XLOOKUP(B114,'STAT 77'!B:B,'STAT 77'!C:C)),"NON TROVATO")</f>
        <v>ITD32678</v>
      </c>
      <c r="D114" s="25" t="s">
        <v>854</v>
      </c>
      <c r="E114" s="290" t="s">
        <v>855</v>
      </c>
      <c r="F114" s="290" t="str">
        <f>IFERROR(VLOOKUP(E114,'Cambio O2P'!C:E,2,FALSE),"")</f>
        <v>IPRA</v>
      </c>
      <c r="G114" s="285">
        <v>0.26041666666666669</v>
      </c>
      <c r="H114" s="293">
        <f ca="1">IFERROR(IF(AND('INformazioni per calcoli'!$AB$3&lt;(--"14:30"),'INformazioni per calcoli'!$AB$3&gt;(--"10:00")),"",IF($B114="","",IF($X114&lt;&gt;"","Mezzo Chiuso",IF($W114="","Non al Carico",IF($G114-'INformazioni per calcoli'!$AB$5-'INformazioni per calcoli'!$AB$3+$J114&lt;0,"LFLS",IF($K114&lt;&gt;"","Safe Parking",IF($W114&lt;&gt;"",IF($E114="MXP",$G114-'INformazioni per calcoli'!$AB$6-'INformazioni per calcoli'!$AB$3+$J114,$G114-'INformazioni per calcoli'!$AB$5-'INformazioni per calcoli'!$AB$3+$J114),"Non al carico"))))))),"")</f>
        <v>0.10106481481481483</v>
      </c>
      <c r="I114" s="17" t="str">
        <f ca="1">IFERROR(IF($H114&lt;&gt;"",IF($H114="Safe Parking","",IF($W114&lt;&gt;"",IF(AND($U114="X",$V114="X"),$H114-(--"00:30"),""),IF($X114&lt;&gt;"","Mezzo Chiuso","Non al carico"))),""),"")</f>
        <v/>
      </c>
      <c r="J114" s="306">
        <f ca="1">IFERROR(IF($B114&lt;&gt;"",IF(AND('INformazioni per calcoli'!$AB$3&lt;(--"15:00"),'INformazioni per calcoli'!$AB$3&gt;(--"00:00")),0,IF($G114&lt;(--"18:30"),"+1",0)),""),"")</f>
        <v>0</v>
      </c>
      <c r="K114" s="17"/>
      <c r="L114" s="25" t="s">
        <v>752</v>
      </c>
      <c r="M114" s="25" t="str">
        <f>IFERROR(_xlfn.XLOOKUP($Q114,'Elenco Casse'!$D:$D,'Elenco Casse'!$E:$E),"")</f>
        <v/>
      </c>
      <c r="N114" s="25" t="str">
        <f>IFERROR(_xlfn.XLOOKUP($Q114,'Elenco Casse'!$D:$D,'Elenco Casse'!$F:$F),"")</f>
        <v/>
      </c>
      <c r="O114" s="286" t="s">
        <v>418</v>
      </c>
      <c r="P114" s="295" t="str">
        <f>IFERROR(_xlfn.XLOOKUP($Q114,'Elenco Casse'!$D:$D,'Elenco Casse'!$G:$G),"")</f>
        <v/>
      </c>
      <c r="Q114" s="355" t="s">
        <v>856</v>
      </c>
      <c r="R114" s="23" t="s">
        <v>420</v>
      </c>
      <c r="S114" s="25" t="s">
        <v>421</v>
      </c>
      <c r="T114" s="25" t="s">
        <v>432</v>
      </c>
      <c r="U114" s="23" t="str">
        <f>IF(ISNUMBER(SEARCH("Parcel",$T114)),"X","")</f>
        <v>X</v>
      </c>
      <c r="V114" s="23" t="str">
        <f>IF(ISNUMBER(SEARCH("Freight",$T114)),"X","")</f>
        <v/>
      </c>
      <c r="W114" s="26">
        <v>447</v>
      </c>
      <c r="X114" s="27"/>
      <c r="Y114" s="25"/>
      <c r="Z114" s="25"/>
      <c r="AA114" s="25" t="s">
        <v>40</v>
      </c>
      <c r="AB114" s="57"/>
      <c r="AC114" s="25"/>
      <c r="AD114" s="25"/>
      <c r="AE114" s="57"/>
      <c r="AF114" s="57"/>
      <c r="AG114" s="25"/>
      <c r="AH114" s="57"/>
      <c r="AI114" s="339"/>
      <c r="AJ114" s="339"/>
      <c r="AK114" s="297" t="str">
        <f>IF(X114&lt;&gt;"",CONCATENATE(IF(AA114&lt;&gt;"",CONCATENATE(Z114," ",AA114," ",BI114),""),IF(AD114&lt;&gt;"",CONCATENATE(","," ",AC114," ",AD114," ",BJ114),""),IF(AG114&lt;&gt;"",CONCATENATE(","," ",AF114," ",AG114," ",BK114),""),IF(AJ114&lt;&gt;"",CONCATENATE(","," ","DD"," ",BL114),"")," ",IF(AI114&lt;&gt;"",CONCATENATE(" - ",AI114," Bag"),"")),"")</f>
        <v/>
      </c>
      <c r="AL114" s="287"/>
      <c r="AM114" s="287"/>
      <c r="AN114" s="287"/>
      <c r="AO114" s="287"/>
      <c r="AP114" s="370" t="str">
        <f>IFERROR(VLOOKUP(#REF!,Outlist!$A$5:$V$120,20,FALSE),"")</f>
        <v/>
      </c>
      <c r="AQ114" s="288" t="str">
        <f>IFERROR(IF(VLOOKUP($A114,#REF!,8,FALSE)&lt;&gt;"",VLOOKUP($A114,#REF!,8,FALSE),""),"")</f>
        <v/>
      </c>
      <c r="AS114" s="24"/>
      <c r="AT114" s="24">
        <v>0.4597222222222222</v>
      </c>
      <c r="AU114" s="27"/>
      <c r="AV114" s="27"/>
      <c r="AX114" s="20" t="str">
        <f>IFERROR(IF(Out_Table[[#This Row],[Cancellazione linea]]="Cancellata","yes",""),"")</f>
        <v/>
      </c>
      <c r="AY114" s="72" t="str">
        <f>IF(BA114="",BZ114,IF(AND(BA114&lt;(--"23:59:59"),BA114&gt;(--"15:00:00"),G114&lt;(--"14:00:00"),G114&gt;(--"00:00:01")),"",IF(BA114&gt;G114,BZ114,"")))</f>
        <v/>
      </c>
      <c r="AZ114" s="27"/>
      <c r="BA114" s="32"/>
      <c r="BB114" s="72"/>
      <c r="BC114" s="72" t="str">
        <f>IFERROR(VLOOKUP(Out_Table[[#This Row],[Aggiornamento STATUS]],'INformazioni per calcoli'!$Y$70:$AA$76,2,FALSE),"")</f>
        <v/>
      </c>
      <c r="BD114" s="289"/>
      <c r="BE114" s="289"/>
      <c r="BF114" s="47" t="str">
        <f>LEFT($E114,3)</f>
        <v>ILJ</v>
      </c>
      <c r="BG114" s="298" t="str">
        <f>IF(Out_Table[[#This Row],[Ora Uscita    (GH)]]&lt;&gt;"","x","")</f>
        <v/>
      </c>
      <c r="BH114" s="299">
        <f>VLOOKUP($O114,'INformazioni per calcoli'!$Y$20:$AA$23,3,FALSE)</f>
        <v>14</v>
      </c>
      <c r="BI114" s="299">
        <f>MROUND(Out_Table[[#This Row],[Mtr. Trailer]]*AB114,0.5)</f>
        <v>0</v>
      </c>
      <c r="BJ114" s="299">
        <f>MROUND(Out_Table[[#This Row],[Mtr. Trailer]]*AE114,0.5)</f>
        <v>0</v>
      </c>
      <c r="BK114" s="299">
        <f>MROUND(Out_Table[[#This Row],[Mtr. Trailer]]*AH114,0.5)</f>
        <v>0</v>
      </c>
      <c r="BL114" s="300">
        <f>Out_Table[[#This Row],[Double Deck trailer N° bumpers]]</f>
        <v>0</v>
      </c>
      <c r="BM114" s="301"/>
      <c r="BN114" s="299" t="str">
        <f>B114</f>
        <v>ITD12244</v>
      </c>
      <c r="BO114" s="299" t="str">
        <f>E114</f>
        <v>ILJ</v>
      </c>
      <c r="BP114" s="302">
        <f>IF(AND(G114&gt;(--"00:00:01"),G114&lt;(--"15:00:00")),IF(AND(X114&gt;(--"00:00:01"),X114&lt;(--"15:00:00")),G114-X114,G114+1-X114),G114-X114)</f>
        <v>1.2604166666666667</v>
      </c>
      <c r="BQ114" s="303">
        <f>AE114+AF114+AH114+AJ114</f>
        <v>0</v>
      </c>
      <c r="BR114" s="304" t="str">
        <f>IF(OR(BP114&lt;=(--"00:20:00"),BQ114&gt;=100%),"OK","Not OK")</f>
        <v>Not OK</v>
      </c>
      <c r="BS114" s="302">
        <f>IF(AND(G114&gt;(--"00:00:01"),G114&lt;(--"15:00:00")),IF(AND(AU114&gt;(--"00:00:01"),AU114&lt;(--"15:00:00")),G114-AU114,G114+1-AU114),G114-AU114)</f>
        <v>1.2604166666666667</v>
      </c>
      <c r="BT114" s="302">
        <f>IF(AND(AZ114&gt;(--"00:00:01"),AZ114&lt;(--"15:00:00")),IF(AND(AU114&gt;(--"00:00:01"),AU114&lt;(--"15:00:00")),AZ114-AU114,AZ114+1-AU114),AZ114-AU114)</f>
        <v>0</v>
      </c>
      <c r="BU114" s="302">
        <f>IF(AND(BA114&gt;(--"00:00:01"),BA114&lt;(--"15:00:00")),IF(AND(AZ114&gt;(--"00:00:01"),AZ114&lt;(--"15:00:00")),BA114-AZ114,BA114+1-AZ114),BA114-AZ114)</f>
        <v>0</v>
      </c>
      <c r="BV114" s="299">
        <f>AV114</f>
        <v>0</v>
      </c>
      <c r="BW114" s="301"/>
      <c r="BX114" s="299" t="str">
        <f>IF(AV114="T Status",IF(AV114&lt;&gt;T114,"X",""),"")</f>
        <v/>
      </c>
      <c r="BY114" s="301"/>
      <c r="BZ114" s="299" t="str">
        <f>IF(X114&lt;&gt;"",IF(CC114="X","Driver Delay",IF(CA114="X","Paperwork Delay",IF(CB114="X","Late freight late sort",IF(CD114="X","Chiamare Control Room",IF(CE114="X","Chiamare Control Room",IF(CF114="X","Chiamare Control Room","")))))),"")</f>
        <v/>
      </c>
      <c r="CA114" s="302" t="str">
        <f>IF(K114="",IF(IF(AND(G114&gt;(--"00:00:01"),G114&lt;(--"15:00:00")),IF(AND(AT114&gt;(--"08:00:00"),AT114&lt;(--"23:59:59")),G114+1-AT114,G114-AT114),G114-AT114)&gt;(--"00:20:00"),"","X"),"")</f>
        <v/>
      </c>
      <c r="CB114" s="299" t="str">
        <f>IF(K114="",IF(BP114&gt;=(--"00:20:00"),"","X"),"")</f>
        <v/>
      </c>
      <c r="CC114" s="299" t="str">
        <f>IF(OR(AV114="Autista non presente",AV114="Dati driver non presenti"),"X","")</f>
        <v/>
      </c>
      <c r="CD114" s="299" t="str">
        <f>IF(K114="",IF(AND(CC114="",BS114&lt;(--"00:20:00")),"X",""),"")</f>
        <v/>
      </c>
      <c r="CE114" s="299" t="str">
        <f>IF(K114="",IF(BT114&gt;(--"00:15:00"),"X",""),IF(AZ114&lt;&gt;"",IF(G114-AZ114&gt;(--"00:30:00"),"X",""),""))</f>
        <v/>
      </c>
      <c r="CF114" s="299" t="str">
        <f>IF(AND(CA114="",CB114="",CC114="",CD114="",CE114=""),"X","")</f>
        <v>X</v>
      </c>
      <c r="CG114" s="301"/>
      <c r="CH114" s="299" t="str">
        <f>IF(BT114&gt;(--"00:15:00"),"X","")</f>
        <v/>
      </c>
      <c r="CI114" s="302" t="str">
        <f>AY114</f>
        <v/>
      </c>
      <c r="CJ114" s="299" t="str">
        <f>IF(AND(CH114&lt;&gt;"",CI114&lt;&gt;"",LEFT(B114,3)="ITD"),AP114,"")</f>
        <v/>
      </c>
      <c r="CK114" s="305" t="str">
        <f>IF(CJ114&lt;&gt;"",BT114,"")</f>
        <v/>
      </c>
      <c r="CL114" s="301"/>
      <c r="CM114" s="305" t="str">
        <f>IFERROR(VLOOKUP(Q114,'Elenco Casse'!$D$4:$F$292,3,FALSE),"")</f>
        <v/>
      </c>
      <c r="CN114" s="301"/>
      <c r="CO114" s="305" t="str">
        <f>IFERROR(VLOOKUP(S114,'Elenco Casse'!$D$4:$F$292,3,FALSE),"")</f>
        <v/>
      </c>
      <c r="CP114" s="305" t="str">
        <f>IFERROR(IF(VLOOKUP($E114,Outlist!$A$5:$S$120,19,FALSE)&lt;&gt;0,"Y",""),"")</f>
        <v/>
      </c>
      <c r="CQ114" s="301"/>
      <c r="CR114" s="305" t="str">
        <f>CONCATENATE($B114,$E114,$G114)</f>
        <v>ITD12244ILJ0.260416666666667</v>
      </c>
      <c r="CS114" s="301"/>
      <c r="CT114" s="305" t="e">
        <f>VLOOKUP(Out_Table[[#This Row],[Destination             ORANGE (From Planning)]],Outlist!$A$5:$W$120,22,FALSE)</f>
        <v>#N/A</v>
      </c>
    </row>
    <row r="115" spans="1:98" s="20" customFormat="1" ht="15">
      <c r="A115" s="305" t="str">
        <f>$CR115</f>
        <v>ITD12259IBU0.25</v>
      </c>
      <c r="B115" s="284" t="s">
        <v>857</v>
      </c>
      <c r="C115" s="290" t="str">
        <f>IFERROR(IF(LEFT(B115,3)='STAT 77'!$X$2,_xlfn.XLOOKUP(B115,'STAT 77'!C:C,'STAT 77'!B:B),_xlfn.XLOOKUP(B115,'STAT 77'!B:B,'STAT 77'!C:C)),"NON TROVATO")</f>
        <v>ITD32646</v>
      </c>
      <c r="D115" s="25" t="s">
        <v>858</v>
      </c>
      <c r="E115" s="290" t="s">
        <v>859</v>
      </c>
      <c r="F115" s="290" t="str">
        <f>IFERROR(VLOOKUP(E115,'Cambio O2P'!C:E,2,FALSE),"")</f>
        <v>DCIA</v>
      </c>
      <c r="G115" s="285">
        <v>0.25</v>
      </c>
      <c r="H115" s="293">
        <f ca="1">IFERROR(IF(AND('INformazioni per calcoli'!$AB$3&lt;(--"14:30"),'INformazioni per calcoli'!$AB$3&gt;(--"10:00")),"",IF($B115="","",IF($X115&lt;&gt;"","Mezzo Chiuso",IF($W115="","Non al Carico",IF($G115-'INformazioni per calcoli'!$AB$5-'INformazioni per calcoli'!$AB$3+$J115&lt;0,"LFLS",IF($K115&lt;&gt;"","Safe Parking",IF($W115&lt;&gt;"",IF($E115="MXP",$G115-'INformazioni per calcoli'!$AB$6-'INformazioni per calcoli'!$AB$3+$J115,$G115-'INformazioni per calcoli'!$AB$5-'INformazioni per calcoli'!$AB$3+$J115),"Non al carico"))))))),"")</f>
        <v>9.0648148148148144E-2</v>
      </c>
      <c r="I115" s="17">
        <f ca="1">IFERROR(IF($H115&lt;&gt;"",IF($H115="Safe Parking","",IF($W115&lt;&gt;"",IF(AND($U115="X",$V115="X"),$H115-(--"00:30"),""),IF($X115&lt;&gt;"","Mezzo Chiuso","Non al carico"))),""),"")</f>
        <v>6.9814814814814816E-2</v>
      </c>
      <c r="J115" s="306">
        <f ca="1">IFERROR(IF($B115&lt;&gt;"",IF(AND('INformazioni per calcoli'!$AB$3&lt;(--"15:00"),'INformazioni per calcoli'!$AB$3&gt;(--"00:00")),0,IF($G115&lt;(--"18:30"),"+1",0)),""),"")</f>
        <v>0</v>
      </c>
      <c r="K115" s="17"/>
      <c r="L115" s="25" t="s">
        <v>52</v>
      </c>
      <c r="M115" s="25" t="str">
        <f>IFERROR(_xlfn.XLOOKUP($Q115,'Elenco Casse'!$D:$D,'Elenco Casse'!$E:$E),"")</f>
        <v>Matelda Srl</v>
      </c>
      <c r="N115" s="25">
        <f>IFERROR(_xlfn.XLOOKUP($Q115,'Elenco Casse'!$D:$D,'Elenco Casse'!$F:$F),"")</f>
        <v>0</v>
      </c>
      <c r="O115" s="286" t="s">
        <v>418</v>
      </c>
      <c r="P115" s="295" t="str">
        <f>IFERROR(_xlfn.XLOOKUP($Q115,'Elenco Casse'!$D:$D,'Elenco Casse'!$G:$G),"")</f>
        <v>trailer 80 m3 2/3 axes</v>
      </c>
      <c r="Q115" s="355" t="s">
        <v>860</v>
      </c>
      <c r="R115" s="23" t="s">
        <v>420</v>
      </c>
      <c r="S115" s="25" t="s">
        <v>421</v>
      </c>
      <c r="T115" s="25" t="s">
        <v>432</v>
      </c>
      <c r="U115" s="23" t="str">
        <f>IF(ISNUMBER(SEARCH("Parcel",$T115)),"X","")</f>
        <v>X</v>
      </c>
      <c r="V115" s="23" t="s">
        <v>500</v>
      </c>
      <c r="W115" s="26">
        <v>448</v>
      </c>
      <c r="X115" s="27"/>
      <c r="Y115" s="25"/>
      <c r="Z115" s="25"/>
      <c r="AA115" s="25" t="s">
        <v>40</v>
      </c>
      <c r="AB115" s="57"/>
      <c r="AC115" s="25"/>
      <c r="AD115" s="25" t="s">
        <v>487</v>
      </c>
      <c r="AE115" s="57"/>
      <c r="AF115" s="57"/>
      <c r="AG115" s="25"/>
      <c r="AH115" s="57"/>
      <c r="AI115" s="339"/>
      <c r="AJ115" s="339"/>
      <c r="AK115" s="297" t="str">
        <f>IF(X115&lt;&gt;"",CONCATENATE(IF(AA115&lt;&gt;"",CONCATENATE(Z115," ",AA115," ",BI115),""),IF(AD115&lt;&gt;"",CONCATENATE(","," ",AC115," ",AD115," ",BJ115),""),IF(AG115&lt;&gt;"",CONCATENATE(","," ",AF115," ",AG115," ",BK115),""),IF(AJ115&lt;&gt;"",CONCATENATE(","," ","DD"," ",BL115),"")," ",IF(AI115&lt;&gt;"",CONCATENATE(" - ",AI115," Bag"),"")),"")</f>
        <v/>
      </c>
      <c r="AL115" s="287"/>
      <c r="AM115" s="287"/>
      <c r="AN115" s="287"/>
      <c r="AO115" s="287"/>
      <c r="AP115" s="370" t="str">
        <f>IFERROR(VLOOKUP(#REF!,Outlist!$A$5:$V$120,20,FALSE),"")</f>
        <v/>
      </c>
      <c r="AQ115" s="288" t="str">
        <f>IFERROR(IF(VLOOKUP($A115,#REF!,8,FALSE)&lt;&gt;"",VLOOKUP($A115,#REF!,8,FALSE),""),"")</f>
        <v/>
      </c>
      <c r="AS115" s="24"/>
      <c r="AT115" s="24">
        <v>0.48333333333333334</v>
      </c>
      <c r="AU115" s="27"/>
      <c r="AV115" s="27"/>
      <c r="AX115" s="20" t="str">
        <f>IFERROR(IF(Out_Table[[#This Row],[Cancellazione linea]]="Cancellata","yes",""),"")</f>
        <v/>
      </c>
      <c r="AY115" s="72" t="str">
        <f>IF(BA115="",BZ115,IF(AND(BA115&lt;(--"23:59:59"),BA115&gt;(--"15:00:00"),G115&lt;(--"14:00:00"),G115&gt;(--"00:00:01")),"",IF(BA115&gt;G115,BZ115,"")))</f>
        <v/>
      </c>
      <c r="AZ115" s="27"/>
      <c r="BA115" s="32"/>
      <c r="BB115" s="72"/>
      <c r="BC115" s="72" t="str">
        <f>IFERROR(VLOOKUP(Out_Table[[#This Row],[Aggiornamento STATUS]],'INformazioni per calcoli'!$Y$70:$AA$76,2,FALSE),"")</f>
        <v/>
      </c>
      <c r="BD115" s="289"/>
      <c r="BE115" s="289"/>
      <c r="BF115" s="47" t="str">
        <f>LEFT($E115,3)</f>
        <v>IBU</v>
      </c>
      <c r="BG115" s="298" t="str">
        <f>IF(Out_Table[[#This Row],[Ora Uscita    (GH)]]&lt;&gt;"","x","")</f>
        <v/>
      </c>
      <c r="BH115" s="299">
        <f>VLOOKUP($O115,'INformazioni per calcoli'!$Y$20:$AA$23,3,FALSE)</f>
        <v>14</v>
      </c>
      <c r="BI115" s="299">
        <f>MROUND(Out_Table[[#This Row],[Mtr. Trailer]]*AB115,0.5)</f>
        <v>0</v>
      </c>
      <c r="BJ115" s="299">
        <f>MROUND(Out_Table[[#This Row],[Mtr. Trailer]]*AE115,0.5)</f>
        <v>0</v>
      </c>
      <c r="BK115" s="299">
        <f>MROUND(Out_Table[[#This Row],[Mtr. Trailer]]*AH115,0.5)</f>
        <v>0</v>
      </c>
      <c r="BL115" s="300">
        <f>Out_Table[[#This Row],[Double Deck trailer N° bumpers]]</f>
        <v>0</v>
      </c>
      <c r="BM115" s="301"/>
      <c r="BN115" s="299" t="str">
        <f>B115</f>
        <v>ITD12259</v>
      </c>
      <c r="BO115" s="299" t="str">
        <f>E115</f>
        <v>IBU</v>
      </c>
      <c r="BP115" s="302">
        <f>IF(AND(G115&gt;(--"00:00:01"),G115&lt;(--"15:00:00")),IF(AND(X115&gt;(--"00:00:01"),X115&lt;(--"15:00:00")),G115-X115,G115+1-X115),G115-X115)</f>
        <v>1.25</v>
      </c>
      <c r="BQ115" s="303">
        <f>AE115+AF115+AH115+AJ115</f>
        <v>0</v>
      </c>
      <c r="BR115" s="304" t="str">
        <f>IF(OR(BP115&lt;=(--"00:20:00"),BQ115&gt;=100%),"OK","Not OK")</f>
        <v>Not OK</v>
      </c>
      <c r="BS115" s="302">
        <f>IF(AND(G115&gt;(--"00:00:01"),G115&lt;(--"15:00:00")),IF(AND(AU115&gt;(--"00:00:01"),AU115&lt;(--"15:00:00")),G115-AU115,G115+1-AU115),G115-AU115)</f>
        <v>1.25</v>
      </c>
      <c r="BT115" s="302">
        <f>IF(AND(AZ115&gt;(--"00:00:01"),AZ115&lt;(--"15:00:00")),IF(AND(AU115&gt;(--"00:00:01"),AU115&lt;(--"15:00:00")),AZ115-AU115,AZ115+1-AU115),AZ115-AU115)</f>
        <v>0</v>
      </c>
      <c r="BU115" s="302">
        <f>IF(AND(BA115&gt;(--"00:00:01"),BA115&lt;(--"15:00:00")),IF(AND(AZ115&gt;(--"00:00:01"),AZ115&lt;(--"15:00:00")),BA115-AZ115,BA115+1-AZ115),BA115-AZ115)</f>
        <v>0</v>
      </c>
      <c r="BV115" s="299">
        <f>AV115</f>
        <v>0</v>
      </c>
      <c r="BW115" s="301"/>
      <c r="BX115" s="299" t="str">
        <f>IF(AV115="T Status",IF(AV115&lt;&gt;T115,"X",""),"")</f>
        <v/>
      </c>
      <c r="BY115" s="301"/>
      <c r="BZ115" s="299" t="str">
        <f>IF(X115&lt;&gt;"",IF(CC115="X","Driver Delay",IF(CA115="X","Paperwork Delay",IF(CB115="X","Late freight late sort",IF(CD115="X","Chiamare Control Room",IF(CE115="X","Chiamare Control Room",IF(CF115="X","Chiamare Control Room","")))))),"")</f>
        <v/>
      </c>
      <c r="CA115" s="302" t="str">
        <f>IF(K115="",IF(IF(AND(G115&gt;(--"00:00:01"),G115&lt;(--"15:00:00")),IF(AND(AT115&gt;(--"08:00:00"),AT115&lt;(--"23:59:59")),G115+1-AT115,G115-AT115),G115-AT115)&gt;(--"00:20:00"),"","X"),"")</f>
        <v/>
      </c>
      <c r="CB115" s="299" t="str">
        <f>IF(K115="",IF(BP115&gt;=(--"00:20:00"),"","X"),"")</f>
        <v/>
      </c>
      <c r="CC115" s="299" t="str">
        <f>IF(OR(AV115="Autista non presente",AV115="Dati driver non presenti"),"X","")</f>
        <v/>
      </c>
      <c r="CD115" s="299" t="str">
        <f>IF(K115="",IF(AND(CC115="",BS115&lt;(--"00:20:00")),"X",""),"")</f>
        <v/>
      </c>
      <c r="CE115" s="299" t="str">
        <f>IF(K115="",IF(BT115&gt;(--"00:15:00"),"X",""),IF(AZ115&lt;&gt;"",IF(G115-AZ115&gt;(--"00:30:00"),"X",""),""))</f>
        <v/>
      </c>
      <c r="CF115" s="299" t="str">
        <f>IF(AND(CA115="",CB115="",CC115="",CD115="",CE115=""),"X","")</f>
        <v>X</v>
      </c>
      <c r="CG115" s="301"/>
      <c r="CH115" s="299" t="str">
        <f>IF(BT115&gt;(--"00:15:00"),"X","")</f>
        <v/>
      </c>
      <c r="CI115" s="302" t="str">
        <f>AY115</f>
        <v/>
      </c>
      <c r="CJ115" s="299" t="str">
        <f>IF(AND(CH115&lt;&gt;"",CI115&lt;&gt;"",LEFT(B115,3)="ITD"),AP115,"")</f>
        <v/>
      </c>
      <c r="CK115" s="305" t="str">
        <f>IF(CJ115&lt;&gt;"",BT115,"")</f>
        <v/>
      </c>
      <c r="CL115" s="301"/>
      <c r="CM115" s="305" t="str">
        <f>IFERROR(VLOOKUP(Q115,'Elenco Casse'!$D$4:$F$292,3,FALSE),"")</f>
        <v/>
      </c>
      <c r="CN115" s="301"/>
      <c r="CO115" s="305" t="str">
        <f>IFERROR(VLOOKUP(S115,'Elenco Casse'!$D$4:$F$292,3,FALSE),"")</f>
        <v/>
      </c>
      <c r="CP115" s="305" t="str">
        <f>IFERROR(IF(VLOOKUP($E115,Outlist!$A$5:$S$120,19,FALSE)&lt;&gt;0,"Y",""),"")</f>
        <v/>
      </c>
      <c r="CQ115" s="301"/>
      <c r="CR115" s="305" t="str">
        <f>CONCATENATE($B115,$E115,$G115)</f>
        <v>ITD12259IBU0.25</v>
      </c>
      <c r="CS115" s="301"/>
      <c r="CT115" s="305" t="e">
        <f>VLOOKUP(Out_Table[[#This Row],[Destination             ORANGE (From Planning)]],Outlist!$A$5:$W$120,22,FALSE)</f>
        <v>#N/A</v>
      </c>
    </row>
    <row r="116" spans="1:98" s="20" customFormat="1" ht="30.75">
      <c r="A116" s="305" t="str">
        <f>$CR116</f>
        <v>ITD12300IBU0.1875</v>
      </c>
      <c r="B116" s="284" t="s">
        <v>861</v>
      </c>
      <c r="C116" s="290" t="str">
        <f>IFERROR(IF(LEFT(B116,3)='STAT 77'!$X$2,_xlfn.XLOOKUP(B116,'STAT 77'!C:C,'STAT 77'!B:B),_xlfn.XLOOKUP(B116,'STAT 77'!B:B,'STAT 77'!C:C)),"NON TROVATO")</f>
        <v>ITD31336</v>
      </c>
      <c r="D116" s="25" t="s">
        <v>862</v>
      </c>
      <c r="E116" s="290" t="s">
        <v>859</v>
      </c>
      <c r="F116" s="290" t="str">
        <f>IFERROR(VLOOKUP(E116,'Cambio O2P'!C:E,2,FALSE),"")</f>
        <v>DCIA</v>
      </c>
      <c r="G116" s="285">
        <v>0.1875</v>
      </c>
      <c r="H116" s="293" t="str">
        <f ca="1">IFERROR(IF(AND('INformazioni per calcoli'!$AB$3&lt;(--"14:30"),'INformazioni per calcoli'!$AB$3&gt;(--"10:00")),"",IF($B116="","",IF($X116&lt;&gt;"","Mezzo Chiuso",IF($W116="","Non al Carico",IF($G116-'INformazioni per calcoli'!$AB$5-'INformazioni per calcoli'!$AB$3+$J116&lt;0,"LFLS",IF($K116&lt;&gt;"","Safe Parking",IF($W116&lt;&gt;"",IF($E116="MXP",$G116-'INformazioni per calcoli'!$AB$6-'INformazioni per calcoli'!$AB$3+$J116,$G116-'INformazioni per calcoli'!$AB$5-'INformazioni per calcoli'!$AB$3+$J116),"Non al carico"))))))),"")</f>
        <v>Mezzo Chiuso</v>
      </c>
      <c r="I116" s="17" t="str">
        <f ca="1">IFERROR(IF($H116&lt;&gt;"",IF($H116="Safe Parking","",IF($W116&lt;&gt;"",IF(AND($U116="X",$V116="X"),$H116-(--"00:30"),""),IF($X116&lt;&gt;"","Mezzo Chiuso","Non al carico"))),""),"")</f>
        <v/>
      </c>
      <c r="J116" s="306">
        <f ca="1">IFERROR(IF($B116&lt;&gt;"",IF(AND('INformazioni per calcoli'!$AB$3&lt;(--"15:00"),'INformazioni per calcoli'!$AB$3&gt;(--"00:00")),0,IF($G116&lt;(--"18:30"),"+1",0)),""),"")</f>
        <v>0</v>
      </c>
      <c r="K116" s="17"/>
      <c r="L116" s="25" t="s">
        <v>427</v>
      </c>
      <c r="M116" s="25" t="str">
        <f>IFERROR(_xlfn.XLOOKUP($Q116,'Elenco Casse'!$D:$D,'Elenco Casse'!$E:$E),"")</f>
        <v/>
      </c>
      <c r="N116" s="25" t="str">
        <f>IFERROR(_xlfn.XLOOKUP($Q116,'Elenco Casse'!$D:$D,'Elenco Casse'!$F:$F),"")</f>
        <v/>
      </c>
      <c r="O116" s="286" t="s">
        <v>418</v>
      </c>
      <c r="P116" s="295" t="str">
        <f>IFERROR(_xlfn.XLOOKUP($Q116,'Elenco Casse'!$D:$D,'Elenco Casse'!$G:$G),"")</f>
        <v/>
      </c>
      <c r="Q116" s="355" t="s">
        <v>863</v>
      </c>
      <c r="R116" s="23" t="s">
        <v>420</v>
      </c>
      <c r="S116" s="25" t="s">
        <v>421</v>
      </c>
      <c r="T116" s="25" t="s">
        <v>432</v>
      </c>
      <c r="U116" s="23" t="str">
        <f>IF(ISNUMBER(SEARCH("Parcel",$T116)),"X","")</f>
        <v>X</v>
      </c>
      <c r="V116" s="23" t="str">
        <f>IF(ISNUMBER(SEARCH("Freight",$T116)),"X","")</f>
        <v/>
      </c>
      <c r="W116" s="26">
        <v>449</v>
      </c>
      <c r="X116" s="27">
        <v>5.5555555555555558E-3</v>
      </c>
      <c r="Y116" s="25" t="s">
        <v>864</v>
      </c>
      <c r="Z116" s="25"/>
      <c r="AA116" s="25" t="s">
        <v>40</v>
      </c>
      <c r="AB116" s="57">
        <v>1</v>
      </c>
      <c r="AC116" s="25"/>
      <c r="AD116" s="25"/>
      <c r="AE116" s="57"/>
      <c r="AF116" s="57"/>
      <c r="AG116" s="25"/>
      <c r="AH116" s="57"/>
      <c r="AI116" s="339">
        <v>10</v>
      </c>
      <c r="AJ116" s="339"/>
      <c r="AK116" s="297" t="str">
        <f>IF(X116&lt;&gt;"",CONCATENATE(IF(AA116&lt;&gt;"",CONCATENATE(Z116," ",AA116," ",BI116),""),IF(AD116&lt;&gt;"",CONCATENATE(","," ",AC116," ",AD116," ",BJ116),""),IF(AG116&lt;&gt;"",CONCATENATE(","," ",AF116," ",AG116," ",BK116),""),IF(AJ116&lt;&gt;"",CONCATENATE(","," ","DD"," ",BL116),"")," ",IF(AI116&lt;&gt;"",CONCATENATE(" - ",AI116," Bag"),"")),"")</f>
        <v xml:space="preserve"> LL 14  - 10 Bag</v>
      </c>
      <c r="AL116" s="287" t="s">
        <v>421</v>
      </c>
      <c r="AM116" s="287"/>
      <c r="AN116" s="287"/>
      <c r="AO116" s="287"/>
      <c r="AP116" s="370" t="str">
        <f>IFERROR(VLOOKUP(#REF!,Outlist!$A$5:$V$120,20,FALSE),"")</f>
        <v/>
      </c>
      <c r="AQ116" s="288" t="str">
        <f>IFERROR(IF(VLOOKUP($A116,#REF!,8,FALSE)&lt;&gt;"",VLOOKUP($A116,#REF!,8,FALSE),""),"")</f>
        <v/>
      </c>
      <c r="AS116" s="24"/>
      <c r="AT116" s="24">
        <v>0.59236111111111112</v>
      </c>
      <c r="AU116" s="27"/>
      <c r="AV116" s="27"/>
      <c r="AX116" s="20" t="str">
        <f>IFERROR(IF(Out_Table[[#This Row],[Cancellazione linea]]="Cancellata","yes",""),"")</f>
        <v/>
      </c>
      <c r="AY116" s="72" t="str">
        <f>IF(BA116="",BZ116,IF(AND(BA116&lt;(--"23:59:59"),BA116&gt;(--"15:00:00"),G116&lt;(--"14:00:00"),G116&gt;(--"00:00:01")),"",IF(BA116&gt;G116,BZ116,"")))</f>
        <v>Chiamare Control Room</v>
      </c>
      <c r="AZ116" s="27"/>
      <c r="BA116" s="32"/>
      <c r="BB116" s="72"/>
      <c r="BC116" s="72" t="str">
        <f>IFERROR(VLOOKUP(Out_Table[[#This Row],[Aggiornamento STATUS]],'INformazioni per calcoli'!$Y$70:$AA$76,2,FALSE),"")</f>
        <v/>
      </c>
      <c r="BD116" s="289"/>
      <c r="BE116" s="289"/>
      <c r="BF116" s="47" t="str">
        <f>LEFT($E116,3)</f>
        <v>IBU</v>
      </c>
      <c r="BG116" s="298" t="str">
        <f>IF(Out_Table[[#This Row],[Ora Uscita    (GH)]]&lt;&gt;"","x","")</f>
        <v/>
      </c>
      <c r="BH116" s="299">
        <f>VLOOKUP($O116,'INformazioni per calcoli'!$Y$20:$AA$23,3,FALSE)</f>
        <v>14</v>
      </c>
      <c r="BI116" s="299">
        <f>MROUND(Out_Table[[#This Row],[Mtr. Trailer]]*AB116,0.5)</f>
        <v>14</v>
      </c>
      <c r="BJ116" s="299">
        <f>MROUND(Out_Table[[#This Row],[Mtr. Trailer]]*AE116,0.5)</f>
        <v>0</v>
      </c>
      <c r="BK116" s="299">
        <f>MROUND(Out_Table[[#This Row],[Mtr. Trailer]]*AH116,0.5)</f>
        <v>0</v>
      </c>
      <c r="BL116" s="300">
        <f>Out_Table[[#This Row],[Double Deck trailer N° bumpers]]</f>
        <v>0</v>
      </c>
      <c r="BM116" s="301"/>
      <c r="BN116" s="299" t="str">
        <f>B116</f>
        <v>ITD12300</v>
      </c>
      <c r="BO116" s="299" t="str">
        <f>E116</f>
        <v>IBU</v>
      </c>
      <c r="BP116" s="302">
        <f>IF(AND(G116&gt;(--"00:00:01"),G116&lt;(--"15:00:00")),IF(AND(X116&gt;(--"00:00:01"),X116&lt;(--"15:00:00")),G116-X116,G116+1-X116),G116-X116)</f>
        <v>0.18194444444444444</v>
      </c>
      <c r="BQ116" s="303">
        <f>AE116+AF116+AH116+AJ116</f>
        <v>0</v>
      </c>
      <c r="BR116" s="304" t="str">
        <f>IF(OR(BP116&lt;=(--"00:20:00"),BQ116&gt;=100%),"OK","Not OK")</f>
        <v>Not OK</v>
      </c>
      <c r="BS116" s="302">
        <f>IF(AND(G116&gt;(--"00:00:01"),G116&lt;(--"15:00:00")),IF(AND(AU116&gt;(--"00:00:01"),AU116&lt;(--"15:00:00")),G116-AU116,G116+1-AU116),G116-AU116)</f>
        <v>1.1875</v>
      </c>
      <c r="BT116" s="302">
        <f>IF(AND(AZ116&gt;(--"00:00:01"),AZ116&lt;(--"15:00:00")),IF(AND(AU116&gt;(--"00:00:01"),AU116&lt;(--"15:00:00")),AZ116-AU116,AZ116+1-AU116),AZ116-AU116)</f>
        <v>0</v>
      </c>
      <c r="BU116" s="302">
        <f>IF(AND(BA116&gt;(--"00:00:01"),BA116&lt;(--"15:00:00")),IF(AND(AZ116&gt;(--"00:00:01"),AZ116&lt;(--"15:00:00")),BA116-AZ116,BA116+1-AZ116),BA116-AZ116)</f>
        <v>0</v>
      </c>
      <c r="BV116" s="299">
        <f>AV116</f>
        <v>0</v>
      </c>
      <c r="BW116" s="301"/>
      <c r="BX116" s="299" t="str">
        <f>IF(AV116="T Status",IF(AV116&lt;&gt;T116,"X",""),"")</f>
        <v/>
      </c>
      <c r="BY116" s="301"/>
      <c r="BZ116" s="299" t="str">
        <f>IF(X116&lt;&gt;"",IF(CC116="X","Driver Delay",IF(CA116="X","Paperwork Delay",IF(CB116="X","Late freight late sort",IF(CD116="X","Chiamare Control Room",IF(CE116="X","Chiamare Control Room",IF(CF116="X","Chiamare Control Room","")))))),"")</f>
        <v>Chiamare Control Room</v>
      </c>
      <c r="CA116" s="302" t="str">
        <f>IF(K116="",IF(IF(AND(G116&gt;(--"00:00:01"),G116&lt;(--"15:00:00")),IF(AND(AT116&gt;(--"08:00:00"),AT116&lt;(--"23:59:59")),G116+1-AT116,G116-AT116),G116-AT116)&gt;(--"00:20:00"),"","X"),"")</f>
        <v/>
      </c>
      <c r="CB116" s="299" t="str">
        <f>IF(K116="",IF(BP116&gt;=(--"00:20:00"),"","X"),"")</f>
        <v/>
      </c>
      <c r="CC116" s="299" t="str">
        <f>IF(OR(AV116="Autista non presente",AV116="Dati driver non presenti"),"X","")</f>
        <v/>
      </c>
      <c r="CD116" s="299" t="str">
        <f>IF(K116="",IF(AND(CC116="",BS116&lt;(--"00:20:00")),"X",""),"")</f>
        <v/>
      </c>
      <c r="CE116" s="299" t="str">
        <f>IF(K116="",IF(BT116&gt;(--"00:15:00"),"X",""),IF(AZ116&lt;&gt;"",IF(G116-AZ116&gt;(--"00:30:00"),"X",""),""))</f>
        <v/>
      </c>
      <c r="CF116" s="299" t="str">
        <f>IF(AND(CA116="",CB116="",CC116="",CD116="",CE116=""),"X","")</f>
        <v>X</v>
      </c>
      <c r="CG116" s="301"/>
      <c r="CH116" s="299" t="str">
        <f>IF(BT116&gt;(--"00:15:00"),"X","")</f>
        <v/>
      </c>
      <c r="CI116" s="302" t="str">
        <f>AY116</f>
        <v>Chiamare Control Room</v>
      </c>
      <c r="CJ116" s="299" t="str">
        <f>IF(AND(CH116&lt;&gt;"",CI116&lt;&gt;"",LEFT(B116,3)="ITD"),AP116,"")</f>
        <v/>
      </c>
      <c r="CK116" s="305" t="str">
        <f>IF(CJ116&lt;&gt;"",BT116,"")</f>
        <v/>
      </c>
      <c r="CL116" s="301"/>
      <c r="CM116" s="305" t="str">
        <f>IFERROR(VLOOKUP(Q116,'Elenco Casse'!$D$4:$F$292,3,FALSE),"")</f>
        <v/>
      </c>
      <c r="CN116" s="301"/>
      <c r="CO116" s="305" t="str">
        <f>IFERROR(VLOOKUP(S116,'Elenco Casse'!$D$4:$F$292,3,FALSE),"")</f>
        <v/>
      </c>
      <c r="CP116" s="305" t="str">
        <f>IFERROR(IF(VLOOKUP($E116,Outlist!$A$5:$S$120,19,FALSE)&lt;&gt;0,"Y",""),"")</f>
        <v/>
      </c>
      <c r="CQ116" s="301"/>
      <c r="CR116" s="305" t="str">
        <f>CONCATENATE($B116,$E116,$G116)</f>
        <v>ITD12300IBU0.1875</v>
      </c>
      <c r="CS116" s="301"/>
      <c r="CT116" s="305" t="e">
        <f>VLOOKUP(Out_Table[[#This Row],[Destination             ORANGE (From Planning)]],Outlist!$A$5:$W$120,22,FALSE)</f>
        <v>#N/A</v>
      </c>
    </row>
    <row r="117" spans="1:98" s="20" customFormat="1" ht="30.75">
      <c r="A117" s="305" t="str">
        <f>$CR117</f>
        <v>ITD12393ICM0.1875</v>
      </c>
      <c r="B117" s="284" t="s">
        <v>865</v>
      </c>
      <c r="C117" s="290" t="str">
        <f>IFERROR(IF(LEFT(B117,3)='STAT 77'!$X$2,_xlfn.XLOOKUP(B117,'STAT 77'!C:C,'STAT 77'!B:B),_xlfn.XLOOKUP(B117,'STAT 77'!B:B,'STAT 77'!C:C)),"NON TROVATO")</f>
        <v>ITD31540</v>
      </c>
      <c r="D117" s="25" t="s">
        <v>866</v>
      </c>
      <c r="E117" s="290" t="s">
        <v>867</v>
      </c>
      <c r="F117" s="290" t="str">
        <f>IFERROR(VLOOKUP(E117,'Cambio O2P'!C:E,2,FALSE),"")</f>
        <v>FIRA</v>
      </c>
      <c r="G117" s="285">
        <v>0.1875</v>
      </c>
      <c r="H117" s="293" t="str">
        <f ca="1">IFERROR(IF(AND('INformazioni per calcoli'!$AB$3&lt;(--"14:30"),'INformazioni per calcoli'!$AB$3&gt;(--"10:00")),"",IF($B117="","",IF($X117&lt;&gt;"","Mezzo Chiuso",IF($W117="","Non al Carico",IF($G117-'INformazioni per calcoli'!$AB$5-'INformazioni per calcoli'!$AB$3+$J117&lt;0,"LFLS",IF($K117&lt;&gt;"","Safe Parking",IF($W117&lt;&gt;"",IF($E117="MXP",$G117-'INformazioni per calcoli'!$AB$6-'INformazioni per calcoli'!$AB$3+$J117,$G117-'INformazioni per calcoli'!$AB$5-'INformazioni per calcoli'!$AB$3+$J117),"Non al carico"))))))),"")</f>
        <v>Mezzo Chiuso</v>
      </c>
      <c r="I117" s="17" t="str">
        <f ca="1">IFERROR(IF($H117&lt;&gt;"",IF($H117="Safe Parking","",IF($W117&lt;&gt;"",IF(AND($U117="X",$V117="X"),$H117-(--"00:30"),""),IF($X117&lt;&gt;"","Mezzo Chiuso","Non al carico"))),""),"")</f>
        <v/>
      </c>
      <c r="J117" s="306">
        <f ca="1">IFERROR(IF($B117&lt;&gt;"",IF(AND('INformazioni per calcoli'!$AB$3&lt;(--"15:00"),'INformazioni per calcoli'!$AB$3&gt;(--"00:00")),0,IF($G117&lt;(--"18:30"),"+1",0)),""),"")</f>
        <v>0</v>
      </c>
      <c r="K117" s="17"/>
      <c r="L117" s="25" t="s">
        <v>430</v>
      </c>
      <c r="M117" s="25" t="str">
        <f>IFERROR(_xlfn.XLOOKUP($Q117,'Elenco Casse'!$D:$D,'Elenco Casse'!$E:$E),"")</f>
        <v>Trans Speedy S.R.L</v>
      </c>
      <c r="N117" s="25">
        <f>IFERROR(_xlfn.XLOOKUP($Q117,'Elenco Casse'!$D:$D,'Elenco Casse'!$F:$F),"")</f>
        <v>0</v>
      </c>
      <c r="O117" s="286" t="s">
        <v>418</v>
      </c>
      <c r="P117" s="295" t="str">
        <f>IFERROR(_xlfn.XLOOKUP($Q117,'Elenco Casse'!$D:$D,'Elenco Casse'!$G:$G),"")</f>
        <v>trailer 80 m3 2/3 axles</v>
      </c>
      <c r="Q117" s="355" t="s">
        <v>868</v>
      </c>
      <c r="R117" s="23" t="s">
        <v>420</v>
      </c>
      <c r="S117" s="25" t="s">
        <v>421</v>
      </c>
      <c r="T117" s="25" t="s">
        <v>432</v>
      </c>
      <c r="U117" s="23" t="str">
        <f>IF(ISNUMBER(SEARCH("Parcel",$T117)),"X","")</f>
        <v>X</v>
      </c>
      <c r="V117" s="23" t="str">
        <f>IF(ISNUMBER(SEARCH("Freight",$T117)),"X","")</f>
        <v/>
      </c>
      <c r="W117" s="26">
        <v>450</v>
      </c>
      <c r="X117" s="27">
        <v>8.611111111111111E-2</v>
      </c>
      <c r="Y117" s="25" t="s">
        <v>869</v>
      </c>
      <c r="Z117" s="25"/>
      <c r="AA117" s="25" t="s">
        <v>40</v>
      </c>
      <c r="AB117" s="57">
        <v>1</v>
      </c>
      <c r="AC117" s="25"/>
      <c r="AD117" s="25"/>
      <c r="AE117" s="57"/>
      <c r="AF117" s="57"/>
      <c r="AG117" s="25"/>
      <c r="AH117" s="57"/>
      <c r="AI117" s="339">
        <v>15</v>
      </c>
      <c r="AJ117" s="339"/>
      <c r="AK117" s="297" t="str">
        <f>IF(X117&lt;&gt;"",CONCATENATE(IF(AA117&lt;&gt;"",CONCATENATE(Z117," ",AA117," ",BI117),""),IF(AD117&lt;&gt;"",CONCATENATE(","," ",AC117," ",AD117," ",BJ117),""),IF(AG117&lt;&gt;"",CONCATENATE(","," ",AF117," ",AG117," ",BK117),""),IF(AJ117&lt;&gt;"",CONCATENATE(","," ","DD"," ",BL117),"")," ",IF(AI117&lt;&gt;"",CONCATENATE(" - ",AI117," Bag"),"")),"")</f>
        <v xml:space="preserve"> LL 14  - 15 Bag</v>
      </c>
      <c r="AL117" s="287" t="s">
        <v>870</v>
      </c>
      <c r="AM117" s="287"/>
      <c r="AN117" s="287"/>
      <c r="AO117" s="287"/>
      <c r="AP117" s="370" t="str">
        <f>IFERROR(VLOOKUP(#REF!,Outlist!$A$5:$V$120,20,FALSE),"")</f>
        <v/>
      </c>
      <c r="AQ117" s="288" t="s">
        <v>871</v>
      </c>
      <c r="AS117" s="24"/>
      <c r="AT117" s="24">
        <v>0.94027777777777777</v>
      </c>
      <c r="AU117" s="27">
        <v>0.13194444444444445</v>
      </c>
      <c r="AV117" s="27"/>
      <c r="AX117" s="20" t="str">
        <f>IFERROR(IF(Out_Table[[#This Row],[Cancellazione linea]]="Cancellata","yes",""),"")</f>
        <v/>
      </c>
      <c r="AY117" s="72" t="str">
        <f>IF(BA117="",BZ117,IF(AND(BA117&lt;(--"23:59:59"),BA117&gt;(--"15:00:00"),G117&lt;(--"14:00:00"),G117&gt;(--"00:00:01")),"",IF(BA117&gt;G117,BZ117,"")))</f>
        <v/>
      </c>
      <c r="AZ117" s="27">
        <v>0.13472222222222222</v>
      </c>
      <c r="BA117" s="32">
        <v>0.14374999999999999</v>
      </c>
      <c r="BB117" s="72"/>
      <c r="BC117" s="72" t="str">
        <f>IFERROR(VLOOKUP(Out_Table[[#This Row],[Aggiornamento STATUS]],'INformazioni per calcoli'!$Y$70:$AA$76,2,FALSE),"")</f>
        <v/>
      </c>
      <c r="BD117" s="289"/>
      <c r="BE117" s="289"/>
      <c r="BF117" s="47" t="str">
        <f>LEFT($E117,3)</f>
        <v>ICM</v>
      </c>
      <c r="BG117" s="298" t="str">
        <f>IF(Out_Table[[#This Row],[Ora Uscita    (GH)]]&lt;&gt;"","x","")</f>
        <v>x</v>
      </c>
      <c r="BH117" s="299">
        <f>VLOOKUP($O117,'INformazioni per calcoli'!$Y$20:$AA$23,3,FALSE)</f>
        <v>14</v>
      </c>
      <c r="BI117" s="299">
        <f>MROUND(Out_Table[[#This Row],[Mtr. Trailer]]*AB117,0.5)</f>
        <v>14</v>
      </c>
      <c r="BJ117" s="299">
        <f>MROUND(Out_Table[[#This Row],[Mtr. Trailer]]*AE117,0.5)</f>
        <v>0</v>
      </c>
      <c r="BK117" s="299">
        <f>MROUND(Out_Table[[#This Row],[Mtr. Trailer]]*AH117,0.5)</f>
        <v>0</v>
      </c>
      <c r="BL117" s="300">
        <f>Out_Table[[#This Row],[Double Deck trailer N° bumpers]]</f>
        <v>0</v>
      </c>
      <c r="BM117" s="301"/>
      <c r="BN117" s="299" t="str">
        <f>B117</f>
        <v>ITD12393</v>
      </c>
      <c r="BO117" s="299" t="str">
        <f>E117</f>
        <v>ICM</v>
      </c>
      <c r="BP117" s="302">
        <f>IF(AND(G117&gt;(--"00:00:01"),G117&lt;(--"15:00:00")),IF(AND(X117&gt;(--"00:00:01"),X117&lt;(--"15:00:00")),G117-X117,G117+1-X117),G117-X117)</f>
        <v>0.10138888888888889</v>
      </c>
      <c r="BQ117" s="303">
        <f>AE117+AF117+AH117+AJ117</f>
        <v>0</v>
      </c>
      <c r="BR117" s="304" t="str">
        <f>IF(OR(BP117&lt;=(--"00:20:00"),BQ117&gt;=100%),"OK","Not OK")</f>
        <v>Not OK</v>
      </c>
      <c r="BS117" s="302">
        <f>IF(AND(G117&gt;(--"00:00:01"),G117&lt;(--"15:00:00")),IF(AND(AU117&gt;(--"00:00:01"),AU117&lt;(--"15:00:00")),G117-AU117,G117+1-AU117),G117-AU117)</f>
        <v>5.5555555555555552E-2</v>
      </c>
      <c r="BT117" s="302">
        <f>IF(AND(AZ117&gt;(--"00:00:01"),AZ117&lt;(--"15:00:00")),IF(AND(AU117&gt;(--"00:00:01"),AU117&lt;(--"15:00:00")),AZ117-AU117,AZ117+1-AU117),AZ117-AU117)</f>
        <v>2.7777777777777679E-3</v>
      </c>
      <c r="BU117" s="302">
        <f>IF(AND(BA117&gt;(--"00:00:01"),BA117&lt;(--"15:00:00")),IF(AND(AZ117&gt;(--"00:00:01"),AZ117&lt;(--"15:00:00")),BA117-AZ117,BA117+1-AZ117),BA117-AZ117)</f>
        <v>9.0277777777777735E-3</v>
      </c>
      <c r="BV117" s="299">
        <f>AV117</f>
        <v>0</v>
      </c>
      <c r="BW117" s="301"/>
      <c r="BX117" s="299" t="str">
        <f>IF(AV117="T Status",IF(AV117&lt;&gt;T117,"X",""),"")</f>
        <v/>
      </c>
      <c r="BY117" s="301"/>
      <c r="BZ117" s="299" t="str">
        <f>IF(X117&lt;&gt;"",IF(CC117="X","Driver Delay",IF(CA117="X","Paperwork Delay",IF(CB117="X","Late freight late sort",IF(CD117="X","Chiamare Control Room",IF(CE117="X","Chiamare Control Room",IF(CF117="X","Chiamare Control Room","")))))),"")</f>
        <v>Chiamare Control Room</v>
      </c>
      <c r="CA117" s="302" t="str">
        <f>IF(K117="",IF(IF(AND(G117&gt;(--"00:00:01"),G117&lt;(--"15:00:00")),IF(AND(AT117&gt;(--"08:00:00"),AT117&lt;(--"23:59:59")),G117+1-AT117,G117-AT117),G117-AT117)&gt;(--"00:20:00"),"","X"),"")</f>
        <v/>
      </c>
      <c r="CB117" s="299" t="str">
        <f>IF(K117="",IF(BP117&gt;=(--"00:20:00"),"","X"),"")</f>
        <v/>
      </c>
      <c r="CC117" s="299" t="str">
        <f>IF(OR(AV117="Autista non presente",AV117="Dati driver non presenti"),"X","")</f>
        <v/>
      </c>
      <c r="CD117" s="299" t="str">
        <f>IF(K117="",IF(AND(CC117="",BS117&lt;(--"00:20:00")),"X",""),"")</f>
        <v/>
      </c>
      <c r="CE117" s="299" t="str">
        <f>IF(K117="",IF(BT117&gt;(--"00:15:00"),"X",""),IF(AZ117&lt;&gt;"",IF(G117-AZ117&gt;(--"00:30:00"),"X",""),""))</f>
        <v/>
      </c>
      <c r="CF117" s="299" t="str">
        <f>IF(AND(CA117="",CB117="",CC117="",CD117="",CE117=""),"X","")</f>
        <v>X</v>
      </c>
      <c r="CG117" s="301"/>
      <c r="CH117" s="299" t="str">
        <f>IF(BT117&gt;(--"00:15:00"),"X","")</f>
        <v/>
      </c>
      <c r="CI117" s="302" t="str">
        <f>AY117</f>
        <v/>
      </c>
      <c r="CJ117" s="299" t="str">
        <f>IF(AND(CH117&lt;&gt;"",CI117&lt;&gt;"",LEFT(B117,3)="ITD"),AP117,"")</f>
        <v/>
      </c>
      <c r="CK117" s="305" t="str">
        <f>IF(CJ117&lt;&gt;"",BT117,"")</f>
        <v/>
      </c>
      <c r="CL117" s="301"/>
      <c r="CM117" s="305" t="str">
        <f>IFERROR(VLOOKUP(Q117,'Elenco Casse'!$D$4:$F$292,3,FALSE),"")</f>
        <v/>
      </c>
      <c r="CN117" s="301"/>
      <c r="CO117" s="305" t="str">
        <f>IFERROR(VLOOKUP(S117,'Elenco Casse'!$D$4:$F$292,3,FALSE),"")</f>
        <v/>
      </c>
      <c r="CP117" s="305" t="str">
        <f>IFERROR(IF(VLOOKUP($E117,Outlist!$A$5:$S$120,19,FALSE)&lt;&gt;0,"Y",""),"")</f>
        <v/>
      </c>
      <c r="CQ117" s="301"/>
      <c r="CR117" s="305" t="str">
        <f>CONCATENATE($B117,$E117,$G117)</f>
        <v>ITD12393ICM0.1875</v>
      </c>
      <c r="CS117" s="301"/>
      <c r="CT117" s="305" t="e">
        <f>VLOOKUP(Out_Table[[#This Row],[Destination             ORANGE (From Planning)]],Outlist!$A$5:$W$120,22,FALSE)</f>
        <v>#N/A</v>
      </c>
    </row>
    <row r="118" spans="1:98" s="20" customFormat="1" ht="30.75">
      <c r="A118" s="305" t="str">
        <f>$CR118</f>
        <v>ITD12763RNV0.25</v>
      </c>
      <c r="B118" s="284" t="s">
        <v>872</v>
      </c>
      <c r="C118" s="290" t="str">
        <f>IFERROR(IF(LEFT(B118,3)='STAT 77'!$X$2,_xlfn.XLOOKUP(B118,'STAT 77'!C:C,'STAT 77'!B:B),_xlfn.XLOOKUP(B118,'STAT 77'!B:B,'STAT 77'!C:C)),"NON TROVATO")</f>
        <v>ITD32262</v>
      </c>
      <c r="D118" s="25" t="s">
        <v>873</v>
      </c>
      <c r="E118" s="290" t="s">
        <v>874</v>
      </c>
      <c r="F118" s="290" t="str">
        <f>IFERROR(VLOOKUP(E118,'Cambio O2P'!C:E,2,FALSE),"")</f>
        <v>QEAA</v>
      </c>
      <c r="G118" s="285">
        <v>0.25</v>
      </c>
      <c r="H118" s="293" t="str">
        <f ca="1">IFERROR(IF(AND('INformazioni per calcoli'!$AB$3&lt;(--"14:30"),'INformazioni per calcoli'!$AB$3&gt;(--"10:00")),"",IF($B118="","",IF($X118&lt;&gt;"","Mezzo Chiuso",IF($W118="","Non al Carico",IF($G118-'INformazioni per calcoli'!$AB$5-'INformazioni per calcoli'!$AB$3+$J118&lt;0,"LFLS",IF($K118&lt;&gt;"","Safe Parking",IF($W118&lt;&gt;"",IF($E118="MXP",$G118-'INformazioni per calcoli'!$AB$6-'INformazioni per calcoli'!$AB$3+$J118,$G118-'INformazioni per calcoli'!$AB$5-'INformazioni per calcoli'!$AB$3+$J118),"Non al carico"))))))),"")</f>
        <v>Mezzo Chiuso</v>
      </c>
      <c r="I118" s="17" t="str">
        <f ca="1">IFERROR(IF($H118&lt;&gt;"",IF($H118="Safe Parking","",IF($W118&lt;&gt;"",IF(AND($U118="X",$V118="X"),$H118-(--"00:30"),""),IF($X118&lt;&gt;"","Mezzo Chiuso","Non al carico"))),""),"")</f>
        <v/>
      </c>
      <c r="J118" s="306">
        <f ca="1">IFERROR(IF($B118&lt;&gt;"",IF(AND('INformazioni per calcoli'!$AB$3&lt;(--"15:00"),'INformazioni per calcoli'!$AB$3&gt;(--"00:00")),0,IF($G118&lt;(--"18:30"),"+1",0)),""),"")</f>
        <v>0</v>
      </c>
      <c r="K118" s="17"/>
      <c r="L118" s="25" t="s">
        <v>752</v>
      </c>
      <c r="M118" s="25" t="str">
        <f>IFERROR(_xlfn.XLOOKUP($Q118,'Elenco Casse'!$D:$D,'Elenco Casse'!$E:$E),"")</f>
        <v/>
      </c>
      <c r="N118" s="25" t="str">
        <f>IFERROR(_xlfn.XLOOKUP($Q118,'Elenco Casse'!$D:$D,'Elenco Casse'!$F:$F),"")</f>
        <v/>
      </c>
      <c r="O118" s="286" t="s">
        <v>418</v>
      </c>
      <c r="P118" s="295" t="str">
        <f>IFERROR(_xlfn.XLOOKUP($Q118,'Elenco Casse'!$D:$D,'Elenco Casse'!$G:$G),"")</f>
        <v/>
      </c>
      <c r="Q118" s="355" t="s">
        <v>875</v>
      </c>
      <c r="R118" s="23" t="s">
        <v>420</v>
      </c>
      <c r="S118" s="25" t="s">
        <v>421</v>
      </c>
      <c r="T118" s="25" t="s">
        <v>432</v>
      </c>
      <c r="U118" s="23" t="str">
        <f>IF(ISNUMBER(SEARCH("Parcel",$T118)),"X","")</f>
        <v>X</v>
      </c>
      <c r="V118" s="23"/>
      <c r="W118" s="26">
        <v>451</v>
      </c>
      <c r="X118" s="27">
        <v>5.5555555555555552E-2</v>
      </c>
      <c r="Y118" s="25" t="s">
        <v>876</v>
      </c>
      <c r="Z118" s="25"/>
      <c r="AA118" s="25" t="s">
        <v>40</v>
      </c>
      <c r="AB118" s="57">
        <v>1</v>
      </c>
      <c r="AC118" s="25"/>
      <c r="AD118" s="25"/>
      <c r="AE118" s="57"/>
      <c r="AF118" s="57"/>
      <c r="AG118" s="25"/>
      <c r="AH118" s="57"/>
      <c r="AI118" s="339">
        <v>11</v>
      </c>
      <c r="AJ118" s="339"/>
      <c r="AK118" s="297" t="str">
        <f>IF(X118&lt;&gt;"",CONCATENATE(IF(AA118&lt;&gt;"",CONCATENATE(Z118," ",AA118," ",BI118),""),IF(AD118&lt;&gt;"",CONCATENATE(","," ",AC118," ",AD118," ",BJ118),""),IF(AG118&lt;&gt;"",CONCATENATE(","," ",AF118," ",AG118," ",BK118),""),IF(AJ118&lt;&gt;"",CONCATENATE(","," ","DD"," ",BL118),"")," ",IF(AI118&lt;&gt;"",CONCATENATE(" - ",AI118," Bag"),"")),"")</f>
        <v xml:space="preserve"> LL 14  - 11 Bag</v>
      </c>
      <c r="AL118" s="287" t="s">
        <v>421</v>
      </c>
      <c r="AM118" s="287"/>
      <c r="AN118" s="287"/>
      <c r="AO118" s="287"/>
      <c r="AP118" s="370" t="str">
        <f>IFERROR(VLOOKUP($E115,Outlist!$A$5:$V$120,20,FALSE),"")</f>
        <v/>
      </c>
      <c r="AQ118" s="288" t="str">
        <f>IFERROR(IF(VLOOKUP($A118,#REF!,8,FALSE)&lt;&gt;"",VLOOKUP($A118,#REF!,8,FALSE),""),"")</f>
        <v/>
      </c>
      <c r="AS118" s="24"/>
      <c r="AT118" s="24">
        <v>0.4597222222222222</v>
      </c>
      <c r="AU118" s="27"/>
      <c r="AV118" s="27"/>
      <c r="AX118" s="20" t="str">
        <f>IFERROR(IF(Out_Table[[#This Row],[Cancellazione linea]]="Cancellata","yes",""),"")</f>
        <v/>
      </c>
      <c r="AY118" s="72" t="str">
        <f>IF(BA118="",BZ118,IF(AND(BA118&lt;(--"23:59:59"),BA118&gt;(--"15:00:00"),G118&lt;(--"14:00:00"),G118&gt;(--"00:00:01")),"",IF(BA118&gt;G118,BZ118,"")))</f>
        <v>Chiamare Control Room</v>
      </c>
      <c r="AZ118" s="27"/>
      <c r="BA118" s="32"/>
      <c r="BB118" s="72"/>
      <c r="BC118" s="72" t="str">
        <f>IFERROR(VLOOKUP(Out_Table[[#This Row],[Aggiornamento STATUS]],'INformazioni per calcoli'!$Y$70:$AA$76,2,FALSE),"")</f>
        <v/>
      </c>
      <c r="BD118" s="289"/>
      <c r="BE118" s="289"/>
      <c r="BF118" s="47" t="str">
        <f>LEFT($E118,3)</f>
        <v>RNV</v>
      </c>
      <c r="BG118" s="298" t="str">
        <f>IF(Out_Table[[#This Row],[Ora Uscita    (GH)]]&lt;&gt;"","x","")</f>
        <v/>
      </c>
      <c r="BH118" s="299">
        <f>VLOOKUP($O118,'INformazioni per calcoli'!$Y$20:$AA$23,3,FALSE)</f>
        <v>14</v>
      </c>
      <c r="BI118" s="299">
        <f>MROUND(Out_Table[[#This Row],[Mtr. Trailer]]*AB118,0.5)</f>
        <v>14</v>
      </c>
      <c r="BJ118" s="299">
        <f>MROUND(Out_Table[[#This Row],[Mtr. Trailer]]*AE118,0.5)</f>
        <v>0</v>
      </c>
      <c r="BK118" s="299">
        <f>MROUND(Out_Table[[#This Row],[Mtr. Trailer]]*AH118,0.5)</f>
        <v>0</v>
      </c>
      <c r="BL118" s="300">
        <f>Out_Table[[#This Row],[Double Deck trailer N° bumpers]]</f>
        <v>0</v>
      </c>
      <c r="BM118" s="301"/>
      <c r="BN118" s="299" t="str">
        <f>B118</f>
        <v>ITD12763</v>
      </c>
      <c r="BO118" s="299" t="str">
        <f>E118</f>
        <v>RNV</v>
      </c>
      <c r="BP118" s="302">
        <f>IF(AND(G118&gt;(--"00:00:01"),G118&lt;(--"15:00:00")),IF(AND(X118&gt;(--"00:00:01"),X118&lt;(--"15:00:00")),G118-X118,G118+1-X118),G118-X118)</f>
        <v>0.19444444444444445</v>
      </c>
      <c r="BQ118" s="303">
        <f>AE118+AF118+AH118+AJ118</f>
        <v>0</v>
      </c>
      <c r="BR118" s="304" t="str">
        <f>IF(OR(BP118&lt;=(--"00:20:00"),BQ118&gt;=100%),"OK","Not OK")</f>
        <v>Not OK</v>
      </c>
      <c r="BS118" s="302">
        <f>IF(AND(G118&gt;(--"00:00:01"),G118&lt;(--"15:00:00")),IF(AND(AU118&gt;(--"00:00:01"),AU118&lt;(--"15:00:00")),G118-AU118,G118+1-AU118),G118-AU118)</f>
        <v>1.25</v>
      </c>
      <c r="BT118" s="302">
        <f>IF(AND(AZ118&gt;(--"00:00:01"),AZ118&lt;(--"15:00:00")),IF(AND(AU118&gt;(--"00:00:01"),AU118&lt;(--"15:00:00")),AZ118-AU118,AZ118+1-AU118),AZ118-AU118)</f>
        <v>0</v>
      </c>
      <c r="BU118" s="302">
        <f>IF(AND(BA118&gt;(--"00:00:01"),BA118&lt;(--"15:00:00")),IF(AND(AZ118&gt;(--"00:00:01"),AZ118&lt;(--"15:00:00")),BA118-AZ118,BA118+1-AZ118),BA118-AZ118)</f>
        <v>0</v>
      </c>
      <c r="BV118" s="299">
        <f>AV118</f>
        <v>0</v>
      </c>
      <c r="BW118" s="301"/>
      <c r="BX118" s="299" t="str">
        <f>IF(AV118="T Status",IF(AV118&lt;&gt;T118,"X",""),"")</f>
        <v/>
      </c>
      <c r="BY118" s="301"/>
      <c r="BZ118" s="299" t="str">
        <f>IF(X118&lt;&gt;"",IF(CC118="X","Driver Delay",IF(CA118="X","Paperwork Delay",IF(CB118="X","Late freight late sort",IF(CD118="X","Chiamare Control Room",IF(CE118="X","Chiamare Control Room",IF(CF118="X","Chiamare Control Room","")))))),"")</f>
        <v>Chiamare Control Room</v>
      </c>
      <c r="CA118" s="302" t="str">
        <f>IF(K118="",IF(IF(AND(G118&gt;(--"00:00:01"),G118&lt;(--"15:00:00")),IF(AND(AT118&gt;(--"08:00:00"),AT118&lt;(--"23:59:59")),G118+1-AT118,G118-AT118),G118-AT118)&gt;(--"00:20:00"),"","X"),"")</f>
        <v/>
      </c>
      <c r="CB118" s="299" t="str">
        <f>IF(K118="",IF(BP118&gt;=(--"00:20:00"),"","X"),"")</f>
        <v/>
      </c>
      <c r="CC118" s="299" t="str">
        <f>IF(OR(AV118="Autista non presente",AV118="Dati driver non presenti"),"X","")</f>
        <v/>
      </c>
      <c r="CD118" s="299" t="str">
        <f>IF(K118="",IF(AND(CC118="",BS118&lt;(--"00:20:00")),"X",""),"")</f>
        <v/>
      </c>
      <c r="CE118" s="299" t="str">
        <f>IF(K118="",IF(BT118&gt;(--"00:15:00"),"X",""),IF(AZ118&lt;&gt;"",IF(G118-AZ118&gt;(--"00:30:00"),"X",""),""))</f>
        <v/>
      </c>
      <c r="CF118" s="299" t="str">
        <f>IF(AND(CA118="",CB118="",CC118="",CD118="",CE118=""),"X","")</f>
        <v>X</v>
      </c>
      <c r="CG118" s="301"/>
      <c r="CH118" s="299" t="str">
        <f>IF(BT118&gt;(--"00:15:00"),"X","")</f>
        <v/>
      </c>
      <c r="CI118" s="302" t="str">
        <f>AY118</f>
        <v>Chiamare Control Room</v>
      </c>
      <c r="CJ118" s="299" t="str">
        <f>IF(AND(CH118&lt;&gt;"",CI118&lt;&gt;"",LEFT(B118,3)="ITD"),AP118,"")</f>
        <v/>
      </c>
      <c r="CK118" s="305" t="str">
        <f>IF(CJ118&lt;&gt;"",BT118,"")</f>
        <v/>
      </c>
      <c r="CL118" s="301"/>
      <c r="CM118" s="305" t="str">
        <f>IFERROR(VLOOKUP(Q118,'Elenco Casse'!$D$4:$F$292,3,FALSE),"")</f>
        <v/>
      </c>
      <c r="CN118" s="301"/>
      <c r="CO118" s="305" t="str">
        <f>IFERROR(VLOOKUP(S118,'Elenco Casse'!$D$4:$F$292,3,FALSE),"")</f>
        <v/>
      </c>
      <c r="CP118" s="305" t="str">
        <f>IFERROR(IF(VLOOKUP($E118,Outlist!$A$5:$S$120,19,FALSE)&lt;&gt;0,"Y",""),"")</f>
        <v/>
      </c>
      <c r="CQ118" s="301"/>
      <c r="CR118" s="305" t="str">
        <f>CONCATENATE($B118,$E118,$G118)</f>
        <v>ITD12763RNV0.25</v>
      </c>
      <c r="CS118" s="301"/>
      <c r="CT118" s="305" t="e">
        <f>VLOOKUP(Out_Table[[#This Row],[Destination             ORANGE (From Planning)]],Outlist!$A$5:$W$120,22,FALSE)</f>
        <v>#N/A</v>
      </c>
    </row>
    <row r="119" spans="1:98" s="20" customFormat="1" ht="15">
      <c r="A119" s="305" t="str">
        <f>$CR119</f>
        <v>ITD12207RNV0.291666666666667</v>
      </c>
      <c r="B119" s="284" t="s">
        <v>877</v>
      </c>
      <c r="C119" s="290" t="str">
        <f>IFERROR(IF(LEFT(B119,3)='STAT 77'!$X$2,_xlfn.XLOOKUP(B119,'STAT 77'!C:C,'STAT 77'!B:B),_xlfn.XLOOKUP(B119,'STAT 77'!B:B,'STAT 77'!C:C)),"NON TROVATO")</f>
        <v>ITD31080</v>
      </c>
      <c r="D119" s="25" t="s">
        <v>878</v>
      </c>
      <c r="E119" s="290" t="s">
        <v>874</v>
      </c>
      <c r="F119" s="290" t="str">
        <f>IFERROR(VLOOKUP(E119,'Cambio O2P'!C:E,2,FALSE),"")</f>
        <v>QEAA</v>
      </c>
      <c r="G119" s="285">
        <v>0.29166666666666669</v>
      </c>
      <c r="H119" s="293">
        <f ca="1">IFERROR(IF(AND('INformazioni per calcoli'!$AB$3&lt;(--"14:30"),'INformazioni per calcoli'!$AB$3&gt;(--"10:00")),"",IF($B119="","",IF($X119&lt;&gt;"","Mezzo Chiuso",IF($W119="","Non al Carico",IF($G119-'INformazioni per calcoli'!$AB$5-'INformazioni per calcoli'!$AB$3+$J119&lt;0,"LFLS",IF($K119&lt;&gt;"","Safe Parking",IF($W119&lt;&gt;"",IF($E119="MXP",$G119-'INformazioni per calcoli'!$AB$6-'INformazioni per calcoli'!$AB$3+$J119,$G119-'INformazioni per calcoli'!$AB$5-'INformazioni per calcoli'!$AB$3+$J119),"Non al carico"))))))),"")</f>
        <v>0.13231481481481483</v>
      </c>
      <c r="I119" s="17" t="str">
        <f ca="1">IFERROR(IF($H119&lt;&gt;"",IF($H119="Safe Parking","",IF($W119&lt;&gt;"",IF(AND($U119="X",$V119="X"),$H119-(--"00:30"),""),IF($X119&lt;&gt;"","Mezzo Chiuso","Non al carico"))),""),"")</f>
        <v/>
      </c>
      <c r="J119" s="306">
        <f ca="1">IFERROR(IF($B119&lt;&gt;"",IF(AND('INformazioni per calcoli'!$AB$3&lt;(--"15:00"),'INformazioni per calcoli'!$AB$3&gt;(--"00:00")),0,IF($G119&lt;(--"18:30"),"+1",0)),""),"")</f>
        <v>0</v>
      </c>
      <c r="K119" s="17"/>
      <c r="L119" s="25" t="s">
        <v>451</v>
      </c>
      <c r="M119" s="25" t="str">
        <f>IFERROR(_xlfn.XLOOKUP($Q119,'Elenco Casse'!$D:$D,'Elenco Casse'!$E:$E),"")</f>
        <v>F.M. Trasporti S.R.L.</v>
      </c>
      <c r="N119" s="25">
        <f>IFERROR(_xlfn.XLOOKUP($Q119,'Elenco Casse'!$D:$D,'Elenco Casse'!$F:$F),"")</f>
        <v>0</v>
      </c>
      <c r="O119" s="286" t="s">
        <v>418</v>
      </c>
      <c r="P119" s="295" t="str">
        <f>IFERROR(_xlfn.XLOOKUP($Q119,'Elenco Casse'!$D:$D,'Elenco Casse'!$G:$G),"")</f>
        <v>trailer 80 m3 2/3 axes</v>
      </c>
      <c r="Q119" s="355" t="s">
        <v>879</v>
      </c>
      <c r="R119" s="23" t="s">
        <v>420</v>
      </c>
      <c r="S119" s="25" t="s">
        <v>421</v>
      </c>
      <c r="T119" s="25" t="s">
        <v>432</v>
      </c>
      <c r="U119" s="23" t="str">
        <f>IF(ISNUMBER(SEARCH("Parcel",$T119)),"X","")</f>
        <v>X</v>
      </c>
      <c r="V119" s="23" t="str">
        <f>IF(ISNUMBER(SEARCH("Freight",$T119)),"X","")</f>
        <v/>
      </c>
      <c r="W119" s="26">
        <v>452</v>
      </c>
      <c r="X119" s="27"/>
      <c r="Y119" s="25"/>
      <c r="Z119" s="25"/>
      <c r="AA119" s="25" t="s">
        <v>40</v>
      </c>
      <c r="AB119" s="57"/>
      <c r="AC119" s="25"/>
      <c r="AD119" s="25"/>
      <c r="AE119" s="57"/>
      <c r="AF119" s="57"/>
      <c r="AG119" s="25"/>
      <c r="AH119" s="57"/>
      <c r="AI119" s="339"/>
      <c r="AJ119" s="339"/>
      <c r="AK119" s="297" t="str">
        <f>IF(X119&lt;&gt;"",CONCATENATE(IF(AA119&lt;&gt;"",CONCATENATE(Z119," ",AA119," ",BI119),""),IF(AD119&lt;&gt;"",CONCATENATE(","," ",AC119," ",AD119," ",BJ119),""),IF(AG119&lt;&gt;"",CONCATENATE(","," ",AF119," ",AG119," ",BK119),""),IF(AJ119&lt;&gt;"",CONCATENATE(","," ","DD"," ",BL119),"")," ",IF(AI119&lt;&gt;"",CONCATENATE(" - ",AI119," Bag"),"")),"")</f>
        <v/>
      </c>
      <c r="AL119" s="287"/>
      <c r="AM119" s="287"/>
      <c r="AN119" s="287"/>
      <c r="AO119" s="287"/>
      <c r="AP119" s="370" t="str">
        <f>IFERROR(VLOOKUP($E116,Outlist!$A$5:$V$120,20,FALSE),"")</f>
        <v/>
      </c>
      <c r="AQ119" s="288" t="str">
        <f>IFERROR(IF(VLOOKUP($A119,#REF!,8,FALSE)&lt;&gt;"",VLOOKUP($A119,#REF!,8,FALSE),""),"")</f>
        <v/>
      </c>
      <c r="AS119" s="24"/>
      <c r="AT119" s="24">
        <v>0.45</v>
      </c>
      <c r="AU119" s="27"/>
      <c r="AV119" s="27"/>
      <c r="AX119" s="20" t="str">
        <f>IFERROR(IF(Out_Table[[#This Row],[Cancellazione linea]]="Cancellata","yes",""),"")</f>
        <v/>
      </c>
      <c r="AY119" s="72" t="str">
        <f>IF(BA119="",BZ119,IF(AND(BA119&lt;(--"23:59:59"),BA119&gt;(--"15:00:00"),G119&lt;(--"14:00:00"),G119&gt;(--"00:00:01")),"",IF(BA119&gt;G119,BZ119,"")))</f>
        <v/>
      </c>
      <c r="AZ119" s="27"/>
      <c r="BA119" s="32"/>
      <c r="BB119" s="72"/>
      <c r="BC119" s="72" t="str">
        <f>IFERROR(VLOOKUP(Out_Table[[#This Row],[Aggiornamento STATUS]],'INformazioni per calcoli'!$Y$70:$AA$76,2,FALSE),"")</f>
        <v/>
      </c>
      <c r="BD119" s="289"/>
      <c r="BE119" s="289"/>
      <c r="BF119" s="47" t="str">
        <f>LEFT($E119,3)</f>
        <v>RNV</v>
      </c>
      <c r="BG119" s="298" t="str">
        <f>IF(Out_Table[[#This Row],[Ora Uscita    (GH)]]&lt;&gt;"","x","")</f>
        <v/>
      </c>
      <c r="BH119" s="299">
        <f>VLOOKUP($O119,'INformazioni per calcoli'!$Y$20:$AA$23,3,FALSE)</f>
        <v>14</v>
      </c>
      <c r="BI119" s="299">
        <f>MROUND(Out_Table[[#This Row],[Mtr. Trailer]]*AB119,0.5)</f>
        <v>0</v>
      </c>
      <c r="BJ119" s="299">
        <f>MROUND(Out_Table[[#This Row],[Mtr. Trailer]]*AE119,0.5)</f>
        <v>0</v>
      </c>
      <c r="BK119" s="299">
        <f>MROUND(Out_Table[[#This Row],[Mtr. Trailer]]*AH119,0.5)</f>
        <v>0</v>
      </c>
      <c r="BL119" s="300">
        <f>Out_Table[[#This Row],[Double Deck trailer N° bumpers]]</f>
        <v>0</v>
      </c>
      <c r="BM119" s="301"/>
      <c r="BN119" s="299" t="str">
        <f>B119</f>
        <v>ITD12207</v>
      </c>
      <c r="BO119" s="299" t="str">
        <f>E119</f>
        <v>RNV</v>
      </c>
      <c r="BP119" s="302">
        <f>IF(AND(G119&gt;(--"00:00:01"),G119&lt;(--"15:00:00")),IF(AND(X119&gt;(--"00:00:01"),X119&lt;(--"15:00:00")),G119-X119,G119+1-X119),G119-X119)</f>
        <v>1.2916666666666667</v>
      </c>
      <c r="BQ119" s="303">
        <f>AE119+AF119+AH119+AJ119</f>
        <v>0</v>
      </c>
      <c r="BR119" s="304" t="str">
        <f>IF(OR(BP119&lt;=(--"00:20:00"),BQ119&gt;=100%),"OK","Not OK")</f>
        <v>Not OK</v>
      </c>
      <c r="BS119" s="302">
        <f>IF(AND(G119&gt;(--"00:00:01"),G119&lt;(--"15:00:00")),IF(AND(AU119&gt;(--"00:00:01"),AU119&lt;(--"15:00:00")),G119-AU119,G119+1-AU119),G119-AU119)</f>
        <v>1.2916666666666667</v>
      </c>
      <c r="BT119" s="302">
        <f>IF(AND(AZ119&gt;(--"00:00:01"),AZ119&lt;(--"15:00:00")),IF(AND(AU119&gt;(--"00:00:01"),AU119&lt;(--"15:00:00")),AZ119-AU119,AZ119+1-AU119),AZ119-AU119)</f>
        <v>0</v>
      </c>
      <c r="BU119" s="302">
        <f>IF(AND(BA119&gt;(--"00:00:01"),BA119&lt;(--"15:00:00")),IF(AND(AZ119&gt;(--"00:00:01"),AZ119&lt;(--"15:00:00")),BA119-AZ119,BA119+1-AZ119),BA119-AZ119)</f>
        <v>0</v>
      </c>
      <c r="BV119" s="299">
        <f>AV119</f>
        <v>0</v>
      </c>
      <c r="BW119" s="301"/>
      <c r="BX119" s="299" t="str">
        <f>IF(AV119="T Status",IF(AV119&lt;&gt;T119,"X",""),"")</f>
        <v/>
      </c>
      <c r="BY119" s="301"/>
      <c r="BZ119" s="299" t="str">
        <f>IF(X119&lt;&gt;"",IF(CC119="X","Driver Delay",IF(CA119="X","Paperwork Delay",IF(CB119="X","Late freight late sort",IF(CD119="X","Chiamare Control Room",IF(CE119="X","Chiamare Control Room",IF(CF119="X","Chiamare Control Room","")))))),"")</f>
        <v/>
      </c>
      <c r="CA119" s="302" t="str">
        <f>IF(K119="",IF(IF(AND(G119&gt;(--"00:00:01"),G119&lt;(--"15:00:00")),IF(AND(AT119&gt;(--"08:00:00"),AT119&lt;(--"23:59:59")),G119+1-AT119,G119-AT119),G119-AT119)&gt;(--"00:20:00"),"","X"),"")</f>
        <v/>
      </c>
      <c r="CB119" s="299" t="str">
        <f>IF(K119="",IF(BP119&gt;=(--"00:20:00"),"","X"),"")</f>
        <v/>
      </c>
      <c r="CC119" s="299" t="str">
        <f>IF(OR(AV119="Autista non presente",AV119="Dati driver non presenti"),"X","")</f>
        <v/>
      </c>
      <c r="CD119" s="299" t="str">
        <f>IF(K119="",IF(AND(CC119="",BS119&lt;(--"00:20:00")),"X",""),"")</f>
        <v/>
      </c>
      <c r="CE119" s="299" t="str">
        <f>IF(K119="",IF(BT119&gt;(--"00:15:00"),"X",""),IF(AZ119&lt;&gt;"",IF(G119-AZ119&gt;(--"00:30:00"),"X",""),""))</f>
        <v/>
      </c>
      <c r="CF119" s="299" t="str">
        <f>IF(AND(CA119="",CB119="",CC119="",CD119="",CE119=""),"X","")</f>
        <v>X</v>
      </c>
      <c r="CG119" s="301"/>
      <c r="CH119" s="299" t="str">
        <f>IF(BT119&gt;(--"00:15:00"),"X","")</f>
        <v/>
      </c>
      <c r="CI119" s="302" t="str">
        <f>AY119</f>
        <v/>
      </c>
      <c r="CJ119" s="299" t="str">
        <f>IF(AND(CH119&lt;&gt;"",CI119&lt;&gt;"",LEFT(B119,3)="ITD"),AP119,"")</f>
        <v/>
      </c>
      <c r="CK119" s="305" t="str">
        <f>IF(CJ119&lt;&gt;"",BT119,"")</f>
        <v/>
      </c>
      <c r="CL119" s="301"/>
      <c r="CM119" s="305" t="str">
        <f>IFERROR(VLOOKUP(Q119,'Elenco Casse'!$D$4:$F$292,3,FALSE),"")</f>
        <v/>
      </c>
      <c r="CN119" s="301"/>
      <c r="CO119" s="305" t="str">
        <f>IFERROR(VLOOKUP(S119,'Elenco Casse'!$D$4:$F$292,3,FALSE),"")</f>
        <v/>
      </c>
      <c r="CP119" s="305" t="str">
        <f>IFERROR(IF(VLOOKUP($E119,Outlist!$A$5:$S$120,19,FALSE)&lt;&gt;0,"Y",""),"")</f>
        <v/>
      </c>
      <c r="CQ119" s="301"/>
      <c r="CR119" s="305" t="str">
        <f>CONCATENATE($B119,$E119,$G119)</f>
        <v>ITD12207RNV0.291666666666667</v>
      </c>
      <c r="CS119" s="301"/>
      <c r="CT119" s="305" t="e">
        <f>VLOOKUP(Out_Table[[#This Row],[Destination             ORANGE (From Planning)]],Outlist!$A$5:$W$120,22,FALSE)</f>
        <v>#N/A</v>
      </c>
    </row>
    <row r="120" spans="1:98" s="20" customFormat="1" ht="15">
      <c r="A120" s="305" t="str">
        <f>$CR120</f>
        <v>ITD12388ISV0.270833333333333</v>
      </c>
      <c r="B120" s="284" t="s">
        <v>880</v>
      </c>
      <c r="C120" s="290" t="str">
        <f>IFERROR(IF(LEFT(B120,3)='STAT 77'!$X$2,_xlfn.XLOOKUP(B120,'STAT 77'!C:C,'STAT 77'!B:B),_xlfn.XLOOKUP(B120,'STAT 77'!B:B,'STAT 77'!C:C)),"NON TROVATO")</f>
        <v>ITD31532</v>
      </c>
      <c r="D120" s="25" t="s">
        <v>881</v>
      </c>
      <c r="E120" s="290" t="s">
        <v>882</v>
      </c>
      <c r="F120" s="290" t="str">
        <f>IFERROR(VLOOKUP(E120,'Cambio O2P'!C:E,2,FALSE),"")</f>
        <v>LTZA</v>
      </c>
      <c r="G120" s="285">
        <v>0.27083333333333331</v>
      </c>
      <c r="H120" s="293">
        <f ca="1">IFERROR(IF(AND('INformazioni per calcoli'!$AB$3&lt;(--"14:30"),'INformazioni per calcoli'!$AB$3&gt;(--"10:00")),"",IF($B120="","",IF($X120&lt;&gt;"","Mezzo Chiuso",IF($W120="","Non al Carico",IF($G120-'INformazioni per calcoli'!$AB$5-'INformazioni per calcoli'!$AB$3+$J120&lt;0,"LFLS",IF($K120&lt;&gt;"","Safe Parking",IF($W120&lt;&gt;"",IF($E120="MXP",$G120-'INformazioni per calcoli'!$AB$6-'INformazioni per calcoli'!$AB$3+$J120,$G120-'INformazioni per calcoli'!$AB$5-'INformazioni per calcoli'!$AB$3+$J120),"Non al carico"))))))),"")</f>
        <v>0.11148148148148146</v>
      </c>
      <c r="I120" s="17">
        <f ca="1">IFERROR(IF($H120&lt;&gt;"",IF($H120="Safe Parking","",IF($W120&lt;&gt;"",IF(AND($U120="X",$V120="X"),$H120-(--"00:30"),""),IF($X120&lt;&gt;"","Mezzo Chiuso","Non al carico"))),""),"")</f>
        <v>9.064814814814813E-2</v>
      </c>
      <c r="J120" s="306">
        <f ca="1">IFERROR(IF($B120&lt;&gt;"",IF(AND('INformazioni per calcoli'!$AB$3&lt;(--"15:00"),'INformazioni per calcoli'!$AB$3&gt;(--"00:00")),0,IF($G120&lt;(--"18:30"),"+1",0)),""),"")</f>
        <v>0</v>
      </c>
      <c r="K120" s="17"/>
      <c r="L120" s="25" t="s">
        <v>430</v>
      </c>
      <c r="M120" s="25" t="str">
        <f>IFERROR(_xlfn.XLOOKUP($Q120,'Elenco Casse'!$D:$D,'Elenco Casse'!$E:$E),"")</f>
        <v>Trans Speedy S.R.L</v>
      </c>
      <c r="N120" s="25">
        <f>IFERROR(_xlfn.XLOOKUP($Q120,'Elenco Casse'!$D:$D,'Elenco Casse'!$F:$F),"")</f>
        <v>0</v>
      </c>
      <c r="O120" s="286" t="s">
        <v>418</v>
      </c>
      <c r="P120" s="295" t="str">
        <f>IFERROR(_xlfn.XLOOKUP($Q120,'Elenco Casse'!$D:$D,'Elenco Casse'!$G:$G),"")</f>
        <v>trailer 80 m3 2/3 axes</v>
      </c>
      <c r="Q120" s="355" t="s">
        <v>883</v>
      </c>
      <c r="R120" s="23" t="s">
        <v>420</v>
      </c>
      <c r="S120" s="25" t="s">
        <v>421</v>
      </c>
      <c r="T120" s="25" t="s">
        <v>702</v>
      </c>
      <c r="U120" s="23" t="str">
        <f>IF(ISNUMBER(SEARCH("Parcel",$T120)),"X","")</f>
        <v>X</v>
      </c>
      <c r="V120" s="23" t="str">
        <f>IF(ISNUMBER(SEARCH("Freight",$T120)),"X","")</f>
        <v>X</v>
      </c>
      <c r="W120" s="26">
        <v>453</v>
      </c>
      <c r="X120" s="27"/>
      <c r="Y120" s="25"/>
      <c r="Z120" s="25"/>
      <c r="AA120" s="25" t="s">
        <v>40</v>
      </c>
      <c r="AB120" s="57"/>
      <c r="AC120" s="25"/>
      <c r="AD120" s="25" t="s">
        <v>487</v>
      </c>
      <c r="AE120" s="57"/>
      <c r="AF120" s="57"/>
      <c r="AG120" s="25" t="s">
        <v>488</v>
      </c>
      <c r="AH120" s="57"/>
      <c r="AI120" s="339"/>
      <c r="AJ120" s="339"/>
      <c r="AK120" s="297" t="str">
        <f>IF(X120&lt;&gt;"",CONCATENATE(IF(AA120&lt;&gt;"",CONCATENATE(Z120," ",AA120," ",BI120),""),IF(AD120&lt;&gt;"",CONCATENATE(","," ",AC120," ",AD120," ",BJ120),""),IF(AG120&lt;&gt;"",CONCATENATE(","," ",AF120," ",AG120," ",BK120),""),IF(AJ120&lt;&gt;"",CONCATENATE(","," ","DD"," ",BL120),"")," ",IF(AI120&lt;&gt;"",CONCATENATE(" - ",AI120," Bag"),"")),"")</f>
        <v/>
      </c>
      <c r="AL120" s="287"/>
      <c r="AM120" s="287"/>
      <c r="AN120" s="287"/>
      <c r="AO120" s="287"/>
      <c r="AP120" s="370" t="str">
        <f>IFERROR(VLOOKUP(#REF!,Outlist!$A$5:$V$120,20,FALSE),"")</f>
        <v/>
      </c>
      <c r="AQ120" s="288" t="str">
        <f>IFERROR(IF(VLOOKUP($A120,#REF!,8,FALSE)&lt;&gt;"",VLOOKUP($A120,#REF!,8,FALSE),""),"")</f>
        <v/>
      </c>
      <c r="AS120" s="24"/>
      <c r="AT120" s="24">
        <v>1.8749999999999999E-2</v>
      </c>
      <c r="AU120" s="27"/>
      <c r="AV120" s="27"/>
      <c r="AX120" s="20" t="str">
        <f>IFERROR(IF(Out_Table[[#This Row],[Cancellazione linea]]="Cancellata","yes",""),"")</f>
        <v/>
      </c>
      <c r="AY120" s="72" t="str">
        <f>IF(BA120="",BZ120,IF(AND(BA120&lt;(--"23:59:59"),BA120&gt;(--"15:00:00"),G120&lt;(--"14:00:00"),G120&gt;(--"00:00:01")),"",IF(BA120&gt;G120,BZ120,"")))</f>
        <v/>
      </c>
      <c r="AZ120" s="27"/>
      <c r="BA120" s="32"/>
      <c r="BB120" s="72"/>
      <c r="BC120" s="72" t="str">
        <f>IFERROR(VLOOKUP(Out_Table[[#This Row],[Aggiornamento STATUS]],'INformazioni per calcoli'!$Y$70:$AA$76,2,FALSE),"")</f>
        <v/>
      </c>
      <c r="BD120" s="289"/>
      <c r="BE120" s="289"/>
      <c r="BF120" s="47" t="str">
        <f>LEFT($E120,3)</f>
        <v>ISV</v>
      </c>
      <c r="BG120" s="298" t="str">
        <f>IF(Out_Table[[#This Row],[Ora Uscita    (GH)]]&lt;&gt;"","x","")</f>
        <v/>
      </c>
      <c r="BH120" s="299">
        <f>VLOOKUP($O120,'INformazioni per calcoli'!$Y$20:$AA$23,3,FALSE)</f>
        <v>14</v>
      </c>
      <c r="BI120" s="299">
        <f>MROUND(Out_Table[[#This Row],[Mtr. Trailer]]*AB120,0.5)</f>
        <v>0</v>
      </c>
      <c r="BJ120" s="299">
        <f>MROUND(Out_Table[[#This Row],[Mtr. Trailer]]*AE120,0.5)</f>
        <v>0</v>
      </c>
      <c r="BK120" s="299">
        <f>MROUND(Out_Table[[#This Row],[Mtr. Trailer]]*AH120,0.5)</f>
        <v>0</v>
      </c>
      <c r="BL120" s="300">
        <f>Out_Table[[#This Row],[Double Deck trailer N° bumpers]]</f>
        <v>0</v>
      </c>
      <c r="BM120" s="301"/>
      <c r="BN120" s="299" t="str">
        <f>B120</f>
        <v>ITD12388</v>
      </c>
      <c r="BO120" s="299" t="str">
        <f>E120</f>
        <v>ISV</v>
      </c>
      <c r="BP120" s="302">
        <f>IF(AND(G120&gt;(--"00:00:01"),G120&lt;(--"15:00:00")),IF(AND(X120&gt;(--"00:00:01"),X120&lt;(--"15:00:00")),G120-X120,G120+1-X120),G120-X120)</f>
        <v>1.2708333333333333</v>
      </c>
      <c r="BQ120" s="303">
        <f>AE120+AF120+AH120+AJ120</f>
        <v>0</v>
      </c>
      <c r="BR120" s="304" t="str">
        <f>IF(OR(BP120&lt;=(--"00:20:00"),BQ120&gt;=100%),"OK","Not OK")</f>
        <v>Not OK</v>
      </c>
      <c r="BS120" s="302">
        <f>IF(AND(G120&gt;(--"00:00:01"),G120&lt;(--"15:00:00")),IF(AND(AU120&gt;(--"00:00:01"),AU120&lt;(--"15:00:00")),G120-AU120,G120+1-AU120),G120-AU120)</f>
        <v>1.2708333333333333</v>
      </c>
      <c r="BT120" s="302">
        <f>IF(AND(AZ120&gt;(--"00:00:01"),AZ120&lt;(--"15:00:00")),IF(AND(AU120&gt;(--"00:00:01"),AU120&lt;(--"15:00:00")),AZ120-AU120,AZ120+1-AU120),AZ120-AU120)</f>
        <v>0</v>
      </c>
      <c r="BU120" s="302">
        <f>IF(AND(BA120&gt;(--"00:00:01"),BA120&lt;(--"15:00:00")),IF(AND(AZ120&gt;(--"00:00:01"),AZ120&lt;(--"15:00:00")),BA120-AZ120,BA120+1-AZ120),BA120-AZ120)</f>
        <v>0</v>
      </c>
      <c r="BV120" s="299">
        <f>AV120</f>
        <v>0</v>
      </c>
      <c r="BW120" s="301"/>
      <c r="BX120" s="299" t="str">
        <f>IF(AV120="T Status",IF(AV120&lt;&gt;T120,"X",""),"")</f>
        <v/>
      </c>
      <c r="BY120" s="301"/>
      <c r="BZ120" s="299" t="str">
        <f>IF(X120&lt;&gt;"",IF(CC120="X","Driver Delay",IF(CA120="X","Paperwork Delay",IF(CB120="X","Late freight late sort",IF(CD120="X","Chiamare Control Room",IF(CE120="X","Chiamare Control Room",IF(CF120="X","Chiamare Control Room","")))))),"")</f>
        <v/>
      </c>
      <c r="CA120" s="302" t="str">
        <f>IF(K120="",IF(IF(AND(G120&gt;(--"00:00:01"),G120&lt;(--"15:00:00")),IF(AND(AT120&gt;(--"08:00:00"),AT120&lt;(--"23:59:59")),G120+1-AT120,G120-AT120),G120-AT120)&gt;(--"00:20:00"),"","X"),"")</f>
        <v/>
      </c>
      <c r="CB120" s="299" t="str">
        <f>IF(K120="",IF(BP120&gt;=(--"00:20:00"),"","X"),"")</f>
        <v/>
      </c>
      <c r="CC120" s="299" t="str">
        <f>IF(OR(AV120="Autista non presente",AV120="Dati driver non presenti"),"X","")</f>
        <v/>
      </c>
      <c r="CD120" s="299" t="str">
        <f>IF(K120="",IF(AND(CC120="",BS120&lt;(--"00:20:00")),"X",""),"")</f>
        <v/>
      </c>
      <c r="CE120" s="299" t="str">
        <f>IF(K120="",IF(BT120&gt;(--"00:15:00"),"X",""),IF(AZ120&lt;&gt;"",IF(G120-AZ120&gt;(--"00:30:00"),"X",""),""))</f>
        <v/>
      </c>
      <c r="CF120" s="299" t="str">
        <f>IF(AND(CA120="",CB120="",CC120="",CD120="",CE120=""),"X","")</f>
        <v>X</v>
      </c>
      <c r="CG120" s="301"/>
      <c r="CH120" s="299" t="str">
        <f>IF(BT120&gt;(--"00:15:00"),"X","")</f>
        <v/>
      </c>
      <c r="CI120" s="302" t="str">
        <f>AY120</f>
        <v/>
      </c>
      <c r="CJ120" s="299" t="str">
        <f>IF(AND(CH120&lt;&gt;"",CI120&lt;&gt;"",LEFT(B120,3)="ITD"),AP120,"")</f>
        <v/>
      </c>
      <c r="CK120" s="305" t="str">
        <f>IF(CJ120&lt;&gt;"",BT120,"")</f>
        <v/>
      </c>
      <c r="CL120" s="301"/>
      <c r="CM120" s="305" t="str">
        <f>IFERROR(VLOOKUP(Q120,'Elenco Casse'!$D$4:$F$292,3,FALSE),"")</f>
        <v/>
      </c>
      <c r="CN120" s="301"/>
      <c r="CO120" s="305" t="str">
        <f>IFERROR(VLOOKUP(S120,'Elenco Casse'!$D$4:$F$292,3,FALSE),"")</f>
        <v/>
      </c>
      <c r="CP120" s="305" t="str">
        <f>IFERROR(IF(VLOOKUP($E120,Outlist!$A$5:$S$120,19,FALSE)&lt;&gt;0,"Y",""),"")</f>
        <v/>
      </c>
      <c r="CQ120" s="301"/>
      <c r="CR120" s="305" t="str">
        <f>CONCATENATE($B120,$E120,$G120)</f>
        <v>ITD12388ISV0.270833333333333</v>
      </c>
      <c r="CS120" s="301"/>
      <c r="CT120" s="305" t="e">
        <f>VLOOKUP(Out_Table[[#This Row],[Destination             ORANGE (From Planning)]],Outlist!$A$5:$W$120,22,FALSE)</f>
        <v>#N/A</v>
      </c>
    </row>
    <row r="121" spans="1:98" s="20" customFormat="1" ht="15">
      <c r="A121" s="305" t="str">
        <f>$CR121</f>
        <v>ITD12719AOT0.229166666666667</v>
      </c>
      <c r="B121" s="284" t="s">
        <v>884</v>
      </c>
      <c r="C121" s="290" t="str">
        <f>IFERROR(IF(LEFT(B121,3)='STAT 77'!$X$2,_xlfn.XLOOKUP(B121,'STAT 77'!C:C,'STAT 77'!B:B),_xlfn.XLOOKUP(B121,'STAT 77'!B:B,'STAT 77'!C:C)),"NON TROVATO")</f>
        <v>ITD32151</v>
      </c>
      <c r="D121" s="25" t="s">
        <v>885</v>
      </c>
      <c r="E121" s="290" t="s">
        <v>886</v>
      </c>
      <c r="F121" s="290" t="str">
        <f>IFERROR(VLOOKUP(E121,'Cambio O2P'!C:E,2,FALSE),"")</f>
        <v>AOTT8</v>
      </c>
      <c r="G121" s="285">
        <v>0.22916666666666666</v>
      </c>
      <c r="H121" s="293">
        <f ca="1">IFERROR(IF(AND('INformazioni per calcoli'!$AB$3&lt;(--"14:30"),'INformazioni per calcoli'!$AB$3&gt;(--"10:00")),"",IF($B121="","",IF($X121&lt;&gt;"","Mezzo Chiuso",IF($W121="","Non al Carico",IF($G121-'INformazioni per calcoli'!$AB$5-'INformazioni per calcoli'!$AB$3+$J121&lt;0,"LFLS",IF($K121&lt;&gt;"","Safe Parking",IF($W121&lt;&gt;"",IF($E121="MXP",$G121-'INformazioni per calcoli'!$AB$6-'INformazioni per calcoli'!$AB$3+$J121,$G121-'INformazioni per calcoli'!$AB$5-'INformazioni per calcoli'!$AB$3+$J121),"Non al carico"))))))),"")</f>
        <v>6.9814814814814802E-2</v>
      </c>
      <c r="I121" s="17" t="str">
        <f ca="1">IFERROR(IF($H121&lt;&gt;"",IF($H121="Safe Parking","",IF($W121&lt;&gt;"",IF(AND($U121="X",$V121="X"),$H121-(--"00:30"),""),IF($X121&lt;&gt;"","Mezzo Chiuso","Non al carico"))),""),"")</f>
        <v/>
      </c>
      <c r="J121" s="306">
        <f ca="1">IFERROR(IF($B121&lt;&gt;"",IF(AND('INformazioni per calcoli'!$AB$3&lt;(--"15:00"),'INformazioni per calcoli'!$AB$3&gt;(--"00:00")),0,IF($G121&lt;(--"18:30"),"+1",0)),""),"")</f>
        <v>0</v>
      </c>
      <c r="K121" s="17"/>
      <c r="L121" s="25" t="s">
        <v>427</v>
      </c>
      <c r="M121" s="25" t="str">
        <f>IFERROR(_xlfn.XLOOKUP($Q121,'Elenco Casse'!$D:$D,'Elenco Casse'!$E:$E),"")</f>
        <v>Zampieri</v>
      </c>
      <c r="N121" s="25">
        <f>IFERROR(_xlfn.XLOOKUP($Q121,'Elenco Casse'!$D:$D,'Elenco Casse'!$F:$F),"")</f>
        <v>0</v>
      </c>
      <c r="O121" s="286" t="s">
        <v>640</v>
      </c>
      <c r="P121" s="295" t="str">
        <f>IFERROR(_xlfn.XLOOKUP($Q121,'Elenco Casse'!$D:$D,'Elenco Casse'!$G:$G),"")</f>
        <v>trailer 55 m3 2/3 axles</v>
      </c>
      <c r="Q121" s="355" t="s">
        <v>887</v>
      </c>
      <c r="R121" s="23" t="s">
        <v>420</v>
      </c>
      <c r="S121" s="25" t="s">
        <v>421</v>
      </c>
      <c r="T121" s="25" t="s">
        <v>422</v>
      </c>
      <c r="U121" s="23" t="str">
        <f>IF(ISNUMBER(SEARCH("Parcel",$T121)),"X","")</f>
        <v>X</v>
      </c>
      <c r="V121" s="23" t="str">
        <f>IF(ISNUMBER(SEARCH("Freight",$T121)),"X","")</f>
        <v/>
      </c>
      <c r="W121" s="26">
        <v>454</v>
      </c>
      <c r="X121" s="27"/>
      <c r="Y121" s="25"/>
      <c r="Z121" s="25"/>
      <c r="AA121" s="25" t="s">
        <v>40</v>
      </c>
      <c r="AB121" s="57"/>
      <c r="AC121" s="25"/>
      <c r="AD121" s="25"/>
      <c r="AE121" s="57"/>
      <c r="AF121" s="57"/>
      <c r="AG121" s="25"/>
      <c r="AH121" s="57"/>
      <c r="AI121" s="339"/>
      <c r="AJ121" s="339"/>
      <c r="AK121" s="297" t="str">
        <f>IF(X121&lt;&gt;"",CONCATENATE(IF(AA121&lt;&gt;"",CONCATENATE(Z121," ",AA121," ",BI121),""),IF(AD121&lt;&gt;"",CONCATENATE(","," ",AC121," ",AD121," ",BJ121),""),IF(AG121&lt;&gt;"",CONCATENATE(","," ",AF121," ",AG121," ",BK121),""),IF(AJ121&lt;&gt;"",CONCATENATE(","," ","DD"," ",BL121),"")," ",IF(AI121&lt;&gt;"",CONCATENATE(" - ",AI121," Bag"),"")),"")</f>
        <v/>
      </c>
      <c r="AL121" s="287"/>
      <c r="AM121" s="287"/>
      <c r="AN121" s="287"/>
      <c r="AO121" s="287"/>
      <c r="AP121" s="370" t="str">
        <f>IFERROR(VLOOKUP(#REF!,Outlist!$A$5:$V$120,20,FALSE),"")</f>
        <v/>
      </c>
      <c r="AQ121" s="288" t="str">
        <f>IFERROR(IF(VLOOKUP($A121,#REF!,8,FALSE)&lt;&gt;"",VLOOKUP($A121,#REF!,8,FALSE),""),"")</f>
        <v/>
      </c>
      <c r="AS121" s="24"/>
      <c r="AT121" s="24">
        <v>0.59305555555555556</v>
      </c>
      <c r="AU121" s="27"/>
      <c r="AV121" s="27"/>
      <c r="AX121" s="20" t="str">
        <f>IFERROR(IF(Out_Table[[#This Row],[Cancellazione linea]]="Cancellata","yes",""),"")</f>
        <v/>
      </c>
      <c r="AY121" s="72" t="str">
        <f>IF(BA121="",BZ121,IF(AND(BA121&lt;(--"23:59:59"),BA121&gt;(--"15:00:00"),G121&lt;(--"14:00:00"),G121&gt;(--"00:00:01")),"",IF(BA121&gt;G121,BZ121,"")))</f>
        <v/>
      </c>
      <c r="AZ121" s="27"/>
      <c r="BA121" s="32"/>
      <c r="BB121" s="72"/>
      <c r="BC121" s="72" t="str">
        <f>IFERROR(VLOOKUP(Out_Table[[#This Row],[Aggiornamento STATUS]],'INformazioni per calcoli'!$Y$70:$AA$76,2,FALSE),"")</f>
        <v/>
      </c>
      <c r="BD121" s="289"/>
      <c r="BE121" s="289"/>
      <c r="BF121" s="47" t="str">
        <f>LEFT($E121,3)</f>
        <v>AOT</v>
      </c>
      <c r="BG121" s="298" t="str">
        <f>IF(Out_Table[[#This Row],[Ora Uscita    (GH)]]&lt;&gt;"","x","")</f>
        <v/>
      </c>
      <c r="BH121" s="299">
        <f>VLOOKUP($O121,'INformazioni per calcoli'!$Y$20:$AA$23,3,FALSE)</f>
        <v>12</v>
      </c>
      <c r="BI121" s="299">
        <f>MROUND(Out_Table[[#This Row],[Mtr. Trailer]]*AB121,0.5)</f>
        <v>0</v>
      </c>
      <c r="BJ121" s="299">
        <f>MROUND(Out_Table[[#This Row],[Mtr. Trailer]]*AE121,0.5)</f>
        <v>0</v>
      </c>
      <c r="BK121" s="299">
        <f>MROUND(Out_Table[[#This Row],[Mtr. Trailer]]*AH121,0.5)</f>
        <v>0</v>
      </c>
      <c r="BL121" s="300">
        <f>Out_Table[[#This Row],[Double Deck trailer N° bumpers]]</f>
        <v>0</v>
      </c>
      <c r="BM121" s="301"/>
      <c r="BN121" s="299" t="str">
        <f>B121</f>
        <v>ITD12719</v>
      </c>
      <c r="BO121" s="299" t="str">
        <f>E121</f>
        <v>AOT</v>
      </c>
      <c r="BP121" s="302">
        <f>IF(AND(G121&gt;(--"00:00:01"),G121&lt;(--"15:00:00")),IF(AND(X121&gt;(--"00:00:01"),X121&lt;(--"15:00:00")),G121-X121,G121+1-X121),G121-X121)</f>
        <v>1.2291666666666667</v>
      </c>
      <c r="BQ121" s="303">
        <f>AE121+AF121+AH121+AJ121</f>
        <v>0</v>
      </c>
      <c r="BR121" s="304" t="str">
        <f>IF(OR(BP121&lt;=(--"00:20:00"),BQ121&gt;=100%),"OK","Not OK")</f>
        <v>Not OK</v>
      </c>
      <c r="BS121" s="302">
        <f>IF(AND(G121&gt;(--"00:00:01"),G121&lt;(--"15:00:00")),IF(AND(AU121&gt;(--"00:00:01"),AU121&lt;(--"15:00:00")),G121-AU121,G121+1-AU121),G121-AU121)</f>
        <v>1.2291666666666667</v>
      </c>
      <c r="BT121" s="302">
        <f>IF(AND(AZ121&gt;(--"00:00:01"),AZ121&lt;(--"15:00:00")),IF(AND(AU121&gt;(--"00:00:01"),AU121&lt;(--"15:00:00")),AZ121-AU121,AZ121+1-AU121),AZ121-AU121)</f>
        <v>0</v>
      </c>
      <c r="BU121" s="302">
        <f>IF(AND(BA121&gt;(--"00:00:01"),BA121&lt;(--"15:00:00")),IF(AND(AZ121&gt;(--"00:00:01"),AZ121&lt;(--"15:00:00")),BA121-AZ121,BA121+1-AZ121),BA121-AZ121)</f>
        <v>0</v>
      </c>
      <c r="BV121" s="299">
        <f>AV121</f>
        <v>0</v>
      </c>
      <c r="BW121" s="301"/>
      <c r="BX121" s="299" t="str">
        <f>IF(AV121="T Status",IF(AV121&lt;&gt;T121,"X",""),"")</f>
        <v/>
      </c>
      <c r="BY121" s="301"/>
      <c r="BZ121" s="299" t="str">
        <f>IF(X121&lt;&gt;"",IF(CC121="X","Driver Delay",IF(CA121="X","Paperwork Delay",IF(CB121="X","Late freight late sort",IF(CD121="X","Chiamare Control Room",IF(CE121="X","Chiamare Control Room",IF(CF121="X","Chiamare Control Room","")))))),"")</f>
        <v/>
      </c>
      <c r="CA121" s="302" t="str">
        <f>IF(K121="",IF(IF(AND(G121&gt;(--"00:00:01"),G121&lt;(--"15:00:00")),IF(AND(AT121&gt;(--"08:00:00"),AT121&lt;(--"23:59:59")),G121+1-AT121,G121-AT121),G121-AT121)&gt;(--"00:20:00"),"","X"),"")</f>
        <v/>
      </c>
      <c r="CB121" s="299" t="str">
        <f>IF(K121="",IF(BP121&gt;=(--"00:20:00"),"","X"),"")</f>
        <v/>
      </c>
      <c r="CC121" s="299" t="str">
        <f>IF(OR(AV121="Autista non presente",AV121="Dati driver non presenti"),"X","")</f>
        <v/>
      </c>
      <c r="CD121" s="299" t="str">
        <f>IF(K121="",IF(AND(CC121="",BS121&lt;(--"00:20:00")),"X",""),"")</f>
        <v/>
      </c>
      <c r="CE121" s="299" t="str">
        <f>IF(K121="",IF(BT121&gt;(--"00:15:00"),"X",""),IF(AZ121&lt;&gt;"",IF(G121-AZ121&gt;(--"00:30:00"),"X",""),""))</f>
        <v/>
      </c>
      <c r="CF121" s="299" t="str">
        <f>IF(AND(CA121="",CB121="",CC121="",CD121="",CE121=""),"X","")</f>
        <v>X</v>
      </c>
      <c r="CG121" s="301"/>
      <c r="CH121" s="299" t="str">
        <f>IF(BT121&gt;(--"00:15:00"),"X","")</f>
        <v/>
      </c>
      <c r="CI121" s="302" t="str">
        <f>AY121</f>
        <v/>
      </c>
      <c r="CJ121" s="299" t="str">
        <f>IF(AND(CH121&lt;&gt;"",CI121&lt;&gt;"",LEFT(B121,3)="ITD"),AP121,"")</f>
        <v/>
      </c>
      <c r="CK121" s="305" t="str">
        <f>IF(CJ121&lt;&gt;"",BT121,"")</f>
        <v/>
      </c>
      <c r="CL121" s="301"/>
      <c r="CM121" s="305" t="str">
        <f>IFERROR(VLOOKUP(Q121,'Elenco Casse'!$D$4:$F$292,3,FALSE),"")</f>
        <v/>
      </c>
      <c r="CN121" s="301"/>
      <c r="CO121" s="305" t="str">
        <f>IFERROR(VLOOKUP(S121,'Elenco Casse'!$D$4:$F$292,3,FALSE),"")</f>
        <v/>
      </c>
      <c r="CP121" s="305" t="str">
        <f>IFERROR(IF(VLOOKUP($E121,Outlist!$A$5:$S$120,19,FALSE)&lt;&gt;0,"Y",""),"")</f>
        <v/>
      </c>
      <c r="CQ121" s="301"/>
      <c r="CR121" s="305" t="str">
        <f>CONCATENATE($B121,$E121,$G121)</f>
        <v>ITD12719AOT0.229166666666667</v>
      </c>
      <c r="CS121" s="301"/>
      <c r="CT121" s="305" t="e">
        <f>VLOOKUP(Out_Table[[#This Row],[Destination             ORANGE (From Planning)]],Outlist!$A$5:$W$120,22,FALSE)</f>
        <v>#N/A</v>
      </c>
    </row>
    <row r="122" spans="1:98" s="20" customFormat="1" ht="15">
      <c r="A122" s="305" t="str">
        <f>$CR122</f>
        <v>ITD12389OSO0.25</v>
      </c>
      <c r="B122" s="284" t="s">
        <v>888</v>
      </c>
      <c r="C122" s="290" t="str">
        <f>IFERROR(IF(LEFT(B122,3)='STAT 77'!$X$2,_xlfn.XLOOKUP(B122,'STAT 77'!C:C,'STAT 77'!B:B),_xlfn.XLOOKUP(B122,'STAT 77'!B:B,'STAT 77'!C:C)),"NON TROVATO")</f>
        <v>ITD31534</v>
      </c>
      <c r="D122" s="25" t="s">
        <v>889</v>
      </c>
      <c r="E122" s="290" t="s">
        <v>890</v>
      </c>
      <c r="F122" s="290" t="str">
        <f>IFERROR(VLOOKUP(E122,'Cambio O2P'!C:E,2,FALSE),"")</f>
        <v>QCLA</v>
      </c>
      <c r="G122" s="285">
        <v>0.25</v>
      </c>
      <c r="H122" s="293">
        <f ca="1">IFERROR(IF(AND('INformazioni per calcoli'!$AB$3&lt;(--"14:30"),'INformazioni per calcoli'!$AB$3&gt;(--"10:00")),"",IF($B122="","",IF($X122&lt;&gt;"","Mezzo Chiuso",IF($W122="","Non al Carico",IF($G122-'INformazioni per calcoli'!$AB$5-'INformazioni per calcoli'!$AB$3+$J122&lt;0,"LFLS",IF($K122&lt;&gt;"","Safe Parking",IF($W122&lt;&gt;"",IF($E122="MXP",$G122-'INformazioni per calcoli'!$AB$6-'INformazioni per calcoli'!$AB$3+$J122,$G122-'INformazioni per calcoli'!$AB$5-'INformazioni per calcoli'!$AB$3+$J122),"Non al carico"))))))),"")</f>
        <v>9.0648148148148144E-2</v>
      </c>
      <c r="I122" s="17">
        <f ca="1">IFERROR(IF($H122&lt;&gt;"",IF($H122="Safe Parking","",IF($W122&lt;&gt;"",IF(AND($U122="X",$V122="X"),$H122-(--"00:30"),""),IF($X122&lt;&gt;"","Mezzo Chiuso","Non al carico"))),""),"")</f>
        <v>6.9814814814814816E-2</v>
      </c>
      <c r="J122" s="306">
        <f ca="1">IFERROR(IF($B122&lt;&gt;"",IF(AND('INformazioni per calcoli'!$AB$3&lt;(--"15:00"),'INformazioni per calcoli'!$AB$3&gt;(--"00:00")),0,IF($G122&lt;(--"18:30"),"+1",0)),""),"")</f>
        <v>0</v>
      </c>
      <c r="K122" s="17"/>
      <c r="L122" s="25" t="s">
        <v>430</v>
      </c>
      <c r="M122" s="25" t="str">
        <f>IFERROR(_xlfn.XLOOKUP($Q122,'Elenco Casse'!$D:$D,'Elenco Casse'!$E:$E),"")</f>
        <v xml:space="preserve">TRANS SPEEDY </v>
      </c>
      <c r="N122" s="25">
        <f>IFERROR(_xlfn.XLOOKUP($Q122,'Elenco Casse'!$D:$D,'Elenco Casse'!$F:$F),"")</f>
        <v>0</v>
      </c>
      <c r="O122" s="286" t="s">
        <v>640</v>
      </c>
      <c r="P122" s="295" t="str">
        <f>IFERROR(_xlfn.XLOOKUP($Q122,'Elenco Casse'!$D:$D,'Elenco Casse'!$G:$G),"")</f>
        <v>trailer 55 m3 2/3 axles</v>
      </c>
      <c r="Q122" s="355" t="s">
        <v>891</v>
      </c>
      <c r="R122" s="23" t="s">
        <v>420</v>
      </c>
      <c r="S122" s="25" t="s">
        <v>421</v>
      </c>
      <c r="T122" s="25" t="s">
        <v>892</v>
      </c>
      <c r="U122" s="23" t="str">
        <f>IF(ISNUMBER(SEARCH("Parcel",$T122)),"X","")</f>
        <v>X</v>
      </c>
      <c r="V122" s="23" t="str">
        <f>IF(ISNUMBER(SEARCH("Freight",$T122)),"X","")</f>
        <v>X</v>
      </c>
      <c r="W122" s="26">
        <v>455</v>
      </c>
      <c r="X122" s="27"/>
      <c r="Y122" s="25"/>
      <c r="Z122" s="25"/>
      <c r="AA122" s="25" t="s">
        <v>40</v>
      </c>
      <c r="AB122" s="57"/>
      <c r="AC122" s="25"/>
      <c r="AD122" s="25" t="s">
        <v>487</v>
      </c>
      <c r="AE122" s="57"/>
      <c r="AF122" s="57"/>
      <c r="AG122" s="25"/>
      <c r="AH122" s="57"/>
      <c r="AI122" s="339"/>
      <c r="AJ122" s="339"/>
      <c r="AK122" s="297" t="str">
        <f>IF(X122&lt;&gt;"",CONCATENATE(IF(AA122&lt;&gt;"",CONCATENATE(Z122," ",AA122," ",BI122),""),IF(AD122&lt;&gt;"",CONCATENATE(","," ",AC122," ",AD122," ",BJ122),""),IF(AG122&lt;&gt;"",CONCATENATE(","," ",AF122," ",AG122," ",BK122),""),IF(AJ122&lt;&gt;"",CONCATENATE(","," ","DD"," ",BL122),"")," ",IF(AI122&lt;&gt;"",CONCATENATE(" - ",AI122," Bag"),"")),"")</f>
        <v/>
      </c>
      <c r="AL122" s="287"/>
      <c r="AM122" s="287"/>
      <c r="AN122" s="287"/>
      <c r="AO122" s="287"/>
      <c r="AP122" s="370" t="str">
        <f>IFERROR(VLOOKUP($E119,Outlist!$A$5:$V$120,20,FALSE),"")</f>
        <v/>
      </c>
      <c r="AQ122" s="288" t="str">
        <f>IFERROR(IF(VLOOKUP($A122,#REF!,8,FALSE)&lt;&gt;"",VLOOKUP($A122,#REF!,8,FALSE),""),"")</f>
        <v/>
      </c>
      <c r="AS122" s="24"/>
      <c r="AT122" s="24">
        <v>9.0277777777777769E-3</v>
      </c>
      <c r="AU122" s="27"/>
      <c r="AV122" s="27"/>
      <c r="AX122" s="20" t="str">
        <f>IFERROR(IF(Out_Table[[#This Row],[Cancellazione linea]]="Cancellata","yes",""),"")</f>
        <v/>
      </c>
      <c r="AY122" s="72" t="str">
        <f>IF(BA122="",BZ122,IF(AND(BA122&lt;(--"23:59:59"),BA122&gt;(--"15:00:00"),G122&lt;(--"14:00:00"),G122&gt;(--"00:00:01")),"",IF(BA122&gt;G122,BZ122,"")))</f>
        <v/>
      </c>
      <c r="AZ122" s="27"/>
      <c r="BA122" s="32"/>
      <c r="BB122" s="72"/>
      <c r="BC122" s="72" t="str">
        <f>IFERROR(VLOOKUP(Out_Table[[#This Row],[Aggiornamento STATUS]],'INformazioni per calcoli'!$Y$70:$AA$76,2,FALSE),"")</f>
        <v/>
      </c>
      <c r="BD122" s="289"/>
      <c r="BE122" s="289"/>
      <c r="BF122" s="47" t="str">
        <f>LEFT($E122,3)</f>
        <v>OSO</v>
      </c>
      <c r="BG122" s="298" t="str">
        <f>IF(Out_Table[[#This Row],[Ora Uscita    (GH)]]&lt;&gt;"","x","")</f>
        <v/>
      </c>
      <c r="BH122" s="299">
        <f>VLOOKUP($O122,'INformazioni per calcoli'!$Y$20:$AA$23,3,FALSE)</f>
        <v>12</v>
      </c>
      <c r="BI122" s="299">
        <f>MROUND(Out_Table[[#This Row],[Mtr. Trailer]]*AB122,0.5)</f>
        <v>0</v>
      </c>
      <c r="BJ122" s="299">
        <f>MROUND(Out_Table[[#This Row],[Mtr. Trailer]]*AE122,0.5)</f>
        <v>0</v>
      </c>
      <c r="BK122" s="299">
        <f>MROUND(Out_Table[[#This Row],[Mtr. Trailer]]*AH122,0.5)</f>
        <v>0</v>
      </c>
      <c r="BL122" s="300">
        <f>Out_Table[[#This Row],[Double Deck trailer N° bumpers]]</f>
        <v>0</v>
      </c>
      <c r="BM122" s="301"/>
      <c r="BN122" s="299" t="str">
        <f>B122</f>
        <v>ITD12389</v>
      </c>
      <c r="BO122" s="299" t="str">
        <f>E122</f>
        <v>OSO</v>
      </c>
      <c r="BP122" s="302">
        <f>IF(AND(G122&gt;(--"00:00:01"),G122&lt;(--"15:00:00")),IF(AND(X122&gt;(--"00:00:01"),X122&lt;(--"15:00:00")),G122-X122,G122+1-X122),G122-X122)</f>
        <v>1.25</v>
      </c>
      <c r="BQ122" s="303">
        <f>AE122+AF122+AH122+AJ122</f>
        <v>0</v>
      </c>
      <c r="BR122" s="304" t="str">
        <f>IF(OR(BP122&lt;=(--"00:20:00"),BQ122&gt;=100%),"OK","Not OK")</f>
        <v>Not OK</v>
      </c>
      <c r="BS122" s="302">
        <f>IF(AND(G122&gt;(--"00:00:01"),G122&lt;(--"15:00:00")),IF(AND(AU122&gt;(--"00:00:01"),AU122&lt;(--"15:00:00")),G122-AU122,G122+1-AU122),G122-AU122)</f>
        <v>1.25</v>
      </c>
      <c r="BT122" s="302">
        <f>IF(AND(AZ122&gt;(--"00:00:01"),AZ122&lt;(--"15:00:00")),IF(AND(AU122&gt;(--"00:00:01"),AU122&lt;(--"15:00:00")),AZ122-AU122,AZ122+1-AU122),AZ122-AU122)</f>
        <v>0</v>
      </c>
      <c r="BU122" s="302">
        <f>IF(AND(BA122&gt;(--"00:00:01"),BA122&lt;(--"15:00:00")),IF(AND(AZ122&gt;(--"00:00:01"),AZ122&lt;(--"15:00:00")),BA122-AZ122,BA122+1-AZ122),BA122-AZ122)</f>
        <v>0</v>
      </c>
      <c r="BV122" s="299">
        <f>AV122</f>
        <v>0</v>
      </c>
      <c r="BW122" s="301"/>
      <c r="BX122" s="299" t="str">
        <f>IF(AV122="T Status",IF(AV122&lt;&gt;T122,"X",""),"")</f>
        <v/>
      </c>
      <c r="BY122" s="301"/>
      <c r="BZ122" s="299" t="str">
        <f>IF(X122&lt;&gt;"",IF(CC122="X","Driver Delay",IF(CA122="X","Paperwork Delay",IF(CB122="X","Late freight late sort",IF(CD122="X","Chiamare Control Room",IF(CE122="X","Chiamare Control Room",IF(CF122="X","Chiamare Control Room","")))))),"")</f>
        <v/>
      </c>
      <c r="CA122" s="302" t="str">
        <f>IF(K122="",IF(IF(AND(G122&gt;(--"00:00:01"),G122&lt;(--"15:00:00")),IF(AND(AT122&gt;(--"08:00:00"),AT122&lt;(--"23:59:59")),G122+1-AT122,G122-AT122),G122-AT122)&gt;(--"00:20:00"),"","X"),"")</f>
        <v/>
      </c>
      <c r="CB122" s="299" t="str">
        <f>IF(K122="",IF(BP122&gt;=(--"00:20:00"),"","X"),"")</f>
        <v/>
      </c>
      <c r="CC122" s="299" t="str">
        <f>IF(OR(AV122="Autista non presente",AV122="Dati driver non presenti"),"X","")</f>
        <v/>
      </c>
      <c r="CD122" s="299" t="str">
        <f>IF(K122="",IF(AND(CC122="",BS122&lt;(--"00:20:00")),"X",""),"")</f>
        <v/>
      </c>
      <c r="CE122" s="299" t="str">
        <f>IF(K122="",IF(BT122&gt;(--"00:15:00"),"X",""),IF(AZ122&lt;&gt;"",IF(G122-AZ122&gt;(--"00:30:00"),"X",""),""))</f>
        <v/>
      </c>
      <c r="CF122" s="299" t="str">
        <f>IF(AND(CA122="",CB122="",CC122="",CD122="",CE122=""),"X","")</f>
        <v>X</v>
      </c>
      <c r="CG122" s="301"/>
      <c r="CH122" s="299" t="str">
        <f>IF(BT122&gt;(--"00:15:00"),"X","")</f>
        <v/>
      </c>
      <c r="CI122" s="302" t="str">
        <f>AY122</f>
        <v/>
      </c>
      <c r="CJ122" s="299" t="str">
        <f>IF(AND(CH122&lt;&gt;"",CI122&lt;&gt;"",LEFT(B122,3)="ITD"),AP122,"")</f>
        <v/>
      </c>
      <c r="CK122" s="305" t="str">
        <f>IF(CJ122&lt;&gt;"",BT122,"")</f>
        <v/>
      </c>
      <c r="CL122" s="301"/>
      <c r="CM122" s="305" t="str">
        <f>IFERROR(VLOOKUP(Q122,'Elenco Casse'!$D$4:$F$292,3,FALSE),"")</f>
        <v/>
      </c>
      <c r="CN122" s="301"/>
      <c r="CO122" s="305" t="str">
        <f>IFERROR(VLOOKUP(S122,'Elenco Casse'!$D$4:$F$292,3,FALSE),"")</f>
        <v/>
      </c>
      <c r="CP122" s="305" t="str">
        <f>IFERROR(IF(VLOOKUP($E122,Outlist!$A$5:$S$120,19,FALSE)&lt;&gt;0,"Y",""),"")</f>
        <v/>
      </c>
      <c r="CQ122" s="301"/>
      <c r="CR122" s="305" t="str">
        <f>CONCATENATE($B122,$E122,$G122)</f>
        <v>ITD12389OSO0.25</v>
      </c>
      <c r="CS122" s="301"/>
      <c r="CT122" s="305" t="e">
        <f>VLOOKUP(Out_Table[[#This Row],[Destination             ORANGE (From Planning)]],Outlist!$A$5:$W$120,22,FALSE)</f>
        <v>#N/A</v>
      </c>
    </row>
    <row r="123" spans="1:98" s="20" customFormat="1" ht="30.75">
      <c r="A123" s="305" t="str">
        <f>$CR123</f>
        <v>ERN17420SKG 10.270833333335759</v>
      </c>
      <c r="B123" s="351" t="str">
        <f>IFERROR(VLOOKUP(E123,Outlist!$A$5:$AC$120,2,FALSE),"")</f>
        <v>ERN17420</v>
      </c>
      <c r="C123" s="352" t="str">
        <f>IFERROR(IF(LEFT(B123,3)='STAT 77'!$X$2,_xlfn.XLOOKUP(B123,'STAT 77'!C:C,'STAT 77'!B:B),_xlfn.XLOOKUP(B123,'STAT 77'!B:B,'STAT 77'!C:C)),"NON TROVATO")</f>
        <v>ERN08860</v>
      </c>
      <c r="D123" s="4"/>
      <c r="E123" s="352" t="str">
        <f>IFERROR(IF(Outlist!$A74&lt;&gt;"",Outlist!$A74,""),"")</f>
        <v>SKG 1</v>
      </c>
      <c r="F123" s="352" t="str">
        <f>IFERROR(VLOOKUP(E123,'Cambio O2P'!C:E,2,FALSE),"")</f>
        <v/>
      </c>
      <c r="G123" s="353">
        <f>IFERROR(VLOOKUP(E123,Outlist!$A$5:$AC$120,5,FALSE)-INT(VLOOKUP(E123,Outlist!$A$5:$AC$120,5,FALSE)),"")</f>
        <v>0.27083333333575865</v>
      </c>
      <c r="H123" s="294" t="str">
        <f ca="1">IFERROR(IF(AND('INformazioni per calcoli'!$AB$3&lt;(--"14:30"),'INformazioni per calcoli'!$AB$3&gt;(--"10:00")),"",IF($B123="","",IF($X123&lt;&gt;"","Mezzo Chiuso",IF($W123="","Non al Carico",IF($K123="Safe Parking","Safe Parking", IF(OR($BF123='INformazioni per calcoli'!$AF$8,$BF123='INformazioni per calcoli'!$AC$8,$BF123='INformazioni per calcoli'!$AD$8,$BF123='INformazioni per calcoli'!$AE$8,$BF123='INformazioni per calcoli'!$AG$8,$BF123='INformazioni per calcoli'!$AH$8,$BF123='INformazioni per calcoli'!$AI$8,$BF123='INformazioni per calcoli'!$AJ$8),IF($G123-'INformazioni per calcoli'!$AB$6-'INformazioni per calcoli'!$AB$3+$J123&lt;0,"LFLS",$G123-'INformazioni per calcoli'!$AB$6-'INformazioni per calcoli'!$AB$3+$J123), IF(OR($BF123='INformazioni per calcoli'!$AF$6,$BF123='INformazioni per calcoli'!$AD$6,$BF123='INformazioni per calcoli'!$AE$6,$BF123='INformazioni per calcoli'!$AG$6),IF($G123-'INformazioni per calcoli'!$AB$8-'INformazioni per calcoli'!$AB$3+$J123&lt;0,"LFLS",$G123-'INformazioni per calcoli'!$AB$8-'INformazioni per calcoli'!$AB$3+$J123), IF($G123-'INformazioni per calcoli'!$AB$7-'INformazioni per calcoli'!$AB$3+$J123&lt;0,"LFLS",$G123-'INformazioni per calcoli'!$AB$7-'INformazioni per calcoli'!$AB$3+$J123)))))))),"")</f>
        <v>Mezzo Chiuso</v>
      </c>
      <c r="I123" s="17" t="str">
        <f ca="1">IFERROR(IF($H123&lt;&gt;"",IF($H123="Safe Parking","",IF($W123&lt;&gt;"",IF(AND($U123="X",$V123="X"),$H123-(--"00:30"),""),IF($X123&lt;&gt;"","Mezzo Chiuso","Non al carico"))),""),"")</f>
        <v/>
      </c>
      <c r="J123" s="306">
        <f ca="1">IFERROR(IF($B123&lt;&gt;"",IF(AND('INformazioni per calcoli'!$AB$3&lt;(--"15:00"),'INformazioni per calcoli'!$AB$3&gt;(--"00:00")),0,IF($G123&lt;(--"18:30"),"+1",0)),""),"")</f>
        <v>0</v>
      </c>
      <c r="K123" s="27">
        <f>IF(E123&lt;&gt;"",IFERROR(VLOOKUP(E123,Outlist!$A$5:$AC$120,22,FALSE),""),"")</f>
        <v>0</v>
      </c>
      <c r="L123" s="352" t="str">
        <f>IF(E123&lt;&gt;"",IFERROR(VLOOKUP(E123,Outlist!$A$5:$AC$120,3,FALSE),""),"")</f>
        <v>Eurofast International Transports Srl</v>
      </c>
      <c r="M123" s="4" t="str">
        <f>IFERROR(_xlfn.XLOOKUP($Q123,'Elenco Casse'!$D:$D,'Elenco Casse'!$E:$E),"")</f>
        <v>EUROFAST INTERNATIONAL TRANSPORTS SRL</v>
      </c>
      <c r="N123" s="4">
        <f>IFERROR(_xlfn.XLOOKUP($Q123,'Elenco Casse'!$D:$D,'Elenco Casse'!$F:$F),"")</f>
        <v>0</v>
      </c>
      <c r="O123" s="4" t="str">
        <f>IF($L123&lt;&gt;"","TT-2/3","")</f>
        <v>TT-2/3</v>
      </c>
      <c r="P123" s="296" t="str">
        <f>IFERROR(IF(VLOOKUP(E123,Outlist!$A$5:$AC$120,21,FALSE)="YES","Linea Variata",""),"")</f>
        <v/>
      </c>
      <c r="Q123" s="355" t="s">
        <v>893</v>
      </c>
      <c r="R123" s="23" t="s">
        <v>420</v>
      </c>
      <c r="S123" s="25" t="str">
        <f>IFERROR(IF(VLOOKUP(E123,Outlist!$A$5:$AC$120,7,FALSE)="X","SUBCO",""),"")</f>
        <v>SUBCO</v>
      </c>
      <c r="T123" s="25"/>
      <c r="U123" s="23" t="s">
        <v>61</v>
      </c>
      <c r="V123" s="23" t="s">
        <v>61</v>
      </c>
      <c r="W123" s="26">
        <v>456</v>
      </c>
      <c r="X123" s="27">
        <v>9.375E-2</v>
      </c>
      <c r="Y123" s="25" t="s">
        <v>894</v>
      </c>
      <c r="Z123" s="25"/>
      <c r="AA123" s="25" t="s">
        <v>40</v>
      </c>
      <c r="AB123" s="57">
        <v>1</v>
      </c>
      <c r="AC123" s="25"/>
      <c r="AD123" s="25"/>
      <c r="AE123" s="57"/>
      <c r="AF123" s="57"/>
      <c r="AG123" s="25"/>
      <c r="AH123" s="57"/>
      <c r="AI123" s="339">
        <v>10</v>
      </c>
      <c r="AJ123" s="339"/>
      <c r="AK123" s="297" t="str">
        <f>IF(X123&lt;&gt;"",CONCATENATE(IF(AA123&lt;&gt;"",CONCATENATE(Z123," ",AA123," ",BI123),""),IF(AD123&lt;&gt;"",CONCATENATE(","," ",AC123," ",AD123," ",BJ123),""),IF(AG123&lt;&gt;"",CONCATENATE(","," ",AF123," ",AG123," ",BK123),""),IF(AJ123&lt;&gt;"",CONCATENATE(","," ","DD"," ",BL123),"")," ",IF(AI123&lt;&gt;"",CONCATENATE(" - ",AI123," Bag"),"")),"")</f>
        <v xml:space="preserve"> LL 14  - 10 Bag</v>
      </c>
      <c r="AL123" s="287" t="s">
        <v>421</v>
      </c>
      <c r="AM123" s="287"/>
      <c r="AN123" s="287"/>
      <c r="AO123" s="287"/>
      <c r="AP123" s="370">
        <f>IFERROR(VLOOKUP($E123,Outlist!$A$5:$V$120,20,FALSE),"")</f>
        <v>0</v>
      </c>
      <c r="AQ123" s="568" t="str">
        <f>IFERROR(IF(VLOOKUP($A123,#REF!,8,FALSE)&lt;&gt;"",VLOOKUP($A123,#REF!,8,FALSE),""),"")</f>
        <v/>
      </c>
      <c r="AR123" s="430">
        <v>9.6527777777777782E-2</v>
      </c>
      <c r="AS123" s="24">
        <v>0.10347222222222222</v>
      </c>
      <c r="AT123" s="24">
        <v>0.10486111111111111</v>
      </c>
      <c r="AU123" s="27"/>
      <c r="AV123" s="27"/>
      <c r="AX123" s="20" t="str">
        <f>IFERROR(IF(Out_Table[[#This Row],[Cancellazione linea]]="Cancellata","yes",""),"")</f>
        <v/>
      </c>
      <c r="AY123" s="72"/>
      <c r="AZ123" s="27"/>
      <c r="BA123" s="32"/>
      <c r="BB123" s="72"/>
      <c r="BC123" s="72" t="str">
        <f>IFERROR(VLOOKUP(Out_Table[[#This Row],[Aggiornamento STATUS]],'INformazioni per calcoli'!$Y$70:$AA$76,2,FALSE),"")</f>
        <v/>
      </c>
      <c r="BD123" s="289"/>
      <c r="BE123" s="289"/>
      <c r="BF123" s="47" t="str">
        <f>LEFT($E123,3)</f>
        <v>SKG</v>
      </c>
      <c r="BG123" s="298" t="str">
        <f>IF(Out_Table[[#This Row],[Ora Uscita    (GH)]]&lt;&gt;"","x","")</f>
        <v/>
      </c>
      <c r="BH123" s="299">
        <f>VLOOKUP($O123,'INformazioni per calcoli'!$Y$20:$AA$23,3,FALSE)</f>
        <v>14</v>
      </c>
      <c r="BI123" s="299">
        <f>MROUND(Out_Table[[#This Row],[Mtr. Trailer]]*AB123,0.5)</f>
        <v>14</v>
      </c>
      <c r="BJ123" s="299">
        <f>MROUND(Out_Table[[#This Row],[Mtr. Trailer]]*AE123,0.5)</f>
        <v>0</v>
      </c>
      <c r="BK123" s="299">
        <f>MROUND(Out_Table[[#This Row],[Mtr. Trailer]]*AH123,0.5)</f>
        <v>0</v>
      </c>
      <c r="BL123" s="300">
        <f>Out_Table[[#This Row],[Double Deck trailer N° bumpers]]</f>
        <v>0</v>
      </c>
      <c r="BM123" s="301"/>
      <c r="BN123" s="299" t="str">
        <f>B123</f>
        <v>ERN17420</v>
      </c>
      <c r="BO123" s="299" t="str">
        <f>E123</f>
        <v>SKG 1</v>
      </c>
      <c r="BP123" s="302">
        <f>IF(AND(G123&gt;(--"00:00:01"),G123&lt;(--"15:00:00")),IF(AND(X123&gt;(--"00:00:01"),X123&lt;(--"15:00:00")),G123-X123,G123+1-X123),G123-X123)</f>
        <v>0.17708333333575865</v>
      </c>
      <c r="BQ123" s="303">
        <f>AE123+AF123+AH123+AJ123</f>
        <v>0</v>
      </c>
      <c r="BR123" s="304" t="str">
        <f>IF(OR(BP123&lt;=(--"00:20:00"),BQ123&gt;=100%),"OK","Not OK")</f>
        <v>Not OK</v>
      </c>
      <c r="BS123" s="302">
        <f>IF(AND(G123&gt;(--"00:00:01"),G123&lt;(--"15:00:00")),IF(AND(AU123&gt;(--"00:00:01"),AU123&lt;(--"15:00:00")),G123-AU123,G123+1-AU123),G123-AU123)</f>
        <v>1.2708333333357587</v>
      </c>
      <c r="BT123" s="302">
        <f>IF(AND(AZ123&gt;(--"00:00:01"),AZ123&lt;(--"15:00:00")),IF(AND(AU123&gt;(--"00:00:01"),AU123&lt;(--"15:00:00")),AZ123-AU123,AZ123+1-AU123),AZ123-AU123)</f>
        <v>0</v>
      </c>
      <c r="BU123" s="302">
        <f>IF(AND(BA123&gt;(--"00:00:01"),BA123&lt;(--"15:00:00")),IF(AND(AZ123&gt;(--"00:00:01"),AZ123&lt;(--"15:00:00")),BA123-AZ123,BA123+1-AZ123),BA123-AZ123)</f>
        <v>0</v>
      </c>
      <c r="BV123" s="299">
        <f>AV123</f>
        <v>0</v>
      </c>
      <c r="BW123" s="301"/>
      <c r="BX123" s="299" t="str">
        <f>IF(AV123="T Status",IF(AV123&lt;&gt;T123,"X",""),"")</f>
        <v/>
      </c>
      <c r="BY123" s="301"/>
      <c r="BZ123" s="299" t="str">
        <f>IF(X123&lt;&gt;"",IF(CC123="X","Driver Delay",IF(CA123="X","Paperwork Delay",IF(CB123="X","Late freight late sort",IF(CD123="X","Chiamare Control Room",IF(CE123="X","Chiamare Control Room",IF(CF123="X","Chiamare Control Room","")))))),"")</f>
        <v>Chiamare Control Room</v>
      </c>
      <c r="CA123" s="302" t="str">
        <f>IF(K123="",IF(IF(AND(G123&gt;(--"00:00:01"),G123&lt;(--"15:00:00")),IF(AND(AT123&gt;(--"08:00:00"),AT123&lt;(--"23:59:59")),G123+1-AT123,G123-AT123),G123-AT123)&gt;(--"00:20:00"),"","X"),"")</f>
        <v/>
      </c>
      <c r="CB123" s="299" t="str">
        <f>IF(K123="",IF(BP123&gt;=(--"00:20:00"),"","X"),"")</f>
        <v/>
      </c>
      <c r="CC123" s="299" t="str">
        <f>IF(OR(AV123="Autista non presente",AV123="Dati driver non presenti"),"X","")</f>
        <v/>
      </c>
      <c r="CD123" s="299" t="str">
        <f>IF(K123="",IF(AND(CC123="",BS123&lt;(--"00:20:00")),"X",""),"")</f>
        <v/>
      </c>
      <c r="CE123" s="299" t="str">
        <f>IF(K123="",IF(BT123&gt;(--"00:15:00"),"X",""),IF(AZ123&lt;&gt;"",IF(G123-AZ123&gt;(--"00:30:00"),"X",""),""))</f>
        <v/>
      </c>
      <c r="CF123" s="299" t="str">
        <f>IF(AND(CA123="",CB123="",CC123="",CD123="",CE123=""),"X","")</f>
        <v>X</v>
      </c>
      <c r="CG123" s="301"/>
      <c r="CH123" s="299" t="str">
        <f>IF(BT123&gt;(--"00:15:00"),"X","")</f>
        <v/>
      </c>
      <c r="CI123" s="302">
        <f>AY123</f>
        <v>0</v>
      </c>
      <c r="CJ123" s="299" t="str">
        <f>IF(AND(CH123&lt;&gt;"",CI123&lt;&gt;"",LEFT(B123,3)="ITD"),AP123,"")</f>
        <v/>
      </c>
      <c r="CK123" s="305" t="str">
        <f>IF(CJ123&lt;&gt;"",BT123,"")</f>
        <v/>
      </c>
      <c r="CL123" s="301"/>
      <c r="CM123" s="305" t="str">
        <f>IFERROR(VLOOKUP(Q123,'Elenco Casse'!$D$4:$F$292,3,FALSE),"")</f>
        <v/>
      </c>
      <c r="CN123" s="301"/>
      <c r="CO123" s="305" t="str">
        <f>IFERROR(VLOOKUP(E123,Outlist!$A$5:$H$120,8,FALSE),"")</f>
        <v>P58844</v>
      </c>
      <c r="CP123" s="305" t="str">
        <f>IFERROR(IF(VLOOKUP($E123,Outlist!$A$5:$S$120,19,FALSE)&lt;&gt;0,"Y",""),"")</f>
        <v/>
      </c>
      <c r="CQ123" s="301"/>
      <c r="CR123" s="305" t="str">
        <f>CONCATENATE($B123,$E123,$G123)</f>
        <v>ERN17420SKG 10.270833333335759</v>
      </c>
      <c r="CS123" s="301"/>
      <c r="CT123" s="305">
        <f>VLOOKUP(Out_Table[[#This Row],[Destination             ORANGE (From Planning)]],Outlist!$A$5:$W$120,22,FALSE)</f>
        <v>0</v>
      </c>
    </row>
    <row r="124" spans="1:98" s="20" customFormat="1" ht="30.75">
      <c r="A124" s="305" t="str">
        <f>$CR124</f>
        <v>ERN03542ZRH 10.166666666664241</v>
      </c>
      <c r="B124" s="351" t="str">
        <f>IFERROR(VLOOKUP(E124,Outlist!$A$5:$AC$120,2,FALSE),"")</f>
        <v>ERN03542</v>
      </c>
      <c r="C124" s="352" t="str">
        <f>IFERROR(IF(LEFT(B124,3)='STAT 77'!$X$2,_xlfn.XLOOKUP(B124,'STAT 77'!C:C,'STAT 77'!B:B),_xlfn.XLOOKUP(B124,'STAT 77'!B:B,'STAT 77'!C:C)),"NON TROVATO")</f>
        <v>ERN01785</v>
      </c>
      <c r="D124" s="4"/>
      <c r="E124" s="352" t="str">
        <f>IFERROR(IF(Outlist!$A67&lt;&gt;"",Outlist!$A67,""),"")</f>
        <v>ZRH 1</v>
      </c>
      <c r="F124" s="352" t="str">
        <f>IFERROR(VLOOKUP(E124,'Cambio O2P'!C:E,2,FALSE),"")</f>
        <v/>
      </c>
      <c r="G124" s="353">
        <f>IFERROR(VLOOKUP(E124,Outlist!$A$5:$AC$120,5,FALSE)-INT(VLOOKUP(E124,Outlist!$A$5:$AC$120,5,FALSE)),"")</f>
        <v>0.16666666666424135</v>
      </c>
      <c r="H124" s="294" t="str">
        <f ca="1">IFERROR(IF(AND('INformazioni per calcoli'!$AB$3&lt;(--"14:30"),'INformazioni per calcoli'!$AB$3&gt;(--"10:00")),"",IF($B124="","",IF($X124&lt;&gt;"","Mezzo Chiuso",IF($W124="","Non al Carico",IF($K124="Safe Parking","Safe Parking", IF(OR($BF124='INformazioni per calcoli'!$AF$8,$BF124='INformazioni per calcoli'!$AC$8,$BF124='INformazioni per calcoli'!$AD$8,$BF124='INformazioni per calcoli'!$AE$8,$BF124='INformazioni per calcoli'!$AG$8,$BF124='INformazioni per calcoli'!$AH$8,$BF124='INformazioni per calcoli'!$AI$8,$BF124='INformazioni per calcoli'!$AJ$8),IF($G124-'INformazioni per calcoli'!$AB$6-'INformazioni per calcoli'!$AB$3+$J124&lt;0,"LFLS",$G124-'INformazioni per calcoli'!$AB$6-'INformazioni per calcoli'!$AB$3+$J124), IF(OR($BF124='INformazioni per calcoli'!$AF$6,$BF124='INformazioni per calcoli'!$AD$6,$BF124='INformazioni per calcoli'!$AE$6,$BF124='INformazioni per calcoli'!$AG$6),IF($G124-'INformazioni per calcoli'!$AB$8-'INformazioni per calcoli'!$AB$3+$J124&lt;0,"LFLS",$G124-'INformazioni per calcoli'!$AB$8-'INformazioni per calcoli'!$AB$3+$J124), IF($G124-'INformazioni per calcoli'!$AB$7-'INformazioni per calcoli'!$AB$3+$J124&lt;0,"LFLS",$G124-'INformazioni per calcoli'!$AB$7-'INformazioni per calcoli'!$AB$3+$J124)))))))),"")</f>
        <v>Mezzo Chiuso</v>
      </c>
      <c r="I124" s="17" t="str">
        <f ca="1">IFERROR(IF($H124&lt;&gt;"",IF($H124="Safe Parking","",IF($W124&lt;&gt;"",IF(AND($U124="X",$V124="X"),$H124-(--"00:30"),""),IF($X124&lt;&gt;"","Mezzo Chiuso","Non al carico"))),""),"")</f>
        <v/>
      </c>
      <c r="J124" s="306">
        <f ca="1">IFERROR(IF($B124&lt;&gt;"",IF(AND('INformazioni per calcoli'!$AB$3&lt;(--"15:00"),'INformazioni per calcoli'!$AB$3&gt;(--"00:00")),0,IF($G124&lt;(--"18:30"),"+1",0)),""),"")</f>
        <v>0</v>
      </c>
      <c r="K124" s="27">
        <f>IF(E124&lt;&gt;"",IFERROR(VLOOKUP(E124,Outlist!$A$5:$AC$120,22,FALSE),""),"")</f>
        <v>0</v>
      </c>
      <c r="L124" s="352" t="str">
        <f>IF(E124&lt;&gt;"",IFERROR(VLOOKUP(E124,Outlist!$A$5:$AC$120,3,FALSE),""),"")</f>
        <v>Ravitex Srl</v>
      </c>
      <c r="M124" s="4" t="str">
        <f>IFERROR(_xlfn.XLOOKUP($Q124,'Elenco Casse'!$D:$D,'Elenco Casse'!$E:$E),"")</f>
        <v/>
      </c>
      <c r="N124" s="4" t="str">
        <f>IFERROR(_xlfn.XLOOKUP($Q124,'Elenco Casse'!$D:$D,'Elenco Casse'!$F:$F),"")</f>
        <v/>
      </c>
      <c r="O124" s="4" t="str">
        <f>IF($L124&lt;&gt;"","TT-2/3","")</f>
        <v>TT-2/3</v>
      </c>
      <c r="P124" s="296" t="str">
        <f>IFERROR(IF(VLOOKUP(E124,Outlist!$A$5:$AC$120,21,FALSE)="YES","Linea Variata",""),"")</f>
        <v/>
      </c>
      <c r="Q124" s="355" t="s">
        <v>895</v>
      </c>
      <c r="R124" s="23" t="s">
        <v>420</v>
      </c>
      <c r="S124" s="25" t="str">
        <f>IFERROR(IF(VLOOKUP(E124,Outlist!$A$5:$AC$120,7,FALSE)="X","SUBCO",""),"")</f>
        <v/>
      </c>
      <c r="T124" s="25"/>
      <c r="U124" s="23"/>
      <c r="V124" s="23" t="s">
        <v>61</v>
      </c>
      <c r="W124" s="26">
        <v>705</v>
      </c>
      <c r="X124" s="27">
        <v>9.7222222222222224E-3</v>
      </c>
      <c r="Y124" s="25" t="s">
        <v>896</v>
      </c>
      <c r="Z124" s="25"/>
      <c r="AA124" s="25" t="s">
        <v>487</v>
      </c>
      <c r="AB124" s="57">
        <v>1</v>
      </c>
      <c r="AC124" s="25"/>
      <c r="AD124" s="25"/>
      <c r="AE124" s="57"/>
      <c r="AF124" s="57"/>
      <c r="AG124" s="25"/>
      <c r="AH124" s="57"/>
      <c r="AI124" s="339"/>
      <c r="AJ124" s="339"/>
      <c r="AK124" s="297" t="str">
        <f>IF(X124&lt;&gt;"",CONCATENATE(IF(AA124&lt;&gt;"",CONCATENATE(Z124," ",AA124," ",BI124),""),IF(AD124&lt;&gt;"",CONCATENATE(","," ",AC124," ",AD124," ",BJ124),""),IF(AG124&lt;&gt;"",CONCATENATE(","," ",AF124," ",AG124," ",BK124),""),IF(AJ124&lt;&gt;"",CONCATENATE(","," ","DD"," ",BL124),"")," ",IF(AI124&lt;&gt;"",CONCATENATE(" - ",AI124," Bag"),"")),"")</f>
        <v xml:space="preserve"> FRT 14 </v>
      </c>
      <c r="AL124" s="287" t="s">
        <v>421</v>
      </c>
      <c r="AM124" s="287"/>
      <c r="AN124" s="287"/>
      <c r="AO124" s="287"/>
      <c r="AP124" s="370">
        <f>IFERROR(VLOOKUP($E124,Outlist!$A$5:$V$120,20,FALSE),"")</f>
        <v>0</v>
      </c>
      <c r="AQ124" s="288" t="s">
        <v>897</v>
      </c>
      <c r="AR124" s="430">
        <v>1.4583333333333334E-2</v>
      </c>
      <c r="AS124" s="24">
        <v>2.2916666666666665E-2</v>
      </c>
      <c r="AT124" s="24">
        <v>3.5416666666666666E-2</v>
      </c>
      <c r="AU124" s="27"/>
      <c r="AV124" s="27"/>
      <c r="AW124" s="20" t="s">
        <v>443</v>
      </c>
      <c r="AX124" s="20" t="str">
        <f>IFERROR(IF(Out_Table[[#This Row],[Cancellazione linea]]="Cancellata","yes",""),"")</f>
        <v/>
      </c>
      <c r="AY124" s="72"/>
      <c r="AZ124" s="27"/>
      <c r="BA124" s="32">
        <v>0.1076388888888889</v>
      </c>
      <c r="BB124" s="72"/>
      <c r="BC124" s="72" t="str">
        <f>IFERROR(VLOOKUP(Out_Table[[#This Row],[Aggiornamento STATUS]],'INformazioni per calcoli'!$Y$70:$AA$76,2,FALSE),"")</f>
        <v/>
      </c>
      <c r="BD124" s="289"/>
      <c r="BE124" s="289"/>
      <c r="BF124" s="47" t="str">
        <f>LEFT($E124,3)</f>
        <v>ZRH</v>
      </c>
      <c r="BG124" s="298" t="str">
        <f>IF(Out_Table[[#This Row],[Ora Uscita    (GH)]]&lt;&gt;"","x","")</f>
        <v>x</v>
      </c>
      <c r="BH124" s="299">
        <f>VLOOKUP($O124,'INformazioni per calcoli'!$Y$20:$AA$23,3,FALSE)</f>
        <v>14</v>
      </c>
      <c r="BI124" s="299">
        <f>MROUND(Out_Table[[#This Row],[Mtr. Trailer]]*AB124,0.5)</f>
        <v>14</v>
      </c>
      <c r="BJ124" s="299">
        <f>MROUND(Out_Table[[#This Row],[Mtr. Trailer]]*AE124,0.5)</f>
        <v>0</v>
      </c>
      <c r="BK124" s="299">
        <f>MROUND(Out_Table[[#This Row],[Mtr. Trailer]]*AH124,0.5)</f>
        <v>0</v>
      </c>
      <c r="BL124" s="300">
        <f>Out_Table[[#This Row],[Double Deck trailer N° bumpers]]</f>
        <v>0</v>
      </c>
      <c r="BM124" s="301"/>
      <c r="BN124" s="299" t="str">
        <f>B124</f>
        <v>ERN03542</v>
      </c>
      <c r="BO124" s="299" t="str">
        <f>E124</f>
        <v>ZRH 1</v>
      </c>
      <c r="BP124" s="302">
        <f>IF(AND(G124&gt;(--"00:00:01"),G124&lt;(--"15:00:00")),IF(AND(X124&gt;(--"00:00:01"),X124&lt;(--"15:00:00")),G124-X124,G124+1-X124),G124-X124)</f>
        <v>0.15694444444201913</v>
      </c>
      <c r="BQ124" s="303">
        <f>AE124+AF124+AH124+AJ124</f>
        <v>0</v>
      </c>
      <c r="BR124" s="304" t="str">
        <f>IF(OR(BP124&lt;=(--"00:20:00"),BQ124&gt;=100%),"OK","Not OK")</f>
        <v>Not OK</v>
      </c>
      <c r="BS124" s="302">
        <f>IF(AND(G124&gt;(--"00:00:01"),G124&lt;(--"15:00:00")),IF(AND(AU124&gt;(--"00:00:01"),AU124&lt;(--"15:00:00")),G124-AU124,G124+1-AU124),G124-AU124)</f>
        <v>1.1666666666642413</v>
      </c>
      <c r="BT124" s="302">
        <f>IF(AND(AZ124&gt;(--"00:00:01"),AZ124&lt;(--"15:00:00")),IF(AND(AU124&gt;(--"00:00:01"),AU124&lt;(--"15:00:00")),AZ124-AU124,AZ124+1-AU124),AZ124-AU124)</f>
        <v>0</v>
      </c>
      <c r="BU124" s="302">
        <f>IF(AND(BA124&gt;(--"00:00:01"),BA124&lt;(--"15:00:00")),IF(AND(AZ124&gt;(--"00:00:01"),AZ124&lt;(--"15:00:00")),BA124-AZ124,BA124+1-AZ124),BA124-AZ124)</f>
        <v>1.1076388888888888</v>
      </c>
      <c r="BV124" s="299">
        <f>AV124</f>
        <v>0</v>
      </c>
      <c r="BW124" s="301"/>
      <c r="BX124" s="299" t="str">
        <f>IF(AV124="T Status",IF(AV124&lt;&gt;T124,"X",""),"")</f>
        <v/>
      </c>
      <c r="BY124" s="301"/>
      <c r="BZ124" s="299" t="str">
        <f>IF(X124&lt;&gt;"",IF(CC124="X","Driver Delay",IF(CA124="X","Paperwork Delay",IF(CB124="X","Late freight late sort",IF(CD124="X","Chiamare Control Room",IF(CE124="X","Chiamare Control Room",IF(CF124="X","Chiamare Control Room","")))))),"")</f>
        <v>Chiamare Control Room</v>
      </c>
      <c r="CA124" s="302" t="str">
        <f>IF(K124="",IF(IF(AND(G124&gt;(--"00:00:01"),G124&lt;(--"15:00:00")),IF(AND(AT124&gt;(--"08:00:00"),AT124&lt;(--"23:59:59")),G124+1-AT124,G124-AT124),G124-AT124)&gt;(--"00:20:00"),"","X"),"")</f>
        <v/>
      </c>
      <c r="CB124" s="299" t="str">
        <f>IF(K124="",IF(BP124&gt;=(--"00:20:00"),"","X"),"")</f>
        <v/>
      </c>
      <c r="CC124" s="299" t="str">
        <f>IF(OR(AV124="Autista non presente",AV124="Dati driver non presenti"),"X","")</f>
        <v/>
      </c>
      <c r="CD124" s="299" t="str">
        <f>IF(K124="",IF(AND(CC124="",BS124&lt;(--"00:20:00")),"X",""),"")</f>
        <v/>
      </c>
      <c r="CE124" s="299" t="str">
        <f>IF(K124="",IF(BT124&gt;(--"00:15:00"),"X",""),IF(AZ124&lt;&gt;"",IF(G124-AZ124&gt;(--"00:30:00"),"X",""),""))</f>
        <v/>
      </c>
      <c r="CF124" s="299" t="str">
        <f>IF(AND(CA124="",CB124="",CC124="",CD124="",CE124=""),"X","")</f>
        <v>X</v>
      </c>
      <c r="CG124" s="301"/>
      <c r="CH124" s="299" t="str">
        <f>IF(BT124&gt;(--"00:15:00"),"X","")</f>
        <v/>
      </c>
      <c r="CI124" s="302">
        <f>AY124</f>
        <v>0</v>
      </c>
      <c r="CJ124" s="299" t="str">
        <f>IF(AND(CH124&lt;&gt;"",CI124&lt;&gt;"",LEFT(B124,3)="ITD"),AP124,"")</f>
        <v/>
      </c>
      <c r="CK124" s="305" t="str">
        <f>IF(CJ124&lt;&gt;"",BT124,"")</f>
        <v/>
      </c>
      <c r="CL124" s="301"/>
      <c r="CM124" s="305" t="str">
        <f>IFERROR(VLOOKUP(Q124,'Elenco Casse'!$D$4:$F$292,3,FALSE),"")</f>
        <v/>
      </c>
      <c r="CN124" s="301"/>
      <c r="CO124" s="305" t="str">
        <f>IFERROR(VLOOKUP(E124,Outlist!$A$5:$H$120,8,FALSE),"")</f>
        <v>ENBR26444</v>
      </c>
      <c r="CP124" s="305" t="str">
        <f>IFERROR(IF(VLOOKUP($E124,Outlist!$A$5:$S$120,19,FALSE)&lt;&gt;0,"Y",""),"")</f>
        <v>Y</v>
      </c>
      <c r="CQ124" s="301"/>
      <c r="CR124" s="305" t="str">
        <f>CONCATENATE($B124,$E124,$G124)</f>
        <v>ERN03542ZRH 10.166666666664241</v>
      </c>
      <c r="CS124" s="301"/>
      <c r="CT124" s="305">
        <f>VLOOKUP(Out_Table[[#This Row],[Destination             ORANGE (From Planning)]],Outlist!$A$5:$W$120,22,FALSE)</f>
        <v>0</v>
      </c>
    </row>
    <row r="125" spans="1:98" s="20" customFormat="1" ht="30.75">
      <c r="A125" s="305" t="str">
        <f>$CR125</f>
        <v>ITD12286MDA0.190972222222222</v>
      </c>
      <c r="B125" s="284" t="s">
        <v>898</v>
      </c>
      <c r="C125" s="290" t="str">
        <f>IFERROR(IF(LEFT(B125,3)='STAT 77'!$X$2,_xlfn.XLOOKUP(B125,'STAT 77'!C:C,'STAT 77'!B:B),_xlfn.XLOOKUP(B125,'STAT 77'!B:B,'STAT 77'!C:C)),"NON TROVATO")</f>
        <v>ITD31296</v>
      </c>
      <c r="D125" s="25" t="s">
        <v>479</v>
      </c>
      <c r="E125" s="290" t="s">
        <v>480</v>
      </c>
      <c r="F125" s="290" t="str">
        <f>IFERROR(VLOOKUP(E125,'Cambio O2P'!C:E,2,FALSE),"")</f>
        <v>QAQA</v>
      </c>
      <c r="G125" s="285">
        <v>0.19097222222222221</v>
      </c>
      <c r="H125" s="293" t="str">
        <f ca="1">IFERROR(IF(AND('INformazioni per calcoli'!$AB$3&lt;(--"14:30"),'INformazioni per calcoli'!$AB$3&gt;(--"10:00")),"",IF($B125="","",IF($X125&lt;&gt;"","Mezzo Chiuso",IF($W125="","Non al Carico",IF($G125-'INformazioni per calcoli'!$AB$5-'INformazioni per calcoli'!$AB$3+$J125&lt;0,"LFLS",IF($K125&lt;&gt;"","Safe Parking",IF($W125&lt;&gt;"",IF($E125="MXP",$G125-'INformazioni per calcoli'!$AB$6-'INformazioni per calcoli'!$AB$3+$J125,$G125-'INformazioni per calcoli'!$AB$5-'INformazioni per calcoli'!$AB$3+$J125),"Non al carico"))))))),"")</f>
        <v>Mezzo Chiuso</v>
      </c>
      <c r="I125" s="17" t="str">
        <f ca="1">IFERROR(IF($H125&lt;&gt;"",IF($H125="Safe Parking","",IF($W125&lt;&gt;"",IF(AND($U125="X",$V125="X"),$H125-(--"00:30"),""),IF($X125&lt;&gt;"","Mezzo Chiuso","Non al carico"))),""),"")</f>
        <v/>
      </c>
      <c r="J125" s="306">
        <f ca="1">IFERROR(IF($B125&lt;&gt;"",IF(AND('INformazioni per calcoli'!$AB$3&lt;(--"15:00"),'INformazioni per calcoli'!$AB$3&gt;(--"00:00")),0,IF($G125&lt;(--"18:30"),"+1",0)),""),"")</f>
        <v>0</v>
      </c>
      <c r="K125" s="17"/>
      <c r="L125" s="25" t="s">
        <v>52</v>
      </c>
      <c r="M125" s="25" t="str">
        <f>IFERROR(_xlfn.XLOOKUP($Q125,'Elenco Casse'!$D:$D,'Elenco Casse'!$E:$E),"")</f>
        <v/>
      </c>
      <c r="N125" s="25" t="str">
        <f>IFERROR(_xlfn.XLOOKUP($Q125,'Elenco Casse'!$D:$D,'Elenco Casse'!$F:$F),"")</f>
        <v/>
      </c>
      <c r="O125" s="286" t="s">
        <v>418</v>
      </c>
      <c r="P125" s="295" t="str">
        <f>IFERROR(_xlfn.XLOOKUP($Q125,'Elenco Casse'!$D:$D,'Elenco Casse'!$G:$G),"")</f>
        <v/>
      </c>
      <c r="Q125" s="355" t="s">
        <v>899</v>
      </c>
      <c r="R125" s="23" t="s">
        <v>420</v>
      </c>
      <c r="S125" s="25" t="s">
        <v>421</v>
      </c>
      <c r="T125" s="25" t="s">
        <v>900</v>
      </c>
      <c r="U125" s="23" t="str">
        <f>IF(ISNUMBER(SEARCH("Parcel",$T125)),"X","")</f>
        <v/>
      </c>
      <c r="V125" s="23" t="str">
        <f>IF(ISNUMBER(SEARCH("Freight",$T125)),"X","")</f>
        <v>X</v>
      </c>
      <c r="W125" s="26">
        <v>706</v>
      </c>
      <c r="X125" s="27">
        <v>0.92500000000000004</v>
      </c>
      <c r="Y125" s="25" t="s">
        <v>901</v>
      </c>
      <c r="Z125" s="25"/>
      <c r="AA125" s="25" t="s">
        <v>487</v>
      </c>
      <c r="AB125" s="57">
        <v>1</v>
      </c>
      <c r="AC125" s="25"/>
      <c r="AD125" s="25"/>
      <c r="AE125" s="57"/>
      <c r="AF125" s="57"/>
      <c r="AG125" s="25"/>
      <c r="AH125" s="57"/>
      <c r="AI125" s="339"/>
      <c r="AJ125" s="339"/>
      <c r="AK125" s="297" t="str">
        <f>IF(X125&lt;&gt;"",CONCATENATE(IF(AA125&lt;&gt;"",CONCATENATE(Z125," ",AA125," ",BI125),""),IF(AD125&lt;&gt;"",CONCATENATE(","," ",AC125," ",AD125," ",BJ125),""),IF(AG125&lt;&gt;"",CONCATENATE(","," ",AF125," ",AG125," ",BK125),""),IF(AJ125&lt;&gt;"",CONCATENATE(","," ","DD"," ",BL125),"")," ",IF(AI125&lt;&gt;"",CONCATENATE(" - ",AI125," Bag"),"")),"")</f>
        <v xml:space="preserve"> FRT 14 </v>
      </c>
      <c r="AL125" s="287" t="s">
        <v>421</v>
      </c>
      <c r="AM125" s="287"/>
      <c r="AN125" s="287"/>
      <c r="AO125" s="287"/>
      <c r="AP125" s="370" t="str">
        <f>IFERROR(VLOOKUP(#REF!,Outlist!$A$5:$V$120,20,FALSE),"")</f>
        <v/>
      </c>
      <c r="AQ125" s="288" t="str">
        <f>IFERROR(IF(VLOOKUP($A125,#REF!,8,FALSE)&lt;&gt;"",VLOOKUP($A125,#REF!,8,FALSE),""),"")</f>
        <v/>
      </c>
      <c r="AS125" s="24"/>
      <c r="AT125" s="24">
        <v>0.48333333333333334</v>
      </c>
      <c r="AU125" s="27"/>
      <c r="AV125" s="27"/>
      <c r="AX125" s="20" t="str">
        <f>IFERROR(IF(Out_Table[[#This Row],[Cancellazione linea]]="Cancellata","yes",""),"")</f>
        <v/>
      </c>
      <c r="AY125" s="72" t="str">
        <f>IF(BA125="",BZ125,IF(AND(BA125&lt;(--"23:59:59"),BA125&gt;(--"15:00:00"),G125&lt;(--"14:00:00"),G125&gt;(--"00:00:01")),"",IF(BA125&gt;G125,BZ125,"")))</f>
        <v>Chiamare Control Room</v>
      </c>
      <c r="AZ125" s="27"/>
      <c r="BA125" s="32"/>
      <c r="BB125" s="72"/>
      <c r="BC125" s="72" t="str">
        <f>IFERROR(VLOOKUP(Out_Table[[#This Row],[Aggiornamento STATUS]],'INformazioni per calcoli'!$Y$70:$AA$76,2,FALSE),"")</f>
        <v/>
      </c>
      <c r="BD125" s="289"/>
      <c r="BE125" s="289"/>
      <c r="BF125" s="47" t="str">
        <f>LEFT($E125,3)</f>
        <v>MDA</v>
      </c>
      <c r="BG125" s="298" t="str">
        <f>IF(Out_Table[[#This Row],[Ora Uscita    (GH)]]&lt;&gt;"","x","")</f>
        <v/>
      </c>
      <c r="BH125" s="299">
        <f>VLOOKUP($O125,'INformazioni per calcoli'!$Y$20:$AA$23,3,FALSE)</f>
        <v>14</v>
      </c>
      <c r="BI125" s="299">
        <f>MROUND(Out_Table[[#This Row],[Mtr. Trailer]]*AB125,0.5)</f>
        <v>14</v>
      </c>
      <c r="BJ125" s="299">
        <f>MROUND(Out_Table[[#This Row],[Mtr. Trailer]]*AE125,0.5)</f>
        <v>0</v>
      </c>
      <c r="BK125" s="299">
        <f>MROUND(Out_Table[[#This Row],[Mtr. Trailer]]*AH125,0.5)</f>
        <v>0</v>
      </c>
      <c r="BL125" s="300">
        <f>Out_Table[[#This Row],[Double Deck trailer N° bumpers]]</f>
        <v>0</v>
      </c>
      <c r="BM125" s="301"/>
      <c r="BN125" s="299" t="str">
        <f>B125</f>
        <v>ITD12286</v>
      </c>
      <c r="BO125" s="299" t="str">
        <f>E125</f>
        <v>MDA</v>
      </c>
      <c r="BP125" s="302">
        <f>IF(AND(G125&gt;(--"00:00:01"),G125&lt;(--"15:00:00")),IF(AND(X125&gt;(--"00:00:01"),X125&lt;(--"15:00:00")),G125-X125,G125+1-X125),G125-X125)</f>
        <v>0.26597222222222228</v>
      </c>
      <c r="BQ125" s="303">
        <f>AE125+AF125+AH125+AJ125</f>
        <v>0</v>
      </c>
      <c r="BR125" s="304" t="str">
        <f>IF(OR(BP125&lt;=(--"00:20:00"),BQ125&gt;=100%),"OK","Not OK")</f>
        <v>Not OK</v>
      </c>
      <c r="BS125" s="302">
        <f>IF(AND(G125&gt;(--"00:00:01"),G125&lt;(--"15:00:00")),IF(AND(AU125&gt;(--"00:00:01"),AU125&lt;(--"15:00:00")),G125-AU125,G125+1-AU125),G125-AU125)</f>
        <v>1.1909722222222223</v>
      </c>
      <c r="BT125" s="302">
        <f>IF(AND(AZ125&gt;(--"00:00:01"),AZ125&lt;(--"15:00:00")),IF(AND(AU125&gt;(--"00:00:01"),AU125&lt;(--"15:00:00")),AZ125-AU125,AZ125+1-AU125),AZ125-AU125)</f>
        <v>0</v>
      </c>
      <c r="BU125" s="302">
        <f>IF(AND(BA125&gt;(--"00:00:01"),BA125&lt;(--"15:00:00")),IF(AND(AZ125&gt;(--"00:00:01"),AZ125&lt;(--"15:00:00")),BA125-AZ125,BA125+1-AZ125),BA125-AZ125)</f>
        <v>0</v>
      </c>
      <c r="BV125" s="299">
        <f>AV125</f>
        <v>0</v>
      </c>
      <c r="BW125" s="301"/>
      <c r="BX125" s="299" t="str">
        <f>IF(AV125="T Status",IF(AV125&lt;&gt;T125,"X",""),"")</f>
        <v/>
      </c>
      <c r="BY125" s="301"/>
      <c r="BZ125" s="299" t="str">
        <f>IF(X125&lt;&gt;"",IF(CC125="X","Driver Delay",IF(CA125="X","Paperwork Delay",IF(CB125="X","Late freight late sort",IF(CD125="X","Chiamare Control Room",IF(CE125="X","Chiamare Control Room",IF(CF125="X","Chiamare Control Room","")))))),"")</f>
        <v>Chiamare Control Room</v>
      </c>
      <c r="CA125" s="302" t="str">
        <f>IF(K125="",IF(IF(AND(G125&gt;(--"00:00:01"),G125&lt;(--"15:00:00")),IF(AND(AT125&gt;(--"08:00:00"),AT125&lt;(--"23:59:59")),G125+1-AT125,G125-AT125),G125-AT125)&gt;(--"00:20:00"),"","X"),"")</f>
        <v/>
      </c>
      <c r="CB125" s="299" t="str">
        <f>IF(K125="",IF(BP125&gt;=(--"00:20:00"),"","X"),"")</f>
        <v/>
      </c>
      <c r="CC125" s="299" t="str">
        <f>IF(OR(AV125="Autista non presente",AV125="Dati driver non presenti"),"X","")</f>
        <v/>
      </c>
      <c r="CD125" s="299" t="str">
        <f>IF(K125="",IF(AND(CC125="",BS125&lt;(--"00:20:00")),"X",""),"")</f>
        <v/>
      </c>
      <c r="CE125" s="299" t="str">
        <f>IF(K125="",IF(BT125&gt;(--"00:15:00"),"X",""),IF(AZ125&lt;&gt;"",IF(G125-AZ125&gt;(--"00:30:00"),"X",""),""))</f>
        <v/>
      </c>
      <c r="CF125" s="299" t="str">
        <f>IF(AND(CA125="",CB125="",CC125="",CD125="",CE125=""),"X","")</f>
        <v>X</v>
      </c>
      <c r="CG125" s="301"/>
      <c r="CH125" s="299" t="str">
        <f>IF(BT125&gt;(--"00:15:00"),"X","")</f>
        <v/>
      </c>
      <c r="CI125" s="302" t="str">
        <f>AY125</f>
        <v>Chiamare Control Room</v>
      </c>
      <c r="CJ125" s="299" t="str">
        <f>IF(AND(CH125&lt;&gt;"",CI125&lt;&gt;"",LEFT(B125,3)="ITD"),AP125,"")</f>
        <v/>
      </c>
      <c r="CK125" s="305" t="str">
        <f>IF(CJ125&lt;&gt;"",BT125,"")</f>
        <v/>
      </c>
      <c r="CL125" s="301"/>
      <c r="CM125" s="305" t="str">
        <f>IFERROR(VLOOKUP(Q125,'Elenco Casse'!$D$4:$F$292,3,FALSE),"")</f>
        <v/>
      </c>
      <c r="CN125" s="301"/>
      <c r="CO125" s="305" t="str">
        <f>IFERROR(VLOOKUP(S125,'Elenco Casse'!$D$4:$F$292,3,FALSE),"")</f>
        <v/>
      </c>
      <c r="CP125" s="305" t="str">
        <f>IFERROR(IF(VLOOKUP($E125,Outlist!$A$5:$S$120,19,FALSE)&lt;&gt;0,"Y",""),"")</f>
        <v/>
      </c>
      <c r="CQ125" s="301"/>
      <c r="CR125" s="305" t="str">
        <f>CONCATENATE($B125,$E125,$G125)</f>
        <v>ITD12286MDA0.190972222222222</v>
      </c>
      <c r="CS125" s="301"/>
      <c r="CT125" s="305" t="e">
        <f>VLOOKUP(Out_Table[[#This Row],[Destination             ORANGE (From Planning)]],Outlist!$A$5:$W$120,22,FALSE)</f>
        <v>#N/A</v>
      </c>
    </row>
    <row r="126" spans="1:98" s="20" customFormat="1" ht="30.75">
      <c r="A126" s="305" t="str">
        <f>$CR126</f>
        <v>ITD12252BRG0.208333333333333</v>
      </c>
      <c r="B126" s="284" t="s">
        <v>902</v>
      </c>
      <c r="C126" s="290" t="str">
        <f>IFERROR(IF(LEFT(B126,3)='STAT 77'!$X$2,_xlfn.XLOOKUP(B126,'STAT 77'!C:C,'STAT 77'!B:B),_xlfn.XLOOKUP(B126,'STAT 77'!B:B,'STAT 77'!C:C)),"NON TROVATO")</f>
        <v>ITD32563</v>
      </c>
      <c r="D126" s="25" t="s">
        <v>445</v>
      </c>
      <c r="E126" s="290" t="s">
        <v>435</v>
      </c>
      <c r="F126" s="290" t="str">
        <f>IFERROR(VLOOKUP(E126,'Cambio O2P'!C:E,2,FALSE),"")</f>
        <v>BAUA</v>
      </c>
      <c r="G126" s="285">
        <v>0.20833333333333334</v>
      </c>
      <c r="H126" s="293" t="str">
        <f ca="1">IFERROR(IF(AND('INformazioni per calcoli'!$AB$3&lt;(--"14:30"),'INformazioni per calcoli'!$AB$3&gt;(--"10:00")),"",IF($B126="","",IF($X126&lt;&gt;"","Mezzo Chiuso",IF($W126="","Non al Carico",IF($G126-'INformazioni per calcoli'!$AB$5-'INformazioni per calcoli'!$AB$3+$J126&lt;0,"LFLS",IF($K126&lt;&gt;"","Safe Parking",IF($W126&lt;&gt;"",IF($E126="MXP",$G126-'INformazioni per calcoli'!$AB$6-'INformazioni per calcoli'!$AB$3+$J126,$G126-'INformazioni per calcoli'!$AB$5-'INformazioni per calcoli'!$AB$3+$J126),"Non al carico"))))))),"")</f>
        <v>Mezzo Chiuso</v>
      </c>
      <c r="I126" s="17" t="str">
        <f ca="1">IFERROR(IF($H126&lt;&gt;"",IF($H126="Safe Parking","",IF($W126&lt;&gt;"",IF(AND($U126="X",$V126="X"),$H126-(--"00:30"),""),IF($X126&lt;&gt;"","Mezzo Chiuso","Non al carico"))),""),"")</f>
        <v/>
      </c>
      <c r="J126" s="306">
        <f ca="1">IFERROR(IF($B126&lt;&gt;"",IF(AND('INformazioni per calcoli'!$AB$3&lt;(--"15:00"),'INformazioni per calcoli'!$AB$3&gt;(--"00:00")),0,IF($G126&lt;(--"18:30"),"+1",0)),""),"")</f>
        <v>0</v>
      </c>
      <c r="K126" s="17"/>
      <c r="L126" s="25" t="s">
        <v>436</v>
      </c>
      <c r="M126" s="25" t="str">
        <f>IFERROR(_xlfn.XLOOKUP($Q126,'Elenco Casse'!$D:$D,'Elenco Casse'!$E:$E),"")</f>
        <v>Esseci S.R.L</v>
      </c>
      <c r="N126" s="25">
        <f>IFERROR(_xlfn.XLOOKUP($Q126,'Elenco Casse'!$D:$D,'Elenco Casse'!$F:$F),"")</f>
        <v>0</v>
      </c>
      <c r="O126" s="286" t="s">
        <v>418</v>
      </c>
      <c r="P126" s="295" t="str">
        <f>IFERROR(_xlfn.XLOOKUP($Q126,'Elenco Casse'!$D:$D,'Elenco Casse'!$G:$G),"")</f>
        <v>trailer 80 m3 2/3 axes</v>
      </c>
      <c r="Q126" s="355" t="s">
        <v>903</v>
      </c>
      <c r="R126" s="23" t="s">
        <v>420</v>
      </c>
      <c r="S126" s="25" t="s">
        <v>421</v>
      </c>
      <c r="T126" s="25" t="s">
        <v>904</v>
      </c>
      <c r="U126" s="23" t="str">
        <f>IF(ISNUMBER(SEARCH("Parcel",$T126)),"X","")</f>
        <v/>
      </c>
      <c r="V126" s="23" t="str">
        <f>IF(ISNUMBER(SEARCH("Freight",$T126)),"X","")</f>
        <v>X</v>
      </c>
      <c r="W126" s="26">
        <v>708</v>
      </c>
      <c r="X126" s="27">
        <v>7.0833333333333331E-2</v>
      </c>
      <c r="Y126" s="25" t="s">
        <v>905</v>
      </c>
      <c r="Z126" s="25"/>
      <c r="AA126" s="25" t="s">
        <v>487</v>
      </c>
      <c r="AB126" s="57">
        <v>1</v>
      </c>
      <c r="AC126" s="25"/>
      <c r="AD126" s="25"/>
      <c r="AE126" s="57"/>
      <c r="AF126" s="57"/>
      <c r="AG126" s="25"/>
      <c r="AH126" s="57"/>
      <c r="AI126" s="339"/>
      <c r="AJ126" s="339"/>
      <c r="AK126" s="297" t="str">
        <f>IF(X126&lt;&gt;"",CONCATENATE(IF(AA126&lt;&gt;"",CONCATENATE(Z126," ",AA126," ",BI126),""),IF(AD126&lt;&gt;"",CONCATENATE(","," ",AC126," ",AD126," ",BJ126),""),IF(AG126&lt;&gt;"",CONCATENATE(","," ",AF126," ",AG126," ",BK126),""),IF(AJ126&lt;&gt;"",CONCATENATE(","," ","DD"," ",BL126),"")," ",IF(AI126&lt;&gt;"",CONCATENATE(" - ",AI126," Bag"),"")),"")</f>
        <v xml:space="preserve"> FRT 14 </v>
      </c>
      <c r="AL126" s="287" t="s">
        <v>421</v>
      </c>
      <c r="AM126" s="287"/>
      <c r="AN126" s="287"/>
      <c r="AO126" s="287"/>
      <c r="AP126" s="370" t="str">
        <f>IFERROR(VLOOKUP(#REF!,Outlist!$A$5:$V$120,20,FALSE),"")</f>
        <v/>
      </c>
      <c r="AQ126" s="288" t="str">
        <f>IFERROR(IF(VLOOKUP($A126,#REF!,8,FALSE)&lt;&gt;"",VLOOKUP($A126,#REF!,8,FALSE),""),"")</f>
        <v/>
      </c>
      <c r="AS126" s="24"/>
      <c r="AT126" s="24">
        <v>0.9506944444444444</v>
      </c>
      <c r="AU126" s="27"/>
      <c r="AV126" s="27"/>
      <c r="AX126" s="20" t="str">
        <f>IFERROR(IF(Out_Table[[#This Row],[Cancellazione linea]]="Cancellata","yes",""),"")</f>
        <v/>
      </c>
      <c r="AY126" s="72" t="str">
        <f>IF(BA126="",BZ126,IF(AND(BA126&lt;(--"23:59:59"),BA126&gt;(--"15:00:00"),G126&lt;(--"14:00:00"),G126&gt;(--"00:00:01")),"",IF(BA126&gt;G126,BZ126,"")))</f>
        <v>Chiamare Control Room</v>
      </c>
      <c r="AZ126" s="27"/>
      <c r="BA126" s="32"/>
      <c r="BB126" s="72"/>
      <c r="BC126" s="72" t="str">
        <f>IFERROR(VLOOKUP(Out_Table[[#This Row],[Aggiornamento STATUS]],'INformazioni per calcoli'!$Y$70:$AA$76,2,FALSE),"")</f>
        <v/>
      </c>
      <c r="BD126" s="289"/>
      <c r="BE126" s="289"/>
      <c r="BF126" s="47" t="str">
        <f>LEFT($E126,3)</f>
        <v>BRG</v>
      </c>
      <c r="BG126" s="298" t="str">
        <f>IF(Out_Table[[#This Row],[Ora Uscita    (GH)]]&lt;&gt;"","x","")</f>
        <v/>
      </c>
      <c r="BH126" s="299">
        <f>VLOOKUP($O126,'INformazioni per calcoli'!$Y$20:$AA$23,3,FALSE)</f>
        <v>14</v>
      </c>
      <c r="BI126" s="299">
        <f>MROUND(Out_Table[[#This Row],[Mtr. Trailer]]*AB126,0.5)</f>
        <v>14</v>
      </c>
      <c r="BJ126" s="299">
        <f>MROUND(Out_Table[[#This Row],[Mtr. Trailer]]*AE126,0.5)</f>
        <v>0</v>
      </c>
      <c r="BK126" s="299">
        <f>MROUND(Out_Table[[#This Row],[Mtr. Trailer]]*AH126,0.5)</f>
        <v>0</v>
      </c>
      <c r="BL126" s="300">
        <f>Out_Table[[#This Row],[Double Deck trailer N° bumpers]]</f>
        <v>0</v>
      </c>
      <c r="BM126" s="301"/>
      <c r="BN126" s="299" t="str">
        <f>B126</f>
        <v>ITD12252</v>
      </c>
      <c r="BO126" s="299" t="str">
        <f>E126</f>
        <v>BRG</v>
      </c>
      <c r="BP126" s="302">
        <f>IF(AND(G126&gt;(--"00:00:01"),G126&lt;(--"15:00:00")),IF(AND(X126&gt;(--"00:00:01"),X126&lt;(--"15:00:00")),G126-X126,G126+1-X126),G126-X126)</f>
        <v>0.13750000000000001</v>
      </c>
      <c r="BQ126" s="303">
        <f>AE126+AF126+AH126+AJ126</f>
        <v>0</v>
      </c>
      <c r="BR126" s="304" t="str">
        <f>IF(OR(BP126&lt;=(--"00:20:00"),BQ126&gt;=100%),"OK","Not OK")</f>
        <v>Not OK</v>
      </c>
      <c r="BS126" s="302">
        <f>IF(AND(G126&gt;(--"00:00:01"),G126&lt;(--"15:00:00")),IF(AND(AU126&gt;(--"00:00:01"),AU126&lt;(--"15:00:00")),G126-AU126,G126+1-AU126),G126-AU126)</f>
        <v>1.2083333333333333</v>
      </c>
      <c r="BT126" s="302">
        <f>IF(AND(AZ126&gt;(--"00:00:01"),AZ126&lt;(--"15:00:00")),IF(AND(AU126&gt;(--"00:00:01"),AU126&lt;(--"15:00:00")),AZ126-AU126,AZ126+1-AU126),AZ126-AU126)</f>
        <v>0</v>
      </c>
      <c r="BU126" s="302">
        <f>IF(AND(BA126&gt;(--"00:00:01"),BA126&lt;(--"15:00:00")),IF(AND(AZ126&gt;(--"00:00:01"),AZ126&lt;(--"15:00:00")),BA126-AZ126,BA126+1-AZ126),BA126-AZ126)</f>
        <v>0</v>
      </c>
      <c r="BV126" s="299">
        <f>AV126</f>
        <v>0</v>
      </c>
      <c r="BW126" s="301"/>
      <c r="BX126" s="299" t="str">
        <f>IF(AV126="T Status",IF(AV126&lt;&gt;T126,"X",""),"")</f>
        <v/>
      </c>
      <c r="BY126" s="301"/>
      <c r="BZ126" s="299" t="str">
        <f>IF(X126&lt;&gt;"",IF(CC126="X","Driver Delay",IF(CA126="X","Paperwork Delay",IF(CB126="X","Late freight late sort",IF(CD126="X","Chiamare Control Room",IF(CE126="X","Chiamare Control Room",IF(CF126="X","Chiamare Control Room","")))))),"")</f>
        <v>Chiamare Control Room</v>
      </c>
      <c r="CA126" s="302" t="str">
        <f>IF(K126="",IF(IF(AND(G126&gt;(--"00:00:01"),G126&lt;(--"15:00:00")),IF(AND(AT126&gt;(--"08:00:00"),AT126&lt;(--"23:59:59")),G126+1-AT126,G126-AT126),G126-AT126)&gt;(--"00:20:00"),"","X"),"")</f>
        <v/>
      </c>
      <c r="CB126" s="299" t="str">
        <f>IF(K126="",IF(BP126&gt;=(--"00:20:00"),"","X"),"")</f>
        <v/>
      </c>
      <c r="CC126" s="299" t="str">
        <f>IF(OR(AV126="Autista non presente",AV126="Dati driver non presenti"),"X","")</f>
        <v/>
      </c>
      <c r="CD126" s="299" t="str">
        <f>IF(K126="",IF(AND(CC126="",BS126&lt;(--"00:20:00")),"X",""),"")</f>
        <v/>
      </c>
      <c r="CE126" s="299" t="str">
        <f>IF(K126="",IF(BT126&gt;(--"00:15:00"),"X",""),IF(AZ126&lt;&gt;"",IF(G126-AZ126&gt;(--"00:30:00"),"X",""),""))</f>
        <v/>
      </c>
      <c r="CF126" s="299" t="str">
        <f>IF(AND(CA126="",CB126="",CC126="",CD126="",CE126=""),"X","")</f>
        <v>X</v>
      </c>
      <c r="CG126" s="301"/>
      <c r="CH126" s="299" t="str">
        <f>IF(BT126&gt;(--"00:15:00"),"X","")</f>
        <v/>
      </c>
      <c r="CI126" s="302" t="str">
        <f>AY126</f>
        <v>Chiamare Control Room</v>
      </c>
      <c r="CJ126" s="299" t="str">
        <f>IF(AND(CH126&lt;&gt;"",CI126&lt;&gt;"",LEFT(B126,3)="ITD"),AP126,"")</f>
        <v/>
      </c>
      <c r="CK126" s="305" t="str">
        <f>IF(CJ126&lt;&gt;"",BT126,"")</f>
        <v/>
      </c>
      <c r="CL126" s="301"/>
      <c r="CM126" s="305" t="str">
        <f>IFERROR(VLOOKUP(Q126,'Elenco Casse'!$D$4:$F$292,3,FALSE),"")</f>
        <v/>
      </c>
      <c r="CN126" s="301"/>
      <c r="CO126" s="305" t="str">
        <f>IFERROR(VLOOKUP(S126,'Elenco Casse'!$D$4:$F$292,3,FALSE),"")</f>
        <v/>
      </c>
      <c r="CP126" s="305" t="str">
        <f>IFERROR(IF(VLOOKUP($E126,Outlist!$A$5:$S$120,19,FALSE)&lt;&gt;0,"Y",""),"")</f>
        <v/>
      </c>
      <c r="CQ126" s="301"/>
      <c r="CR126" s="305" t="str">
        <f>CONCATENATE($B126,$E126,$G126)</f>
        <v>ITD12252BRG0.208333333333333</v>
      </c>
      <c r="CS126" s="301"/>
      <c r="CT126" s="305" t="e">
        <f>VLOOKUP(Out_Table[[#This Row],[Destination             ORANGE (From Planning)]],Outlist!$A$5:$W$120,22,FALSE)</f>
        <v>#N/A</v>
      </c>
    </row>
    <row r="127" spans="1:98" s="20" customFormat="1" ht="30.75">
      <c r="A127" s="305" t="str">
        <f>$CR127</f>
        <v>ITD12803BRG0.1875</v>
      </c>
      <c r="B127" s="284" t="s">
        <v>906</v>
      </c>
      <c r="C127" s="290" t="str">
        <f>IFERROR(IF(LEFT(B127,3)='STAT 77'!$X$2,_xlfn.XLOOKUP(B127,'STAT 77'!C:C,'STAT 77'!B:B),_xlfn.XLOOKUP(B127,'STAT 77'!B:B,'STAT 77'!C:C)),"NON TROVATO")</f>
        <v>ITD32365</v>
      </c>
      <c r="D127" s="25" t="s">
        <v>907</v>
      </c>
      <c r="E127" s="290" t="s">
        <v>435</v>
      </c>
      <c r="F127" s="290" t="str">
        <f>IFERROR(VLOOKUP(E127,'Cambio O2P'!C:E,2,FALSE),"")</f>
        <v>BAUA</v>
      </c>
      <c r="G127" s="285">
        <v>0.1875</v>
      </c>
      <c r="H127" s="293" t="str">
        <f ca="1">IFERROR(IF(AND('INformazioni per calcoli'!$AB$3&lt;(--"14:30"),'INformazioni per calcoli'!$AB$3&gt;(--"10:00")),"",IF($B127="","",IF($X127&lt;&gt;"","Mezzo Chiuso",IF($W127="","Non al Carico",IF($G127-'INformazioni per calcoli'!$AB$5-'INformazioni per calcoli'!$AB$3+$J127&lt;0,"LFLS",IF($K127&lt;&gt;"","Safe Parking",IF($W127&lt;&gt;"",IF($E127="MXP",$G127-'INformazioni per calcoli'!$AB$6-'INformazioni per calcoli'!$AB$3+$J127,$G127-'INformazioni per calcoli'!$AB$5-'INformazioni per calcoli'!$AB$3+$J127),"Non al carico"))))))),"")</f>
        <v>Mezzo Chiuso</v>
      </c>
      <c r="I127" s="17" t="str">
        <f ca="1">IFERROR(IF($H127&lt;&gt;"",IF($H127="Safe Parking","",IF($W127&lt;&gt;"",IF(AND($U127="X",$V127="X"),$H127-(--"00:30"),""),IF($X127&lt;&gt;"","Mezzo Chiuso","Non al carico"))),""),"")</f>
        <v/>
      </c>
      <c r="J127" s="306">
        <f ca="1">IFERROR(IF($B127&lt;&gt;"",IF(AND('INformazioni per calcoli'!$AB$3&lt;(--"15:00"),'INformazioni per calcoli'!$AB$3&gt;(--"00:00")),0,IF($G127&lt;(--"18:30"),"+1",0)),""),"")</f>
        <v>0</v>
      </c>
      <c r="K127" s="17"/>
      <c r="L127" s="25" t="s">
        <v>446</v>
      </c>
      <c r="M127" s="25" t="str">
        <f>IFERROR(_xlfn.XLOOKUP($Q127,'Elenco Casse'!$D:$D,'Elenco Casse'!$E:$E),"")</f>
        <v>Transeuropa S.R.L.</v>
      </c>
      <c r="N127" s="25">
        <f>IFERROR(_xlfn.XLOOKUP($Q127,'Elenco Casse'!$D:$D,'Elenco Casse'!$F:$F),"")</f>
        <v>0</v>
      </c>
      <c r="O127" s="286" t="s">
        <v>418</v>
      </c>
      <c r="P127" s="295" t="str">
        <f>IFERROR(_xlfn.XLOOKUP($Q127,'Elenco Casse'!$D:$D,'Elenco Casse'!$G:$G),"")</f>
        <v>trailer 80 m3 2/3 axes</v>
      </c>
      <c r="Q127" s="355" t="s">
        <v>908</v>
      </c>
      <c r="R127" s="23" t="s">
        <v>420</v>
      </c>
      <c r="S127" s="25" t="s">
        <v>421</v>
      </c>
      <c r="T127" s="25" t="s">
        <v>599</v>
      </c>
      <c r="U127" s="23" t="str">
        <f>IF(ISNUMBER(SEARCH("Parcel",$T127)),"X","")</f>
        <v/>
      </c>
      <c r="V127" s="23" t="str">
        <f>IF(ISNUMBER(SEARCH("Freight",$T127)),"X","")</f>
        <v>X</v>
      </c>
      <c r="W127" s="26">
        <v>708</v>
      </c>
      <c r="X127" s="27">
        <v>0.88888888888888884</v>
      </c>
      <c r="Y127" s="25" t="s">
        <v>909</v>
      </c>
      <c r="Z127" s="25"/>
      <c r="AA127" s="25" t="s">
        <v>487</v>
      </c>
      <c r="AB127" s="57">
        <v>1</v>
      </c>
      <c r="AC127" s="25"/>
      <c r="AD127" s="25"/>
      <c r="AE127" s="57"/>
      <c r="AF127" s="57"/>
      <c r="AG127" s="25"/>
      <c r="AH127" s="57"/>
      <c r="AI127" s="339"/>
      <c r="AJ127" s="339"/>
      <c r="AK127" s="297" t="str">
        <f>IF(X127&lt;&gt;"",CONCATENATE(IF(AA127&lt;&gt;"",CONCATENATE(Z127," ",AA127," ",BI127),""),IF(AD127&lt;&gt;"",CONCATENATE(","," ",AC127," ",AD127," ",BJ127),""),IF(AG127&lt;&gt;"",CONCATENATE(","," ",AF127," ",AG127," ",BK127),""),IF(AJ127&lt;&gt;"",CONCATENATE(","," ","DD"," ",BL127),"")," ",IF(AI127&lt;&gt;"",CONCATENATE(" - ",AI127," Bag"),"")),"")</f>
        <v xml:space="preserve"> FRT 14 </v>
      </c>
      <c r="AL127" s="287" t="s">
        <v>421</v>
      </c>
      <c r="AM127" s="287"/>
      <c r="AN127" s="287"/>
      <c r="AO127" s="287"/>
      <c r="AP127" s="370" t="str">
        <f>IFERROR(VLOOKUP(#REF!,Outlist!$A$5:$V$120,20,FALSE),"")</f>
        <v/>
      </c>
      <c r="AQ127" s="288" t="str">
        <f>IFERROR(IF(VLOOKUP($A127,#REF!,8,FALSE)&lt;&gt;"",VLOOKUP($A127,#REF!,8,FALSE),""),"")</f>
        <v/>
      </c>
      <c r="AS127" s="24"/>
      <c r="AT127" s="24">
        <v>0.46666666666666667</v>
      </c>
      <c r="AU127" s="27">
        <v>0.14097222222222222</v>
      </c>
      <c r="AV127" s="27"/>
      <c r="AX127" s="20" t="str">
        <f>IFERROR(IF(Out_Table[[#This Row],[Cancellazione linea]]="Cancellata","yes",""),"")</f>
        <v/>
      </c>
      <c r="AY127" s="72" t="str">
        <f>IF(BA127="",BZ127,IF(AND(BA127&lt;(--"23:59:59"),BA127&gt;(--"15:00:00"),G127&lt;(--"14:00:00"),G127&gt;(--"00:00:01")),"",IF(BA127&gt;G127,BZ127,"")))</f>
        <v>Chiamare Control Room</v>
      </c>
      <c r="AZ127" s="27">
        <v>0.14305555555555555</v>
      </c>
      <c r="BA127" s="32"/>
      <c r="BB127" s="72"/>
      <c r="BC127" s="72" t="str">
        <f>IFERROR(VLOOKUP(Out_Table[[#This Row],[Aggiornamento STATUS]],'INformazioni per calcoli'!$Y$70:$AA$76,2,FALSE),"")</f>
        <v/>
      </c>
      <c r="BD127" s="289"/>
      <c r="BE127" s="289"/>
      <c r="BF127" s="47" t="str">
        <f>LEFT($E127,3)</f>
        <v>BRG</v>
      </c>
      <c r="BG127" s="298" t="str">
        <f>IF(Out_Table[[#This Row],[Ora Uscita    (GH)]]&lt;&gt;"","x","")</f>
        <v/>
      </c>
      <c r="BH127" s="299">
        <f>VLOOKUP($O127,'INformazioni per calcoli'!$Y$20:$AA$23,3,FALSE)</f>
        <v>14</v>
      </c>
      <c r="BI127" s="299">
        <f>MROUND(Out_Table[[#This Row],[Mtr. Trailer]]*AB127,0.5)</f>
        <v>14</v>
      </c>
      <c r="BJ127" s="299">
        <f>MROUND(Out_Table[[#This Row],[Mtr. Trailer]]*AE127,0.5)</f>
        <v>0</v>
      </c>
      <c r="BK127" s="299">
        <f>MROUND(Out_Table[[#This Row],[Mtr. Trailer]]*AH127,0.5)</f>
        <v>0</v>
      </c>
      <c r="BL127" s="300">
        <f>Out_Table[[#This Row],[Double Deck trailer N° bumpers]]</f>
        <v>0</v>
      </c>
      <c r="BM127" s="301"/>
      <c r="BN127" s="299" t="str">
        <f>B127</f>
        <v>ITD12803</v>
      </c>
      <c r="BO127" s="299" t="str">
        <f>E127</f>
        <v>BRG</v>
      </c>
      <c r="BP127" s="302">
        <f>IF(AND(G127&gt;(--"00:00:01"),G127&lt;(--"15:00:00")),IF(AND(X127&gt;(--"00:00:01"),X127&lt;(--"15:00:00")),G127-X127,G127+1-X127),G127-X127)</f>
        <v>0.29861111111111116</v>
      </c>
      <c r="BQ127" s="303">
        <f>AE127+AF127+AH127+AJ127</f>
        <v>0</v>
      </c>
      <c r="BR127" s="304" t="str">
        <f>IF(OR(BP127&lt;=(--"00:20:00"),BQ127&gt;=100%),"OK","Not OK")</f>
        <v>Not OK</v>
      </c>
      <c r="BS127" s="302">
        <f>IF(AND(G127&gt;(--"00:00:01"),G127&lt;(--"15:00:00")),IF(AND(AU127&gt;(--"00:00:01"),AU127&lt;(--"15:00:00")),G127-AU127,G127+1-AU127),G127-AU127)</f>
        <v>4.6527777777777779E-2</v>
      </c>
      <c r="BT127" s="302">
        <f>IF(AND(AZ127&gt;(--"00:00:01"),AZ127&lt;(--"15:00:00")),IF(AND(AU127&gt;(--"00:00:01"),AU127&lt;(--"15:00:00")),AZ127-AU127,AZ127+1-AU127),AZ127-AU127)</f>
        <v>2.0833333333333259E-3</v>
      </c>
      <c r="BU127" s="302">
        <f>IF(AND(BA127&gt;(--"00:00:01"),BA127&lt;(--"15:00:00")),IF(AND(AZ127&gt;(--"00:00:01"),AZ127&lt;(--"15:00:00")),BA127-AZ127,BA127+1-AZ127),BA127-AZ127)</f>
        <v>-0.14305555555555555</v>
      </c>
      <c r="BV127" s="299">
        <f>AV127</f>
        <v>0</v>
      </c>
      <c r="BW127" s="301"/>
      <c r="BX127" s="299" t="str">
        <f>IF(AV127="T Status",IF(AV127&lt;&gt;T127,"X",""),"")</f>
        <v/>
      </c>
      <c r="BY127" s="301"/>
      <c r="BZ127" s="299" t="str">
        <f>IF(X127&lt;&gt;"",IF(CC127="X","Driver Delay",IF(CA127="X","Paperwork Delay",IF(CB127="X","Late freight late sort",IF(CD127="X","Chiamare Control Room",IF(CE127="X","Chiamare Control Room",IF(CF127="X","Chiamare Control Room","")))))),"")</f>
        <v>Chiamare Control Room</v>
      </c>
      <c r="CA127" s="302" t="str">
        <f>IF(K127="",IF(IF(AND(G127&gt;(--"00:00:01"),G127&lt;(--"15:00:00")),IF(AND(AT127&gt;(--"08:00:00"),AT127&lt;(--"23:59:59")),G127+1-AT127,G127-AT127),G127-AT127)&gt;(--"00:20:00"),"","X"),"")</f>
        <v/>
      </c>
      <c r="CB127" s="299" t="str">
        <f>IF(K127="",IF(BP127&gt;=(--"00:20:00"),"","X"),"")</f>
        <v/>
      </c>
      <c r="CC127" s="299" t="str">
        <f>IF(OR(AV127="Autista non presente",AV127="Dati driver non presenti"),"X","")</f>
        <v/>
      </c>
      <c r="CD127" s="299" t="str">
        <f>IF(K127="",IF(AND(CC127="",BS127&lt;(--"00:20:00")),"X",""),"")</f>
        <v/>
      </c>
      <c r="CE127" s="299" t="str">
        <f>IF(K127="",IF(BT127&gt;(--"00:15:00"),"X",""),IF(AZ127&lt;&gt;"",IF(G127-AZ127&gt;(--"00:30:00"),"X",""),""))</f>
        <v/>
      </c>
      <c r="CF127" s="299" t="str">
        <f>IF(AND(CA127="",CB127="",CC127="",CD127="",CE127=""),"X","")</f>
        <v>X</v>
      </c>
      <c r="CG127" s="301"/>
      <c r="CH127" s="299" t="str">
        <f>IF(BT127&gt;(--"00:15:00"),"X","")</f>
        <v/>
      </c>
      <c r="CI127" s="302" t="str">
        <f>AY127</f>
        <v>Chiamare Control Room</v>
      </c>
      <c r="CJ127" s="299" t="str">
        <f>IF(AND(CH127&lt;&gt;"",CI127&lt;&gt;"",LEFT(B127,3)="ITD"),AP127,"")</f>
        <v/>
      </c>
      <c r="CK127" s="305" t="str">
        <f>IF(CJ127&lt;&gt;"",BT127,"")</f>
        <v/>
      </c>
      <c r="CL127" s="301"/>
      <c r="CM127" s="305" t="str">
        <f>IFERROR(VLOOKUP(Q127,'Elenco Casse'!$D$4:$F$292,3,FALSE),"")</f>
        <v/>
      </c>
      <c r="CN127" s="301"/>
      <c r="CO127" s="305" t="str">
        <f>IFERROR(VLOOKUP(S127,'Elenco Casse'!$D$4:$F$292,3,FALSE),"")</f>
        <v/>
      </c>
      <c r="CP127" s="305" t="str">
        <f>IFERROR(IF(VLOOKUP($E127,Outlist!$A$5:$S$120,19,FALSE)&lt;&gt;0,"Y",""),"")</f>
        <v/>
      </c>
      <c r="CQ127" s="301"/>
      <c r="CR127" s="305" t="str">
        <f>CONCATENATE($B127,$E127,$G127)</f>
        <v>ITD12803BRG0.1875</v>
      </c>
      <c r="CS127" s="301"/>
      <c r="CT127" s="305" t="e">
        <f>VLOOKUP(Out_Table[[#This Row],[Destination             ORANGE (From Planning)]],Outlist!$A$5:$W$120,22,FALSE)</f>
        <v>#N/A</v>
      </c>
    </row>
    <row r="128" spans="1:98" s="20" customFormat="1" ht="30.75">
      <c r="A128" s="305" t="str">
        <f>$CR128</f>
        <v>ERN16616MV9 20.09375</v>
      </c>
      <c r="B128" s="351" t="str">
        <f>IFERROR(VLOOKUP(E128,Outlist!$A$5:$AC$120,2,FALSE),"")</f>
        <v>ERN16616</v>
      </c>
      <c r="C128" s="352" t="str">
        <f>IFERROR(IF(LEFT(B128,3)='STAT 77'!$X$2,_xlfn.XLOOKUP(B128,'STAT 77'!C:C,'STAT 77'!B:B),_xlfn.XLOOKUP(B128,'STAT 77'!B:B,'STAT 77'!C:C)),"NON TROVATO")</f>
        <v>ERN08472</v>
      </c>
      <c r="D128" s="4"/>
      <c r="E128" s="352" t="str">
        <f>IFERROR(IF(Outlist!$A39&lt;&gt;"",Outlist!$A39,""),"")</f>
        <v>MV9 2</v>
      </c>
      <c r="F128" s="352" t="str">
        <f>IFERROR(VLOOKUP(E128,'Cambio O2P'!C:E,2,FALSE),"")</f>
        <v/>
      </c>
      <c r="G128" s="353">
        <f>IFERROR(VLOOKUP(E128,Outlist!$A$5:$AC$120,5,FALSE)-INT(VLOOKUP(E128,Outlist!$A$5:$AC$120,5,FALSE)),"")</f>
        <v>9.375E-2</v>
      </c>
      <c r="H128" s="294" t="str">
        <f ca="1">IFERROR(IF(AND('INformazioni per calcoli'!$AB$3&lt;(--"14:30"),'INformazioni per calcoli'!$AB$3&gt;(--"10:00")),"",IF($B128="","",IF($X128&lt;&gt;"","Mezzo Chiuso",IF($W128="","Non al Carico",IF($K128="Safe Parking","Safe Parking", IF(OR($BF128='INformazioni per calcoli'!$AF$8,$BF128='INformazioni per calcoli'!$AC$8,$BF128='INformazioni per calcoli'!$AD$8,$BF128='INformazioni per calcoli'!$AE$8,$BF128='INformazioni per calcoli'!$AG$8,$BF128='INformazioni per calcoli'!$AH$8,$BF128='INformazioni per calcoli'!$AI$8,$BF128='INformazioni per calcoli'!$AJ$8),IF($G128-'INformazioni per calcoli'!$AB$6-'INformazioni per calcoli'!$AB$3+$J128&lt;0,"LFLS",$G128-'INformazioni per calcoli'!$AB$6-'INformazioni per calcoli'!$AB$3+$J128), IF(OR($BF128='INformazioni per calcoli'!$AF$6,$BF128='INformazioni per calcoli'!$AD$6,$BF128='INformazioni per calcoli'!$AE$6,$BF128='INformazioni per calcoli'!$AG$6),IF($G128-'INformazioni per calcoli'!$AB$8-'INformazioni per calcoli'!$AB$3+$J128&lt;0,"LFLS",$G128-'INformazioni per calcoli'!$AB$8-'INformazioni per calcoli'!$AB$3+$J128), IF($G128-'INformazioni per calcoli'!$AB$7-'INformazioni per calcoli'!$AB$3+$J128&lt;0,"LFLS",$G128-'INformazioni per calcoli'!$AB$7-'INformazioni per calcoli'!$AB$3+$J128)))))))),"")</f>
        <v>Mezzo Chiuso</v>
      </c>
      <c r="I128" s="17"/>
      <c r="J128" s="306">
        <f ca="1">IFERROR(IF($B128&lt;&gt;"",IF(AND('INformazioni per calcoli'!$AB$3&lt;(--"15:00"),'INformazioni per calcoli'!$AB$3&gt;(--"00:00")),0,IF($G128&lt;(--"18:30"),"+1",0)),""),"")</f>
        <v>0</v>
      </c>
      <c r="K128" s="27">
        <f>IF(E128&lt;&gt;"",IFERROR(VLOOKUP(E128,Outlist!$A$5:$AC$120,22,FALSE),""),"")</f>
        <v>0</v>
      </c>
      <c r="L128" s="352" t="str">
        <f>IF(E128&lt;&gt;"",IFERROR(VLOOKUP(E128,Outlist!$A$5:$AC$120,3,FALSE),""),"")</f>
        <v>Lpx Group Bv</v>
      </c>
      <c r="M128" s="4" t="str">
        <f>IFERROR(_xlfn.XLOOKUP($Q128,'Elenco Casse'!$D:$D,'Elenco Casse'!$E:$E),"")</f>
        <v/>
      </c>
      <c r="N128" s="4" t="str">
        <f>IFERROR(_xlfn.XLOOKUP($Q128,'Elenco Casse'!$D:$D,'Elenco Casse'!$F:$F),"")</f>
        <v/>
      </c>
      <c r="O128" s="4" t="str">
        <f>IF($L128&lt;&gt;"","TT-2/3","")</f>
        <v>TT-2/3</v>
      </c>
      <c r="P128" s="296" t="str">
        <f>IFERROR(IF(VLOOKUP(E128,Outlist!$A$5:$AC$120,21,FALSE)="YES","Linea Variata",""),"")</f>
        <v/>
      </c>
      <c r="Q128" s="355" t="s">
        <v>910</v>
      </c>
      <c r="R128" s="23" t="s">
        <v>420</v>
      </c>
      <c r="S128" s="25" t="str">
        <f>IFERROR(IF(VLOOKUP(E128,Outlist!$A$5:$AC$120,7,FALSE)="X","SUBCO",""),"")</f>
        <v/>
      </c>
      <c r="T128" s="25"/>
      <c r="U128" s="23" t="s">
        <v>61</v>
      </c>
      <c r="V128" s="23" t="s">
        <v>61</v>
      </c>
      <c r="W128" s="26">
        <v>709</v>
      </c>
      <c r="X128" s="27">
        <v>5.2083333333333336E-2</v>
      </c>
      <c r="Y128" s="25" t="s">
        <v>911</v>
      </c>
      <c r="Z128" s="25"/>
      <c r="AA128" s="25" t="s">
        <v>40</v>
      </c>
      <c r="AB128" s="57">
        <v>0.4</v>
      </c>
      <c r="AC128" s="25"/>
      <c r="AD128" s="25" t="s">
        <v>487</v>
      </c>
      <c r="AE128" s="57">
        <v>0.6</v>
      </c>
      <c r="AF128" s="57"/>
      <c r="AG128" s="25"/>
      <c r="AH128" s="57"/>
      <c r="AI128" s="339">
        <v>16</v>
      </c>
      <c r="AJ128" s="339"/>
      <c r="AK128" s="297" t="str">
        <f>IF(X128&lt;&gt;"",CONCATENATE(IF(AA128&lt;&gt;"",CONCATENATE(Z128," ",AA128," ",BI128),""),IF(AD128&lt;&gt;"",CONCATENATE(","," ",AC128," ",AD128," ",BJ128),""),IF(AG128&lt;&gt;"",CONCATENATE(","," ",AF128," ",AG128," ",BK128),""),IF(AJ128&lt;&gt;"",CONCATENATE(","," ","DD"," ",BL128),"")," ",IF(AI128&lt;&gt;"",CONCATENATE(" - ",AI128," Bag"),"")),"")</f>
        <v xml:space="preserve"> LL 5.5,  FRT 8.5  - 16 Bag</v>
      </c>
      <c r="AL128" s="287" t="s">
        <v>421</v>
      </c>
      <c r="AM128" s="287"/>
      <c r="AN128" s="287"/>
      <c r="AO128" s="287"/>
      <c r="AP128" s="370">
        <f>IFERROR(VLOOKUP($E128,Outlist!$A$5:$V$120,20,FALSE),"")</f>
        <v>0</v>
      </c>
      <c r="AQ128" s="288" t="s">
        <v>912</v>
      </c>
      <c r="AR128" s="430">
        <v>5.4166666666666669E-2</v>
      </c>
      <c r="AS128" s="24">
        <v>6.25E-2</v>
      </c>
      <c r="AT128" s="24">
        <v>6.458333333333334E-2</v>
      </c>
      <c r="AU128" s="27"/>
      <c r="AV128" s="27"/>
      <c r="AW128" s="20" t="s">
        <v>443</v>
      </c>
      <c r="AX128" s="20" t="str">
        <f>IFERROR(IF(Out_Table[[#This Row],[Cancellazione linea]]="Cancellata","yes",""),"")</f>
        <v/>
      </c>
      <c r="AY128" s="72"/>
      <c r="AZ128" s="442">
        <v>6.7361111111111108E-2</v>
      </c>
      <c r="BA128" s="32">
        <v>8.819444444444445E-2</v>
      </c>
      <c r="BB128" s="72"/>
      <c r="BC128" s="72" t="str">
        <f>IFERROR(VLOOKUP(Out_Table[[#This Row],[Aggiornamento STATUS]],'INformazioni per calcoli'!$Y$70:$AA$76,2,FALSE),"")</f>
        <v/>
      </c>
      <c r="BD128" s="289"/>
      <c r="BE128" s="289"/>
      <c r="BF128" s="47" t="str">
        <f>LEFT($E128,3)</f>
        <v>MV9</v>
      </c>
      <c r="BG128" s="298" t="str">
        <f>IF(Out_Table[[#This Row],[Ora Uscita    (GH)]]&lt;&gt;"","x","")</f>
        <v>x</v>
      </c>
      <c r="BH128" s="299">
        <f>VLOOKUP($O128,'INformazioni per calcoli'!$Y$20:$AA$23,3,FALSE)</f>
        <v>14</v>
      </c>
      <c r="BI128" s="299">
        <f>MROUND(Out_Table[[#This Row],[Mtr. Trailer]]*AB128,0.5)</f>
        <v>5.5</v>
      </c>
      <c r="BJ128" s="299">
        <f>MROUND(Out_Table[[#This Row],[Mtr. Trailer]]*AE128,0.5)</f>
        <v>8.5</v>
      </c>
      <c r="BK128" s="299">
        <f>MROUND(Out_Table[[#This Row],[Mtr. Trailer]]*AH128,0.5)</f>
        <v>0</v>
      </c>
      <c r="BL128" s="300">
        <f>Out_Table[[#This Row],[Double Deck trailer N° bumpers]]</f>
        <v>0</v>
      </c>
      <c r="BM128" s="301"/>
      <c r="BN128" s="299" t="str">
        <f>B128</f>
        <v>ERN16616</v>
      </c>
      <c r="BO128" s="299" t="str">
        <f>E128</f>
        <v>MV9 2</v>
      </c>
      <c r="BP128" s="302">
        <f>IF(AND(G128&gt;(--"00:00:01"),G128&lt;(--"15:00:00")),IF(AND(X128&gt;(--"00:00:01"),X128&lt;(--"15:00:00")),G128-X128,G128+1-X128),G128-X128)</f>
        <v>4.1666666666666664E-2</v>
      </c>
      <c r="BQ128" s="303">
        <f>AE128+AF128+AH128+AJ128</f>
        <v>0.6</v>
      </c>
      <c r="BR128" s="304" t="str">
        <f>IF(OR(BP128&lt;=(--"00:20:00"),BQ128&gt;=100%),"OK","Not OK")</f>
        <v>Not OK</v>
      </c>
      <c r="BS128" s="302">
        <f>IF(AND(G128&gt;(--"00:00:01"),G128&lt;(--"15:00:00")),IF(AND(AU128&gt;(--"00:00:01"),AU128&lt;(--"15:00:00")),G128-AU128,G128+1-AU128),G128-AU128)</f>
        <v>1.09375</v>
      </c>
      <c r="BT128" s="302">
        <f>IF(AND(AZ128&gt;(--"00:00:01"),AZ128&lt;(--"15:00:00")),IF(AND(AU128&gt;(--"00:00:01"),AU128&lt;(--"15:00:00")),AZ128-AU128,AZ128+1-AU128),AZ128-AU128)</f>
        <v>1.0673611111111112</v>
      </c>
      <c r="BU128" s="302">
        <f>IF(AND(BA128&gt;(--"00:00:01"),BA128&lt;(--"15:00:00")),IF(AND(AZ128&gt;(--"00:00:01"),AZ128&lt;(--"15:00:00")),BA128-AZ128,BA128+1-AZ128),BA128-AZ128)</f>
        <v>2.0833333333333343E-2</v>
      </c>
      <c r="BV128" s="299">
        <f>AV128</f>
        <v>0</v>
      </c>
      <c r="BW128" s="301"/>
      <c r="BX128" s="299" t="str">
        <f>IF(AV128="T Status",IF(AV128&lt;&gt;T128,"X",""),"")</f>
        <v/>
      </c>
      <c r="BY128" s="301"/>
      <c r="BZ128" s="299" t="str">
        <f>IF(X128&lt;&gt;"",IF(CC128="X","Driver Delay",IF(CA128="X","Paperwork Delay",IF(CB128="X","Late freight late sort",IF(CD128="X","Chiamare Control Room",IF(CE128="X","Chiamare Control Room",IF(CF128="X","Chiamare Control Room","")))))),"")</f>
        <v>Chiamare Control Room</v>
      </c>
      <c r="CA128" s="302" t="str">
        <f>IF(K128="",IF(IF(AND(G128&gt;(--"00:00:01"),G128&lt;(--"15:00:00")),IF(AND(AT128&gt;(--"08:00:00"),AT128&lt;(--"23:59:59")),G128+1-AT128,G128-AT128),G128-AT128)&gt;(--"00:20:00"),"","X"),"")</f>
        <v/>
      </c>
      <c r="CB128" s="299" t="str">
        <f>IF(K128="",IF(BP128&gt;=(--"00:20:00"),"","X"),"")</f>
        <v/>
      </c>
      <c r="CC128" s="299" t="str">
        <f>IF(OR(AV128="Autista non presente",AV128="Dati driver non presenti"),"X","")</f>
        <v/>
      </c>
      <c r="CD128" s="299" t="str">
        <f>IF(K128="",IF(AND(CC128="",BS128&lt;(--"00:20:00")),"X",""),"")</f>
        <v/>
      </c>
      <c r="CE128" s="299" t="str">
        <f>IF(K128="",IF(BT128&gt;(--"00:15:00"),"X",""),IF(AZ128&lt;&gt;"",IF(G128-AZ128&gt;(--"00:30:00"),"X",""),""))</f>
        <v>X</v>
      </c>
      <c r="CF128" s="299" t="str">
        <f>IF(AND(CA128="",CB128="",CC128="",CD128="",CE128=""),"X","")</f>
        <v/>
      </c>
      <c r="CG128" s="301"/>
      <c r="CH128" s="299" t="str">
        <f>IF(BT128&gt;(--"00:15:00"),"X","")</f>
        <v>X</v>
      </c>
      <c r="CI128" s="302">
        <f>AY128</f>
        <v>0</v>
      </c>
      <c r="CJ128" s="299" t="str">
        <f>IF(AND(CH128&lt;&gt;"",CI128&lt;&gt;"",LEFT(B128,3)="ITD"),AP128,"")</f>
        <v/>
      </c>
      <c r="CK128" s="305" t="str">
        <f>IF(CJ128&lt;&gt;"",BT128,"")</f>
        <v/>
      </c>
      <c r="CL128" s="301"/>
      <c r="CM128" s="305" t="str">
        <f>IFERROR(VLOOKUP(Q128,'Elenco Casse'!$D$4:$F$292,3,FALSE),"")</f>
        <v/>
      </c>
      <c r="CN128" s="301"/>
      <c r="CO128" s="305" t="str">
        <f>IFERROR(VLOOKUP(E128,Outlist!$A$5:$H$120,8,FALSE),"")</f>
        <v>ENB17859</v>
      </c>
      <c r="CP128" s="305" t="str">
        <f>IFERROR(IF(VLOOKUP($E128,Outlist!$A$5:$S$120,19,FALSE)&lt;&gt;0,"Y",""),"")</f>
        <v>Y</v>
      </c>
      <c r="CQ128" s="301"/>
      <c r="CR128" s="305" t="str">
        <f>CONCATENATE($B128,$E128,$G128)</f>
        <v>ERN16616MV9 20.09375</v>
      </c>
      <c r="CS128" s="301"/>
      <c r="CT128" s="305">
        <f>VLOOKUP(Out_Table[[#This Row],[Destination             ORANGE (From Planning)]],Outlist!$A$5:$W$120,22,FALSE)</f>
        <v>0</v>
      </c>
    </row>
    <row r="129" spans="1:98" s="20" customFormat="1" ht="30.75">
      <c r="A129" s="305" t="str">
        <f>$CR129</f>
        <v>ERN01518MV9 10.000694444446708076</v>
      </c>
      <c r="B129" s="351" t="str">
        <f>IFERROR(VLOOKUP(E129,Outlist!$A$5:$AC$120,2,FALSE),"")</f>
        <v>ERN01518</v>
      </c>
      <c r="C129" s="352" t="str">
        <f>IFERROR(IF(LEFT(B129,3)='STAT 77'!$X$2,_xlfn.XLOOKUP(B129,'STAT 77'!C:C,'STAT 77'!B:B),_xlfn.XLOOKUP(B129,'STAT 77'!B:B,'STAT 77'!C:C)),"NON TROVATO")</f>
        <v>ERN00761</v>
      </c>
      <c r="D129" s="4"/>
      <c r="E129" s="352" t="str">
        <f>IFERROR(IF(Outlist!$A38&lt;&gt;"",Outlist!$A38,""),"")</f>
        <v>MV9 1</v>
      </c>
      <c r="F129" s="352" t="str">
        <f>IFERROR(VLOOKUP(E129,'Cambio O2P'!C:E,2,FALSE),"")</f>
        <v/>
      </c>
      <c r="G129" s="353">
        <f>IFERROR(VLOOKUP(E129,Outlist!$A$5:$AC$120,5,FALSE)-INT(VLOOKUP(E129,Outlist!$A$5:$AC$120,5,FALSE)),"")</f>
        <v>6.944444467080757E-4</v>
      </c>
      <c r="H129" s="294" t="str">
        <f ca="1">IFERROR(IF(AND('INformazioni per calcoli'!$AB$3&lt;(--"14:30"),'INformazioni per calcoli'!$AB$3&gt;(--"10:00")),"",IF($B129="","",IF($X129&lt;&gt;"","Mezzo Chiuso",IF($W129="","Non al Carico",IF($K129="Safe Parking","Safe Parking", IF(OR($BF129='INformazioni per calcoli'!$AF$8,$BF129='INformazioni per calcoli'!$AC$8,$BF129='INformazioni per calcoli'!$AD$8,$BF129='INformazioni per calcoli'!$AE$8,$BF129='INformazioni per calcoli'!$AG$8,$BF129='INformazioni per calcoli'!$AH$8,$BF129='INformazioni per calcoli'!$AI$8,$BF129='INformazioni per calcoli'!$AJ$8),IF($G129-'INformazioni per calcoli'!$AB$6-'INformazioni per calcoli'!$AB$3+$J129&lt;0,"LFLS",$G129-'INformazioni per calcoli'!$AB$6-'INformazioni per calcoli'!$AB$3+$J129), IF(OR($BF129='INformazioni per calcoli'!$AF$6,$BF129='INformazioni per calcoli'!$AD$6,$BF129='INformazioni per calcoli'!$AE$6,$BF129='INformazioni per calcoli'!$AG$6),IF($G129-'INformazioni per calcoli'!$AB$8-'INformazioni per calcoli'!$AB$3+$J129&lt;0,"LFLS",$G129-'INformazioni per calcoli'!$AB$8-'INformazioni per calcoli'!$AB$3+$J129), IF($G129-'INformazioni per calcoli'!$AB$7-'INformazioni per calcoli'!$AB$3+$J129&lt;0,"LFLS",$G129-'INformazioni per calcoli'!$AB$7-'INformazioni per calcoli'!$AB$3+$J129)))))))),"")</f>
        <v>Mezzo Chiuso</v>
      </c>
      <c r="I129" s="17" t="str">
        <f ca="1">IFERROR(IF($H129&lt;&gt;"",IF($H129="Safe Parking","",IF($W129&lt;&gt;"",IF(AND($U129="X",$V129="X"),$H129-(--"00:30"),""),IF($X129&lt;&gt;"","Mezzo Chiuso","Non al carico"))),""),"")</f>
        <v/>
      </c>
      <c r="J129" s="306">
        <f ca="1">IFERROR(IF($B129&lt;&gt;"",IF(AND('INformazioni per calcoli'!$AB$3&lt;(--"15:00"),'INformazioni per calcoli'!$AB$3&gt;(--"00:00")),0,IF($G129&lt;(--"18:30"),"+1",0)),""),"")</f>
        <v>0</v>
      </c>
      <c r="K129" s="27">
        <f>IF(E129&lt;&gt;"",IFERROR(VLOOKUP(E129,Outlist!$A$5:$AC$120,22,FALSE),""),"")</f>
        <v>0</v>
      </c>
      <c r="L129" s="352" t="str">
        <f>IF(E129&lt;&gt;"",IFERROR(VLOOKUP(E129,Outlist!$A$5:$AC$120,3,FALSE),""),"")</f>
        <v>Ern Own Fr</v>
      </c>
      <c r="M129" s="4" t="str">
        <f>IFERROR(_xlfn.XLOOKUP($Q129,'Elenco Casse'!$D:$D,'Elenco Casse'!$E:$E),"")</f>
        <v/>
      </c>
      <c r="N129" s="4" t="str">
        <f>IFERROR(_xlfn.XLOOKUP($Q129,'Elenco Casse'!$D:$D,'Elenco Casse'!$F:$F),"")</f>
        <v/>
      </c>
      <c r="O129" s="4" t="str">
        <f>IF($L129&lt;&gt;"","TT-2/3","")</f>
        <v>TT-2/3</v>
      </c>
      <c r="P129" s="296" t="str">
        <f>IFERROR(IF(VLOOKUP(E129,Outlist!$A$5:$AC$120,21,FALSE)="YES","Linea Variata",""),"")</f>
        <v/>
      </c>
      <c r="Q129" s="355" t="s">
        <v>913</v>
      </c>
      <c r="R129" s="23" t="s">
        <v>420</v>
      </c>
      <c r="S129" s="25" t="str">
        <f>IFERROR(IF(VLOOKUP(E129,Outlist!$A$5:$AC$120,7,FALSE)="X","SUBCO",""),"")</f>
        <v/>
      </c>
      <c r="T129" s="25"/>
      <c r="U129" s="23" t="s">
        <v>61</v>
      </c>
      <c r="V129" s="23" t="s">
        <v>61</v>
      </c>
      <c r="W129" s="26">
        <v>709</v>
      </c>
      <c r="X129" s="27">
        <v>0.91249999999999998</v>
      </c>
      <c r="Y129" s="25" t="s">
        <v>521</v>
      </c>
      <c r="Z129" s="25"/>
      <c r="AA129" s="25" t="s">
        <v>40</v>
      </c>
      <c r="AB129" s="57">
        <v>0.4</v>
      </c>
      <c r="AC129" s="25"/>
      <c r="AD129" s="25" t="s">
        <v>487</v>
      </c>
      <c r="AE129" s="57">
        <v>0.6</v>
      </c>
      <c r="AF129" s="57"/>
      <c r="AG129" s="25"/>
      <c r="AH129" s="57"/>
      <c r="AI129" s="339">
        <v>13</v>
      </c>
      <c r="AJ129" s="339"/>
      <c r="AK129" s="297" t="str">
        <f>IF(X129&lt;&gt;"",CONCATENATE(IF(AA129&lt;&gt;"",CONCATENATE(Z129," ",AA129," ",BI129),""),IF(AD129&lt;&gt;"",CONCATENATE(","," ",AC129," ",AD129," ",BJ129),""),IF(AG129&lt;&gt;"",CONCATENATE(","," ",AF129," ",AG129," ",BK129),""),IF(AJ129&lt;&gt;"",CONCATENATE(","," ","DD"," ",BL129),"")," ",IF(AI129&lt;&gt;"",CONCATENATE(" - ",AI129," Bag"),"")),"")</f>
        <v xml:space="preserve"> LL 5.5,  FRT 8.5  - 13 Bag</v>
      </c>
      <c r="AL129" s="287" t="s">
        <v>421</v>
      </c>
      <c r="AM129" s="287"/>
      <c r="AN129" s="287"/>
      <c r="AO129" s="287"/>
      <c r="AP129" s="370">
        <f>IFERROR(VLOOKUP($E129,Outlist!$A$5:$V$120,20,FALSE),"")</f>
        <v>0</v>
      </c>
      <c r="AQ129" s="288" t="s">
        <v>914</v>
      </c>
      <c r="AR129" s="430">
        <v>0.91319444444444442</v>
      </c>
      <c r="AS129" s="24">
        <v>0.92222222222222228</v>
      </c>
      <c r="AT129" s="24">
        <v>0.92291666666666672</v>
      </c>
      <c r="AU129" s="27"/>
      <c r="AV129" s="27"/>
      <c r="AW129" s="20" t="s">
        <v>443</v>
      </c>
      <c r="AX129" s="20" t="str">
        <f>IFERROR(IF(Out_Table[[#This Row],[Cancellazione linea]]="Cancellata","yes",""),"")</f>
        <v/>
      </c>
      <c r="AY129" s="72"/>
      <c r="AZ129" s="27">
        <v>0.94444444444444442</v>
      </c>
      <c r="BA129" s="32">
        <v>0.95138888888888884</v>
      </c>
      <c r="BB129" s="72"/>
      <c r="BC129" s="72" t="str">
        <f>IFERROR(VLOOKUP(Out_Table[[#This Row],[Aggiornamento STATUS]],'INformazioni per calcoli'!$Y$70:$AA$76,2,FALSE),"")</f>
        <v/>
      </c>
      <c r="BD129" s="289"/>
      <c r="BE129" s="289"/>
      <c r="BF129" s="47" t="str">
        <f>LEFT($E129,3)</f>
        <v>MV9</v>
      </c>
      <c r="BG129" s="298" t="str">
        <f>IF(Out_Table[[#This Row],[Ora Uscita    (GH)]]&lt;&gt;"","x","")</f>
        <v>x</v>
      </c>
      <c r="BH129" s="299">
        <f>VLOOKUP($O129,'INformazioni per calcoli'!$Y$20:$AA$23,3,FALSE)</f>
        <v>14</v>
      </c>
      <c r="BI129" s="299">
        <f>MROUND(Out_Table[[#This Row],[Mtr. Trailer]]*AB129,0.5)</f>
        <v>5.5</v>
      </c>
      <c r="BJ129" s="299">
        <f>MROUND(Out_Table[[#This Row],[Mtr. Trailer]]*AE129,0.5)</f>
        <v>8.5</v>
      </c>
      <c r="BK129" s="299">
        <f>MROUND(Out_Table[[#This Row],[Mtr. Trailer]]*AH129,0.5)</f>
        <v>0</v>
      </c>
      <c r="BL129" s="300">
        <f>Out_Table[[#This Row],[Double Deck trailer N° bumpers]]</f>
        <v>0</v>
      </c>
      <c r="BM129" s="301"/>
      <c r="BN129" s="299" t="str">
        <f>B129</f>
        <v>ERN01518</v>
      </c>
      <c r="BO129" s="299" t="str">
        <f>E129</f>
        <v>MV9 1</v>
      </c>
      <c r="BP129" s="302">
        <f>IF(AND(G129&gt;(--"00:00:01"),G129&lt;(--"15:00:00")),IF(AND(X129&gt;(--"00:00:01"),X129&lt;(--"15:00:00")),G129-X129,G129+1-X129),G129-X129)</f>
        <v>8.8194444446708098E-2</v>
      </c>
      <c r="BQ129" s="303">
        <f>AE129+AF129+AH129+AJ129</f>
        <v>0.6</v>
      </c>
      <c r="BR129" s="304" t="str">
        <f>IF(OR(BP129&lt;=(--"00:20:00"),BQ129&gt;=100%),"OK","Not OK")</f>
        <v>Not OK</v>
      </c>
      <c r="BS129" s="302">
        <f>IF(AND(G129&gt;(--"00:00:01"),G129&lt;(--"15:00:00")),IF(AND(AU129&gt;(--"00:00:01"),AU129&lt;(--"15:00:00")),G129-AU129,G129+1-AU129),G129-AU129)</f>
        <v>1.0006944444467081</v>
      </c>
      <c r="BT129" s="302">
        <f>IF(AND(AZ129&gt;(--"00:00:01"),AZ129&lt;(--"15:00:00")),IF(AND(AU129&gt;(--"00:00:01"),AU129&lt;(--"15:00:00")),AZ129-AU129,AZ129+1-AU129),AZ129-AU129)</f>
        <v>0.94444444444444442</v>
      </c>
      <c r="BU129" s="302">
        <f>IF(AND(BA129&gt;(--"00:00:01"),BA129&lt;(--"15:00:00")),IF(AND(AZ129&gt;(--"00:00:01"),AZ129&lt;(--"15:00:00")),BA129-AZ129,BA129+1-AZ129),BA129-AZ129)</f>
        <v>6.9444444444444198E-3</v>
      </c>
      <c r="BV129" s="299">
        <f>AV129</f>
        <v>0</v>
      </c>
      <c r="BW129" s="301"/>
      <c r="BX129" s="299" t="str">
        <f>IF(AV129="T Status",IF(AV129&lt;&gt;T129,"X",""),"")</f>
        <v/>
      </c>
      <c r="BY129" s="301"/>
      <c r="BZ129" s="299" t="str">
        <f>IF(X129&lt;&gt;"",IF(CC129="X","Driver Delay",IF(CA129="X","Paperwork Delay",IF(CB129="X","Late freight late sort",IF(CD129="X","Chiamare Control Room",IF(CE129="X","Chiamare Control Room",IF(CF129="X","Chiamare Control Room","")))))),"")</f>
        <v>Chiamare Control Room</v>
      </c>
      <c r="CA129" s="302" t="str">
        <f>IF(K129="",IF(IF(AND(G129&gt;(--"00:00:01"),G129&lt;(--"15:00:00")),IF(AND(AT129&gt;(--"08:00:00"),AT129&lt;(--"23:59:59")),G129+1-AT129,G129-AT129),G129-AT129)&gt;(--"00:20:00"),"","X"),"")</f>
        <v/>
      </c>
      <c r="CB129" s="299" t="str">
        <f>IF(K129="",IF(BP129&gt;=(--"00:20:00"),"","X"),"")</f>
        <v/>
      </c>
      <c r="CC129" s="299" t="str">
        <f>IF(OR(AV129="Autista non presente",AV129="Dati driver non presenti"),"X","")</f>
        <v/>
      </c>
      <c r="CD129" s="299" t="str">
        <f>IF(K129="",IF(AND(CC129="",BS129&lt;(--"00:20:00")),"X",""),"")</f>
        <v/>
      </c>
      <c r="CE129" s="299" t="str">
        <f>IF(K129="",IF(BT129&gt;(--"00:15:00"),"X",""),IF(AZ129&lt;&gt;"",IF(G129-AZ129&gt;(--"00:30:00"),"X",""),""))</f>
        <v/>
      </c>
      <c r="CF129" s="299" t="str">
        <f>IF(AND(CA129="",CB129="",CC129="",CD129="",CE129=""),"X","")</f>
        <v>X</v>
      </c>
      <c r="CG129" s="301"/>
      <c r="CH129" s="299" t="str">
        <f>IF(BT129&gt;(--"00:15:00"),"X","")</f>
        <v>X</v>
      </c>
      <c r="CI129" s="302">
        <f>AY129</f>
        <v>0</v>
      </c>
      <c r="CJ129" s="299" t="str">
        <f>IF(AND(CH129&lt;&gt;"",CI129&lt;&gt;"",LEFT(B129,3)="ITD"),AP129,"")</f>
        <v/>
      </c>
      <c r="CK129" s="305" t="str">
        <f>IF(CJ129&lt;&gt;"",BT129,"")</f>
        <v/>
      </c>
      <c r="CL129" s="301"/>
      <c r="CM129" s="305" t="str">
        <f>IFERROR(VLOOKUP(Q129,'Elenco Casse'!$D$4:$F$292,3,FALSE),"")</f>
        <v/>
      </c>
      <c r="CN129" s="301"/>
      <c r="CO129" s="305" t="str">
        <f>IFERROR(VLOOKUP(E129,Outlist!$A$5:$H$120,8,FALSE),"")</f>
        <v>ENBD20100</v>
      </c>
      <c r="CP129" s="305" t="str">
        <f>IFERROR(IF(VLOOKUP($E129,Outlist!$A$5:$S$120,19,FALSE)&lt;&gt;0,"Y",""),"")</f>
        <v>Y</v>
      </c>
      <c r="CQ129" s="301"/>
      <c r="CR129" s="305" t="str">
        <f>CONCATENATE($B129,$E129,$G129)</f>
        <v>ERN01518MV9 10.000694444446708076</v>
      </c>
      <c r="CS129" s="301"/>
      <c r="CT129" s="305">
        <f>VLOOKUP(Out_Table[[#This Row],[Destination             ORANGE (From Planning)]],Outlist!$A$5:$W$120,22,FALSE)</f>
        <v>0</v>
      </c>
    </row>
    <row r="130" spans="1:98" s="20" customFormat="1" ht="30.75">
      <c r="A130" s="305" t="str">
        <f>$CR130</f>
        <v>ITD12071ROM0.979166666666667</v>
      </c>
      <c r="B130" s="284" t="s">
        <v>915</v>
      </c>
      <c r="C130" s="290" t="str">
        <f>IFERROR(IF(LEFT(B130,3)='STAT 77'!$X$2,_xlfn.XLOOKUP(B130,'STAT 77'!C:C,'STAT 77'!B:B),_xlfn.XLOOKUP(B130,'STAT 77'!B:B,'STAT 77'!C:C)),"NON TROVATO")</f>
        <v>ITD30808</v>
      </c>
      <c r="D130" s="25" t="s">
        <v>916</v>
      </c>
      <c r="E130" s="290" t="s">
        <v>917</v>
      </c>
      <c r="F130" s="290" t="str">
        <f>IFERROR(VLOOKUP(E130,'Cambio O2P'!C:E,2,FALSE),"")</f>
        <v>ROMT8</v>
      </c>
      <c r="G130" s="285">
        <v>0.97916666666666663</v>
      </c>
      <c r="H130" s="293" t="str">
        <f ca="1">IFERROR(IF(AND('INformazioni per calcoli'!$AB$3&lt;(--"14:30"),'INformazioni per calcoli'!$AB$3&gt;(--"10:00")),"",IF($B130="","",IF($X130&lt;&gt;"","Mezzo Chiuso",IF($W130="","Non al Carico",IF($G130-'INformazioni per calcoli'!$AB$5-'INformazioni per calcoli'!$AB$3+$J130&lt;0,"LFLS",IF($K130&lt;&gt;"","Safe Parking",IF($W130&lt;&gt;"",IF($E130="MXP",$G130-'INformazioni per calcoli'!$AB$6-'INformazioni per calcoli'!$AB$3+$J130,$G130-'INformazioni per calcoli'!$AB$5-'INformazioni per calcoli'!$AB$3+$J130),"Non al carico"))))))),"")</f>
        <v>Mezzo Chiuso</v>
      </c>
      <c r="I130" s="17"/>
      <c r="J130" s="306">
        <f ca="1">IFERROR(IF($B130&lt;&gt;"",IF(AND('INformazioni per calcoli'!$AB$3&lt;(--"15:00"),'INformazioni per calcoli'!$AB$3&gt;(--"00:00")),0,IF($G130&lt;(--"18:30"),"+1",0)),""),"")</f>
        <v>0</v>
      </c>
      <c r="K130" s="17"/>
      <c r="L130" s="25" t="s">
        <v>826</v>
      </c>
      <c r="M130" s="25" t="str">
        <f>IFERROR(_xlfn.XLOOKUP($Q130,'Elenco Casse'!$D:$D,'Elenco Casse'!$E:$E),"")</f>
        <v>Ste.Ma Trasporti S.R.L.</v>
      </c>
      <c r="N130" s="25">
        <f>IFERROR(_xlfn.XLOOKUP($Q130,'Elenco Casse'!$D:$D,'Elenco Casse'!$F:$F),"")</f>
        <v>0</v>
      </c>
      <c r="O130" s="286" t="s">
        <v>418</v>
      </c>
      <c r="P130" s="295" t="str">
        <f>IFERROR(_xlfn.XLOOKUP($Q130,'Elenco Casse'!$D:$D,'Elenco Casse'!$G:$G),"")</f>
        <v>trailer 80 m3 2/3 axes</v>
      </c>
      <c r="Q130" s="355" t="s">
        <v>918</v>
      </c>
      <c r="R130" s="23" t="s">
        <v>420</v>
      </c>
      <c r="S130" s="25" t="s">
        <v>421</v>
      </c>
      <c r="T130" s="25" t="s">
        <v>919</v>
      </c>
      <c r="U130" s="23" t="str">
        <f>IF(ISNUMBER(SEARCH("Parcel",$T130)),"X","")</f>
        <v>X</v>
      </c>
      <c r="V130" s="23" t="str">
        <f>IF(ISNUMBER(SEARCH("Freight",$T130)),"X","")</f>
        <v>X</v>
      </c>
      <c r="W130" s="26">
        <v>710</v>
      </c>
      <c r="X130" s="27">
        <v>0.96527777777777779</v>
      </c>
      <c r="Y130" s="25" t="s">
        <v>624</v>
      </c>
      <c r="Z130" s="25"/>
      <c r="AA130" s="25" t="s">
        <v>40</v>
      </c>
      <c r="AB130" s="57">
        <v>0.6</v>
      </c>
      <c r="AC130" s="25"/>
      <c r="AD130" s="25" t="s">
        <v>487</v>
      </c>
      <c r="AE130" s="57">
        <v>0.4</v>
      </c>
      <c r="AF130" s="57"/>
      <c r="AG130" s="25"/>
      <c r="AH130" s="57"/>
      <c r="AI130" s="339">
        <v>17</v>
      </c>
      <c r="AJ130" s="339"/>
      <c r="AK130" s="297" t="str">
        <f>IF(X130&lt;&gt;"",CONCATENATE(IF(AA130&lt;&gt;"",CONCATENATE(Z130," ",AA130," ",BI130),""),IF(AD130&lt;&gt;"",CONCATENATE(","," ",AC130," ",AD130," ",BJ130),""),IF(AG130&lt;&gt;"",CONCATENATE(","," ",AF130," ",AG130," ",BK130),""),IF(AJ130&lt;&gt;"",CONCATENATE(","," ","DD"," ",BL130),"")," ",IF(AI130&lt;&gt;"",CONCATENATE(" - ",AI130," Bag"),"")),"")</f>
        <v xml:space="preserve"> LL 8.5,  FRT 5.5  - 17 Bag</v>
      </c>
      <c r="AL130" s="287" t="s">
        <v>421</v>
      </c>
      <c r="AM130" s="287"/>
      <c r="AN130" s="287"/>
      <c r="AO130" s="287"/>
      <c r="AP130" s="370" t="str">
        <f>IFERROR(VLOOKUP($E127,Outlist!$A$5:$V$120,20,FALSE),"")</f>
        <v/>
      </c>
      <c r="AQ130" s="288" t="s">
        <v>920</v>
      </c>
      <c r="AS130" s="24"/>
      <c r="AT130" s="24">
        <v>0.48680555555555555</v>
      </c>
      <c r="AU130" s="27">
        <v>0.96527777777777779</v>
      </c>
      <c r="AV130" s="27"/>
      <c r="AW130" s="20" t="s">
        <v>443</v>
      </c>
      <c r="AX130" s="20" t="str">
        <f>IFERROR(IF(Out_Table[[#This Row],[Cancellazione linea]]="Cancellata","yes",""),"")</f>
        <v/>
      </c>
      <c r="AY130" s="72" t="str">
        <f>IF(BA130="",BZ130,IF(AND(BA130&lt;(--"23:59:59"),BA130&gt;(--"15:00:00"),G130&lt;(--"14:00:00"),G130&gt;(--"00:00:01")),"",IF(BA130&gt;G130,BZ130,"")))</f>
        <v/>
      </c>
      <c r="AZ130" s="27">
        <v>0.96875</v>
      </c>
      <c r="BA130" s="32">
        <v>0.97361111111111109</v>
      </c>
      <c r="BB130" s="72"/>
      <c r="BC130" s="72" t="str">
        <f>IFERROR(VLOOKUP(Out_Table[[#This Row],[Aggiornamento STATUS]],'INformazioni per calcoli'!$Y$70:$AA$76,2,FALSE),"")</f>
        <v/>
      </c>
      <c r="BD130" s="289"/>
      <c r="BE130" s="289"/>
      <c r="BF130" s="47" t="str">
        <f>LEFT($E130,3)</f>
        <v>ROM</v>
      </c>
      <c r="BG130" s="298" t="str">
        <f>IF(Out_Table[[#This Row],[Ora Uscita    (GH)]]&lt;&gt;"","x","")</f>
        <v>x</v>
      </c>
      <c r="BH130" s="299">
        <f>VLOOKUP($O130,'INformazioni per calcoli'!$Y$20:$AA$23,3,FALSE)</f>
        <v>14</v>
      </c>
      <c r="BI130" s="299">
        <f>MROUND(Out_Table[[#This Row],[Mtr. Trailer]]*AB130,0.5)</f>
        <v>8.5</v>
      </c>
      <c r="BJ130" s="299">
        <f>MROUND(Out_Table[[#This Row],[Mtr. Trailer]]*AE130,0.5)</f>
        <v>5.5</v>
      </c>
      <c r="BK130" s="299">
        <f>MROUND(Out_Table[[#This Row],[Mtr. Trailer]]*AH130,0.5)</f>
        <v>0</v>
      </c>
      <c r="BL130" s="300">
        <f>Out_Table[[#This Row],[Double Deck trailer N° bumpers]]</f>
        <v>0</v>
      </c>
      <c r="BM130" s="301"/>
      <c r="BN130" s="299" t="str">
        <f>B130</f>
        <v>ITD12071</v>
      </c>
      <c r="BO130" s="299" t="str">
        <f>E130</f>
        <v>ROM</v>
      </c>
      <c r="BP130" s="302">
        <f>IF(AND(G130&gt;(--"00:00:01"),G130&lt;(--"15:00:00")),IF(AND(X130&gt;(--"00:00:01"),X130&lt;(--"15:00:00")),G130-X130,G130+1-X130),G130-X130)</f>
        <v>1.388888888888884E-2</v>
      </c>
      <c r="BQ130" s="303">
        <f>AE130+AF130+AH130+AJ130</f>
        <v>0.4</v>
      </c>
      <c r="BR130" s="304" t="str">
        <f>IF(OR(BP130&lt;=(--"00:20:00"),BQ130&gt;=100%),"OK","Not OK")</f>
        <v>OK</v>
      </c>
      <c r="BS130" s="302">
        <f>IF(AND(G130&gt;(--"00:00:01"),G130&lt;(--"15:00:00")),IF(AND(AU130&gt;(--"00:00:01"),AU130&lt;(--"15:00:00")),G130-AU130,G130+1-AU130),G130-AU130)</f>
        <v>1.388888888888884E-2</v>
      </c>
      <c r="BT130" s="302">
        <f>IF(AND(AZ130&gt;(--"00:00:01"),AZ130&lt;(--"15:00:00")),IF(AND(AU130&gt;(--"00:00:01"),AU130&lt;(--"15:00:00")),AZ130-AU130,AZ130+1-AU130),AZ130-AU130)</f>
        <v>3.4722222222222099E-3</v>
      </c>
      <c r="BU130" s="302">
        <f>IF(AND(BA130&gt;(--"00:00:01"),BA130&lt;(--"15:00:00")),IF(AND(AZ130&gt;(--"00:00:01"),AZ130&lt;(--"15:00:00")),BA130-AZ130,BA130+1-AZ130),BA130-AZ130)</f>
        <v>4.8611111111110938E-3</v>
      </c>
      <c r="BV130" s="299">
        <f>AV130</f>
        <v>0</v>
      </c>
      <c r="BW130" s="301"/>
      <c r="BX130" s="299" t="str">
        <f>IF(AV130="T Status",IF(AV130&lt;&gt;T130,"X",""),"")</f>
        <v/>
      </c>
      <c r="BY130" s="301"/>
      <c r="BZ130" s="299" t="str">
        <f>IF(X130&lt;&gt;"",IF(CC130="X","Driver Delay",IF(CA130="X","Paperwork Delay",IF(CB130="X","Late freight late sort",IF(CD130="X","Chiamare Control Room",IF(CE130="X","Chiamare Control Room",IF(CF130="X","Chiamare Control Room","")))))),"")</f>
        <v>Late freight late sort</v>
      </c>
      <c r="CA130" s="302" t="str">
        <f>IF(K130="",IF(IF(AND(G130&gt;(--"00:00:01"),G130&lt;(--"15:00:00")),IF(AND(AT130&gt;(--"08:00:00"),AT130&lt;(--"23:59:59")),G130+1-AT130,G130-AT130),G130-AT130)&gt;(--"00:20:00"),"","X"),"")</f>
        <v/>
      </c>
      <c r="CB130" s="299" t="str">
        <f>IF(K130="",IF(BP130&gt;=(--"00:20:00"),"","X"),"")</f>
        <v>X</v>
      </c>
      <c r="CC130" s="299" t="str">
        <f>IF(OR(AV130="Autista non presente",AV130="Dati driver non presenti"),"X","")</f>
        <v/>
      </c>
      <c r="CD130" s="299" t="str">
        <f>IF(K130="",IF(AND(CC130="",BS130&lt;(--"00:20:00")),"X",""),"")</f>
        <v>X</v>
      </c>
      <c r="CE130" s="299" t="str">
        <f>IF(K130="",IF(BT130&gt;(--"00:15:00"),"X",""),IF(AZ130&lt;&gt;"",IF(G130-AZ130&gt;(--"00:30:00"),"X",""),""))</f>
        <v/>
      </c>
      <c r="CF130" s="299" t="str">
        <f>IF(AND(CA130="",CB130="",CC130="",CD130="",CE130=""),"X","")</f>
        <v/>
      </c>
      <c r="CG130" s="301"/>
      <c r="CH130" s="299" t="str">
        <f>IF(BT130&gt;(--"00:15:00"),"X","")</f>
        <v/>
      </c>
      <c r="CI130" s="302" t="str">
        <f>AY130</f>
        <v/>
      </c>
      <c r="CJ130" s="299" t="str">
        <f>IF(AND(CH130&lt;&gt;"",CI130&lt;&gt;"",LEFT(B130,3)="ITD"),AP130,"")</f>
        <v/>
      </c>
      <c r="CK130" s="305" t="str">
        <f>IF(CJ130&lt;&gt;"",BT130,"")</f>
        <v/>
      </c>
      <c r="CL130" s="301"/>
      <c r="CM130" s="305" t="str">
        <f>IFERROR(VLOOKUP(Q130,'Elenco Casse'!$D$4:$F$292,3,FALSE),"")</f>
        <v/>
      </c>
      <c r="CN130" s="301"/>
      <c r="CO130" s="305" t="str">
        <f>IFERROR(VLOOKUP(S130,'Elenco Casse'!$D$4:$F$292,3,FALSE),"")</f>
        <v/>
      </c>
      <c r="CP130" s="305" t="str">
        <f>IFERROR(IF(VLOOKUP($E130,Outlist!$A$5:$S$120,19,FALSE)&lt;&gt;0,"Y",""),"")</f>
        <v/>
      </c>
      <c r="CQ130" s="301"/>
      <c r="CR130" s="305" t="str">
        <f>CONCATENATE($B130,$E130,$G130)</f>
        <v>ITD12071ROM0.979166666666667</v>
      </c>
      <c r="CS130" s="301"/>
      <c r="CT130" s="305" t="e">
        <f>VLOOKUP(Out_Table[[#This Row],[Destination             ORANGE (From Planning)]],Outlist!$A$5:$W$120,22,FALSE)</f>
        <v>#N/A</v>
      </c>
    </row>
    <row r="131" spans="1:98" s="20" customFormat="1" ht="30.75">
      <c r="A131" s="305" t="str">
        <f>$CR131</f>
        <v>ERN19164XPI 20.104166666664241</v>
      </c>
      <c r="B131" s="351" t="str">
        <f>IFERROR(VLOOKUP(E131,Outlist!$A$5:$AC$120,2,FALSE),"")</f>
        <v>ERN19164</v>
      </c>
      <c r="C131" s="352" t="str">
        <f>IFERROR(IF(LEFT(B131,3)='STAT 77'!$X$2,_xlfn.XLOOKUP(B131,'STAT 77'!C:C,'STAT 77'!B:B),_xlfn.XLOOKUP(B131,'STAT 77'!B:B,'STAT 77'!C:C)),"NON TROVATO")</f>
        <v>ERN09699</v>
      </c>
      <c r="D131" s="4"/>
      <c r="E131" s="352" t="str">
        <f>IFERROR(IF(Outlist!$A34&lt;&gt;"",Outlist!$A34,""),"")</f>
        <v>XPI 2</v>
      </c>
      <c r="F131" s="352" t="str">
        <f>IFERROR(VLOOKUP(E131,'Cambio O2P'!C:E,2,FALSE),"")</f>
        <v/>
      </c>
      <c r="G131" s="353">
        <f>IFERROR(VLOOKUP(E131,Outlist!$A$5:$AC$120,5,FALSE)-INT(VLOOKUP(E131,Outlist!$A$5:$AC$120,5,FALSE)),"")</f>
        <v>0.10416666666424135</v>
      </c>
      <c r="H131" s="294" t="str">
        <f ca="1">IFERROR(IF(AND('INformazioni per calcoli'!$AB$3&lt;(--"14:30"),'INformazioni per calcoli'!$AB$3&gt;(--"10:00")),"",IF($B131="","",IF($X131&lt;&gt;"","Mezzo Chiuso",IF($W131="","Non al Carico",IF($K131="Safe Parking","Safe Parking", IF(OR($BF131='INformazioni per calcoli'!$AF$8,$BF131='INformazioni per calcoli'!$AC$8,$BF131='INformazioni per calcoli'!$AD$8,$BF131='INformazioni per calcoli'!$AE$8,$BF131='INformazioni per calcoli'!$AG$8,$BF131='INformazioni per calcoli'!$AH$8,$BF131='INformazioni per calcoli'!$AI$8,$BF131='INformazioni per calcoli'!$AJ$8),IF($G131-'INformazioni per calcoli'!$AB$6-'INformazioni per calcoli'!$AB$3+$J131&lt;0,"LFLS",$G131-'INformazioni per calcoli'!$AB$6-'INformazioni per calcoli'!$AB$3+$J131), IF(OR($BF131='INformazioni per calcoli'!$AF$6,$BF131='INformazioni per calcoli'!$AD$6,$BF131='INformazioni per calcoli'!$AE$6,$BF131='INformazioni per calcoli'!$AG$6),IF($G131-'INformazioni per calcoli'!$AB$8-'INformazioni per calcoli'!$AB$3+$J131&lt;0,"LFLS",$G131-'INformazioni per calcoli'!$AB$8-'INformazioni per calcoli'!$AB$3+$J131), IF($G131-'INformazioni per calcoli'!$AB$7-'INformazioni per calcoli'!$AB$3+$J131&lt;0,"LFLS",$G131-'INformazioni per calcoli'!$AB$7-'INformazioni per calcoli'!$AB$3+$J131)))))))),"")</f>
        <v>Mezzo Chiuso</v>
      </c>
      <c r="I131" s="17" t="str">
        <f ca="1">IFERROR(IF($H131&lt;&gt;"",IF($H131="Safe Parking","",IF($W131&lt;&gt;"",IF(AND($U131="X",$V131="X"),$H131-(--"00:30"),""),IF($X131&lt;&gt;"","Mezzo Chiuso","Non al carico"))),""),"")</f>
        <v/>
      </c>
      <c r="J131" s="306">
        <f ca="1">IFERROR(IF($B131&lt;&gt;"",IF(AND('INformazioni per calcoli'!$AB$3&lt;(--"15:00"),'INformazioni per calcoli'!$AB$3&gt;(--"00:00")),0,IF($G131&lt;(--"18:30"),"+1",0)),""),"")</f>
        <v>0</v>
      </c>
      <c r="K131" s="27">
        <f>IF(E131&lt;&gt;"",IFERROR(VLOOKUP(E131,Outlist!$A$5:$AC$120,22,FALSE),""),"")</f>
        <v>0</v>
      </c>
      <c r="L131" s="352" t="str">
        <f>IF(E131&lt;&gt;"",IFERROR(VLOOKUP(E131,Outlist!$A$5:$AC$120,3,FALSE),""),"")</f>
        <v>Lpx Group Bv</v>
      </c>
      <c r="M131" s="4" t="str">
        <f>IFERROR(_xlfn.XLOOKUP($Q131,'Elenco Casse'!$D:$D,'Elenco Casse'!$E:$E),"")</f>
        <v/>
      </c>
      <c r="N131" s="4" t="str">
        <f>IFERROR(_xlfn.XLOOKUP($Q131,'Elenco Casse'!$D:$D,'Elenco Casse'!$F:$F),"")</f>
        <v/>
      </c>
      <c r="O131" s="4" t="str">
        <f>IF($L131&lt;&gt;"","TT-2/3","")</f>
        <v>TT-2/3</v>
      </c>
      <c r="P131" s="296" t="str">
        <f>IFERROR(IF(VLOOKUP(E131,Outlist!$A$5:$AC$120,21,FALSE)="YES","Linea Variata",""),"")</f>
        <v/>
      </c>
      <c r="Q131" s="355" t="s">
        <v>921</v>
      </c>
      <c r="R131" s="23" t="s">
        <v>420</v>
      </c>
      <c r="S131" s="25" t="str">
        <f>IFERROR(IF(VLOOKUP(E131,Outlist!$A$5:$AC$120,7,FALSE)="X","SUBCO",""),"")</f>
        <v/>
      </c>
      <c r="T131" s="25"/>
      <c r="U131" s="23"/>
      <c r="V131" s="23" t="s">
        <v>61</v>
      </c>
      <c r="W131" s="26">
        <v>711</v>
      </c>
      <c r="X131" s="27">
        <v>1.1805555555555555E-2</v>
      </c>
      <c r="Y131" s="25" t="s">
        <v>922</v>
      </c>
      <c r="Z131" s="25"/>
      <c r="AA131" s="25" t="s">
        <v>487</v>
      </c>
      <c r="AB131" s="57">
        <v>1</v>
      </c>
      <c r="AC131" s="25"/>
      <c r="AD131" s="25"/>
      <c r="AE131" s="57"/>
      <c r="AF131" s="57"/>
      <c r="AG131" s="25"/>
      <c r="AH131" s="57"/>
      <c r="AI131" s="339"/>
      <c r="AJ131" s="339"/>
      <c r="AK131" s="297" t="str">
        <f>IF(X131&lt;&gt;"",CONCATENATE(IF(AA131&lt;&gt;"",CONCATENATE(Z131," ",AA131," ",BI131),""),IF(AD131&lt;&gt;"",CONCATENATE(","," ",AC131," ",AD131," ",BJ131),""),IF(AG131&lt;&gt;"",CONCATENATE(","," ",AF131," ",AG131," ",BK131),""),IF(AJ131&lt;&gt;"",CONCATENATE(","," ","DD"," ",BL131),"")," ",IF(AI131&lt;&gt;"",CONCATENATE(" - ",AI131," Bag"),"")),"")</f>
        <v xml:space="preserve"> FRT 14 </v>
      </c>
      <c r="AL131" s="287" t="s">
        <v>421</v>
      </c>
      <c r="AM131" s="287"/>
      <c r="AN131" s="287"/>
      <c r="AO131" s="287"/>
      <c r="AP131" s="370">
        <f>IFERROR(VLOOKUP($E131,Outlist!$A$5:$V$120,20,FALSE),"")</f>
        <v>0</v>
      </c>
      <c r="AQ131" s="288" t="s">
        <v>923</v>
      </c>
      <c r="AR131" s="430">
        <v>1.2500000000000001E-2</v>
      </c>
      <c r="AS131" s="24">
        <v>1.6666666666666666E-2</v>
      </c>
      <c r="AT131" s="24">
        <v>1.6666666666666666E-2</v>
      </c>
      <c r="AU131" s="27"/>
      <c r="AV131" s="27"/>
      <c r="AW131" s="20" t="s">
        <v>443</v>
      </c>
      <c r="AX131" s="20" t="str">
        <f>IFERROR(IF(Out_Table[[#This Row],[Cancellazione linea]]="Cancellata","yes",""),"")</f>
        <v/>
      </c>
      <c r="AY131" s="72"/>
      <c r="AZ131" s="27">
        <v>6.3888888888888884E-2</v>
      </c>
      <c r="BA131" s="32">
        <v>7.0833333333333331E-2</v>
      </c>
      <c r="BB131" s="72"/>
      <c r="BC131" s="72" t="str">
        <f>IFERROR(VLOOKUP(Out_Table[[#This Row],[Aggiornamento STATUS]],'INformazioni per calcoli'!$Y$70:$AA$76,2,FALSE),"")</f>
        <v/>
      </c>
      <c r="BD131" s="289"/>
      <c r="BE131" s="289"/>
      <c r="BF131" s="47" t="str">
        <f>LEFT($E131,3)</f>
        <v>XPI</v>
      </c>
      <c r="BG131" s="298" t="str">
        <f>IF(Out_Table[[#This Row],[Ora Uscita    (GH)]]&lt;&gt;"","x","")</f>
        <v>x</v>
      </c>
      <c r="BH131" s="299">
        <f>VLOOKUP($O131,'INformazioni per calcoli'!$Y$20:$AA$23,3,FALSE)</f>
        <v>14</v>
      </c>
      <c r="BI131" s="299">
        <f>MROUND(Out_Table[[#This Row],[Mtr. Trailer]]*AB131,0.5)</f>
        <v>14</v>
      </c>
      <c r="BJ131" s="299">
        <f>MROUND(Out_Table[[#This Row],[Mtr. Trailer]]*AE131,0.5)</f>
        <v>0</v>
      </c>
      <c r="BK131" s="299">
        <f>MROUND(Out_Table[[#This Row],[Mtr. Trailer]]*AH131,0.5)</f>
        <v>0</v>
      </c>
      <c r="BL131" s="300">
        <f>Out_Table[[#This Row],[Double Deck trailer N° bumpers]]</f>
        <v>0</v>
      </c>
      <c r="BM131" s="301"/>
      <c r="BN131" s="299" t="str">
        <f>B131</f>
        <v>ERN19164</v>
      </c>
      <c r="BO131" s="299" t="str">
        <f>E131</f>
        <v>XPI 2</v>
      </c>
      <c r="BP131" s="302">
        <f>IF(AND(G131&gt;(--"00:00:01"),G131&lt;(--"15:00:00")),IF(AND(X131&gt;(--"00:00:01"),X131&lt;(--"15:00:00")),G131-X131,G131+1-X131),G131-X131)</f>
        <v>9.2361111108685792E-2</v>
      </c>
      <c r="BQ131" s="303">
        <f>AE131+AF131+AH131+AJ131</f>
        <v>0</v>
      </c>
      <c r="BR131" s="304" t="str">
        <f>IF(OR(BP131&lt;=(--"00:20:00"),BQ131&gt;=100%),"OK","Not OK")</f>
        <v>Not OK</v>
      </c>
      <c r="BS131" s="302">
        <f>IF(AND(G131&gt;(--"00:00:01"),G131&lt;(--"15:00:00")),IF(AND(AU131&gt;(--"00:00:01"),AU131&lt;(--"15:00:00")),G131-AU131,G131+1-AU131),G131-AU131)</f>
        <v>1.1041666666642413</v>
      </c>
      <c r="BT131" s="302">
        <f>IF(AND(AZ131&gt;(--"00:00:01"),AZ131&lt;(--"15:00:00")),IF(AND(AU131&gt;(--"00:00:01"),AU131&lt;(--"15:00:00")),AZ131-AU131,AZ131+1-AU131),AZ131-AU131)</f>
        <v>1.0638888888888889</v>
      </c>
      <c r="BU131" s="302">
        <f>IF(AND(BA131&gt;(--"00:00:01"),BA131&lt;(--"15:00:00")),IF(AND(AZ131&gt;(--"00:00:01"),AZ131&lt;(--"15:00:00")),BA131-AZ131,BA131+1-AZ131),BA131-AZ131)</f>
        <v>6.9444444444444475E-3</v>
      </c>
      <c r="BV131" s="299">
        <f>AV131</f>
        <v>0</v>
      </c>
      <c r="BW131" s="301"/>
      <c r="BX131" s="299" t="str">
        <f>IF(AV131="T Status",IF(AV131&lt;&gt;T131,"X",""),"")</f>
        <v/>
      </c>
      <c r="BY131" s="301"/>
      <c r="BZ131" s="299" t="str">
        <f>IF(X131&lt;&gt;"",IF(CC131="X","Driver Delay",IF(CA131="X","Paperwork Delay",IF(CB131="X","Late freight late sort",IF(CD131="X","Chiamare Control Room",IF(CE131="X","Chiamare Control Room",IF(CF131="X","Chiamare Control Room","")))))),"")</f>
        <v>Chiamare Control Room</v>
      </c>
      <c r="CA131" s="302" t="str">
        <f>IF(K131="",IF(IF(AND(G131&gt;(--"00:00:01"),G131&lt;(--"15:00:00")),IF(AND(AT131&gt;(--"08:00:00"),AT131&lt;(--"23:59:59")),G131+1-AT131,G131-AT131),G131-AT131)&gt;(--"00:20:00"),"","X"),"")</f>
        <v/>
      </c>
      <c r="CB131" s="299" t="str">
        <f>IF(K131="",IF(BP131&gt;=(--"00:20:00"),"","X"),"")</f>
        <v/>
      </c>
      <c r="CC131" s="299" t="str">
        <f>IF(OR(AV131="Autista non presente",AV131="Dati driver non presenti"),"X","")</f>
        <v/>
      </c>
      <c r="CD131" s="299" t="str">
        <f>IF(K131="",IF(AND(CC131="",BS131&lt;(--"00:20:00")),"X",""),"")</f>
        <v/>
      </c>
      <c r="CE131" s="299" t="str">
        <f>IF(K131="",IF(BT131&gt;(--"00:15:00"),"X",""),IF(AZ131&lt;&gt;"",IF(G131-AZ131&gt;(--"00:30:00"),"X",""),""))</f>
        <v>X</v>
      </c>
      <c r="CF131" s="299" t="str">
        <f>IF(AND(CA131="",CB131="",CC131="",CD131="",CE131=""),"X","")</f>
        <v/>
      </c>
      <c r="CG131" s="301"/>
      <c r="CH131" s="299" t="str">
        <f>IF(BT131&gt;(--"00:15:00"),"X","")</f>
        <v>X</v>
      </c>
      <c r="CI131" s="302">
        <f>AY131</f>
        <v>0</v>
      </c>
      <c r="CJ131" s="299" t="str">
        <f>IF(AND(CH131&lt;&gt;"",CI131&lt;&gt;"",LEFT(B131,3)="ITD"),AP131,"")</f>
        <v/>
      </c>
      <c r="CK131" s="305" t="str">
        <f>IF(CJ131&lt;&gt;"",BT131,"")</f>
        <v/>
      </c>
      <c r="CL131" s="301"/>
      <c r="CM131" s="305" t="str">
        <f>IFERROR(VLOOKUP(Q131,'Elenco Casse'!$D$4:$F$292,3,FALSE),"")</f>
        <v/>
      </c>
      <c r="CN131" s="301"/>
      <c r="CO131" s="305" t="str">
        <f>IFERROR(VLOOKUP(E131,Outlist!$A$5:$H$120,8,FALSE),"")</f>
        <v>ENBR21056</v>
      </c>
      <c r="CP131" s="305" t="str">
        <f>IFERROR(IF(VLOOKUP($E131,Outlist!$A$5:$S$120,19,FALSE)&lt;&gt;0,"Y",""),"")</f>
        <v>Y</v>
      </c>
      <c r="CQ131" s="301"/>
      <c r="CR131" s="305" t="str">
        <f>CONCATENATE($B131,$E131,$G131)</f>
        <v>ERN19164XPI 20.104166666664241</v>
      </c>
      <c r="CS131" s="301"/>
      <c r="CT131" s="305">
        <f>VLOOKUP(Out_Table[[#This Row],[Destination             ORANGE (From Planning)]],Outlist!$A$5:$W$120,22,FALSE)</f>
        <v>0</v>
      </c>
    </row>
    <row r="132" spans="1:98" s="20" customFormat="1" ht="30.75">
      <c r="A132" s="305" t="str">
        <f>$CR132</f>
        <v>ITD12886PMF0.15625</v>
      </c>
      <c r="B132" s="284" t="s">
        <v>924</v>
      </c>
      <c r="C132" s="290" t="str">
        <f>IFERROR(IF(LEFT(B132,3)='STAT 77'!$X$2,_xlfn.XLOOKUP(B132,'STAT 77'!C:C,'STAT 77'!B:B),_xlfn.XLOOKUP(B132,'STAT 77'!B:B,'STAT 77'!C:C)),"NON TROVATO")</f>
        <v>ITD32511</v>
      </c>
      <c r="D132" s="25" t="s">
        <v>925</v>
      </c>
      <c r="E132" s="290" t="s">
        <v>686</v>
      </c>
      <c r="F132" s="290" t="str">
        <f>IFERROR(VLOOKUP(E132,'Cambio O2P'!C:E,2,FALSE),"")</f>
        <v>PMFT8</v>
      </c>
      <c r="G132" s="285">
        <v>0.15625</v>
      </c>
      <c r="H132" s="293" t="str">
        <f ca="1">IFERROR(IF(AND('INformazioni per calcoli'!$AB$3&lt;(--"14:30"),'INformazioni per calcoli'!$AB$3&gt;(--"10:00")),"",IF($B132="","",IF($X132&lt;&gt;"","Mezzo Chiuso",IF($W132="","Non al Carico",IF($G132-'INformazioni per calcoli'!$AB$5-'INformazioni per calcoli'!$AB$3+$J132&lt;0,"LFLS",IF($K132&lt;&gt;"","Safe Parking",IF($W132&lt;&gt;"",IF($E132="MXP",$G132-'INformazioni per calcoli'!$AB$6-'INformazioni per calcoli'!$AB$3+$J132,$G132-'INformazioni per calcoli'!$AB$5-'INformazioni per calcoli'!$AB$3+$J132),"Non al carico"))))))),"")</f>
        <v>Mezzo Chiuso</v>
      </c>
      <c r="I132" s="17" t="str">
        <f ca="1">IFERROR(IF($H132&lt;&gt;"",IF($H132="Safe Parking","",IF($W132&lt;&gt;"",IF(AND($U132="X",$V132="X"),$H132-(--"00:30"),""),IF($X132&lt;&gt;"","Mezzo Chiuso","Non al carico"))),""),"")</f>
        <v/>
      </c>
      <c r="J132" s="306">
        <f ca="1">IFERROR(IF($B132&lt;&gt;"",IF(AND('INformazioni per calcoli'!$AB$3&lt;(--"15:00"),'INformazioni per calcoli'!$AB$3&gt;(--"00:00")),0,IF($G132&lt;(--"18:30"),"+1",0)),""),"")</f>
        <v>0</v>
      </c>
      <c r="K132" s="17"/>
      <c r="L132" s="25" t="s">
        <v>427</v>
      </c>
      <c r="M132" s="25" t="str">
        <f>IFERROR(_xlfn.XLOOKUP($Q132,'Elenco Casse'!$D:$D,'Elenco Casse'!$E:$E),"")</f>
        <v/>
      </c>
      <c r="N132" s="25" t="str">
        <f>IFERROR(_xlfn.XLOOKUP($Q132,'Elenco Casse'!$D:$D,'Elenco Casse'!$F:$F),"")</f>
        <v/>
      </c>
      <c r="O132" s="286" t="s">
        <v>418</v>
      </c>
      <c r="P132" s="295" t="str">
        <f>IFERROR(_xlfn.XLOOKUP($Q132,'Elenco Casse'!$D:$D,'Elenco Casse'!$G:$G),"")</f>
        <v/>
      </c>
      <c r="Q132" s="355" t="s">
        <v>926</v>
      </c>
      <c r="R132" s="23" t="s">
        <v>420</v>
      </c>
      <c r="S132" s="25" t="s">
        <v>421</v>
      </c>
      <c r="T132" s="25" t="s">
        <v>927</v>
      </c>
      <c r="U132" s="23" t="str">
        <f>IF(ISNUMBER(SEARCH("Parcel",$T132)),"X","")</f>
        <v/>
      </c>
      <c r="V132" s="23" t="str">
        <f>IF(ISNUMBER(SEARCH("Freight",$T132)),"X","")</f>
        <v>X</v>
      </c>
      <c r="W132" s="26">
        <v>712</v>
      </c>
      <c r="X132" s="27">
        <v>0.10069444444444445</v>
      </c>
      <c r="Y132" s="25" t="s">
        <v>928</v>
      </c>
      <c r="Z132" s="25"/>
      <c r="AA132" s="25" t="s">
        <v>487</v>
      </c>
      <c r="AB132" s="57">
        <v>1</v>
      </c>
      <c r="AC132" s="25"/>
      <c r="AD132" s="25"/>
      <c r="AE132" s="57"/>
      <c r="AF132" s="57"/>
      <c r="AG132" s="25" t="s">
        <v>488</v>
      </c>
      <c r="AH132" s="57"/>
      <c r="AI132" s="339"/>
      <c r="AJ132" s="339"/>
      <c r="AK132" s="297" t="str">
        <f>IF(X132&lt;&gt;"",CONCATENATE(IF(AA132&lt;&gt;"",CONCATENATE(Z132," ",AA132," ",BI132),""),IF(AD132&lt;&gt;"",CONCATENATE(","," ",AC132," ",AD132," ",BJ132),""),IF(AG132&lt;&gt;"",CONCATENATE(","," ",AF132," ",AG132," ",BK132),""),IF(AJ132&lt;&gt;"",CONCATENATE(","," ","DD"," ",BL132),"")," ",IF(AI132&lt;&gt;"",CONCATENATE(" - ",AI132," Bag"),"")),"")</f>
        <v xml:space="preserve"> FRT 14,  DG 0 </v>
      </c>
      <c r="AL132" s="287" t="s">
        <v>421</v>
      </c>
      <c r="AM132" s="287"/>
      <c r="AN132" s="287"/>
      <c r="AO132" s="287"/>
      <c r="AP132" s="370">
        <f>IFERROR(VLOOKUP($E129,Outlist!$A$5:$V$120,20,FALSE),"")</f>
        <v>0</v>
      </c>
      <c r="AQ132" s="288" t="str">
        <f>IFERROR(IF(VLOOKUP($A132,#REF!,8,FALSE)&lt;&gt;"",VLOOKUP($A132,#REF!,8,FALSE),""),"")</f>
        <v/>
      </c>
      <c r="AS132" s="24"/>
      <c r="AT132" s="24">
        <v>0.82986111111111116</v>
      </c>
      <c r="AU132" s="27">
        <v>0.13958333333333334</v>
      </c>
      <c r="AV132" s="27"/>
      <c r="AX132" s="20" t="str">
        <f>IFERROR(IF(Out_Table[[#This Row],[Cancellazione linea]]="Cancellata","yes",""),"")</f>
        <v/>
      </c>
      <c r="AY132" s="72" t="str">
        <f>IF(BA132="",BZ132,IF(AND(BA132&lt;(--"23:59:59"),BA132&gt;(--"15:00:00"),G132&lt;(--"14:00:00"),G132&gt;(--"00:00:01")),"",IF(BA132&gt;G132,BZ132,"")))</f>
        <v>Chiamare Control Room</v>
      </c>
      <c r="AZ132" s="27"/>
      <c r="BA132" s="32"/>
      <c r="BB132" s="72"/>
      <c r="BC132" s="72" t="str">
        <f>IFERROR(VLOOKUP(Out_Table[[#This Row],[Aggiornamento STATUS]],'INformazioni per calcoli'!$Y$70:$AA$76,2,FALSE),"")</f>
        <v/>
      </c>
      <c r="BD132" s="289"/>
      <c r="BE132" s="289"/>
      <c r="BF132" s="47" t="str">
        <f>LEFT($E132,3)</f>
        <v>PMF</v>
      </c>
      <c r="BG132" s="298" t="str">
        <f>IF(Out_Table[[#This Row],[Ora Uscita    (GH)]]&lt;&gt;"","x","")</f>
        <v/>
      </c>
      <c r="BH132" s="299">
        <f>VLOOKUP($O132,'INformazioni per calcoli'!$Y$20:$AA$23,3,FALSE)</f>
        <v>14</v>
      </c>
      <c r="BI132" s="299">
        <f>MROUND(Out_Table[[#This Row],[Mtr. Trailer]]*AB132,0.5)</f>
        <v>14</v>
      </c>
      <c r="BJ132" s="299">
        <f>MROUND(Out_Table[[#This Row],[Mtr. Trailer]]*AE132,0.5)</f>
        <v>0</v>
      </c>
      <c r="BK132" s="299">
        <f>MROUND(Out_Table[[#This Row],[Mtr. Trailer]]*AH132,0.5)</f>
        <v>0</v>
      </c>
      <c r="BL132" s="300">
        <f>Out_Table[[#This Row],[Double Deck trailer N° bumpers]]</f>
        <v>0</v>
      </c>
      <c r="BM132" s="301"/>
      <c r="BN132" s="299" t="str">
        <f>B132</f>
        <v>ITD12886</v>
      </c>
      <c r="BO132" s="299" t="str">
        <f>E132</f>
        <v>PMF</v>
      </c>
      <c r="BP132" s="302">
        <f>IF(AND(G132&gt;(--"00:00:01"),G132&lt;(--"15:00:00")),IF(AND(X132&gt;(--"00:00:01"),X132&lt;(--"15:00:00")),G132-X132,G132+1-X132),G132-X132)</f>
        <v>5.5555555555555552E-2</v>
      </c>
      <c r="BQ132" s="303">
        <f>AE132+AF132+AH132+AJ132</f>
        <v>0</v>
      </c>
      <c r="BR132" s="304" t="str">
        <f>IF(OR(BP132&lt;=(--"00:20:00"),BQ132&gt;=100%),"OK","Not OK")</f>
        <v>Not OK</v>
      </c>
      <c r="BS132" s="302">
        <f>IF(AND(G132&gt;(--"00:00:01"),G132&lt;(--"15:00:00")),IF(AND(AU132&gt;(--"00:00:01"),AU132&lt;(--"15:00:00")),G132-AU132,G132+1-AU132),G132-AU132)</f>
        <v>1.6666666666666663E-2</v>
      </c>
      <c r="BT132" s="302">
        <f>IF(AND(AZ132&gt;(--"00:00:01"),AZ132&lt;(--"15:00:00")),IF(AND(AU132&gt;(--"00:00:01"),AU132&lt;(--"15:00:00")),AZ132-AU132,AZ132+1-AU132),AZ132-AU132)</f>
        <v>-0.13958333333333334</v>
      </c>
      <c r="BU132" s="302">
        <f>IF(AND(BA132&gt;(--"00:00:01"),BA132&lt;(--"15:00:00")),IF(AND(AZ132&gt;(--"00:00:01"),AZ132&lt;(--"15:00:00")),BA132-AZ132,BA132+1-AZ132),BA132-AZ132)</f>
        <v>0</v>
      </c>
      <c r="BV132" s="299">
        <f>AV132</f>
        <v>0</v>
      </c>
      <c r="BW132" s="301"/>
      <c r="BX132" s="299" t="str">
        <f>IF(AV132="T Status",IF(AV132&lt;&gt;T132,"X",""),"")</f>
        <v/>
      </c>
      <c r="BY132" s="301"/>
      <c r="BZ132" s="299" t="str">
        <f>IF(X132&lt;&gt;"",IF(CC132="X","Driver Delay",IF(CA132="X","Paperwork Delay",IF(CB132="X","Late freight late sort",IF(CD132="X","Chiamare Control Room",IF(CE132="X","Chiamare Control Room",IF(CF132="X","Chiamare Control Room","")))))),"")</f>
        <v>Chiamare Control Room</v>
      </c>
      <c r="CA132" s="302" t="str">
        <f>IF(K132="",IF(IF(AND(G132&gt;(--"00:00:01"),G132&lt;(--"15:00:00")),IF(AND(AT132&gt;(--"08:00:00"),AT132&lt;(--"23:59:59")),G132+1-AT132,G132-AT132),G132-AT132)&gt;(--"00:20:00"),"","X"),"")</f>
        <v/>
      </c>
      <c r="CB132" s="299" t="str">
        <f>IF(K132="",IF(BP132&gt;=(--"00:20:00"),"","X"),"")</f>
        <v/>
      </c>
      <c r="CC132" s="299" t="str">
        <f>IF(OR(AV132="Autista non presente",AV132="Dati driver non presenti"),"X","")</f>
        <v/>
      </c>
      <c r="CD132" s="299" t="str">
        <f>IF(K132="",IF(AND(CC132="",BS132&lt;(--"00:20:00")),"X",""),"")</f>
        <v/>
      </c>
      <c r="CE132" s="299" t="str">
        <f>IF(K132="",IF(BT132&gt;(--"00:15:00"),"X",""),IF(AZ132&lt;&gt;"",IF(G132-AZ132&gt;(--"00:30:00"),"X",""),""))</f>
        <v/>
      </c>
      <c r="CF132" s="299" t="str">
        <f>IF(AND(CA132="",CB132="",CC132="",CD132="",CE132=""),"X","")</f>
        <v>X</v>
      </c>
      <c r="CG132" s="301"/>
      <c r="CH132" s="299" t="str">
        <f>IF(BT132&gt;(--"00:15:00"),"X","")</f>
        <v/>
      </c>
      <c r="CI132" s="302" t="str">
        <f>AY132</f>
        <v>Chiamare Control Room</v>
      </c>
      <c r="CJ132" s="299" t="str">
        <f>IF(AND(CH132&lt;&gt;"",CI132&lt;&gt;"",LEFT(B132,3)="ITD"),AP132,"")</f>
        <v/>
      </c>
      <c r="CK132" s="305" t="str">
        <f>IF(CJ132&lt;&gt;"",BT132,"")</f>
        <v/>
      </c>
      <c r="CL132" s="301"/>
      <c r="CM132" s="305" t="str">
        <f>IFERROR(VLOOKUP(Q132,'Elenco Casse'!$D$4:$F$292,3,FALSE),"")</f>
        <v/>
      </c>
      <c r="CN132" s="301"/>
      <c r="CO132" s="305" t="str">
        <f>IFERROR(VLOOKUP(S132,'Elenco Casse'!$D$4:$F$292,3,FALSE),"")</f>
        <v/>
      </c>
      <c r="CP132" s="305" t="str">
        <f>IFERROR(IF(VLOOKUP($E132,Outlist!$A$5:$S$120,19,FALSE)&lt;&gt;0,"Y",""),"")</f>
        <v/>
      </c>
      <c r="CQ132" s="301"/>
      <c r="CR132" s="305" t="str">
        <f>CONCATENATE($B132,$E132,$G132)</f>
        <v>ITD12886PMF0.15625</v>
      </c>
      <c r="CS132" s="301"/>
      <c r="CT132" s="305" t="e">
        <f>VLOOKUP(Out_Table[[#This Row],[Destination             ORANGE (From Planning)]],Outlist!$A$5:$W$120,22,FALSE)</f>
        <v>#N/A</v>
      </c>
    </row>
    <row r="133" spans="1:98" s="20" customFormat="1" ht="30.75">
      <c r="A133" s="305" t="str">
        <f>$CR133</f>
        <v>ITD12854MM10.21875</v>
      </c>
      <c r="B133" s="284" t="s">
        <v>929</v>
      </c>
      <c r="C133" s="290" t="str">
        <f>IFERROR(IF(LEFT(B133,3)='STAT 77'!$X$2,_xlfn.XLOOKUP(B133,'STAT 77'!C:C,'STAT 77'!B:B),_xlfn.XLOOKUP(B133,'STAT 77'!B:B,'STAT 77'!C:C)),"NON TROVATO")</f>
        <v>ITD32643</v>
      </c>
      <c r="D133" s="25" t="s">
        <v>930</v>
      </c>
      <c r="E133" s="290" t="s">
        <v>456</v>
      </c>
      <c r="F133" s="290" t="str">
        <f>IFERROR(VLOOKUP(E133,'Cambio O2P'!C:E,2,FALSE),"")</f>
        <v>QRGA</v>
      </c>
      <c r="G133" s="285">
        <v>0.21875</v>
      </c>
      <c r="H133" s="293" t="str">
        <f ca="1">IFERROR(IF(AND('INformazioni per calcoli'!$AB$3&lt;(--"14:30"),'INformazioni per calcoli'!$AB$3&gt;(--"10:00")),"",IF($B133="","",IF($X133&lt;&gt;"","Mezzo Chiuso",IF($W133="","Non al Carico",IF($G133-'INformazioni per calcoli'!$AB$5-'INformazioni per calcoli'!$AB$3+$J133&lt;0,"LFLS",IF($K133&lt;&gt;"","Safe Parking",IF($W133&lt;&gt;"",IF($E133="MXP",$G133-'INformazioni per calcoli'!$AB$6-'INformazioni per calcoli'!$AB$3+$J133,$G133-'INformazioni per calcoli'!$AB$5-'INformazioni per calcoli'!$AB$3+$J133),"Non al carico"))))))),"")</f>
        <v>Mezzo Chiuso</v>
      </c>
      <c r="I133" s="17" t="str">
        <f ca="1">IFERROR(IF($H133&lt;&gt;"",IF($H133="Safe Parking","",IF($W133&lt;&gt;"",IF(AND($U133="X",$V133="X"),$H133-(--"00:30"),""),IF($X133&lt;&gt;"","Mezzo Chiuso","Non al carico"))),""),"")</f>
        <v/>
      </c>
      <c r="J133" s="306">
        <f ca="1">IFERROR(IF($B133&lt;&gt;"",IF(AND('INformazioni per calcoli'!$AB$3&lt;(--"15:00"),'INformazioni per calcoli'!$AB$3&gt;(--"00:00")),0,IF($G133&lt;(--"18:30"),"+1",0)),""),"")</f>
        <v>0</v>
      </c>
      <c r="K133" s="17"/>
      <c r="L133" s="25" t="s">
        <v>446</v>
      </c>
      <c r="M133" s="25" t="str">
        <f>IFERROR(_xlfn.XLOOKUP($Q133,'Elenco Casse'!$D:$D,'Elenco Casse'!$E:$E),"")</f>
        <v/>
      </c>
      <c r="N133" s="25" t="str">
        <f>IFERROR(_xlfn.XLOOKUP($Q133,'Elenco Casse'!$D:$D,'Elenco Casse'!$F:$F),"")</f>
        <v/>
      </c>
      <c r="O133" s="286" t="s">
        <v>418</v>
      </c>
      <c r="P133" s="295" t="str">
        <f>IFERROR(_xlfn.XLOOKUP($Q133,'Elenco Casse'!$D:$D,'Elenco Casse'!$G:$G),"")</f>
        <v/>
      </c>
      <c r="Q133" s="355" t="s">
        <v>931</v>
      </c>
      <c r="R133" s="23" t="s">
        <v>420</v>
      </c>
      <c r="S133" s="25" t="s">
        <v>421</v>
      </c>
      <c r="T133" s="25" t="s">
        <v>599</v>
      </c>
      <c r="U133" s="23" t="str">
        <f>IF(ISNUMBER(SEARCH("Parcel",$T133)),"X","")</f>
        <v/>
      </c>
      <c r="V133" s="23" t="str">
        <f>IF(ISNUMBER(SEARCH("Freight",$T133)),"X","")</f>
        <v>X</v>
      </c>
      <c r="W133" s="26">
        <v>713</v>
      </c>
      <c r="X133" s="27">
        <v>5.4166666666666669E-2</v>
      </c>
      <c r="Y133" s="25" t="s">
        <v>932</v>
      </c>
      <c r="Z133" s="25"/>
      <c r="AA133" s="25" t="s">
        <v>487</v>
      </c>
      <c r="AB133" s="57">
        <v>1</v>
      </c>
      <c r="AC133" s="25"/>
      <c r="AD133" s="25"/>
      <c r="AE133" s="57"/>
      <c r="AF133" s="57"/>
      <c r="AG133" s="25"/>
      <c r="AH133" s="57"/>
      <c r="AI133" s="339"/>
      <c r="AJ133" s="339"/>
      <c r="AK133" s="297" t="str">
        <f>IF(X133&lt;&gt;"",CONCATENATE(IF(AA133&lt;&gt;"",CONCATENATE(Z133," ",AA133," ",BI133),""),IF(AD133&lt;&gt;"",CONCATENATE(","," ",AC133," ",AD133," ",BJ133),""),IF(AG133&lt;&gt;"",CONCATENATE(","," ",AF133," ",AG133," ",BK133),""),IF(AJ133&lt;&gt;"",CONCATENATE(","," ","DD"," ",BL133),"")," ",IF(AI133&lt;&gt;"",CONCATENATE(" - ",AI133," Bag"),"")),"")</f>
        <v xml:space="preserve"> FRT 14 </v>
      </c>
      <c r="AL133" s="287" t="s">
        <v>421</v>
      </c>
      <c r="AM133" s="287"/>
      <c r="AN133" s="287"/>
      <c r="AO133" s="287"/>
      <c r="AP133" s="370" t="str">
        <f>IFERROR(VLOOKUP(#REF!,Outlist!$A$5:$V$120,20,FALSE),"")</f>
        <v/>
      </c>
      <c r="AQ133" s="288" t="s">
        <v>933</v>
      </c>
      <c r="AS133" s="24"/>
      <c r="AT133" s="24">
        <v>0.99861111111111112</v>
      </c>
      <c r="AU133" s="27"/>
      <c r="AV133" s="27"/>
      <c r="AW133" s="20" t="s">
        <v>443</v>
      </c>
      <c r="AX133" s="20" t="str">
        <f>IFERROR(IF(Out_Table[[#This Row],[Cancellazione linea]]="Cancellata","yes",""),"")</f>
        <v/>
      </c>
      <c r="AY133" s="72" t="str">
        <f>IF(BA133="",BZ133,IF(AND(BA133&lt;(--"23:59:59"),BA133&gt;(--"15:00:00"),G133&lt;(--"14:00:00"),G133&gt;(--"00:00:01")),"",IF(BA133&gt;G133,BZ133,"")))</f>
        <v/>
      </c>
      <c r="AZ133" s="27"/>
      <c r="BA133" s="32">
        <v>0.94097222222222221</v>
      </c>
      <c r="BB133" s="72"/>
      <c r="BC133" s="72" t="str">
        <f>IFERROR(VLOOKUP(Out_Table[[#This Row],[Aggiornamento STATUS]],'INformazioni per calcoli'!$Y$70:$AA$76,2,FALSE),"")</f>
        <v/>
      </c>
      <c r="BD133" s="289"/>
      <c r="BE133" s="289"/>
      <c r="BF133" s="47" t="str">
        <f>LEFT($E133,3)</f>
        <v>MM1</v>
      </c>
      <c r="BG133" s="298" t="str">
        <f>IF(Out_Table[[#This Row],[Ora Uscita    (GH)]]&lt;&gt;"","x","")</f>
        <v>x</v>
      </c>
      <c r="BH133" s="299">
        <f>VLOOKUP($O133,'INformazioni per calcoli'!$Y$20:$AA$23,3,FALSE)</f>
        <v>14</v>
      </c>
      <c r="BI133" s="299">
        <f>MROUND(Out_Table[[#This Row],[Mtr. Trailer]]*AB133,0.5)</f>
        <v>14</v>
      </c>
      <c r="BJ133" s="299">
        <f>MROUND(Out_Table[[#This Row],[Mtr. Trailer]]*AE133,0.5)</f>
        <v>0</v>
      </c>
      <c r="BK133" s="299">
        <f>MROUND(Out_Table[[#This Row],[Mtr. Trailer]]*AH133,0.5)</f>
        <v>0</v>
      </c>
      <c r="BL133" s="300">
        <f>Out_Table[[#This Row],[Double Deck trailer N° bumpers]]</f>
        <v>0</v>
      </c>
      <c r="BM133" s="301"/>
      <c r="BN133" s="299" t="str">
        <f>B133</f>
        <v>ITD12854</v>
      </c>
      <c r="BO133" s="299" t="str">
        <f>E133</f>
        <v>MM1</v>
      </c>
      <c r="BP133" s="302">
        <f>IF(AND(G133&gt;(--"00:00:01"),G133&lt;(--"15:00:00")),IF(AND(X133&gt;(--"00:00:01"),X133&lt;(--"15:00:00")),G133-X133,G133+1-X133),G133-X133)</f>
        <v>0.16458333333333333</v>
      </c>
      <c r="BQ133" s="303">
        <f>AE133+AF133+AH133+AJ133</f>
        <v>0</v>
      </c>
      <c r="BR133" s="304" t="str">
        <f>IF(OR(BP133&lt;=(--"00:20:00"),BQ133&gt;=100%),"OK","Not OK")</f>
        <v>Not OK</v>
      </c>
      <c r="BS133" s="302">
        <f>IF(AND(G133&gt;(--"00:00:01"),G133&lt;(--"15:00:00")),IF(AND(AU133&gt;(--"00:00:01"),AU133&lt;(--"15:00:00")),G133-AU133,G133+1-AU133),G133-AU133)</f>
        <v>1.21875</v>
      </c>
      <c r="BT133" s="302">
        <f>IF(AND(AZ133&gt;(--"00:00:01"),AZ133&lt;(--"15:00:00")),IF(AND(AU133&gt;(--"00:00:01"),AU133&lt;(--"15:00:00")),AZ133-AU133,AZ133+1-AU133),AZ133-AU133)</f>
        <v>0</v>
      </c>
      <c r="BU133" s="302">
        <f>IF(AND(BA133&gt;(--"00:00:01"),BA133&lt;(--"15:00:00")),IF(AND(AZ133&gt;(--"00:00:01"),AZ133&lt;(--"15:00:00")),BA133-AZ133,BA133+1-AZ133),BA133-AZ133)</f>
        <v>0.94097222222222221</v>
      </c>
      <c r="BV133" s="299">
        <f>AV133</f>
        <v>0</v>
      </c>
      <c r="BW133" s="301"/>
      <c r="BX133" s="299" t="str">
        <f>IF(AV133="T Status",IF(AV133&lt;&gt;T133,"X",""),"")</f>
        <v/>
      </c>
      <c r="BY133" s="301"/>
      <c r="BZ133" s="299" t="str">
        <f>IF(X133&lt;&gt;"",IF(CC133="X","Driver Delay",IF(CA133="X","Paperwork Delay",IF(CB133="X","Late freight late sort",IF(CD133="X","Chiamare Control Room",IF(CE133="X","Chiamare Control Room",IF(CF133="X","Chiamare Control Room","")))))),"")</f>
        <v>Chiamare Control Room</v>
      </c>
      <c r="CA133" s="302" t="str">
        <f>IF(K133="",IF(IF(AND(G133&gt;(--"00:00:01"),G133&lt;(--"15:00:00")),IF(AND(AT133&gt;(--"08:00:00"),AT133&lt;(--"23:59:59")),G133+1-AT133,G133-AT133),G133-AT133)&gt;(--"00:20:00"),"","X"),"")</f>
        <v/>
      </c>
      <c r="CB133" s="299" t="str">
        <f>IF(K133="",IF(BP133&gt;=(--"00:20:00"),"","X"),"")</f>
        <v/>
      </c>
      <c r="CC133" s="299" t="str">
        <f>IF(OR(AV133="Autista non presente",AV133="Dati driver non presenti"),"X","")</f>
        <v/>
      </c>
      <c r="CD133" s="299" t="str">
        <f>IF(K133="",IF(AND(CC133="",BS133&lt;(--"00:20:00")),"X",""),"")</f>
        <v/>
      </c>
      <c r="CE133" s="299" t="str">
        <f>IF(K133="",IF(BT133&gt;(--"00:15:00"),"X",""),IF(AZ133&lt;&gt;"",IF(G133-AZ133&gt;(--"00:30:00"),"X",""),""))</f>
        <v/>
      </c>
      <c r="CF133" s="299" t="str">
        <f>IF(AND(CA133="",CB133="",CC133="",CD133="",CE133=""),"X","")</f>
        <v>X</v>
      </c>
      <c r="CG133" s="301"/>
      <c r="CH133" s="299" t="str">
        <f>IF(BT133&gt;(--"00:15:00"),"X","")</f>
        <v/>
      </c>
      <c r="CI133" s="302" t="str">
        <f>AY133</f>
        <v/>
      </c>
      <c r="CJ133" s="299" t="str">
        <f>IF(AND(CH133&lt;&gt;"",CI133&lt;&gt;"",LEFT(B133,3)="ITD"),AP133,"")</f>
        <v/>
      </c>
      <c r="CK133" s="305" t="str">
        <f>IF(CJ133&lt;&gt;"",BT133,"")</f>
        <v/>
      </c>
      <c r="CL133" s="301"/>
      <c r="CM133" s="305" t="str">
        <f>IFERROR(VLOOKUP(Q133,'Elenco Casse'!$D$4:$F$292,3,FALSE),"")</f>
        <v/>
      </c>
      <c r="CN133" s="301"/>
      <c r="CO133" s="305" t="str">
        <f>IFERROR(VLOOKUP(S133,'Elenco Casse'!$D$4:$F$292,3,FALSE),"")</f>
        <v/>
      </c>
      <c r="CP133" s="305" t="str">
        <f>IFERROR(IF(VLOOKUP($E133,Outlist!$A$5:$S$120,19,FALSE)&lt;&gt;0,"Y",""),"")</f>
        <v/>
      </c>
      <c r="CQ133" s="301"/>
      <c r="CR133" s="305" t="str">
        <f>CONCATENATE($B133,$E133,$G133)</f>
        <v>ITD12854MM10.21875</v>
      </c>
      <c r="CS133" s="301"/>
      <c r="CT133" s="305" t="e">
        <f>VLOOKUP(Out_Table[[#This Row],[Destination             ORANGE (From Planning)]],Outlist!$A$5:$W$120,22,FALSE)</f>
        <v>#N/A</v>
      </c>
    </row>
    <row r="134" spans="1:98" s="20" customFormat="1" ht="30.75">
      <c r="A134" s="305" t="str">
        <f>$CR134</f>
        <v>ITD12359MM10.1875</v>
      </c>
      <c r="B134" s="284" t="s">
        <v>934</v>
      </c>
      <c r="C134" s="290" t="str">
        <f>IFERROR(IF(LEFT(B134,3)='STAT 77'!$X$2,_xlfn.XLOOKUP(B134,'STAT 77'!C:C,'STAT 77'!B:B),_xlfn.XLOOKUP(B134,'STAT 77'!B:B,'STAT 77'!C:C)),"NON TROVATO")</f>
        <v>ITD31474</v>
      </c>
      <c r="D134" s="25" t="s">
        <v>455</v>
      </c>
      <c r="E134" s="290" t="s">
        <v>456</v>
      </c>
      <c r="F134" s="290" t="str">
        <f>IFERROR(VLOOKUP(E134,'Cambio O2P'!C:E,2,FALSE),"")</f>
        <v>QRGA</v>
      </c>
      <c r="G134" s="285">
        <v>0.1875</v>
      </c>
      <c r="H134" s="293" t="str">
        <f ca="1">IFERROR(IF(AND('INformazioni per calcoli'!$AB$3&lt;(--"14:30"),'INformazioni per calcoli'!$AB$3&gt;(--"10:00")),"",IF($B134="","",IF($X134&lt;&gt;"","Mezzo Chiuso",IF($W134="","Non al Carico",IF($G134-'INformazioni per calcoli'!$AB$5-'INformazioni per calcoli'!$AB$3+$J134&lt;0,"LFLS",IF($K134&lt;&gt;"","Safe Parking",IF($W134&lt;&gt;"",IF($E134="MXP",$G134-'INformazioni per calcoli'!$AB$6-'INformazioni per calcoli'!$AB$3+$J134,$G134-'INformazioni per calcoli'!$AB$5-'INformazioni per calcoli'!$AB$3+$J134),"Non al carico"))))))),"")</f>
        <v>Mezzo Chiuso</v>
      </c>
      <c r="I134" s="17" t="str">
        <f ca="1">IFERROR(IF($H134&lt;&gt;"",IF($H134="Safe Parking","",IF($W134&lt;&gt;"",IF(AND($U134="X",$V134="X"),$H134-(--"00:30"),""),IF($X134&lt;&gt;"","Mezzo Chiuso","Non al carico"))),""),"")</f>
        <v/>
      </c>
      <c r="J134" s="306">
        <f ca="1">IFERROR(IF($B134&lt;&gt;"",IF(AND('INformazioni per calcoli'!$AB$3&lt;(--"15:00"),'INformazioni per calcoli'!$AB$3&gt;(--"00:00")),0,IF($G134&lt;(--"18:30"),"+1",0)),""),"")</f>
        <v>0</v>
      </c>
      <c r="K134" s="17"/>
      <c r="L134" s="25" t="s">
        <v>430</v>
      </c>
      <c r="M134" s="25" t="str">
        <f>IFERROR(_xlfn.XLOOKUP($Q134,'Elenco Casse'!$D:$D,'Elenco Casse'!$E:$E),"")</f>
        <v>Trans Speedy S.R.L</v>
      </c>
      <c r="N134" s="25">
        <f>IFERROR(_xlfn.XLOOKUP($Q134,'Elenco Casse'!$D:$D,'Elenco Casse'!$F:$F),"")</f>
        <v>0</v>
      </c>
      <c r="O134" s="286" t="s">
        <v>418</v>
      </c>
      <c r="P134" s="295" t="str">
        <f>IFERROR(_xlfn.XLOOKUP($Q134,'Elenco Casse'!$D:$D,'Elenco Casse'!$G:$G),"")</f>
        <v>trailer 80 m3 2/3 axles</v>
      </c>
      <c r="Q134" s="355" t="s">
        <v>935</v>
      </c>
      <c r="R134" s="23" t="s">
        <v>420</v>
      </c>
      <c r="S134" s="25" t="s">
        <v>421</v>
      </c>
      <c r="T134" s="25" t="s">
        <v>599</v>
      </c>
      <c r="U134" s="23" t="str">
        <f>IF(ISNUMBER(SEARCH("Parcel",$T134)),"X","")</f>
        <v/>
      </c>
      <c r="V134" s="23" t="str">
        <f>IF(ISNUMBER(SEARCH("Freight",$T134)),"X","")</f>
        <v>X</v>
      </c>
      <c r="W134" s="26">
        <v>713</v>
      </c>
      <c r="X134" s="27">
        <v>0.88402777777777775</v>
      </c>
      <c r="Y134" s="25" t="s">
        <v>936</v>
      </c>
      <c r="Z134" s="25"/>
      <c r="AA134" s="25" t="s">
        <v>487</v>
      </c>
      <c r="AB134" s="57">
        <v>1</v>
      </c>
      <c r="AC134" s="25"/>
      <c r="AD134" s="25"/>
      <c r="AE134" s="57"/>
      <c r="AF134" s="57"/>
      <c r="AG134" s="25"/>
      <c r="AH134" s="57"/>
      <c r="AI134" s="339"/>
      <c r="AJ134" s="339"/>
      <c r="AK134" s="297" t="str">
        <f>IF(X134&lt;&gt;"",CONCATENATE(IF(AA134&lt;&gt;"",CONCATENATE(Z134," ",AA134," ",BI134),""),IF(AD134&lt;&gt;"",CONCATENATE(","," ",AC134," ",AD134," ",BJ134),""),IF(AG134&lt;&gt;"",CONCATENATE(","," ",AF134," ",AG134," ",BK134),""),IF(AJ134&lt;&gt;"",CONCATENATE(","," ","DD"," ",BL134),"")," ",IF(AI134&lt;&gt;"",CONCATENATE(" - ",AI134," Bag"),"")),"")</f>
        <v xml:space="preserve"> FRT 14 </v>
      </c>
      <c r="AL134" s="287" t="s">
        <v>421</v>
      </c>
      <c r="AM134" s="287"/>
      <c r="AN134" s="287"/>
      <c r="AO134" s="287"/>
      <c r="AP134" s="370" t="str">
        <f>IFERROR(VLOOKUP(#REF!,Outlist!$A$5:$V$120,20,FALSE),"")</f>
        <v/>
      </c>
      <c r="AQ134" s="288" t="s">
        <v>937</v>
      </c>
      <c r="AS134" s="24"/>
      <c r="AT134" s="24">
        <v>0.93055555555555558</v>
      </c>
      <c r="AU134" s="27">
        <v>0.93055555555555558</v>
      </c>
      <c r="AV134" s="27"/>
      <c r="AW134" s="20" t="s">
        <v>443</v>
      </c>
      <c r="AX134" s="20" t="str">
        <f>IFERROR(IF(Out_Table[[#This Row],[Cancellazione linea]]="Cancellata","yes",""),"")</f>
        <v/>
      </c>
      <c r="AY134" s="72" t="str">
        <f>IF(BA134="",BZ134,IF(AND(BA134&lt;(--"23:59:59"),BA134&gt;(--"15:00:00"),G134&lt;(--"14:00:00"),G134&gt;(--"00:00:01")),"",IF(BA134&gt;G134,BZ134,"")))</f>
        <v/>
      </c>
      <c r="AZ134" s="27">
        <v>0.93888888888888888</v>
      </c>
      <c r="BA134" s="32">
        <v>0.94374999999999998</v>
      </c>
      <c r="BB134" s="72"/>
      <c r="BC134" s="72" t="str">
        <f>IFERROR(VLOOKUP(Out_Table[[#This Row],[Aggiornamento STATUS]],'INformazioni per calcoli'!$Y$70:$AA$76,2,FALSE),"")</f>
        <v/>
      </c>
      <c r="BD134" s="289"/>
      <c r="BE134" s="289"/>
      <c r="BF134" s="47" t="str">
        <f>LEFT($E134,3)</f>
        <v>MM1</v>
      </c>
      <c r="BG134" s="298" t="str">
        <f>IF(Out_Table[[#This Row],[Ora Uscita    (GH)]]&lt;&gt;"","x","")</f>
        <v>x</v>
      </c>
      <c r="BH134" s="299">
        <f>VLOOKUP($O134,'INformazioni per calcoli'!$Y$20:$AA$23,3,FALSE)</f>
        <v>14</v>
      </c>
      <c r="BI134" s="299">
        <f>MROUND(Out_Table[[#This Row],[Mtr. Trailer]]*AB134,0.5)</f>
        <v>14</v>
      </c>
      <c r="BJ134" s="299">
        <f>MROUND(Out_Table[[#This Row],[Mtr. Trailer]]*AE134,0.5)</f>
        <v>0</v>
      </c>
      <c r="BK134" s="299">
        <f>MROUND(Out_Table[[#This Row],[Mtr. Trailer]]*AH134,0.5)</f>
        <v>0</v>
      </c>
      <c r="BL134" s="300">
        <f>Out_Table[[#This Row],[Double Deck trailer N° bumpers]]</f>
        <v>0</v>
      </c>
      <c r="BM134" s="301"/>
      <c r="BN134" s="299" t="str">
        <f>B134</f>
        <v>ITD12359</v>
      </c>
      <c r="BO134" s="299" t="str">
        <f>E134</f>
        <v>MM1</v>
      </c>
      <c r="BP134" s="302">
        <f>IF(AND(G134&gt;(--"00:00:01"),G134&lt;(--"15:00:00")),IF(AND(X134&gt;(--"00:00:01"),X134&lt;(--"15:00:00")),G134-X134,G134+1-X134),G134-X134)</f>
        <v>0.30347222222222225</v>
      </c>
      <c r="BQ134" s="303">
        <f>AE134+AF134+AH134+AJ134</f>
        <v>0</v>
      </c>
      <c r="BR134" s="304" t="str">
        <f>IF(OR(BP134&lt;=(--"00:20:00"),BQ134&gt;=100%),"OK","Not OK")</f>
        <v>Not OK</v>
      </c>
      <c r="BS134" s="302">
        <f>IF(AND(G134&gt;(--"00:00:01"),G134&lt;(--"15:00:00")),IF(AND(AU134&gt;(--"00:00:01"),AU134&lt;(--"15:00:00")),G134-AU134,G134+1-AU134),G134-AU134)</f>
        <v>0.25694444444444442</v>
      </c>
      <c r="BT134" s="302">
        <f>IF(AND(AZ134&gt;(--"00:00:01"),AZ134&lt;(--"15:00:00")),IF(AND(AU134&gt;(--"00:00:01"),AU134&lt;(--"15:00:00")),AZ134-AU134,AZ134+1-AU134),AZ134-AU134)</f>
        <v>8.3333333333333037E-3</v>
      </c>
      <c r="BU134" s="302">
        <f>IF(AND(BA134&gt;(--"00:00:01"),BA134&lt;(--"15:00:00")),IF(AND(AZ134&gt;(--"00:00:01"),AZ134&lt;(--"15:00:00")),BA134-AZ134,BA134+1-AZ134),BA134-AZ134)</f>
        <v>4.8611111111110938E-3</v>
      </c>
      <c r="BV134" s="299">
        <f>AV134</f>
        <v>0</v>
      </c>
      <c r="BW134" s="301"/>
      <c r="BX134" s="299" t="str">
        <f>IF(AV134="T Status",IF(AV134&lt;&gt;T134,"X",""),"")</f>
        <v/>
      </c>
      <c r="BY134" s="301"/>
      <c r="BZ134" s="299" t="str">
        <f>IF(X134&lt;&gt;"",IF(CC134="X","Driver Delay",IF(CA134="X","Paperwork Delay",IF(CB134="X","Late freight late sort",IF(CD134="X","Chiamare Control Room",IF(CE134="X","Chiamare Control Room",IF(CF134="X","Chiamare Control Room","")))))),"")</f>
        <v>Chiamare Control Room</v>
      </c>
      <c r="CA134" s="302" t="str">
        <f>IF(K134="",IF(IF(AND(G134&gt;(--"00:00:01"),G134&lt;(--"15:00:00")),IF(AND(AT134&gt;(--"08:00:00"),AT134&lt;(--"23:59:59")),G134+1-AT134,G134-AT134),G134-AT134)&gt;(--"00:20:00"),"","X"),"")</f>
        <v/>
      </c>
      <c r="CB134" s="299" t="str">
        <f>IF(K134="",IF(BP134&gt;=(--"00:20:00"),"","X"),"")</f>
        <v/>
      </c>
      <c r="CC134" s="299" t="str">
        <f>IF(OR(AV134="Autista non presente",AV134="Dati driver non presenti"),"X","")</f>
        <v/>
      </c>
      <c r="CD134" s="299" t="str">
        <f>IF(K134="",IF(AND(CC134="",BS134&lt;(--"00:20:00")),"X",""),"")</f>
        <v/>
      </c>
      <c r="CE134" s="299" t="str">
        <f>IF(K134="",IF(BT134&gt;(--"00:15:00"),"X",""),IF(AZ134&lt;&gt;"",IF(G134-AZ134&gt;(--"00:30:00"),"X",""),""))</f>
        <v/>
      </c>
      <c r="CF134" s="299" t="str">
        <f>IF(AND(CA134="",CB134="",CC134="",CD134="",CE134=""),"X","")</f>
        <v>X</v>
      </c>
      <c r="CG134" s="301"/>
      <c r="CH134" s="299" t="str">
        <f>IF(BT134&gt;(--"00:15:00"),"X","")</f>
        <v/>
      </c>
      <c r="CI134" s="302" t="str">
        <f>AY134</f>
        <v/>
      </c>
      <c r="CJ134" s="299" t="str">
        <f>IF(AND(CH134&lt;&gt;"",CI134&lt;&gt;"",LEFT(B134,3)="ITD"),AP134,"")</f>
        <v/>
      </c>
      <c r="CK134" s="305" t="str">
        <f>IF(CJ134&lt;&gt;"",BT134,"")</f>
        <v/>
      </c>
      <c r="CL134" s="301"/>
      <c r="CM134" s="305" t="str">
        <f>IFERROR(VLOOKUP(Q134,'Elenco Casse'!$D$4:$F$292,3,FALSE),"")</f>
        <v/>
      </c>
      <c r="CN134" s="301"/>
      <c r="CO134" s="305" t="str">
        <f>IFERROR(VLOOKUP(S134,'Elenco Casse'!$D$4:$F$292,3,FALSE),"")</f>
        <v/>
      </c>
      <c r="CP134" s="305" t="str">
        <f>IFERROR(IF(VLOOKUP($E134,Outlist!$A$5:$S$120,19,FALSE)&lt;&gt;0,"Y",""),"")</f>
        <v/>
      </c>
      <c r="CQ134" s="301"/>
      <c r="CR134" s="305" t="str">
        <f>CONCATENATE($B134,$E134,$G134)</f>
        <v>ITD12359MM10.1875</v>
      </c>
      <c r="CS134" s="301"/>
      <c r="CT134" s="305" t="e">
        <f>VLOOKUP(Out_Table[[#This Row],[Destination             ORANGE (From Planning)]],Outlist!$A$5:$W$120,22,FALSE)</f>
        <v>#N/A</v>
      </c>
    </row>
    <row r="135" spans="1:98" s="20" customFormat="1" ht="15">
      <c r="A135" s="305" t="str">
        <f>$CR135</f>
        <v>ITD12361MM10.25</v>
      </c>
      <c r="B135" s="284" t="s">
        <v>938</v>
      </c>
      <c r="C135" s="290" t="str">
        <f>IFERROR(IF(LEFT(B135,3)='STAT 77'!$X$2,_xlfn.XLOOKUP(B135,'STAT 77'!C:C,'STAT 77'!B:B),_xlfn.XLOOKUP(B135,'STAT 77'!B:B,'STAT 77'!C:C)),"NON TROVATO")</f>
        <v>ITD31478</v>
      </c>
      <c r="D135" s="25" t="s">
        <v>455</v>
      </c>
      <c r="E135" s="290" t="s">
        <v>456</v>
      </c>
      <c r="F135" s="290" t="str">
        <f>IFERROR(VLOOKUP(E135,'Cambio O2P'!C:E,2,FALSE),"")</f>
        <v>QRGA</v>
      </c>
      <c r="G135" s="285">
        <v>0.25</v>
      </c>
      <c r="H135" s="293">
        <f ca="1">IFERROR(IF(AND('INformazioni per calcoli'!$AB$3&lt;(--"14:30"),'INformazioni per calcoli'!$AB$3&gt;(--"10:00")),"",IF($B135="","",IF($X135&lt;&gt;"","Mezzo Chiuso",IF($W135="","Non al Carico",IF($G135-'INformazioni per calcoli'!$AB$5-'INformazioni per calcoli'!$AB$3+$J135&lt;0,"LFLS",IF($K135&lt;&gt;"","Safe Parking",IF($W135&lt;&gt;"",IF($E135="MXP",$G135-'INformazioni per calcoli'!$AB$6-'INformazioni per calcoli'!$AB$3+$J135,$G135-'INformazioni per calcoli'!$AB$5-'INformazioni per calcoli'!$AB$3+$J135),"Non al carico"))))))),"")</f>
        <v>9.0648148148148144E-2</v>
      </c>
      <c r="I135" s="17" t="str">
        <f ca="1">IFERROR(IF($H135&lt;&gt;"",IF($H135="Safe Parking","",IF($W135&lt;&gt;"",IF(AND($U135="X",$V135="X"),$H135-(--"00:30"),""),IF($X135&lt;&gt;"","Mezzo Chiuso","Non al carico"))),""),"")</f>
        <v/>
      </c>
      <c r="J135" s="306">
        <f ca="1">IFERROR(IF($B135&lt;&gt;"",IF(AND('INformazioni per calcoli'!$AB$3&lt;(--"15:00"),'INformazioni per calcoli'!$AB$3&gt;(--"00:00")),0,IF($G135&lt;(--"18:30"),"+1",0)),""),"")</f>
        <v>0</v>
      </c>
      <c r="K135" s="17"/>
      <c r="L135" s="25" t="s">
        <v>430</v>
      </c>
      <c r="M135" s="25" t="str">
        <f>IFERROR(_xlfn.XLOOKUP($Q135,'Elenco Casse'!$D:$D,'Elenco Casse'!$E:$E),"")</f>
        <v xml:space="preserve">TRANS SPEEDY </v>
      </c>
      <c r="N135" s="25">
        <f>IFERROR(_xlfn.XLOOKUP($Q135,'Elenco Casse'!$D:$D,'Elenco Casse'!$F:$F),"")</f>
        <v>0</v>
      </c>
      <c r="O135" s="286" t="s">
        <v>418</v>
      </c>
      <c r="P135" s="295" t="str">
        <f>IFERROR(_xlfn.XLOOKUP($Q135,'Elenco Casse'!$D:$D,'Elenco Casse'!$G:$G),"")</f>
        <v>trailer 80 m3 2/3 axles</v>
      </c>
      <c r="Q135" s="355" t="s">
        <v>939</v>
      </c>
      <c r="R135" s="23" t="s">
        <v>420</v>
      </c>
      <c r="S135" s="25" t="s">
        <v>421</v>
      </c>
      <c r="T135" s="25" t="s">
        <v>599</v>
      </c>
      <c r="U135" s="23" t="str">
        <f>IF(ISNUMBER(SEARCH("Parcel",$T135)),"X","")</f>
        <v/>
      </c>
      <c r="V135" s="23" t="str">
        <f>IF(ISNUMBER(SEARCH("Freight",$T135)),"X","")</f>
        <v>X</v>
      </c>
      <c r="W135" s="26">
        <v>713</v>
      </c>
      <c r="X135" s="27"/>
      <c r="Y135" s="25"/>
      <c r="Z135" s="25"/>
      <c r="AA135" s="25" t="s">
        <v>487</v>
      </c>
      <c r="AB135" s="57"/>
      <c r="AC135" s="25"/>
      <c r="AD135" s="25"/>
      <c r="AE135" s="57"/>
      <c r="AF135" s="57"/>
      <c r="AG135" s="25" t="s">
        <v>488</v>
      </c>
      <c r="AH135" s="57"/>
      <c r="AI135" s="339"/>
      <c r="AJ135" s="339"/>
      <c r="AK135" s="297" t="str">
        <f>IF(X135&lt;&gt;"",CONCATENATE(IF(AA135&lt;&gt;"",CONCATENATE(Z135," ",AA135," ",BI135),""),IF(AD135&lt;&gt;"",CONCATENATE(","," ",AC135," ",AD135," ",BJ135),""),IF(AG135&lt;&gt;"",CONCATENATE(","," ",AF135," ",AG135," ",BK135),""),IF(AJ135&lt;&gt;"",CONCATENATE(","," ","DD"," ",BL135),"")," ",IF(AI135&lt;&gt;"",CONCATENATE(" - ",AI135," Bag"),"")),"")</f>
        <v/>
      </c>
      <c r="AL135" s="287"/>
      <c r="AM135" s="287"/>
      <c r="AN135" s="287"/>
      <c r="AO135" s="287"/>
      <c r="AP135" s="370" t="str">
        <f>IFERROR(VLOOKUP(#REF!,Outlist!$A$5:$V$120,20,FALSE),"")</f>
        <v/>
      </c>
      <c r="AQ135" s="288" t="str">
        <f>IFERROR(IF(VLOOKUP($A135,#REF!,8,FALSE)&lt;&gt;"",VLOOKUP($A135,#REF!,8,FALSE),""),"")</f>
        <v/>
      </c>
      <c r="AS135" s="24"/>
      <c r="AT135" s="24">
        <v>6.3194444444444442E-2</v>
      </c>
      <c r="AU135" s="27"/>
      <c r="AV135" s="27"/>
      <c r="AX135" s="20" t="str">
        <f>IFERROR(IF(Out_Table[[#This Row],[Cancellazione linea]]="Cancellata","yes",""),"")</f>
        <v/>
      </c>
      <c r="AY135" s="72" t="str">
        <f>IF(BA135="",BZ135,IF(AND(BA135&lt;(--"23:59:59"),BA135&gt;(--"15:00:00"),G135&lt;(--"14:00:00"),G135&gt;(--"00:00:01")),"",IF(BA135&gt;G135,BZ135,"")))</f>
        <v/>
      </c>
      <c r="AZ135" s="27"/>
      <c r="BA135" s="32"/>
      <c r="BB135" s="72"/>
      <c r="BC135" s="72" t="str">
        <f>IFERROR(VLOOKUP(Out_Table[[#This Row],[Aggiornamento STATUS]],'INformazioni per calcoli'!$Y$70:$AA$76,2,FALSE),"")</f>
        <v/>
      </c>
      <c r="BD135" s="289"/>
      <c r="BE135" s="289"/>
      <c r="BF135" s="47" t="str">
        <f>LEFT($E135,3)</f>
        <v>MM1</v>
      </c>
      <c r="BG135" s="298" t="str">
        <f>IF(Out_Table[[#This Row],[Ora Uscita    (GH)]]&lt;&gt;"","x","")</f>
        <v/>
      </c>
      <c r="BH135" s="299">
        <f>VLOOKUP($O135,'INformazioni per calcoli'!$Y$20:$AA$23,3,FALSE)</f>
        <v>14</v>
      </c>
      <c r="BI135" s="299">
        <f>MROUND(Out_Table[[#This Row],[Mtr. Trailer]]*AB135,0.5)</f>
        <v>0</v>
      </c>
      <c r="BJ135" s="299">
        <f>MROUND(Out_Table[[#This Row],[Mtr. Trailer]]*AE135,0.5)</f>
        <v>0</v>
      </c>
      <c r="BK135" s="299">
        <f>MROUND(Out_Table[[#This Row],[Mtr. Trailer]]*AH135,0.5)</f>
        <v>0</v>
      </c>
      <c r="BL135" s="300">
        <f>Out_Table[[#This Row],[Double Deck trailer N° bumpers]]</f>
        <v>0</v>
      </c>
      <c r="BM135" s="301"/>
      <c r="BN135" s="299" t="str">
        <f>B135</f>
        <v>ITD12361</v>
      </c>
      <c r="BO135" s="299" t="str">
        <f>E135</f>
        <v>MM1</v>
      </c>
      <c r="BP135" s="302">
        <f>IF(AND(G135&gt;(--"00:00:01"),G135&lt;(--"15:00:00")),IF(AND(X135&gt;(--"00:00:01"),X135&lt;(--"15:00:00")),G135-X135,G135+1-X135),G135-X135)</f>
        <v>1.25</v>
      </c>
      <c r="BQ135" s="303">
        <f>AE135+AF135+AH135+AJ135</f>
        <v>0</v>
      </c>
      <c r="BR135" s="304" t="str">
        <f>IF(OR(BP135&lt;=(--"00:20:00"),BQ135&gt;=100%),"OK","Not OK")</f>
        <v>Not OK</v>
      </c>
      <c r="BS135" s="302">
        <f>IF(AND(G135&gt;(--"00:00:01"),G135&lt;(--"15:00:00")),IF(AND(AU135&gt;(--"00:00:01"),AU135&lt;(--"15:00:00")),G135-AU135,G135+1-AU135),G135-AU135)</f>
        <v>1.25</v>
      </c>
      <c r="BT135" s="302">
        <f>IF(AND(AZ135&gt;(--"00:00:01"),AZ135&lt;(--"15:00:00")),IF(AND(AU135&gt;(--"00:00:01"),AU135&lt;(--"15:00:00")),AZ135-AU135,AZ135+1-AU135),AZ135-AU135)</f>
        <v>0</v>
      </c>
      <c r="BU135" s="302">
        <f>IF(AND(BA135&gt;(--"00:00:01"),BA135&lt;(--"15:00:00")),IF(AND(AZ135&gt;(--"00:00:01"),AZ135&lt;(--"15:00:00")),BA135-AZ135,BA135+1-AZ135),BA135-AZ135)</f>
        <v>0</v>
      </c>
      <c r="BV135" s="299">
        <f>AV135</f>
        <v>0</v>
      </c>
      <c r="BW135" s="301"/>
      <c r="BX135" s="299" t="str">
        <f>IF(AV135="T Status",IF(AV135&lt;&gt;T135,"X",""),"")</f>
        <v/>
      </c>
      <c r="BY135" s="301"/>
      <c r="BZ135" s="299" t="str">
        <f>IF(X135&lt;&gt;"",IF(CC135="X","Driver Delay",IF(CA135="X","Paperwork Delay",IF(CB135="X","Late freight late sort",IF(CD135="X","Chiamare Control Room",IF(CE135="X","Chiamare Control Room",IF(CF135="X","Chiamare Control Room","")))))),"")</f>
        <v/>
      </c>
      <c r="CA135" s="302" t="str">
        <f>IF(K135="",IF(IF(AND(G135&gt;(--"00:00:01"),G135&lt;(--"15:00:00")),IF(AND(AT135&gt;(--"08:00:00"),AT135&lt;(--"23:59:59")),G135+1-AT135,G135-AT135),G135-AT135)&gt;(--"00:20:00"),"","X"),"")</f>
        <v/>
      </c>
      <c r="CB135" s="299" t="str">
        <f>IF(K135="",IF(BP135&gt;=(--"00:20:00"),"","X"),"")</f>
        <v/>
      </c>
      <c r="CC135" s="299" t="str">
        <f>IF(OR(AV135="Autista non presente",AV135="Dati driver non presenti"),"X","")</f>
        <v/>
      </c>
      <c r="CD135" s="299" t="str">
        <f>IF(K135="",IF(AND(CC135="",BS135&lt;(--"00:20:00")),"X",""),"")</f>
        <v/>
      </c>
      <c r="CE135" s="299" t="str">
        <f>IF(K135="",IF(BT135&gt;(--"00:15:00"),"X",""),IF(AZ135&lt;&gt;"",IF(G135-AZ135&gt;(--"00:30:00"),"X",""),""))</f>
        <v/>
      </c>
      <c r="CF135" s="299" t="str">
        <f>IF(AND(CA135="",CB135="",CC135="",CD135="",CE135=""),"X","")</f>
        <v>X</v>
      </c>
      <c r="CG135" s="301"/>
      <c r="CH135" s="299" t="str">
        <f>IF(BT135&gt;(--"00:15:00"),"X","")</f>
        <v/>
      </c>
      <c r="CI135" s="302" t="str">
        <f>AY135</f>
        <v/>
      </c>
      <c r="CJ135" s="299" t="str">
        <f>IF(AND(CH135&lt;&gt;"",CI135&lt;&gt;"",LEFT(B135,3)="ITD"),AP135,"")</f>
        <v/>
      </c>
      <c r="CK135" s="305" t="str">
        <f>IF(CJ135&lt;&gt;"",BT135,"")</f>
        <v/>
      </c>
      <c r="CL135" s="301"/>
      <c r="CM135" s="305" t="str">
        <f>IFERROR(VLOOKUP(Q135,'Elenco Casse'!$D$4:$F$292,3,FALSE),"")</f>
        <v/>
      </c>
      <c r="CN135" s="301"/>
      <c r="CO135" s="305" t="str">
        <f>IFERROR(VLOOKUP(S135,'Elenco Casse'!$D$4:$F$292,3,FALSE),"")</f>
        <v/>
      </c>
      <c r="CP135" s="305" t="str">
        <f>IFERROR(IF(VLOOKUP($E135,Outlist!$A$5:$S$120,19,FALSE)&lt;&gt;0,"Y",""),"")</f>
        <v/>
      </c>
      <c r="CQ135" s="301"/>
      <c r="CR135" s="305" t="str">
        <f>CONCATENATE($B135,$E135,$G135)</f>
        <v>ITD12361MM10.25</v>
      </c>
      <c r="CS135" s="301"/>
      <c r="CT135" s="305" t="e">
        <f>VLOOKUP(Out_Table[[#This Row],[Destination             ORANGE (From Planning)]],Outlist!$A$5:$W$120,22,FALSE)</f>
        <v>#N/A</v>
      </c>
    </row>
    <row r="136" spans="1:98" s="20" customFormat="1" ht="30.75">
      <c r="A136" s="305" t="str">
        <f>$CR136</f>
        <v>ITD12242PD20.00694444444444444</v>
      </c>
      <c r="B136" s="284" t="s">
        <v>940</v>
      </c>
      <c r="C136" s="290" t="str">
        <f>IFERROR(IF(LEFT(B136,3)='STAT 77'!$X$2,_xlfn.XLOOKUP(B136,'STAT 77'!C:C,'STAT 77'!B:B),_xlfn.XLOOKUP(B136,'STAT 77'!B:B,'STAT 77'!C:C)),"NON TROVATO")</f>
        <v>ITD31176</v>
      </c>
      <c r="D136" s="25" t="s">
        <v>941</v>
      </c>
      <c r="E136" s="290" t="s">
        <v>831</v>
      </c>
      <c r="F136" s="290" t="str">
        <f>IFERROR(VLOOKUP(E136,'Cambio O2P'!C:E,2,FALSE),"")</f>
        <v>ZMFH</v>
      </c>
      <c r="G136" s="285">
        <v>6.9444444444444441E-3</v>
      </c>
      <c r="H136" s="293" t="str">
        <f ca="1">IFERROR(IF(AND('INformazioni per calcoli'!$AB$3&lt;(--"14:30"),'INformazioni per calcoli'!$AB$3&gt;(--"10:00")),"",IF($B136="","",IF($X136&lt;&gt;"","Mezzo Chiuso",IF($W136="","Non al Carico",IF($G136-'INformazioni per calcoli'!$AB$5-'INformazioni per calcoli'!$AB$3+$J136&lt;0,"LFLS",IF($K136&lt;&gt;"","Safe Parking",IF($W136&lt;&gt;"",IF($E136="MXP",$G136-'INformazioni per calcoli'!$AB$6-'INformazioni per calcoli'!$AB$3+$J136,$G136-'INformazioni per calcoli'!$AB$5-'INformazioni per calcoli'!$AB$3+$J136),"Non al carico"))))))),"")</f>
        <v>Mezzo Chiuso</v>
      </c>
      <c r="I136" s="17" t="str">
        <f ca="1">IFERROR(IF($H136&lt;&gt;"",IF($H136="Safe Parking","",IF($W136&lt;&gt;"",IF(AND($U136="X",$V136="X"),$H136-(--"00:30"),""),IF($X136&lt;&gt;"","Mezzo Chiuso","Non al carico"))),""),"")</f>
        <v/>
      </c>
      <c r="J136" s="306">
        <f ca="1">IFERROR(IF($B136&lt;&gt;"",IF(AND('INformazioni per calcoli'!$AB$3&lt;(--"15:00"),'INformazioni per calcoli'!$AB$3&gt;(--"00:00")),0,IF($G136&lt;(--"18:30"),"+1",0)),""),"")</f>
        <v>0</v>
      </c>
      <c r="K136" s="27"/>
      <c r="L136" s="25" t="s">
        <v>451</v>
      </c>
      <c r="M136" s="25" t="str">
        <f>IFERROR(_xlfn.XLOOKUP($Q136,'Elenco Casse'!$D:$D,'Elenco Casse'!$E:$E),"")</f>
        <v>F.M. Trasporti S.R.L.</v>
      </c>
      <c r="N136" s="25">
        <f>IFERROR(_xlfn.XLOOKUP($Q136,'Elenco Casse'!$D:$D,'Elenco Casse'!$F:$F),"")</f>
        <v>0</v>
      </c>
      <c r="O136" s="286" t="s">
        <v>418</v>
      </c>
      <c r="P136" s="295" t="str">
        <f>IFERROR(_xlfn.XLOOKUP($Q136,'Elenco Casse'!$D:$D,'Elenco Casse'!$G:$G),"")</f>
        <v>trailer 80 m3 2/3 axes</v>
      </c>
      <c r="Q136" s="355" t="s">
        <v>942</v>
      </c>
      <c r="R136" s="23" t="s">
        <v>420</v>
      </c>
      <c r="S136" s="25" t="s">
        <v>421</v>
      </c>
      <c r="T136" s="25" t="s">
        <v>726</v>
      </c>
      <c r="U136" s="23" t="str">
        <f>IF(ISNUMBER(SEARCH("Parcel",$T136)),"X","")</f>
        <v/>
      </c>
      <c r="V136" s="23" t="str">
        <f>IF(ISNUMBER(SEARCH("Freight",$T136)),"X","")</f>
        <v>X</v>
      </c>
      <c r="W136" s="26">
        <v>714</v>
      </c>
      <c r="X136" s="27">
        <v>0.76180555555555551</v>
      </c>
      <c r="Y136" s="25" t="s">
        <v>943</v>
      </c>
      <c r="Z136" s="25"/>
      <c r="AA136" s="25" t="s">
        <v>487</v>
      </c>
      <c r="AB136" s="57">
        <v>1</v>
      </c>
      <c r="AC136" s="25"/>
      <c r="AD136" s="25"/>
      <c r="AE136" s="57"/>
      <c r="AF136" s="57"/>
      <c r="AG136" s="25"/>
      <c r="AH136" s="57"/>
      <c r="AI136" s="339"/>
      <c r="AJ136" s="339"/>
      <c r="AK136" s="297" t="str">
        <f>IF(X136&lt;&gt;"",CONCATENATE(IF(AA136&lt;&gt;"",CONCATENATE(Z136," ",AA136," ",BI136),""),IF(AD136&lt;&gt;"",CONCATENATE(","," ",AC136," ",AD136," ",BJ136),""),IF(AG136&lt;&gt;"",CONCATENATE(","," ",AF136," ",AG136," ",BK136),""),IF(AJ136&lt;&gt;"",CONCATENATE(","," ","DD"," ",BL136),"")," ",IF(AI136&lt;&gt;"",CONCATENATE(" - ",AI136," Bag"),"")),"")</f>
        <v xml:space="preserve"> FRT 14 </v>
      </c>
      <c r="AL136" s="287" t="s">
        <v>421</v>
      </c>
      <c r="AM136" s="287"/>
      <c r="AN136" s="287"/>
      <c r="AO136" s="287"/>
      <c r="AP136" s="370" t="str">
        <f>IFERROR(VLOOKUP($E133,Outlist!$A$5:$V$120,20,FALSE),"")</f>
        <v/>
      </c>
      <c r="AQ136" s="288" t="s">
        <v>944</v>
      </c>
      <c r="AS136" s="24"/>
      <c r="AT136" s="24">
        <v>0.44861111111111113</v>
      </c>
      <c r="AU136" s="27">
        <v>0.98333333333333328</v>
      </c>
      <c r="AV136" s="27"/>
      <c r="AW136" s="20" t="s">
        <v>443</v>
      </c>
      <c r="AX136" s="20" t="str">
        <f>IFERROR(IF(Out_Table[[#This Row],[Cancellazione linea]]="Cancellata","yes",""),"")</f>
        <v/>
      </c>
      <c r="AY136" s="72" t="str">
        <f>IF(BA136="",BZ136,IF(AND(BA136&lt;(--"23:59:59"),BA136&gt;(--"15:00:00"),G136&lt;(--"14:00:00"),G136&gt;(--"00:00:01")),"",IF(BA136&gt;G136,BZ136,"")))</f>
        <v/>
      </c>
      <c r="AZ136" s="27"/>
      <c r="BA136" s="32">
        <v>0.99305555555555558</v>
      </c>
      <c r="BB136" s="72"/>
      <c r="BC136" s="72" t="str">
        <f>IFERROR(VLOOKUP(Out_Table[[#This Row],[Aggiornamento STATUS]],'INformazioni per calcoli'!$Y$70:$AA$76,2,FALSE),"")</f>
        <v/>
      </c>
      <c r="BD136" s="289"/>
      <c r="BE136" s="289"/>
      <c r="BF136" s="47" t="str">
        <f>LEFT($E136,3)</f>
        <v>PD2</v>
      </c>
      <c r="BG136" s="298" t="str">
        <f>IF(Out_Table[[#This Row],[Ora Uscita    (GH)]]&lt;&gt;"","x","")</f>
        <v>x</v>
      </c>
      <c r="BH136" s="299">
        <f>VLOOKUP($O136,'INformazioni per calcoli'!$Y$20:$AA$23,3,FALSE)</f>
        <v>14</v>
      </c>
      <c r="BI136" s="299">
        <f>MROUND(Out_Table[[#This Row],[Mtr. Trailer]]*AB136,0.5)</f>
        <v>14</v>
      </c>
      <c r="BJ136" s="299">
        <f>MROUND(Out_Table[[#This Row],[Mtr. Trailer]]*AE136,0.5)</f>
        <v>0</v>
      </c>
      <c r="BK136" s="299">
        <f>MROUND(Out_Table[[#This Row],[Mtr. Trailer]]*AH136,0.5)</f>
        <v>0</v>
      </c>
      <c r="BL136" s="300">
        <f>Out_Table[[#This Row],[Double Deck trailer N° bumpers]]</f>
        <v>0</v>
      </c>
      <c r="BM136" s="301"/>
      <c r="BN136" s="299" t="str">
        <f>B136</f>
        <v>ITD12242</v>
      </c>
      <c r="BO136" s="299" t="str">
        <f>E136</f>
        <v>PD2</v>
      </c>
      <c r="BP136" s="302">
        <f>IF(AND(G136&gt;(--"00:00:01"),G136&lt;(--"15:00:00")),IF(AND(X136&gt;(--"00:00:01"),X136&lt;(--"15:00:00")),G136-X136,G136+1-X136),G136-X136)</f>
        <v>0.24513888888888891</v>
      </c>
      <c r="BQ136" s="303">
        <f>AE136+AF136+AH136+AJ136</f>
        <v>0</v>
      </c>
      <c r="BR136" s="304" t="str">
        <f>IF(OR(BP136&lt;=(--"00:20:00"),BQ136&gt;=100%),"OK","Not OK")</f>
        <v>Not OK</v>
      </c>
      <c r="BS136" s="302">
        <f>IF(AND(G136&gt;(--"00:00:01"),G136&lt;(--"15:00:00")),IF(AND(AU136&gt;(--"00:00:01"),AU136&lt;(--"15:00:00")),G136-AU136,G136+1-AU136),G136-AU136)</f>
        <v>2.3611111111111138E-2</v>
      </c>
      <c r="BT136" s="302">
        <f>IF(AND(AZ136&gt;(--"00:00:01"),AZ136&lt;(--"15:00:00")),IF(AND(AU136&gt;(--"00:00:01"),AU136&lt;(--"15:00:00")),AZ136-AU136,AZ136+1-AU136),AZ136-AU136)</f>
        <v>-0.98333333333333328</v>
      </c>
      <c r="BU136" s="302">
        <f>IF(AND(BA136&gt;(--"00:00:01"),BA136&lt;(--"15:00:00")),IF(AND(AZ136&gt;(--"00:00:01"),AZ136&lt;(--"15:00:00")),BA136-AZ136,BA136+1-AZ136),BA136-AZ136)</f>
        <v>0.99305555555555558</v>
      </c>
      <c r="BV136" s="299">
        <f>AV136</f>
        <v>0</v>
      </c>
      <c r="BW136" s="301"/>
      <c r="BX136" s="299" t="str">
        <f>IF(AV136="T Status",IF(AV136&lt;&gt;T136,"X",""),"")</f>
        <v/>
      </c>
      <c r="BY136" s="301"/>
      <c r="BZ136" s="299" t="str">
        <f>IF(X136&lt;&gt;"",IF(CC136="X","Driver Delay",IF(CA136="X","Paperwork Delay",IF(CB136="X","Late freight late sort",IF(CD136="X","Chiamare Control Room",IF(CE136="X","Chiamare Control Room",IF(CF136="X","Chiamare Control Room","")))))),"")</f>
        <v>Chiamare Control Room</v>
      </c>
      <c r="CA136" s="302" t="str">
        <f>IF(K136="",IF(IF(AND(G136&gt;(--"00:00:01"),G136&lt;(--"15:00:00")),IF(AND(AT136&gt;(--"08:00:00"),AT136&lt;(--"23:59:59")),G136+1-AT136,G136-AT136),G136-AT136)&gt;(--"00:20:00"),"","X"),"")</f>
        <v/>
      </c>
      <c r="CB136" s="299" t="str">
        <f>IF(K136="",IF(BP136&gt;=(--"00:20:00"),"","X"),"")</f>
        <v/>
      </c>
      <c r="CC136" s="299" t="str">
        <f>IF(OR(AV136="Autista non presente",AV136="Dati driver non presenti"),"X","")</f>
        <v/>
      </c>
      <c r="CD136" s="299" t="str">
        <f>IF(K136="",IF(AND(CC136="",BS136&lt;(--"00:20:00")),"X",""),"")</f>
        <v/>
      </c>
      <c r="CE136" s="299" t="str">
        <f>IF(K136="",IF(BT136&gt;(--"00:15:00"),"X",""),IF(AZ136&lt;&gt;"",IF(G136-AZ136&gt;(--"00:30:00"),"X",""),""))</f>
        <v/>
      </c>
      <c r="CF136" s="299" t="str">
        <f>IF(AND(CA136="",CB136="",CC136="",CD136="",CE136=""),"X","")</f>
        <v>X</v>
      </c>
      <c r="CG136" s="301"/>
      <c r="CH136" s="299" t="str">
        <f>IF(BT136&gt;(--"00:15:00"),"X","")</f>
        <v/>
      </c>
      <c r="CI136" s="302" t="str">
        <f>AY136</f>
        <v/>
      </c>
      <c r="CJ136" s="299" t="str">
        <f>IF(AND(CH136&lt;&gt;"",CI136&lt;&gt;"",LEFT(B136,3)="ITD"),AP136,"")</f>
        <v/>
      </c>
      <c r="CK136" s="305" t="str">
        <f>IF(CJ136&lt;&gt;"",BT136,"")</f>
        <v/>
      </c>
      <c r="CL136" s="301"/>
      <c r="CM136" s="305" t="str">
        <f>IFERROR(VLOOKUP(Q136,'Elenco Casse'!$D$4:$F$292,3,FALSE),"")</f>
        <v/>
      </c>
      <c r="CN136" s="301"/>
      <c r="CO136" s="305" t="str">
        <f>IFERROR(VLOOKUP(S136,'Elenco Casse'!$D$4:$F$292,3,FALSE),"")</f>
        <v/>
      </c>
      <c r="CP136" s="305" t="str">
        <f>IFERROR(IF(VLOOKUP($E136,Outlist!$A$5:$S$120,19,FALSE)&lt;&gt;0,"Y",""),"")</f>
        <v/>
      </c>
      <c r="CQ136" s="301"/>
      <c r="CR136" s="305" t="str">
        <f>CONCATENATE($B136,$E136,$G136)</f>
        <v>ITD12242PD20.00694444444444444</v>
      </c>
      <c r="CS136" s="301"/>
      <c r="CT136" s="305" t="e">
        <f>VLOOKUP(Out_Table[[#This Row],[Destination             ORANGE (From Planning)]],Outlist!$A$5:$W$120,22,FALSE)</f>
        <v>#N/A</v>
      </c>
    </row>
    <row r="137" spans="1:98" s="20" customFormat="1" ht="30.75">
      <c r="A137" s="305" t="str">
        <f>$CR137</f>
        <v>ITD12310PD20.8125</v>
      </c>
      <c r="B137" s="284" t="s">
        <v>945</v>
      </c>
      <c r="C137" s="290" t="str">
        <f>IFERROR(IF(LEFT(B137,3)='STAT 77'!$X$2,_xlfn.XLOOKUP(B137,'STAT 77'!C:C,'STAT 77'!B:B),_xlfn.XLOOKUP(B137,'STAT 77'!B:B,'STAT 77'!C:C)),"NON TROVATO")</f>
        <v>ITD31356</v>
      </c>
      <c r="D137" s="25" t="s">
        <v>946</v>
      </c>
      <c r="E137" s="290" t="s">
        <v>831</v>
      </c>
      <c r="F137" s="290" t="str">
        <f>IFERROR(VLOOKUP(E137,'Cambio O2P'!C:E,2,FALSE),"")</f>
        <v>ZMFH</v>
      </c>
      <c r="G137" s="285">
        <v>0.8125</v>
      </c>
      <c r="H137" s="293" t="str">
        <f ca="1">IFERROR(IF(AND('INformazioni per calcoli'!$AB$3&lt;(--"14:30"),'INformazioni per calcoli'!$AB$3&gt;(--"10:00")),"",IF($B137="","",IF($X137&lt;&gt;"","Mezzo Chiuso",IF($W137="","Non al Carico",IF($G137-'INformazioni per calcoli'!$AB$5-'INformazioni per calcoli'!$AB$3+$J137&lt;0,"LFLS",IF($K137&lt;&gt;"","Safe Parking",IF($W137&lt;&gt;"",IF($E137="MXP",$G137-'INformazioni per calcoli'!$AB$6-'INformazioni per calcoli'!$AB$3+$J137,$G137-'INformazioni per calcoli'!$AB$5-'INformazioni per calcoli'!$AB$3+$J137),"Non al carico"))))))),"")</f>
        <v>Mezzo Chiuso</v>
      </c>
      <c r="I137" s="17" t="str">
        <f ca="1">IFERROR(IF($H137&lt;&gt;"",IF($H137="Safe Parking","",IF($W137&lt;&gt;"",IF(AND($U137="X",$V137="X"),$H137-(--"00:30"),""),IF($X137&lt;&gt;"","Mezzo Chiuso","Non al carico"))),""),"")</f>
        <v/>
      </c>
      <c r="J137" s="306">
        <f ca="1">IFERROR(IF($B137&lt;&gt;"",IF(AND('INformazioni per calcoli'!$AB$3&lt;(--"15:00"),'INformazioni per calcoli'!$AB$3&gt;(--"00:00")),0,IF($G137&lt;(--"18:30"),"+1",0)),""),"")</f>
        <v>0</v>
      </c>
      <c r="K137" s="17"/>
      <c r="L137" s="25" t="s">
        <v>451</v>
      </c>
      <c r="M137" s="25" t="str">
        <f>IFERROR(_xlfn.XLOOKUP($Q137,'Elenco Casse'!$D:$D,'Elenco Casse'!$E:$E),"")</f>
        <v>F.M. Trasporti S.R.L.</v>
      </c>
      <c r="N137" s="25">
        <f>IFERROR(_xlfn.XLOOKUP($Q137,'Elenco Casse'!$D:$D,'Elenco Casse'!$F:$F),"")</f>
        <v>0</v>
      </c>
      <c r="O137" s="286" t="s">
        <v>418</v>
      </c>
      <c r="P137" s="295" t="str">
        <f>IFERROR(_xlfn.XLOOKUP($Q137,'Elenco Casse'!$D:$D,'Elenco Casse'!$G:$G),"")</f>
        <v>trailer 80 m3 2/3 axes</v>
      </c>
      <c r="Q137" s="355" t="s">
        <v>947</v>
      </c>
      <c r="R137" s="23" t="s">
        <v>420</v>
      </c>
      <c r="S137" s="25" t="s">
        <v>421</v>
      </c>
      <c r="T137" s="25" t="s">
        <v>726</v>
      </c>
      <c r="U137" s="23" t="str">
        <f>IF(ISNUMBER(SEARCH("Parcel",$T137)),"X","")</f>
        <v/>
      </c>
      <c r="V137" s="23" t="str">
        <f>IF(ISNUMBER(SEARCH("Freight",$T137)),"X","")</f>
        <v>X</v>
      </c>
      <c r="W137" s="26">
        <v>714</v>
      </c>
      <c r="X137" s="27">
        <v>9.6527777777777782E-2</v>
      </c>
      <c r="Y137" s="25" t="s">
        <v>716</v>
      </c>
      <c r="Z137" s="25"/>
      <c r="AA137" s="25" t="s">
        <v>487</v>
      </c>
      <c r="AB137" s="57">
        <v>1</v>
      </c>
      <c r="AC137" s="25"/>
      <c r="AD137" s="25"/>
      <c r="AE137" s="57"/>
      <c r="AF137" s="57"/>
      <c r="AG137" s="25"/>
      <c r="AH137" s="57"/>
      <c r="AI137" s="339"/>
      <c r="AJ137" s="339"/>
      <c r="AK137" s="297" t="str">
        <f>IF(X137&lt;&gt;"",CONCATENATE(IF(AA137&lt;&gt;"",CONCATENATE(Z137," ",AA137," ",BI137),""),IF(AD137&lt;&gt;"",CONCATENATE(","," ",AC137," ",AD137," ",BJ137),""),IF(AG137&lt;&gt;"",CONCATENATE(","," ",AF137," ",AG137," ",BK137),""),IF(AJ137&lt;&gt;"",CONCATENATE(","," ","DD"," ",BL137),"")," ",IF(AI137&lt;&gt;"",CONCATENATE(" - ",AI137," Bag"),"")),"")</f>
        <v xml:space="preserve"> FRT 14 </v>
      </c>
      <c r="AL137" s="287" t="s">
        <v>421</v>
      </c>
      <c r="AM137" s="287"/>
      <c r="AN137" s="287"/>
      <c r="AO137" s="287"/>
      <c r="AP137" s="370" t="str">
        <f>IFERROR(VLOOKUP($E134,Outlist!$A$5:$V$120,20,FALSE),"")</f>
        <v/>
      </c>
      <c r="AQ137" s="288" t="s">
        <v>948</v>
      </c>
      <c r="AS137" s="24"/>
      <c r="AT137" s="24">
        <v>0.45069444444444445</v>
      </c>
      <c r="AU137" s="27">
        <v>0.74305555555555558</v>
      </c>
      <c r="AV137" s="27"/>
      <c r="AW137" s="20" t="s">
        <v>443</v>
      </c>
      <c r="AX137" s="20" t="str">
        <f>IFERROR(IF(Out_Table[[#This Row],[Cancellazione linea]]="Cancellata","yes",""),"")</f>
        <v/>
      </c>
      <c r="AY137" s="72" t="str">
        <f>IF(BA137="",BZ137,IF(AND(BA137&lt;(--"23:59:59"),BA137&gt;(--"15:00:00"),G137&lt;(--"14:00:00"),G137&gt;(--"00:00:01")),"",IF(BA137&gt;G137,BZ137,"")))</f>
        <v/>
      </c>
      <c r="AZ137" s="27">
        <v>0.74861111111111112</v>
      </c>
      <c r="BA137" s="32">
        <v>0.75416666666666665</v>
      </c>
      <c r="BB137" s="72"/>
      <c r="BC137" s="72" t="str">
        <f>IFERROR(VLOOKUP(Out_Table[[#This Row],[Aggiornamento STATUS]],'INformazioni per calcoli'!$Y$70:$AA$76,2,FALSE),"")</f>
        <v/>
      </c>
      <c r="BD137" s="289"/>
      <c r="BE137" s="289"/>
      <c r="BF137" s="47" t="str">
        <f>LEFT($E137,3)</f>
        <v>PD2</v>
      </c>
      <c r="BG137" s="298" t="str">
        <f>IF(Out_Table[[#This Row],[Ora Uscita    (GH)]]&lt;&gt;"","x","")</f>
        <v>x</v>
      </c>
      <c r="BH137" s="299">
        <f>VLOOKUP($O137,'INformazioni per calcoli'!$Y$20:$AA$23,3,FALSE)</f>
        <v>14</v>
      </c>
      <c r="BI137" s="299">
        <f>MROUND(Out_Table[[#This Row],[Mtr. Trailer]]*AB137,0.5)</f>
        <v>14</v>
      </c>
      <c r="BJ137" s="299">
        <f>MROUND(Out_Table[[#This Row],[Mtr. Trailer]]*AE137,0.5)</f>
        <v>0</v>
      </c>
      <c r="BK137" s="299">
        <f>MROUND(Out_Table[[#This Row],[Mtr. Trailer]]*AH137,0.5)</f>
        <v>0</v>
      </c>
      <c r="BL137" s="300">
        <f>Out_Table[[#This Row],[Double Deck trailer N° bumpers]]</f>
        <v>0</v>
      </c>
      <c r="BM137" s="301"/>
      <c r="BN137" s="299" t="str">
        <f>B137</f>
        <v>ITD12310</v>
      </c>
      <c r="BO137" s="299" t="str">
        <f>E137</f>
        <v>PD2</v>
      </c>
      <c r="BP137" s="302">
        <f>IF(AND(G137&gt;(--"00:00:01"),G137&lt;(--"15:00:00")),IF(AND(X137&gt;(--"00:00:01"),X137&lt;(--"15:00:00")),G137-X137,G137+1-X137),G137-X137)</f>
        <v>0.71597222222222223</v>
      </c>
      <c r="BQ137" s="303">
        <f>AE137+AF137+AH137+AJ137</f>
        <v>0</v>
      </c>
      <c r="BR137" s="304" t="str">
        <f>IF(OR(BP137&lt;=(--"00:20:00"),BQ137&gt;=100%),"OK","Not OK")</f>
        <v>Not OK</v>
      </c>
      <c r="BS137" s="302">
        <f>IF(AND(G137&gt;(--"00:00:01"),G137&lt;(--"15:00:00")),IF(AND(AU137&gt;(--"00:00:01"),AU137&lt;(--"15:00:00")),G137-AU137,G137+1-AU137),G137-AU137)</f>
        <v>6.944444444444442E-2</v>
      </c>
      <c r="BT137" s="302">
        <f>IF(AND(AZ137&gt;(--"00:00:01"),AZ137&lt;(--"15:00:00")),IF(AND(AU137&gt;(--"00:00:01"),AU137&lt;(--"15:00:00")),AZ137-AU137,AZ137+1-AU137),AZ137-AU137)</f>
        <v>5.5555555555555358E-3</v>
      </c>
      <c r="BU137" s="302">
        <f>IF(AND(BA137&gt;(--"00:00:01"),BA137&lt;(--"15:00:00")),IF(AND(AZ137&gt;(--"00:00:01"),AZ137&lt;(--"15:00:00")),BA137-AZ137,BA137+1-AZ137),BA137-AZ137)</f>
        <v>5.5555555555555358E-3</v>
      </c>
      <c r="BV137" s="299">
        <f>AV137</f>
        <v>0</v>
      </c>
      <c r="BW137" s="301"/>
      <c r="BX137" s="299" t="str">
        <f>IF(AV137="T Status",IF(AV137&lt;&gt;T137,"X",""),"")</f>
        <v/>
      </c>
      <c r="BY137" s="301"/>
      <c r="BZ137" s="299" t="str">
        <f>IF(X137&lt;&gt;"",IF(CC137="X","Driver Delay",IF(CA137="X","Paperwork Delay",IF(CB137="X","Late freight late sort",IF(CD137="X","Chiamare Control Room",IF(CE137="X","Chiamare Control Room",IF(CF137="X","Chiamare Control Room","")))))),"")</f>
        <v>Chiamare Control Room</v>
      </c>
      <c r="CA137" s="302" t="str">
        <f>IF(K137="",IF(IF(AND(G137&gt;(--"00:00:01"),G137&lt;(--"15:00:00")),IF(AND(AT137&gt;(--"08:00:00"),AT137&lt;(--"23:59:59")),G137+1-AT137,G137-AT137),G137-AT137)&gt;(--"00:20:00"),"","X"),"")</f>
        <v/>
      </c>
      <c r="CB137" s="299" t="str">
        <f>IF(K137="",IF(BP137&gt;=(--"00:20:00"),"","X"),"")</f>
        <v/>
      </c>
      <c r="CC137" s="299" t="str">
        <f>IF(OR(AV137="Autista non presente",AV137="Dati driver non presenti"),"X","")</f>
        <v/>
      </c>
      <c r="CD137" s="299" t="str">
        <f>IF(K137="",IF(AND(CC137="",BS137&lt;(--"00:20:00")),"X",""),"")</f>
        <v/>
      </c>
      <c r="CE137" s="299" t="str">
        <f>IF(K137="",IF(BT137&gt;(--"00:15:00"),"X",""),IF(AZ137&lt;&gt;"",IF(G137-AZ137&gt;(--"00:30:00"),"X",""),""))</f>
        <v/>
      </c>
      <c r="CF137" s="299" t="str">
        <f>IF(AND(CA137="",CB137="",CC137="",CD137="",CE137=""),"X","")</f>
        <v>X</v>
      </c>
      <c r="CG137" s="301"/>
      <c r="CH137" s="299" t="str">
        <f>IF(BT137&gt;(--"00:15:00"),"X","")</f>
        <v/>
      </c>
      <c r="CI137" s="302" t="str">
        <f>AY137</f>
        <v/>
      </c>
      <c r="CJ137" s="299" t="str">
        <f>IF(AND(CH137&lt;&gt;"",CI137&lt;&gt;"",LEFT(B137,3)="ITD"),AP137,"")</f>
        <v/>
      </c>
      <c r="CK137" s="305" t="str">
        <f>IF(CJ137&lt;&gt;"",BT137,"")</f>
        <v/>
      </c>
      <c r="CL137" s="301"/>
      <c r="CM137" s="305" t="str">
        <f>IFERROR(VLOOKUP(Q137,'Elenco Casse'!$D$4:$F$292,3,FALSE),"")</f>
        <v/>
      </c>
      <c r="CN137" s="301"/>
      <c r="CO137" s="305" t="str">
        <f>IFERROR(VLOOKUP(S137,'Elenco Casse'!$D$4:$F$292,3,FALSE),"")</f>
        <v/>
      </c>
      <c r="CP137" s="305" t="str">
        <f>IFERROR(IF(VLOOKUP($E137,Outlist!$A$5:$S$120,19,FALSE)&lt;&gt;0,"Y",""),"")</f>
        <v/>
      </c>
      <c r="CQ137" s="301"/>
      <c r="CR137" s="305" t="str">
        <f>CONCATENATE($B137,$E137,$G137)</f>
        <v>ITD12310PD20.8125</v>
      </c>
      <c r="CS137" s="301"/>
      <c r="CT137" s="305" t="e">
        <f>VLOOKUP(Out_Table[[#This Row],[Destination             ORANGE (From Planning)]],Outlist!$A$5:$W$120,22,FALSE)</f>
        <v>#N/A</v>
      </c>
    </row>
    <row r="138" spans="1:98" s="20" customFormat="1" ht="30.75">
      <c r="A138" s="305" t="str">
        <f>$CR138</f>
        <v>ITD12245PD20.958333333333333</v>
      </c>
      <c r="B138" s="284" t="s">
        <v>949</v>
      </c>
      <c r="C138" s="290" t="str">
        <f>IFERROR(IF(LEFT(B138,3)='STAT 77'!$X$2,_xlfn.XLOOKUP(B138,'STAT 77'!C:C,'STAT 77'!B:B),_xlfn.XLOOKUP(B138,'STAT 77'!B:B,'STAT 77'!C:C)),"NON TROVATO")</f>
        <v>ITD32679</v>
      </c>
      <c r="D138" s="25" t="s">
        <v>950</v>
      </c>
      <c r="E138" s="290" t="s">
        <v>831</v>
      </c>
      <c r="F138" s="290" t="str">
        <f>IFERROR(VLOOKUP(E138,'Cambio O2P'!C:E,2,FALSE),"")</f>
        <v>ZMFH</v>
      </c>
      <c r="G138" s="285">
        <v>0.95833333333333337</v>
      </c>
      <c r="H138" s="293" t="str">
        <f ca="1">IFERROR(IF(AND('INformazioni per calcoli'!$AB$3&lt;(--"14:30"),'INformazioni per calcoli'!$AB$3&gt;(--"10:00")),"",IF($B138="","",IF($X138&lt;&gt;"","Mezzo Chiuso",IF($W138="","Non al Carico",IF($G138-'INformazioni per calcoli'!$AB$5-'INformazioni per calcoli'!$AB$3+$J138&lt;0,"LFLS",IF($K138&lt;&gt;"","Safe Parking",IF($W138&lt;&gt;"",IF($E138="MXP",$G138-'INformazioni per calcoli'!$AB$6-'INformazioni per calcoli'!$AB$3+$J138,$G138-'INformazioni per calcoli'!$AB$5-'INformazioni per calcoli'!$AB$3+$J138),"Non al carico"))))))),"")</f>
        <v>Mezzo Chiuso</v>
      </c>
      <c r="I138" s="17"/>
      <c r="J138" s="306">
        <f ca="1">IFERROR(IF($B138&lt;&gt;"",IF(AND('INformazioni per calcoli'!$AB$3&lt;(--"15:00"),'INformazioni per calcoli'!$AB$3&gt;(--"00:00")),0,IF($G138&lt;(--"18:30"),"+1",0)),""),"")</f>
        <v>0</v>
      </c>
      <c r="K138" s="17"/>
      <c r="L138" s="25" t="s">
        <v>752</v>
      </c>
      <c r="M138" s="25" t="str">
        <f>IFERROR(_xlfn.XLOOKUP($Q138,'Elenco Casse'!$D:$D,'Elenco Casse'!$E:$E),"")</f>
        <v>T&amp;ti Cargo Line S.R.L.</v>
      </c>
      <c r="N138" s="25">
        <f>IFERROR(_xlfn.XLOOKUP($Q138,'Elenco Casse'!$D:$D,'Elenco Casse'!$F:$F),"")</f>
        <v>0</v>
      </c>
      <c r="O138" s="286" t="s">
        <v>418</v>
      </c>
      <c r="P138" s="295" t="str">
        <f>IFERROR(_xlfn.XLOOKUP($Q138,'Elenco Casse'!$D:$D,'Elenco Casse'!$G:$G),"")</f>
        <v>trailer 80 m3 2/3 axes</v>
      </c>
      <c r="Q138" s="355" t="s">
        <v>951</v>
      </c>
      <c r="R138" s="23" t="s">
        <v>420</v>
      </c>
      <c r="S138" s="25" t="s">
        <v>421</v>
      </c>
      <c r="T138" s="25" t="s">
        <v>460</v>
      </c>
      <c r="U138" s="23" t="str">
        <f>IF(ISNUMBER(SEARCH("Parcel",$T138)),"X","")</f>
        <v>X</v>
      </c>
      <c r="V138" s="23" t="s">
        <v>61</v>
      </c>
      <c r="W138" s="26">
        <v>714</v>
      </c>
      <c r="X138" s="27">
        <v>0.9291666666666667</v>
      </c>
      <c r="Y138" s="25" t="str">
        <f>IF(Out_Table[[#This Row],[DOC Del. hr. (RTH)]]&lt;&gt;"","XXX","")</f>
        <v>XXX</v>
      </c>
      <c r="Z138" s="25"/>
      <c r="AA138" s="25" t="s">
        <v>40</v>
      </c>
      <c r="AB138" s="57">
        <v>0.3</v>
      </c>
      <c r="AC138" s="25"/>
      <c r="AD138" s="25" t="s">
        <v>487</v>
      </c>
      <c r="AE138" s="57">
        <v>0.7</v>
      </c>
      <c r="AF138" s="57"/>
      <c r="AG138" s="25" t="s">
        <v>488</v>
      </c>
      <c r="AH138" s="57"/>
      <c r="AI138" s="339">
        <v>9</v>
      </c>
      <c r="AJ138" s="339"/>
      <c r="AK138" s="297" t="str">
        <f>IF(X138&lt;&gt;"",CONCATENATE(IF(AA138&lt;&gt;"",CONCATENATE(Z138," ",AA138," ",BI138),""),IF(AD138&lt;&gt;"",CONCATENATE(","," ",AC138," ",AD138," ",BJ138),""),IF(AG138&lt;&gt;"",CONCATENATE(","," ",AF138," ",AG138," ",BK138),""),IF(AJ138&lt;&gt;"",CONCATENATE(","," ","DD"," ",BL138),"")," ",IF(AI138&lt;&gt;"",CONCATENATE(" - ",AI138," Bag"),"")),"")</f>
        <v xml:space="preserve"> LL 4,  FRT 10,  DG 0  - 9 Bag</v>
      </c>
      <c r="AL138" s="287" t="s">
        <v>421</v>
      </c>
      <c r="AM138" s="287"/>
      <c r="AN138" s="287"/>
      <c r="AO138" s="287"/>
      <c r="AP138" s="370" t="str">
        <f>IFERROR(VLOOKUP($E135,Outlist!$A$5:$V$120,20,FALSE),"")</f>
        <v/>
      </c>
      <c r="AQ138" s="431" t="s">
        <v>952</v>
      </c>
      <c r="AS138" s="24"/>
      <c r="AT138" s="24">
        <v>0.80486111111111114</v>
      </c>
      <c r="AU138" s="27">
        <v>0.93263888888888891</v>
      </c>
      <c r="AV138" s="27"/>
      <c r="AW138" s="20" t="s">
        <v>443</v>
      </c>
      <c r="AX138" s="20" t="str">
        <f>IFERROR(IF(Out_Table[[#This Row],[Cancellazione linea]]="Cancellata","yes",""),"")</f>
        <v/>
      </c>
      <c r="AY138" s="72" t="str">
        <f>IF(BA138="",BZ138,IF(AND(BA138&lt;(--"23:59:59"),BA138&gt;(--"15:00:00"),G138&lt;(--"14:00:00"),G138&gt;(--"00:00:01")),"",IF(BA138&gt;G138,BZ138,"")))</f>
        <v/>
      </c>
      <c r="AZ138" s="27">
        <v>0.93611111111111112</v>
      </c>
      <c r="BA138" s="32">
        <v>0.94305555555555554</v>
      </c>
      <c r="BB138" s="72"/>
      <c r="BC138" s="72" t="str">
        <f>IFERROR(VLOOKUP(Out_Table[[#This Row],[Aggiornamento STATUS]],'INformazioni per calcoli'!$Y$70:$AA$76,2,FALSE),"")</f>
        <v/>
      </c>
      <c r="BD138" s="289"/>
      <c r="BE138" s="289"/>
      <c r="BF138" s="47" t="str">
        <f>LEFT($E138,3)</f>
        <v>PD2</v>
      </c>
      <c r="BG138" s="298" t="str">
        <f>IF(Out_Table[[#This Row],[Ora Uscita    (GH)]]&lt;&gt;"","x","")</f>
        <v>x</v>
      </c>
      <c r="BH138" s="299">
        <f>VLOOKUP($O138,'INformazioni per calcoli'!$Y$20:$AA$23,3,FALSE)</f>
        <v>14</v>
      </c>
      <c r="BI138" s="299">
        <f>MROUND(Out_Table[[#This Row],[Mtr. Trailer]]*AB138,0.5)</f>
        <v>4</v>
      </c>
      <c r="BJ138" s="299">
        <f>MROUND(Out_Table[[#This Row],[Mtr. Trailer]]*AE138,0.5)</f>
        <v>10</v>
      </c>
      <c r="BK138" s="299">
        <f>MROUND(Out_Table[[#This Row],[Mtr. Trailer]]*AH138,0.5)</f>
        <v>0</v>
      </c>
      <c r="BL138" s="300">
        <f>Out_Table[[#This Row],[Double Deck trailer N° bumpers]]</f>
        <v>0</v>
      </c>
      <c r="BM138" s="301"/>
      <c r="BN138" s="299" t="str">
        <f>B138</f>
        <v>ITD12245</v>
      </c>
      <c r="BO138" s="299" t="str">
        <f>E138</f>
        <v>PD2</v>
      </c>
      <c r="BP138" s="302">
        <f>IF(AND(G138&gt;(--"00:00:01"),G138&lt;(--"15:00:00")),IF(AND(X138&gt;(--"00:00:01"),X138&lt;(--"15:00:00")),G138-X138,G138+1-X138),G138-X138)</f>
        <v>2.9166666666666674E-2</v>
      </c>
      <c r="BQ138" s="303">
        <f>AE138+AF138+AH138+AJ138</f>
        <v>0.7</v>
      </c>
      <c r="BR138" s="304" t="str">
        <f>IF(OR(BP138&lt;=(--"00:20:00"),BQ138&gt;=100%),"OK","Not OK")</f>
        <v>Not OK</v>
      </c>
      <c r="BS138" s="302">
        <f>IF(AND(G138&gt;(--"00:00:01"),G138&lt;(--"15:00:00")),IF(AND(AU138&gt;(--"00:00:01"),AU138&lt;(--"15:00:00")),G138-AU138,G138+1-AU138),G138-AU138)</f>
        <v>2.5694444444444464E-2</v>
      </c>
      <c r="BT138" s="302">
        <f>IF(AND(AZ138&gt;(--"00:00:01"),AZ138&lt;(--"15:00:00")),IF(AND(AU138&gt;(--"00:00:01"),AU138&lt;(--"15:00:00")),AZ138-AU138,AZ138+1-AU138),AZ138-AU138)</f>
        <v>3.4722222222222099E-3</v>
      </c>
      <c r="BU138" s="302">
        <f>IF(AND(BA138&gt;(--"00:00:01"),BA138&lt;(--"15:00:00")),IF(AND(AZ138&gt;(--"00:00:01"),AZ138&lt;(--"15:00:00")),BA138-AZ138,BA138+1-AZ138),BA138-AZ138)</f>
        <v>6.9444444444444198E-3</v>
      </c>
      <c r="BV138" s="299">
        <f>AV138</f>
        <v>0</v>
      </c>
      <c r="BW138" s="301"/>
      <c r="BX138" s="299" t="str">
        <f>IF(AV138="T Status",IF(AV138&lt;&gt;T138,"X",""),"")</f>
        <v/>
      </c>
      <c r="BY138" s="301"/>
      <c r="BZ138" s="299" t="str">
        <f>IF(X138&lt;&gt;"",IF(CC138="X","Driver Delay",IF(CA138="X","Paperwork Delay",IF(CB138="X","Late freight late sort",IF(CD138="X","Chiamare Control Room",IF(CE138="X","Chiamare Control Room",IF(CF138="X","Chiamare Control Room","")))))),"")</f>
        <v>Chiamare Control Room</v>
      </c>
      <c r="CA138" s="302" t="str">
        <f>IF(K138="",IF(IF(AND(G138&gt;(--"00:00:01"),G138&lt;(--"15:00:00")),IF(AND(AT138&gt;(--"08:00:00"),AT138&lt;(--"23:59:59")),G138+1-AT138,G138-AT138),G138-AT138)&gt;(--"00:20:00"),"","X"),"")</f>
        <v/>
      </c>
      <c r="CB138" s="299" t="str">
        <f>IF(K138="",IF(BP138&gt;=(--"00:20:00"),"","X"),"")</f>
        <v/>
      </c>
      <c r="CC138" s="299" t="str">
        <f>IF(OR(AV138="Autista non presente",AV138="Dati driver non presenti"),"X","")</f>
        <v/>
      </c>
      <c r="CD138" s="299" t="str">
        <f>IF(K138="",IF(AND(CC138="",BS138&lt;(--"00:20:00")),"X",""),"")</f>
        <v/>
      </c>
      <c r="CE138" s="299" t="str">
        <f>IF(K138="",IF(BT138&gt;(--"00:15:00"),"X",""),IF(AZ138&lt;&gt;"",IF(G138-AZ138&gt;(--"00:30:00"),"X",""),""))</f>
        <v/>
      </c>
      <c r="CF138" s="299" t="str">
        <f>IF(AND(CA138="",CB138="",CC138="",CD138="",CE138=""),"X","")</f>
        <v>X</v>
      </c>
      <c r="CG138" s="301"/>
      <c r="CH138" s="299" t="str">
        <f>IF(BT138&gt;(--"00:15:00"),"X","")</f>
        <v/>
      </c>
      <c r="CI138" s="302" t="str">
        <f>AY138</f>
        <v/>
      </c>
      <c r="CJ138" s="299" t="str">
        <f>IF(AND(CH138&lt;&gt;"",CI138&lt;&gt;"",LEFT(B138,3)="ITD"),AP138,"")</f>
        <v/>
      </c>
      <c r="CK138" s="305" t="str">
        <f>IF(CJ138&lt;&gt;"",BT138,"")</f>
        <v/>
      </c>
      <c r="CL138" s="301"/>
      <c r="CM138" s="305" t="str">
        <f>IFERROR(VLOOKUP(Q138,'Elenco Casse'!$D$4:$F$292,3,FALSE),"")</f>
        <v/>
      </c>
      <c r="CN138" s="301"/>
      <c r="CO138" s="305" t="str">
        <f>IFERROR(VLOOKUP(S138,'Elenco Casse'!$D$4:$F$292,3,FALSE),"")</f>
        <v/>
      </c>
      <c r="CP138" s="305" t="str">
        <f>IFERROR(IF(VLOOKUP($E138,Outlist!$A$5:$S$120,19,FALSE)&lt;&gt;0,"Y",""),"")</f>
        <v/>
      </c>
      <c r="CQ138" s="301"/>
      <c r="CR138" s="305" t="str">
        <f>CONCATENATE($B138,$E138,$G138)</f>
        <v>ITD12245PD20.958333333333333</v>
      </c>
      <c r="CS138" s="301"/>
      <c r="CT138" s="305" t="e">
        <f>VLOOKUP(Out_Table[[#This Row],[Destination             ORANGE (From Planning)]],Outlist!$A$5:$W$120,22,FALSE)</f>
        <v>#N/A</v>
      </c>
    </row>
    <row r="139" spans="1:98" s="20" customFormat="1" ht="30.75">
      <c r="A139" s="305" t="str">
        <f>$CR139</f>
        <v>ITD12239PD20.96875</v>
      </c>
      <c r="B139" s="284" t="s">
        <v>953</v>
      </c>
      <c r="C139" s="290" t="str">
        <f>IFERROR(IF(LEFT(B139,3)='STAT 77'!$X$2,_xlfn.XLOOKUP(B139,'STAT 77'!C:C,'STAT 77'!B:B),_xlfn.XLOOKUP(B139,'STAT 77'!B:B,'STAT 77'!C:C)),"NON TROVATO")</f>
        <v>ITD31167</v>
      </c>
      <c r="D139" s="25" t="s">
        <v>954</v>
      </c>
      <c r="E139" s="290" t="s">
        <v>831</v>
      </c>
      <c r="F139" s="290" t="str">
        <f>IFERROR(VLOOKUP(E139,'Cambio O2P'!C:E,2,FALSE),"")</f>
        <v>ZMFH</v>
      </c>
      <c r="G139" s="285">
        <v>0.96875</v>
      </c>
      <c r="H139" s="293" t="str">
        <f ca="1">IFERROR(IF(AND('INformazioni per calcoli'!$AB$3&lt;(--"14:30"),'INformazioni per calcoli'!$AB$3&gt;(--"10:00")),"",IF($B139="","",IF($X139&lt;&gt;"","Mezzo Chiuso",IF($W139="","Non al Carico",IF($G139-'INformazioni per calcoli'!$AB$5-'INformazioni per calcoli'!$AB$3+$J139&lt;0,"LFLS",IF($K139&lt;&gt;"","Safe Parking",IF($W139&lt;&gt;"",IF($E139="MXP",$G139-'INformazioni per calcoli'!$AB$6-'INformazioni per calcoli'!$AB$3+$J139,$G139-'INformazioni per calcoli'!$AB$5-'INformazioni per calcoli'!$AB$3+$J139),"Non al carico"))))))),"")</f>
        <v>Mezzo Chiuso</v>
      </c>
      <c r="I139" s="17" t="str">
        <f ca="1">IFERROR(IF($H139&lt;&gt;"",IF($H139="Safe Parking","",IF($W139&lt;&gt;"",IF(AND($U139="X",$V139="X"),$H139-(--"00:30"),""),IF($X139&lt;&gt;"","Mezzo Chiuso","Non al carico"))),""),"")</f>
        <v/>
      </c>
      <c r="J139" s="306">
        <f ca="1">IFERROR(IF($B139&lt;&gt;"",IF(AND('INformazioni per calcoli'!$AB$3&lt;(--"15:00"),'INformazioni per calcoli'!$AB$3&gt;(--"00:00")),0,IF($G139&lt;(--"18:30"),"+1",0)),""),"")</f>
        <v>0</v>
      </c>
      <c r="K139" s="17"/>
      <c r="L139" s="25" t="s">
        <v>606</v>
      </c>
      <c r="M139" s="25" t="str">
        <f>IFERROR(_xlfn.XLOOKUP($Q139,'Elenco Casse'!$D:$D,'Elenco Casse'!$E:$E),"")</f>
        <v>Tonia Trasporti S.R.L.</v>
      </c>
      <c r="N139" s="25">
        <f>IFERROR(_xlfn.XLOOKUP($Q139,'Elenco Casse'!$D:$D,'Elenco Casse'!$F:$F),"")</f>
        <v>0</v>
      </c>
      <c r="O139" s="286" t="s">
        <v>418</v>
      </c>
      <c r="P139" s="295" t="str">
        <f>IFERROR(_xlfn.XLOOKUP($Q139,'Elenco Casse'!$D:$D,'Elenco Casse'!$G:$G),"")</f>
        <v>trailer 80 m3 2/3 axes</v>
      </c>
      <c r="Q139" s="355" t="s">
        <v>955</v>
      </c>
      <c r="R139" s="23" t="s">
        <v>420</v>
      </c>
      <c r="S139" s="25" t="s">
        <v>421</v>
      </c>
      <c r="T139" s="25" t="s">
        <v>726</v>
      </c>
      <c r="U139" s="23" t="str">
        <f>IF(ISNUMBER(SEARCH("Parcel",$T139)),"X","")</f>
        <v/>
      </c>
      <c r="V139" s="23" t="str">
        <f>IF(ISNUMBER(SEARCH("Freight",$T139)),"X","")</f>
        <v>X</v>
      </c>
      <c r="W139" s="26">
        <v>715</v>
      </c>
      <c r="X139" s="27">
        <v>0.86041666666666672</v>
      </c>
      <c r="Y139" s="25" t="s">
        <v>956</v>
      </c>
      <c r="Z139" s="25"/>
      <c r="AA139" s="25" t="s">
        <v>487</v>
      </c>
      <c r="AB139" s="57">
        <v>1</v>
      </c>
      <c r="AC139" s="25"/>
      <c r="AD139" s="25"/>
      <c r="AE139" s="57"/>
      <c r="AF139" s="57"/>
      <c r="AG139" s="25"/>
      <c r="AH139" s="57"/>
      <c r="AI139" s="339"/>
      <c r="AJ139" s="339"/>
      <c r="AK139" s="297" t="str">
        <f>IF(X139&lt;&gt;"",CONCATENATE(IF(AA139&lt;&gt;"",CONCATENATE(Z139," ",AA139," ",BI139),""),IF(AD139&lt;&gt;"",CONCATENATE(","," ",AC139," ",AD139," ",BJ139),""),IF(AG139&lt;&gt;"",CONCATENATE(","," ",AF139," ",AG139," ",BK139),""),IF(AJ139&lt;&gt;"",CONCATENATE(","," ","DD"," ",BL139),"")," ",IF(AI139&lt;&gt;"",CONCATENATE(" - ",AI139," Bag"),"")),"")</f>
        <v xml:space="preserve"> FRT 14 </v>
      </c>
      <c r="AL139" s="287" t="s">
        <v>421</v>
      </c>
      <c r="AM139" s="287"/>
      <c r="AN139" s="287"/>
      <c r="AO139" s="287"/>
      <c r="AP139" s="370" t="str">
        <f>IFERROR(VLOOKUP($E136,Outlist!$A$5:$V$120,20,FALSE),"")</f>
        <v/>
      </c>
      <c r="AQ139" s="288" t="s">
        <v>957</v>
      </c>
      <c r="AS139" s="24"/>
      <c r="AT139" s="24">
        <v>0.80208333333333337</v>
      </c>
      <c r="AU139" s="27">
        <v>0.90069444444444446</v>
      </c>
      <c r="AV139" s="27"/>
      <c r="AW139" s="20" t="s">
        <v>443</v>
      </c>
      <c r="AX139" s="20" t="str">
        <f>IFERROR(IF(Out_Table[[#This Row],[Cancellazione linea]]="Cancellata","yes",""),"")</f>
        <v/>
      </c>
      <c r="AY139" s="72" t="str">
        <f>IF(BA139="",BZ139,IF(AND(BA139&lt;(--"23:59:59"),BA139&gt;(--"15:00:00"),G139&lt;(--"14:00:00"),G139&gt;(--"00:00:01")),"",IF(BA139&gt;G139,BZ139,"")))</f>
        <v/>
      </c>
      <c r="AZ139" s="27">
        <v>0.91319444444444442</v>
      </c>
      <c r="BA139" s="32">
        <v>0.91805555555555551</v>
      </c>
      <c r="BB139" s="72"/>
      <c r="BC139" s="72" t="str">
        <f>IFERROR(VLOOKUP(Out_Table[[#This Row],[Aggiornamento STATUS]],'INformazioni per calcoli'!$Y$70:$AA$76,2,FALSE),"")</f>
        <v/>
      </c>
      <c r="BD139" s="289"/>
      <c r="BE139" s="289"/>
      <c r="BF139" s="47" t="str">
        <f>LEFT($E139,3)</f>
        <v>PD2</v>
      </c>
      <c r="BG139" s="298" t="str">
        <f>IF(Out_Table[[#This Row],[Ora Uscita    (GH)]]&lt;&gt;"","x","")</f>
        <v>x</v>
      </c>
      <c r="BH139" s="299">
        <f>VLOOKUP($O139,'INformazioni per calcoli'!$Y$20:$AA$23,3,FALSE)</f>
        <v>14</v>
      </c>
      <c r="BI139" s="299">
        <f>MROUND(Out_Table[[#This Row],[Mtr. Trailer]]*AB139,0.5)</f>
        <v>14</v>
      </c>
      <c r="BJ139" s="299">
        <f>MROUND(Out_Table[[#This Row],[Mtr. Trailer]]*AE139,0.5)</f>
        <v>0</v>
      </c>
      <c r="BK139" s="299">
        <f>MROUND(Out_Table[[#This Row],[Mtr. Trailer]]*AH139,0.5)</f>
        <v>0</v>
      </c>
      <c r="BL139" s="300">
        <f>Out_Table[[#This Row],[Double Deck trailer N° bumpers]]</f>
        <v>0</v>
      </c>
      <c r="BM139" s="301"/>
      <c r="BN139" s="299" t="str">
        <f>B139</f>
        <v>ITD12239</v>
      </c>
      <c r="BO139" s="299" t="str">
        <f>E139</f>
        <v>PD2</v>
      </c>
      <c r="BP139" s="302">
        <f>IF(AND(G139&gt;(--"00:00:01"),G139&lt;(--"15:00:00")),IF(AND(X139&gt;(--"00:00:01"),X139&lt;(--"15:00:00")),G139-X139,G139+1-X139),G139-X139)</f>
        <v>0.10833333333333328</v>
      </c>
      <c r="BQ139" s="303">
        <f>AE139+AF139+AH139+AJ139</f>
        <v>0</v>
      </c>
      <c r="BR139" s="304" t="str">
        <f>IF(OR(BP139&lt;=(--"00:20:00"),BQ139&gt;=100%),"OK","Not OK")</f>
        <v>Not OK</v>
      </c>
      <c r="BS139" s="302">
        <f>IF(AND(G139&gt;(--"00:00:01"),G139&lt;(--"15:00:00")),IF(AND(AU139&gt;(--"00:00:01"),AU139&lt;(--"15:00:00")),G139-AU139,G139+1-AU139),G139-AU139)</f>
        <v>6.8055555555555536E-2</v>
      </c>
      <c r="BT139" s="302">
        <f>IF(AND(AZ139&gt;(--"00:00:01"),AZ139&lt;(--"15:00:00")),IF(AND(AU139&gt;(--"00:00:01"),AU139&lt;(--"15:00:00")),AZ139-AU139,AZ139+1-AU139),AZ139-AU139)</f>
        <v>1.2499999999999956E-2</v>
      </c>
      <c r="BU139" s="302">
        <f>IF(AND(BA139&gt;(--"00:00:01"),BA139&lt;(--"15:00:00")),IF(AND(AZ139&gt;(--"00:00:01"),AZ139&lt;(--"15:00:00")),BA139-AZ139,BA139+1-AZ139),BA139-AZ139)</f>
        <v>4.8611111111110938E-3</v>
      </c>
      <c r="BV139" s="299">
        <f>AV139</f>
        <v>0</v>
      </c>
      <c r="BW139" s="301"/>
      <c r="BX139" s="299" t="str">
        <f>IF(AV139="T Status",IF(AV139&lt;&gt;T139,"X",""),"")</f>
        <v/>
      </c>
      <c r="BY139" s="301"/>
      <c r="BZ139" s="299" t="str">
        <f>IF(X139&lt;&gt;"",IF(CC139="X","Driver Delay",IF(CA139="X","Paperwork Delay",IF(CB139="X","Late freight late sort",IF(CD139="X","Chiamare Control Room",IF(CE139="X","Chiamare Control Room",IF(CF139="X","Chiamare Control Room","")))))),"")</f>
        <v>Chiamare Control Room</v>
      </c>
      <c r="CA139" s="302" t="str">
        <f>IF(K139="",IF(IF(AND(G139&gt;(--"00:00:01"),G139&lt;(--"15:00:00")),IF(AND(AT139&gt;(--"08:00:00"),AT139&lt;(--"23:59:59")),G139+1-AT139,G139-AT139),G139-AT139)&gt;(--"00:20:00"),"","X"),"")</f>
        <v/>
      </c>
      <c r="CB139" s="299" t="str">
        <f>IF(K139="",IF(BP139&gt;=(--"00:20:00"),"","X"),"")</f>
        <v/>
      </c>
      <c r="CC139" s="299" t="str">
        <f>IF(OR(AV139="Autista non presente",AV139="Dati driver non presenti"),"X","")</f>
        <v/>
      </c>
      <c r="CD139" s="299" t="str">
        <f>IF(K139="",IF(AND(CC139="",BS139&lt;(--"00:20:00")),"X",""),"")</f>
        <v/>
      </c>
      <c r="CE139" s="299" t="str">
        <f>IF(K139="",IF(BT139&gt;(--"00:15:00"),"X",""),IF(AZ139&lt;&gt;"",IF(G139-AZ139&gt;(--"00:30:00"),"X",""),""))</f>
        <v>X</v>
      </c>
      <c r="CF139" s="299" t="str">
        <f>IF(AND(CA139="",CB139="",CC139="",CD139="",CE139=""),"X","")</f>
        <v/>
      </c>
      <c r="CG139" s="301"/>
      <c r="CH139" s="299" t="str">
        <f>IF(BT139&gt;(--"00:15:00"),"X","")</f>
        <v>X</v>
      </c>
      <c r="CI139" s="302" t="str">
        <f>AY139</f>
        <v/>
      </c>
      <c r="CJ139" s="299" t="str">
        <f>IF(AND(CH139&lt;&gt;"",CI139&lt;&gt;"",LEFT(B139,3)="ITD"),AP139,"")</f>
        <v/>
      </c>
      <c r="CK139" s="305" t="str">
        <f>IF(CJ139&lt;&gt;"",BT139,"")</f>
        <v/>
      </c>
      <c r="CL139" s="301"/>
      <c r="CM139" s="305" t="str">
        <f>IFERROR(VLOOKUP(Q139,'Elenco Casse'!$D$4:$F$292,3,FALSE),"")</f>
        <v/>
      </c>
      <c r="CN139" s="301"/>
      <c r="CO139" s="305" t="str">
        <f>IFERROR(VLOOKUP(S139,'Elenco Casse'!$D$4:$F$292,3,FALSE),"")</f>
        <v/>
      </c>
      <c r="CP139" s="305" t="str">
        <f>IFERROR(IF(VLOOKUP($E139,Outlist!$A$5:$S$120,19,FALSE)&lt;&gt;0,"Y",""),"")</f>
        <v/>
      </c>
      <c r="CQ139" s="301"/>
      <c r="CR139" s="305" t="str">
        <f>CONCATENATE($B139,$E139,$G139)</f>
        <v>ITD12239PD20.96875</v>
      </c>
      <c r="CS139" s="301"/>
      <c r="CT139" s="305" t="e">
        <f>VLOOKUP(Out_Table[[#This Row],[Destination             ORANGE (From Planning)]],Outlist!$A$5:$W$120,22,FALSE)</f>
        <v>#N/A</v>
      </c>
    </row>
    <row r="140" spans="1:98" s="20" customFormat="1" ht="30.75">
      <c r="A140" s="305" t="str">
        <f>$CR140</f>
        <v>ITD90226PD2 EXTRA0.00694444444444444</v>
      </c>
      <c r="B140" s="284" t="s">
        <v>958</v>
      </c>
      <c r="C140" s="290" t="str">
        <f>IFERROR(IF(LEFT(B140,3)='STAT 77'!$X$2,_xlfn.XLOOKUP(B140,'STAT 77'!C:C,'STAT 77'!B:B),_xlfn.XLOOKUP(B140,'STAT 77'!B:B,'STAT 77'!C:C)),"NON TROVATO")</f>
        <v>ITD90284</v>
      </c>
      <c r="D140" s="25"/>
      <c r="E140" s="25" t="s">
        <v>959</v>
      </c>
      <c r="F140" s="290" t="str">
        <f>IFERROR(VLOOKUP(E140,'Cambio O2P'!C:E,2,FALSE),"")</f>
        <v/>
      </c>
      <c r="G140" s="285">
        <v>6.9444444444444441E-3</v>
      </c>
      <c r="H140" s="293" t="str">
        <f ca="1">IFERROR(IF(AND('INformazioni per calcoli'!$AB$3&lt;(--"14:30"),'INformazioni per calcoli'!$AB$3&gt;(--"10:00")),"",IF($B140="","",IF($X140&lt;&gt;"","Mezzo Chiuso",IF($W140="","Non al Carico",IF($G140-'INformazioni per calcoli'!$AB$5-'INformazioni per calcoli'!$AB$3+$J140&lt;0,"LFLS",IF($K140&lt;&gt;"","Safe Parking",IF($W140&lt;&gt;"",IF($E140="MXP",$G140-'INformazioni per calcoli'!$AB$6-'INformazioni per calcoli'!$AB$3+$J140,$G140-'INformazioni per calcoli'!$AB$5-'INformazioni per calcoli'!$AB$3+$J140),"Non al carico"))))))),"")</f>
        <v>Mezzo Chiuso</v>
      </c>
      <c r="I140" s="17" t="str">
        <f ca="1">IFERROR(IF($H140&lt;&gt;"",IF($H140="Safe Parking","",IF($W140&lt;&gt;"",IF(AND($U140="X",$V140="X"),$H140-(--"00:30"),""),IF($X140&lt;&gt;"","Mezzo Chiuso","Non al carico"))),""),"")</f>
        <v/>
      </c>
      <c r="J140" s="306">
        <f ca="1">IFERROR(IF($B140&lt;&gt;"",IF(AND('INformazioni per calcoli'!$AB$3&lt;(--"15:00"),'INformazioni per calcoli'!$AB$3&gt;(--"00:00")),0,IF($G140&lt;(--"18:30"),"+1",0)),""),"")</f>
        <v>0</v>
      </c>
      <c r="K140" s="27"/>
      <c r="L140" s="25" t="s">
        <v>446</v>
      </c>
      <c r="M140" s="25" t="str">
        <f>IFERROR(_xlfn.XLOOKUP($Q140,'Elenco Casse'!$D:$D,'Elenco Casse'!$E:$E),"")</f>
        <v/>
      </c>
      <c r="N140" s="25" t="str">
        <f>IFERROR(_xlfn.XLOOKUP($Q140,'Elenco Casse'!$D:$D,'Elenco Casse'!$F:$F),"")</f>
        <v/>
      </c>
      <c r="O140" s="286"/>
      <c r="P140" s="295" t="str">
        <f>IFERROR(_xlfn.XLOOKUP($Q140,'Elenco Casse'!$D:$D,'Elenco Casse'!$G:$G),"")</f>
        <v/>
      </c>
      <c r="Q140" s="355" t="s">
        <v>960</v>
      </c>
      <c r="R140" s="23" t="s">
        <v>420</v>
      </c>
      <c r="S140" s="25"/>
      <c r="T140" s="25"/>
      <c r="U140" s="23" t="str">
        <f>IF(ISNUMBER(SEARCH("Parcel",$T140)),"X","")</f>
        <v/>
      </c>
      <c r="V140" s="23" t="s">
        <v>61</v>
      </c>
      <c r="W140" s="26">
        <v>715</v>
      </c>
      <c r="X140" s="27">
        <v>0.98541666666666672</v>
      </c>
      <c r="Y140" s="25" t="s">
        <v>624</v>
      </c>
      <c r="Z140" s="25"/>
      <c r="AA140" s="25" t="s">
        <v>487</v>
      </c>
      <c r="AB140" s="57">
        <v>1</v>
      </c>
      <c r="AC140" s="25"/>
      <c r="AD140" s="25"/>
      <c r="AE140" s="57"/>
      <c r="AF140" s="57"/>
      <c r="AG140" s="25"/>
      <c r="AH140" s="57"/>
      <c r="AI140" s="339"/>
      <c r="AJ140" s="339"/>
      <c r="AK140" s="297" t="s">
        <v>961</v>
      </c>
      <c r="AL140" s="287" t="s">
        <v>421</v>
      </c>
      <c r="AM140" s="287"/>
      <c r="AN140" s="287"/>
      <c r="AO140" s="287"/>
      <c r="AP140" s="370" t="str">
        <f>IFERROR(VLOOKUP($E140,Outlist!$A$5:$V$120,20,FALSE),"")</f>
        <v/>
      </c>
      <c r="AQ140" s="288" t="s">
        <v>962</v>
      </c>
      <c r="AS140" s="24"/>
      <c r="AT140" s="24">
        <v>0.98888888888888893</v>
      </c>
      <c r="AU140" s="27">
        <v>1.3888888888888889E-3</v>
      </c>
      <c r="AV140" s="27"/>
      <c r="AW140" s="20" t="s">
        <v>443</v>
      </c>
      <c r="AX140" s="20" t="str">
        <f>IFERROR(IF(Out_Table[[#This Row],[Cancellazione linea]]="Cancellata","yes",""),"")</f>
        <v/>
      </c>
      <c r="AY140" s="72" t="str">
        <f>IF(BA140="",BZ140,IF(AND(BA140&lt;(--"23:59:59"),BA140&gt;(--"15:00:00"),G140&lt;(--"14:00:00"),G140&gt;(--"00:00:01")),"",IF(BA140&gt;G140,BZ140,"")))</f>
        <v>Chiamare Control Room</v>
      </c>
      <c r="AZ140" s="27"/>
      <c r="BA140" s="32">
        <v>1.4583333333333334E-2</v>
      </c>
      <c r="BB140" s="72"/>
      <c r="BC140" s="72" t="str">
        <f>IFERROR(VLOOKUP(Out_Table[[#This Row],[Aggiornamento STATUS]],'INformazioni per calcoli'!$Y$70:$AA$76,2,FALSE),"")</f>
        <v/>
      </c>
      <c r="BD140" s="289"/>
      <c r="BE140" s="289"/>
      <c r="BF140" s="47" t="str">
        <f>LEFT($E140,3)</f>
        <v>PD2</v>
      </c>
      <c r="BG140" s="298" t="str">
        <f>IF(Out_Table[[#This Row],[Ora Uscita    (GH)]]&lt;&gt;"","x","")</f>
        <v>x</v>
      </c>
      <c r="BH140" s="299" t="e">
        <f>VLOOKUP($O140,'INformazioni per calcoli'!$Y$20:$AA$23,3,FALSE)</f>
        <v>#N/A</v>
      </c>
      <c r="BI140" s="299" t="e">
        <f>MROUND(Out_Table[[#This Row],[Mtr. Trailer]]*AB140,0.5)</f>
        <v>#N/A</v>
      </c>
      <c r="BJ140" s="299" t="e">
        <f>MROUND(Out_Table[[#This Row],[Mtr. Trailer]]*AE140,0.5)</f>
        <v>#N/A</v>
      </c>
      <c r="BK140" s="299" t="e">
        <f>MROUND(Out_Table[[#This Row],[Mtr. Trailer]]*AH140,0.5)</f>
        <v>#N/A</v>
      </c>
      <c r="BL140" s="300">
        <f>Out_Table[[#This Row],[Double Deck trailer N° bumpers]]</f>
        <v>0</v>
      </c>
      <c r="BM140" s="301"/>
      <c r="BN140" s="299" t="str">
        <f>B140</f>
        <v>ITD90226</v>
      </c>
      <c r="BO140" s="299" t="str">
        <f>E140</f>
        <v>PD2 EXTRA</v>
      </c>
      <c r="BP140" s="302">
        <f>IF(AND(G140&gt;(--"00:00:01"),G140&lt;(--"15:00:00")),IF(AND(X140&gt;(--"00:00:01"),X140&lt;(--"15:00:00")),G140-X140,G140+1-X140),G140-X140)</f>
        <v>2.1527777777777701E-2</v>
      </c>
      <c r="BQ140" s="303">
        <f>AE140+AF140+AH140+AJ140</f>
        <v>0</v>
      </c>
      <c r="BR140" s="304" t="str">
        <f>IF(OR(BP140&lt;=(--"00:20:00"),BQ140&gt;=100%),"OK","Not OK")</f>
        <v>Not OK</v>
      </c>
      <c r="BS140" s="302">
        <f>IF(AND(G140&gt;(--"00:00:01"),G140&lt;(--"15:00:00")),IF(AND(AU140&gt;(--"00:00:01"),AU140&lt;(--"15:00:00")),G140-AU140,G140+1-AU140),G140-AU140)</f>
        <v>5.5555555555555549E-3</v>
      </c>
      <c r="BT140" s="302">
        <f>IF(AND(AZ140&gt;(--"00:00:01"),AZ140&lt;(--"15:00:00")),IF(AND(AU140&gt;(--"00:00:01"),AU140&lt;(--"15:00:00")),AZ140-AU140,AZ140+1-AU140),AZ140-AU140)</f>
        <v>-1.3888888888888889E-3</v>
      </c>
      <c r="BU140" s="302">
        <f>IF(AND(BA140&gt;(--"00:00:01"),BA140&lt;(--"15:00:00")),IF(AND(AZ140&gt;(--"00:00:01"),AZ140&lt;(--"15:00:00")),BA140-AZ140,BA140+1-AZ140),BA140-AZ140)</f>
        <v>1.0145833333333334</v>
      </c>
      <c r="BV140" s="299">
        <f>AV140</f>
        <v>0</v>
      </c>
      <c r="BW140" s="301"/>
      <c r="BX140" s="299" t="str">
        <f>IF(AV140="T Status",IF(AV140&lt;&gt;T140,"X",""),"")</f>
        <v/>
      </c>
      <c r="BY140" s="301"/>
      <c r="BZ140" s="299" t="str">
        <f>IF(X140&lt;&gt;"",IF(CC140="X","Driver Delay",IF(CA140="X","Paperwork Delay",IF(CB140="X","Late freight late sort",IF(CD140="X","Chiamare Control Room",IF(CE140="X","Chiamare Control Room",IF(CF140="X","Chiamare Control Room","")))))),"")</f>
        <v>Chiamare Control Room</v>
      </c>
      <c r="CA140" s="302" t="str">
        <f>IF(K140="",IF(IF(AND(G140&gt;(--"00:00:01"),G140&lt;(--"15:00:00")),IF(AND(AT140&gt;(--"08:00:00"),AT140&lt;(--"23:59:59")),G140+1-AT140,G140-AT140),G140-AT140)&gt;(--"00:20:00"),"","X"),"")</f>
        <v/>
      </c>
      <c r="CB140" s="299" t="str">
        <f>IF(K140="",IF(BP140&gt;=(--"00:20:00"),"","X"),"")</f>
        <v/>
      </c>
      <c r="CC140" s="299" t="str">
        <f>IF(OR(AV140="Autista non presente",AV140="Dati driver non presenti"),"X","")</f>
        <v/>
      </c>
      <c r="CD140" s="299" t="str">
        <f>IF(K140="",IF(AND(CC140="",BS140&lt;(--"00:20:00")),"X",""),"")</f>
        <v>X</v>
      </c>
      <c r="CE140" s="299" t="str">
        <f>IF(K140="",IF(BT140&gt;(--"00:15:00"),"X",""),IF(AZ140&lt;&gt;"",IF(G140-AZ140&gt;(--"00:30:00"),"X",""),""))</f>
        <v/>
      </c>
      <c r="CF140" s="299" t="str">
        <f>IF(AND(CA140="",CB140="",CC140="",CD140="",CE140=""),"X","")</f>
        <v/>
      </c>
      <c r="CG140" s="301"/>
      <c r="CH140" s="299" t="str">
        <f>IF(BT140&gt;(--"00:15:00"),"X","")</f>
        <v/>
      </c>
      <c r="CI140" s="302" t="str">
        <f>AY140</f>
        <v>Chiamare Control Room</v>
      </c>
      <c r="CJ140" s="299" t="str">
        <f>IF(AND(CH140&lt;&gt;"",CI140&lt;&gt;"",LEFT(B140,3)="ITD"),AP140,"")</f>
        <v/>
      </c>
      <c r="CK140" s="305" t="str">
        <f>IF(CJ140&lt;&gt;"",BT140,"")</f>
        <v/>
      </c>
      <c r="CL140" s="301"/>
      <c r="CM140" s="305" t="str">
        <f>IFERROR(VLOOKUP(Q140,'Elenco Casse'!$D$4:$F$292,3,FALSE),"")</f>
        <v/>
      </c>
      <c r="CN140" s="301"/>
      <c r="CO140" s="305" t="str">
        <f>IFERROR(VLOOKUP(S140,'Elenco Casse'!$D$4:$F$292,3,FALSE),"")</f>
        <v/>
      </c>
      <c r="CP140" s="305" t="str">
        <f>IFERROR(IF(VLOOKUP($E140,Outlist!$A$5:$S$120,19,FALSE)&lt;&gt;0,"Y",""),"")</f>
        <v/>
      </c>
      <c r="CQ140" s="301"/>
      <c r="CR140" s="305" t="str">
        <f>CONCATENATE($B140,$E140,$G140)</f>
        <v>ITD90226PD2 EXTRA0.00694444444444444</v>
      </c>
      <c r="CS140" s="301"/>
      <c r="CT140" s="305" t="e">
        <f>VLOOKUP(Out_Table[[#This Row],[Destination             ORANGE (From Planning)]],Outlist!$A$5:$W$120,22,FALSE)</f>
        <v>#N/A</v>
      </c>
    </row>
    <row r="141" spans="1:98" s="20" customFormat="1" ht="30.75">
      <c r="A141" s="305" t="str">
        <f>$CR141</f>
        <v>ITD12743FIA0.864583333333333</v>
      </c>
      <c r="B141" s="284" t="s">
        <v>963</v>
      </c>
      <c r="C141" s="290" t="str">
        <f>IFERROR(IF(LEFT(B141,3)='STAT 77'!$X$2,_xlfn.XLOOKUP(B141,'STAT 77'!C:C,'STAT 77'!B:B),_xlfn.XLOOKUP(B141,'STAT 77'!B:B,'STAT 77'!C:C)),"NON TROVATO")</f>
        <v>ITD32200</v>
      </c>
      <c r="D141" s="25" t="s">
        <v>964</v>
      </c>
      <c r="E141" s="290" t="s">
        <v>780</v>
      </c>
      <c r="F141" s="290" t="str">
        <f>IFERROR(VLOOKUP(E141,'Cambio O2P'!C:E,2,FALSE),"")</f>
        <v>ZIQH</v>
      </c>
      <c r="G141" s="285">
        <v>0.86458333333333337</v>
      </c>
      <c r="H141" s="293" t="str">
        <f ca="1">IFERROR(IF(AND('INformazioni per calcoli'!$AB$3&lt;(--"14:30"),'INformazioni per calcoli'!$AB$3&gt;(--"10:00")),"",IF($B141="","",IF($X141&lt;&gt;"","Mezzo Chiuso",IF($W141="","Non al Carico",IF($G141-'INformazioni per calcoli'!$AB$5-'INformazioni per calcoli'!$AB$3+$J141&lt;0,"LFLS",IF($K141&lt;&gt;"","Safe Parking",IF($W141&lt;&gt;"",IF($E141="MXP",$G141-'INformazioni per calcoli'!$AB$6-'INformazioni per calcoli'!$AB$3+$J141,$G141-'INformazioni per calcoli'!$AB$5-'INformazioni per calcoli'!$AB$3+$J141),"Non al carico"))))))),"")</f>
        <v>Mezzo Chiuso</v>
      </c>
      <c r="I141" s="17" t="str">
        <f ca="1">IFERROR(IF($H141&lt;&gt;"",IF($H141="Safe Parking","",IF($W141&lt;&gt;"",IF(AND($U141="X",$V141="X"),$H141-(--"00:30"),""),IF($X141&lt;&gt;"","Mezzo Chiuso","Non al carico"))),""),"")</f>
        <v/>
      </c>
      <c r="J141" s="306">
        <f ca="1">IFERROR(IF($B141&lt;&gt;"",IF(AND('INformazioni per calcoli'!$AB$3&lt;(--"15:00"),'INformazioni per calcoli'!$AB$3&gt;(--"00:00")),0,IF($G141&lt;(--"18:30"),"+1",0)),""),"")</f>
        <v>0</v>
      </c>
      <c r="K141" s="17"/>
      <c r="L141" s="25" t="s">
        <v>427</v>
      </c>
      <c r="M141" s="25" t="str">
        <f>IFERROR(_xlfn.XLOOKUP($Q141,'Elenco Casse'!$D:$D,'Elenco Casse'!$E:$E),"")</f>
        <v>Zampieri Holding S.R.L.</v>
      </c>
      <c r="N141" s="25">
        <f>IFERROR(_xlfn.XLOOKUP($Q141,'Elenco Casse'!$D:$D,'Elenco Casse'!$F:$F),"")</f>
        <v>0</v>
      </c>
      <c r="O141" s="286" t="s">
        <v>418</v>
      </c>
      <c r="P141" s="295" t="str">
        <f>IFERROR(_xlfn.XLOOKUP($Q141,'Elenco Casse'!$D:$D,'Elenco Casse'!$G:$G),"")</f>
        <v>trailer 80 m3 2/3 axles</v>
      </c>
      <c r="Q141" s="355" t="s">
        <v>965</v>
      </c>
      <c r="R141" s="23" t="s">
        <v>420</v>
      </c>
      <c r="S141" s="25" t="s">
        <v>421</v>
      </c>
      <c r="T141" s="25" t="s">
        <v>966</v>
      </c>
      <c r="U141" s="23" t="str">
        <f>IF(ISNUMBER(SEARCH("Parcel",$T141)),"X","")</f>
        <v/>
      </c>
      <c r="V141" s="23" t="str">
        <f>IF(ISNUMBER(SEARCH("Freight",$T141)),"X","")</f>
        <v>X</v>
      </c>
      <c r="W141" s="26">
        <v>716</v>
      </c>
      <c r="X141" s="27">
        <v>0.8208333333333333</v>
      </c>
      <c r="Y141" s="25" t="s">
        <v>666</v>
      </c>
      <c r="Z141" s="25"/>
      <c r="AA141" s="25" t="s">
        <v>487</v>
      </c>
      <c r="AB141" s="57">
        <v>1</v>
      </c>
      <c r="AC141" s="25"/>
      <c r="AD141" s="25"/>
      <c r="AE141" s="57"/>
      <c r="AF141" s="57"/>
      <c r="AG141" s="25"/>
      <c r="AH141" s="57"/>
      <c r="AI141" s="339"/>
      <c r="AJ141" s="339"/>
      <c r="AK141" s="297" t="str">
        <f>IF(X141&lt;&gt;"",CONCATENATE(IF(AA141&lt;&gt;"",CONCATENATE(Z141," ",AA141," ",BI141),""),IF(AD141&lt;&gt;"",CONCATENATE(","," ",AC141," ",AD141," ",BJ141),""),IF(AG141&lt;&gt;"",CONCATENATE(","," ",AF141," ",AG141," ",BK141),""),IF(AJ141&lt;&gt;"",CONCATENATE(","," ","DD"," ",BL141),"")," ",IF(AI141&lt;&gt;"",CONCATENATE(" - ",AI141," Bag"),"")),"")</f>
        <v xml:space="preserve"> FRT 14 </v>
      </c>
      <c r="AL141" s="287" t="s">
        <v>421</v>
      </c>
      <c r="AM141" s="287"/>
      <c r="AN141" s="287"/>
      <c r="AO141" s="287"/>
      <c r="AP141" s="370" t="str">
        <f>IFERROR(VLOOKUP(#REF!,Outlist!$A$5:$V$120,20,FALSE),"")</f>
        <v/>
      </c>
      <c r="AQ141" s="288" t="s">
        <v>967</v>
      </c>
      <c r="AS141" s="24"/>
      <c r="AT141" s="24">
        <v>0.59583333333333333</v>
      </c>
      <c r="AU141" s="27">
        <v>0.83888888888888891</v>
      </c>
      <c r="AV141" s="27"/>
      <c r="AW141" s="20" t="s">
        <v>443</v>
      </c>
      <c r="AX141" s="20" t="str">
        <f>IFERROR(IF(Out_Table[[#This Row],[Cancellazione linea]]="Cancellata","yes",""),"")</f>
        <v/>
      </c>
      <c r="AY141" s="72" t="str">
        <f>IF(BA141="",BZ141,IF(AND(BA141&lt;(--"23:59:59"),BA141&gt;(--"15:00:00"),G141&lt;(--"14:00:00"),G141&gt;(--"00:00:01")),"",IF(BA141&gt;G141,BZ141,"")))</f>
        <v/>
      </c>
      <c r="AZ141" s="27">
        <v>0.84097222222222223</v>
      </c>
      <c r="BA141" s="32">
        <v>0.84861111111111109</v>
      </c>
      <c r="BB141" s="72"/>
      <c r="BC141" s="72" t="str">
        <f>IFERROR(VLOOKUP(Out_Table[[#This Row],[Aggiornamento STATUS]],'INformazioni per calcoli'!$Y$70:$AA$76,2,FALSE),"")</f>
        <v/>
      </c>
      <c r="BD141" s="289"/>
      <c r="BE141" s="289"/>
      <c r="BF141" s="47" t="str">
        <f>LEFT($E141,3)</f>
        <v>FIA</v>
      </c>
      <c r="BG141" s="298" t="str">
        <f>IF(Out_Table[[#This Row],[Ora Uscita    (GH)]]&lt;&gt;"","x","")</f>
        <v>x</v>
      </c>
      <c r="BH141" s="299">
        <f>VLOOKUP($O141,'INformazioni per calcoli'!$Y$20:$AA$23,3,FALSE)</f>
        <v>14</v>
      </c>
      <c r="BI141" s="299">
        <f>MROUND(Out_Table[[#This Row],[Mtr. Trailer]]*AB141,0.5)</f>
        <v>14</v>
      </c>
      <c r="BJ141" s="299">
        <f>MROUND(Out_Table[[#This Row],[Mtr. Trailer]]*AE141,0.5)</f>
        <v>0</v>
      </c>
      <c r="BK141" s="299">
        <f>MROUND(Out_Table[[#This Row],[Mtr. Trailer]]*AH141,0.5)</f>
        <v>0</v>
      </c>
      <c r="BL141" s="300">
        <f>Out_Table[[#This Row],[Double Deck trailer N° bumpers]]</f>
        <v>0</v>
      </c>
      <c r="BM141" s="301"/>
      <c r="BN141" s="299" t="str">
        <f>B141</f>
        <v>ITD12743</v>
      </c>
      <c r="BO141" s="299" t="str">
        <f>E141</f>
        <v>FIA</v>
      </c>
      <c r="BP141" s="302">
        <f>IF(AND(G141&gt;(--"00:00:01"),G141&lt;(--"15:00:00")),IF(AND(X141&gt;(--"00:00:01"),X141&lt;(--"15:00:00")),G141-X141,G141+1-X141),G141-X141)</f>
        <v>4.3750000000000067E-2</v>
      </c>
      <c r="BQ141" s="303">
        <f>AE141+AF141+AH141+AJ141</f>
        <v>0</v>
      </c>
      <c r="BR141" s="304" t="str">
        <f>IF(OR(BP141&lt;=(--"00:20:00"),BQ141&gt;=100%),"OK","Not OK")</f>
        <v>Not OK</v>
      </c>
      <c r="BS141" s="302">
        <f>IF(AND(G141&gt;(--"00:00:01"),G141&lt;(--"15:00:00")),IF(AND(AU141&gt;(--"00:00:01"),AU141&lt;(--"15:00:00")),G141-AU141,G141+1-AU141),G141-AU141)</f>
        <v>2.5694444444444464E-2</v>
      </c>
      <c r="BT141" s="302">
        <f>IF(AND(AZ141&gt;(--"00:00:01"),AZ141&lt;(--"15:00:00")),IF(AND(AU141&gt;(--"00:00:01"),AU141&lt;(--"15:00:00")),AZ141-AU141,AZ141+1-AU141),AZ141-AU141)</f>
        <v>2.0833333333333259E-3</v>
      </c>
      <c r="BU141" s="302">
        <f>IF(AND(BA141&gt;(--"00:00:01"),BA141&lt;(--"15:00:00")),IF(AND(AZ141&gt;(--"00:00:01"),AZ141&lt;(--"15:00:00")),BA141-AZ141,BA141+1-AZ141),BA141-AZ141)</f>
        <v>7.6388888888888618E-3</v>
      </c>
      <c r="BV141" s="299">
        <f>AV141</f>
        <v>0</v>
      </c>
      <c r="BW141" s="301"/>
      <c r="BX141" s="299" t="str">
        <f>IF(AV141="T Status",IF(AV141&lt;&gt;T141,"X",""),"")</f>
        <v/>
      </c>
      <c r="BY141" s="301"/>
      <c r="BZ141" s="299" t="str">
        <f>IF(X141&lt;&gt;"",IF(CC141="X","Driver Delay",IF(CA141="X","Paperwork Delay",IF(CB141="X","Late freight late sort",IF(CD141="X","Chiamare Control Room",IF(CE141="X","Chiamare Control Room",IF(CF141="X","Chiamare Control Room","")))))),"")</f>
        <v>Chiamare Control Room</v>
      </c>
      <c r="CA141" s="302" t="str">
        <f>IF(K141="",IF(IF(AND(G141&gt;(--"00:00:01"),G141&lt;(--"15:00:00")),IF(AND(AT141&gt;(--"08:00:00"),AT141&lt;(--"23:59:59")),G141+1-AT141,G141-AT141),G141-AT141)&gt;(--"00:20:00"),"","X"),"")</f>
        <v/>
      </c>
      <c r="CB141" s="299" t="str">
        <f>IF(K141="",IF(BP141&gt;=(--"00:20:00"),"","X"),"")</f>
        <v/>
      </c>
      <c r="CC141" s="299" t="str">
        <f>IF(OR(AV141="Autista non presente",AV141="Dati driver non presenti"),"X","")</f>
        <v/>
      </c>
      <c r="CD141" s="299" t="str">
        <f>IF(K141="",IF(AND(CC141="",BS141&lt;(--"00:20:00")),"X",""),"")</f>
        <v/>
      </c>
      <c r="CE141" s="299" t="str">
        <f>IF(K141="",IF(BT141&gt;(--"00:15:00"),"X",""),IF(AZ141&lt;&gt;"",IF(G141-AZ141&gt;(--"00:30:00"),"X",""),""))</f>
        <v/>
      </c>
      <c r="CF141" s="299" t="str">
        <f>IF(AND(CA141="",CB141="",CC141="",CD141="",CE141=""),"X","")</f>
        <v>X</v>
      </c>
      <c r="CG141" s="301"/>
      <c r="CH141" s="299" t="str">
        <f>IF(BT141&gt;(--"00:15:00"),"X","")</f>
        <v/>
      </c>
      <c r="CI141" s="302" t="str">
        <f>AY141</f>
        <v/>
      </c>
      <c r="CJ141" s="299" t="str">
        <f>IF(AND(CH141&lt;&gt;"",CI141&lt;&gt;"",LEFT(B141,3)="ITD"),AP141,"")</f>
        <v/>
      </c>
      <c r="CK141" s="305" t="str">
        <f>IF(CJ141&lt;&gt;"",BT141,"")</f>
        <v/>
      </c>
      <c r="CL141" s="301"/>
      <c r="CM141" s="305" t="str">
        <f>IFERROR(VLOOKUP(Q141,'Elenco Casse'!$D$4:$F$292,3,FALSE),"")</f>
        <v/>
      </c>
      <c r="CN141" s="301"/>
      <c r="CO141" s="305" t="str">
        <f>IFERROR(VLOOKUP(S141,'Elenco Casse'!$D$4:$F$292,3,FALSE),"")</f>
        <v/>
      </c>
      <c r="CP141" s="305" t="str">
        <f>IFERROR(IF(VLOOKUP($E141,Outlist!$A$5:$S$120,19,FALSE)&lt;&gt;0,"Y",""),"")</f>
        <v/>
      </c>
      <c r="CQ141" s="301"/>
      <c r="CR141" s="305" t="str">
        <f>CONCATENATE($B141,$E141,$G141)</f>
        <v>ITD12743FIA0.864583333333333</v>
      </c>
      <c r="CS141" s="301"/>
      <c r="CT141" s="305" t="e">
        <f>VLOOKUP(Out_Table[[#This Row],[Destination             ORANGE (From Planning)]],Outlist!$A$5:$W$120,22,FALSE)</f>
        <v>#N/A</v>
      </c>
    </row>
    <row r="142" spans="1:98" s="20" customFormat="1" ht="30.75">
      <c r="A142" s="305" t="str">
        <f>$CR142</f>
        <v>ITD12078FIA0.920138888888889</v>
      </c>
      <c r="B142" s="284" t="s">
        <v>968</v>
      </c>
      <c r="C142" s="290" t="str">
        <f>IFERROR(IF(LEFT(B142,3)='STAT 77'!$X$2,_xlfn.XLOOKUP(B142,'STAT 77'!C:C,'STAT 77'!B:B),_xlfn.XLOOKUP(B142,'STAT 77'!B:B,'STAT 77'!C:C)),"NON TROVATO")</f>
        <v>ITD30821</v>
      </c>
      <c r="D142" s="25" t="s">
        <v>779</v>
      </c>
      <c r="E142" s="290" t="s">
        <v>780</v>
      </c>
      <c r="F142" s="290" t="str">
        <f>IFERROR(VLOOKUP(E142,'Cambio O2P'!C:E,2,FALSE),"")</f>
        <v>ZIQH</v>
      </c>
      <c r="G142" s="285">
        <v>0.92013888888888884</v>
      </c>
      <c r="H142" s="293" t="str">
        <f ca="1">IFERROR(IF(AND('INformazioni per calcoli'!$AB$3&lt;(--"14:30"),'INformazioni per calcoli'!$AB$3&gt;(--"10:00")),"",IF($B142="","",IF($X142&lt;&gt;"","Mezzo Chiuso",IF($W142="","Non al Carico",IF($G142-'INformazioni per calcoli'!$AB$5-'INformazioni per calcoli'!$AB$3+$J142&lt;0,"LFLS",IF($K142&lt;&gt;"","Safe Parking",IF($W142&lt;&gt;"",IF($E142="MXP",$G142-'INformazioni per calcoli'!$AB$6-'INformazioni per calcoli'!$AB$3+$J142,$G142-'INformazioni per calcoli'!$AB$5-'INformazioni per calcoli'!$AB$3+$J142),"Non al carico"))))))),"")</f>
        <v>Mezzo Chiuso</v>
      </c>
      <c r="I142" s="17" t="str">
        <f ca="1">IFERROR(IF($H142&lt;&gt;"",IF($H142="Safe Parking","",IF($W142&lt;&gt;"",IF(AND($U142="X",$V142="X"),$H142-(--"00:30"),""),IF($X142&lt;&gt;"","Mezzo Chiuso","Non al carico"))),""),"")</f>
        <v/>
      </c>
      <c r="J142" s="306">
        <f ca="1">IFERROR(IF($B142&lt;&gt;"",IF(AND('INformazioni per calcoli'!$AB$3&lt;(--"15:00"),'INformazioni per calcoli'!$AB$3&gt;(--"00:00")),0,IF($G142&lt;(--"18:30"),"+1",0)),""),"")</f>
        <v>0</v>
      </c>
      <c r="K142" s="17"/>
      <c r="L142" s="25" t="s">
        <v>692</v>
      </c>
      <c r="M142" s="25" t="str">
        <f>IFERROR(_xlfn.XLOOKUP($Q142,'Elenco Casse'!$D:$D,'Elenco Casse'!$E:$E),"")</f>
        <v>Canguro S.P.A.</v>
      </c>
      <c r="N142" s="25">
        <f>IFERROR(_xlfn.XLOOKUP($Q142,'Elenco Casse'!$D:$D,'Elenco Casse'!$F:$F),"")</f>
        <v>0</v>
      </c>
      <c r="O142" s="286" t="s">
        <v>418</v>
      </c>
      <c r="P142" s="295" t="str">
        <f>IFERROR(_xlfn.XLOOKUP($Q142,'Elenco Casse'!$D:$D,'Elenco Casse'!$G:$G),"")</f>
        <v>trailer 80 m3 2/3 axes</v>
      </c>
      <c r="Q142" s="355" t="s">
        <v>969</v>
      </c>
      <c r="R142" s="23" t="s">
        <v>420</v>
      </c>
      <c r="S142" s="25" t="s">
        <v>421</v>
      </c>
      <c r="T142" s="25" t="s">
        <v>726</v>
      </c>
      <c r="U142" s="23" t="str">
        <f>IF(ISNUMBER(SEARCH("Parcel",$T142)),"X","")</f>
        <v/>
      </c>
      <c r="V142" s="23" t="str">
        <f>IF(ISNUMBER(SEARCH("Freight",$T142)),"X","")</f>
        <v>X</v>
      </c>
      <c r="W142" s="26">
        <v>716</v>
      </c>
      <c r="X142" s="27">
        <v>0.90416666666666667</v>
      </c>
      <c r="Y142" s="25" t="str">
        <f>IF(Out_Table[[#This Row],[DOC Del. hr. (RTH)]]&lt;&gt;"","XXX","")</f>
        <v>XXX</v>
      </c>
      <c r="Z142" s="25"/>
      <c r="AA142" s="25" t="s">
        <v>487</v>
      </c>
      <c r="AB142" s="57">
        <v>0.7</v>
      </c>
      <c r="AC142" s="25"/>
      <c r="AD142" s="25"/>
      <c r="AE142" s="57"/>
      <c r="AF142" s="57"/>
      <c r="AG142" s="25" t="s">
        <v>488</v>
      </c>
      <c r="AH142" s="57"/>
      <c r="AI142" s="339"/>
      <c r="AJ142" s="339"/>
      <c r="AK142" s="297" t="str">
        <f>IF(X142&lt;&gt;"",CONCATENATE(IF(AA142&lt;&gt;"",CONCATENATE(Z142," ",AA142," ",BI142),""),IF(AD142&lt;&gt;"",CONCATENATE(","," ",AC142," ",AD142," ",BJ142),""),IF(AG142&lt;&gt;"",CONCATENATE(","," ",AF142," ",AG142," ",BK142),""),IF(AJ142&lt;&gt;"",CONCATENATE(","," ","DD"," ",BL142),"")," ",IF(AI142&lt;&gt;"",CONCATENATE(" - ",AI142," Bag"),"")),"")</f>
        <v xml:space="preserve"> FRT 10,  DG 0 </v>
      </c>
      <c r="AL142" s="287" t="s">
        <v>421</v>
      </c>
      <c r="AM142" s="287"/>
      <c r="AN142" s="287"/>
      <c r="AO142" s="287"/>
      <c r="AP142" s="370">
        <f>IFERROR(VLOOKUP($E24,Outlist!$A$5:$V$120,20,FALSE),"")</f>
        <v>0</v>
      </c>
      <c r="AQ142" s="288" t="s">
        <v>970</v>
      </c>
      <c r="AS142" s="24"/>
      <c r="AT142" s="24">
        <v>0.82152777777777775</v>
      </c>
      <c r="AU142" s="27">
        <v>0.90486111111111112</v>
      </c>
      <c r="AV142" s="27"/>
      <c r="AW142" s="20" t="s">
        <v>443</v>
      </c>
      <c r="AX142" s="20" t="str">
        <f>IFERROR(IF(Out_Table[[#This Row],[Cancellazione linea]]="Cancellata","yes",""),"")</f>
        <v/>
      </c>
      <c r="AY142" s="72" t="str">
        <f>IF(BA142="",BZ142,IF(AND(BA142&lt;(--"23:59:59"),BA142&gt;(--"15:00:00"),G142&lt;(--"14:00:00"),G142&gt;(--"00:00:01")),"",IF(BA142&gt;G142,BZ142,"")))</f>
        <v/>
      </c>
      <c r="AZ142" s="27">
        <v>0.90694444444444444</v>
      </c>
      <c r="BA142" s="32">
        <v>0.91249999999999998</v>
      </c>
      <c r="BB142" s="72"/>
      <c r="BC142" s="72" t="str">
        <f>IFERROR(VLOOKUP(Out_Table[[#This Row],[Aggiornamento STATUS]],'INformazioni per calcoli'!$Y$70:$AA$76,2,FALSE),"")</f>
        <v/>
      </c>
      <c r="BD142" s="289"/>
      <c r="BE142" s="289"/>
      <c r="BF142" s="47" t="str">
        <f>LEFT($E142,3)</f>
        <v>FIA</v>
      </c>
      <c r="BG142" s="298" t="str">
        <f>IF(Out_Table[[#This Row],[Ora Uscita    (GH)]]&lt;&gt;"","x","")</f>
        <v>x</v>
      </c>
      <c r="BH142" s="299">
        <f>VLOOKUP($O142,'INformazioni per calcoli'!$Y$20:$AA$23,3,FALSE)</f>
        <v>14</v>
      </c>
      <c r="BI142" s="299">
        <f>MROUND(Out_Table[[#This Row],[Mtr. Trailer]]*AB142,0.5)</f>
        <v>10</v>
      </c>
      <c r="BJ142" s="299">
        <f>MROUND(Out_Table[[#This Row],[Mtr. Trailer]]*AE142,0.5)</f>
        <v>0</v>
      </c>
      <c r="BK142" s="299">
        <f>MROUND(Out_Table[[#This Row],[Mtr. Trailer]]*AH142,0.5)</f>
        <v>0</v>
      </c>
      <c r="BL142" s="300">
        <f>Out_Table[[#This Row],[Double Deck trailer N° bumpers]]</f>
        <v>0</v>
      </c>
      <c r="BM142" s="301"/>
      <c r="BN142" s="299" t="str">
        <f>B142</f>
        <v>ITD12078</v>
      </c>
      <c r="BO142" s="299" t="str">
        <f>E142</f>
        <v>FIA</v>
      </c>
      <c r="BP142" s="302">
        <f>IF(AND(G142&gt;(--"00:00:01"),G142&lt;(--"15:00:00")),IF(AND(X142&gt;(--"00:00:01"),X142&lt;(--"15:00:00")),G142-X142,G142+1-X142),G142-X142)</f>
        <v>1.5972222222222165E-2</v>
      </c>
      <c r="BQ142" s="303">
        <f>AE142+AF142+AH142+AJ142</f>
        <v>0</v>
      </c>
      <c r="BR142" s="304" t="str">
        <f>IF(OR(BP142&lt;=(--"00:20:00"),BQ142&gt;=100%),"OK","Not OK")</f>
        <v>Not OK</v>
      </c>
      <c r="BS142" s="302">
        <f>IF(AND(G142&gt;(--"00:00:01"),G142&lt;(--"15:00:00")),IF(AND(AU142&gt;(--"00:00:01"),AU142&lt;(--"15:00:00")),G142-AU142,G142+1-AU142),G142-AU142)</f>
        <v>1.5277777777777724E-2</v>
      </c>
      <c r="BT142" s="302">
        <f>IF(AND(AZ142&gt;(--"00:00:01"),AZ142&lt;(--"15:00:00")),IF(AND(AU142&gt;(--"00:00:01"),AU142&lt;(--"15:00:00")),AZ142-AU142,AZ142+1-AU142),AZ142-AU142)</f>
        <v>2.0833333333333259E-3</v>
      </c>
      <c r="BU142" s="302">
        <f>IF(AND(BA142&gt;(--"00:00:01"),BA142&lt;(--"15:00:00")),IF(AND(AZ142&gt;(--"00:00:01"),AZ142&lt;(--"15:00:00")),BA142-AZ142,BA142+1-AZ142),BA142-AZ142)</f>
        <v>5.5555555555555358E-3</v>
      </c>
      <c r="BV142" s="299">
        <f>AV142</f>
        <v>0</v>
      </c>
      <c r="BW142" s="301"/>
      <c r="BX142" s="299" t="str">
        <f>IF(AV142="T Status",IF(AV142&lt;&gt;T142,"X",""),"")</f>
        <v/>
      </c>
      <c r="BY142" s="301"/>
      <c r="BZ142" s="299" t="str">
        <f>IF(X142&lt;&gt;"",IF(CC142="X","Driver Delay",IF(CA142="X","Paperwork Delay",IF(CB142="X","Late freight late sort",IF(CD142="X","Chiamare Control Room",IF(CE142="X","Chiamare Control Room",IF(CF142="X","Chiamare Control Room","")))))),"")</f>
        <v>Chiamare Control Room</v>
      </c>
      <c r="CA142" s="302" t="str">
        <f>IF(K142="",IF(IF(AND(G142&gt;(--"00:00:01"),G142&lt;(--"15:00:00")),IF(AND(AT142&gt;(--"08:00:00"),AT142&lt;(--"23:59:59")),G142+1-AT142,G142-AT142),G142-AT142)&gt;(--"00:20:00"),"","X"),"")</f>
        <v/>
      </c>
      <c r="CB142" s="299" t="str">
        <f>IF(K142="",IF(BP142&gt;=(--"00:20:00"),"","X"),"")</f>
        <v/>
      </c>
      <c r="CC142" s="299" t="str">
        <f>IF(OR(AV142="Autista non presente",AV142="Dati driver non presenti"),"X","")</f>
        <v/>
      </c>
      <c r="CD142" s="299" t="str">
        <f>IF(K142="",IF(AND(CC142="",BS142&lt;(--"00:20:00")),"X",""),"")</f>
        <v/>
      </c>
      <c r="CE142" s="299" t="str">
        <f>IF(K142="",IF(BT142&gt;(--"00:15:00"),"X",""),IF(AZ142&lt;&gt;"",IF(G142-AZ142&gt;(--"00:30:00"),"X",""),""))</f>
        <v/>
      </c>
      <c r="CF142" s="299" t="str">
        <f>IF(AND(CA142="",CB142="",CC142="",CD142="",CE142=""),"X","")</f>
        <v>X</v>
      </c>
      <c r="CG142" s="301"/>
      <c r="CH142" s="299" t="str">
        <f>IF(BT142&gt;(--"00:15:00"),"X","")</f>
        <v/>
      </c>
      <c r="CI142" s="302" t="str">
        <f>AY142</f>
        <v/>
      </c>
      <c r="CJ142" s="299" t="str">
        <f>IF(AND(CH142&lt;&gt;"",CI142&lt;&gt;"",LEFT(B142,3)="ITD"),AP142,"")</f>
        <v/>
      </c>
      <c r="CK142" s="305" t="str">
        <f>IF(CJ142&lt;&gt;"",BT142,"")</f>
        <v/>
      </c>
      <c r="CL142" s="301"/>
      <c r="CM142" s="305" t="str">
        <f>IFERROR(VLOOKUP(Q142,'Elenco Casse'!$D$4:$F$292,3,FALSE),"")</f>
        <v/>
      </c>
      <c r="CN142" s="301"/>
      <c r="CO142" s="305" t="str">
        <f>IFERROR(VLOOKUP(S142,'Elenco Casse'!$D$4:$F$292,3,FALSE),"")</f>
        <v/>
      </c>
      <c r="CP142" s="305" t="str">
        <f>IFERROR(IF(VLOOKUP($E142,Outlist!$A$5:$S$120,19,FALSE)&lt;&gt;0,"Y",""),"")</f>
        <v/>
      </c>
      <c r="CQ142" s="301"/>
      <c r="CR142" s="305" t="str">
        <f>CONCATENATE($B142,$E142,$G142)</f>
        <v>ITD12078FIA0.920138888888889</v>
      </c>
      <c r="CS142" s="301"/>
      <c r="CT142" s="305" t="e">
        <f>VLOOKUP(Out_Table[[#This Row],[Destination             ORANGE (From Planning)]],Outlist!$A$5:$W$120,22,FALSE)</f>
        <v>#N/A</v>
      </c>
    </row>
    <row r="143" spans="1:98" s="20" customFormat="1" ht="30.75">
      <c r="A143" s="305" t="str">
        <f>$CR143</f>
        <v>ITD12089AN60.885416666666667</v>
      </c>
      <c r="B143" s="284" t="s">
        <v>971</v>
      </c>
      <c r="C143" s="290" t="str">
        <f>IFERROR(IF(LEFT(B143,3)='STAT 77'!$X$2,_xlfn.XLOOKUP(B143,'STAT 77'!C:C,'STAT 77'!B:B),_xlfn.XLOOKUP(B143,'STAT 77'!B:B,'STAT 77'!C:C)),"NON TROVATO")</f>
        <v>ITD30834</v>
      </c>
      <c r="D143" s="25" t="s">
        <v>972</v>
      </c>
      <c r="E143" s="290" t="s">
        <v>790</v>
      </c>
      <c r="F143" s="290" t="str">
        <f>IFERROR(VLOOKUP(E143,'Cambio O2P'!C:E,2,FALSE),"")</f>
        <v>AOIP</v>
      </c>
      <c r="G143" s="285">
        <v>0.88541666666666663</v>
      </c>
      <c r="H143" s="293" t="str">
        <f ca="1">IFERROR(IF(AND('INformazioni per calcoli'!$AB$3&lt;(--"14:30"),'INformazioni per calcoli'!$AB$3&gt;(--"10:00")),"",IF($B143="","",IF($X143&lt;&gt;"","Mezzo Chiuso",IF($W143="","Non al Carico",IF($G143-'INformazioni per calcoli'!$AB$5-'INformazioni per calcoli'!$AB$3+$J143&lt;0,"LFLS",IF($K143&lt;&gt;"","Safe Parking",IF($W143&lt;&gt;"",IF($E143="MXP",$G143-'INformazioni per calcoli'!$AB$6-'INformazioni per calcoli'!$AB$3+$J143,$G143-'INformazioni per calcoli'!$AB$5-'INformazioni per calcoli'!$AB$3+$J143),"Non al carico"))))))),"")</f>
        <v>Mezzo Chiuso</v>
      </c>
      <c r="I143" s="17" t="str">
        <f ca="1">IFERROR(IF($H143&lt;&gt;"",IF($H143="Safe Parking","",IF($W143&lt;&gt;"",IF(AND($U143="X",$V143="X"),$H143-(--"00:30"),""),IF($X143&lt;&gt;"","Mezzo Chiuso","Non al carico"))),""),"")</f>
        <v/>
      </c>
      <c r="J143" s="306">
        <f ca="1">IFERROR(IF($B143&lt;&gt;"",IF(AND('INformazioni per calcoli'!$AB$3&lt;(--"15:00"),'INformazioni per calcoli'!$AB$3&gt;(--"00:00")),0,IF($G143&lt;(--"18:30"),"+1",0)),""),"")</f>
        <v>0</v>
      </c>
      <c r="K143" s="17"/>
      <c r="L143" s="25" t="s">
        <v>692</v>
      </c>
      <c r="M143" s="25" t="str">
        <f>IFERROR(_xlfn.XLOOKUP($Q143,'Elenco Casse'!$D:$D,'Elenco Casse'!$E:$E),"")</f>
        <v>Canguro S.P.A.</v>
      </c>
      <c r="N143" s="25">
        <f>IFERROR(_xlfn.XLOOKUP($Q143,'Elenco Casse'!$D:$D,'Elenco Casse'!$F:$F),"")</f>
        <v>0</v>
      </c>
      <c r="O143" s="286" t="s">
        <v>418</v>
      </c>
      <c r="P143" s="25" t="str">
        <f>IFERROR(_xlfn.XLOOKUP($Q143,'Elenco Casse'!$D:$D,'Elenco Casse'!$G:$G),"")</f>
        <v>trailer 80 m3 2/3 axles</v>
      </c>
      <c r="Q143" s="355" t="s">
        <v>973</v>
      </c>
      <c r="R143" s="23" t="s">
        <v>420</v>
      </c>
      <c r="S143" s="25" t="s">
        <v>421</v>
      </c>
      <c r="T143" s="25" t="s">
        <v>726</v>
      </c>
      <c r="U143" s="23" t="str">
        <f>IF(ISNUMBER(SEARCH("Parcel",$T143)),"X","")</f>
        <v/>
      </c>
      <c r="V143" s="23" t="str">
        <f>IF(ISNUMBER(SEARCH("Freight",$T143)),"X","")</f>
        <v>X</v>
      </c>
      <c r="W143" s="26">
        <v>717</v>
      </c>
      <c r="X143" s="27">
        <v>0.73124999999999996</v>
      </c>
      <c r="Y143" s="25" t="s">
        <v>974</v>
      </c>
      <c r="Z143" s="25"/>
      <c r="AA143" s="25" t="s">
        <v>487</v>
      </c>
      <c r="AB143" s="57">
        <v>1</v>
      </c>
      <c r="AC143" s="25"/>
      <c r="AD143" s="25"/>
      <c r="AE143" s="57"/>
      <c r="AF143" s="57"/>
      <c r="AG143" s="25"/>
      <c r="AH143" s="57"/>
      <c r="AI143" s="339"/>
      <c r="AJ143" s="339"/>
      <c r="AK143" s="297" t="str">
        <f>IF(X143&lt;&gt;"",CONCATENATE(IF(AA143&lt;&gt;"",CONCATENATE(Z143," ",AA143," ",BI143),""),IF(AD143&lt;&gt;"",CONCATENATE(","," ",AC143," ",AD143," ",BJ143),""),IF(AG143&lt;&gt;"",CONCATENATE(","," ",AF143," ",AG143," ",BK143),""),IF(AJ143&lt;&gt;"",CONCATENATE(","," ","DD"," ",BL143),"")," ",IF(AI143&lt;&gt;"",CONCATENATE(" - ",AI143," Bag"),"")),"")</f>
        <v xml:space="preserve"> FRT 14 </v>
      </c>
      <c r="AL143" s="287" t="s">
        <v>421</v>
      </c>
      <c r="AM143" s="287"/>
      <c r="AN143" s="383"/>
      <c r="AO143" s="287"/>
      <c r="AP143" s="370" t="str">
        <f>IFERROR(VLOOKUP(#REF!,Outlist!$A$5:$V$120,20,FALSE),"")</f>
        <v/>
      </c>
      <c r="AQ143" s="288" t="s">
        <v>975</v>
      </c>
      <c r="AS143" s="24"/>
      <c r="AT143" s="24">
        <v>0.46180555555555558</v>
      </c>
      <c r="AU143" s="27">
        <v>0.84027777777777779</v>
      </c>
      <c r="AV143" s="27"/>
      <c r="AW143" s="20" t="s">
        <v>443</v>
      </c>
      <c r="AX143" s="20" t="str">
        <f>IFERROR(IF(Out_Table[[#This Row],[Cancellazione linea]]="Cancellata","yes",""),"")</f>
        <v/>
      </c>
      <c r="AY143" s="72" t="str">
        <f>IF(BA143="",BZ143,IF(AND(BA143&lt;(--"23:59:59"),BA143&gt;(--"15:00:00"),G143&lt;(--"14:00:00"),G143&gt;(--"00:00:01")),"",IF(BA143&gt;G143,BZ143,"")))</f>
        <v/>
      </c>
      <c r="AZ143" s="27">
        <v>0.8569444444444444</v>
      </c>
      <c r="BA143" s="32">
        <v>0.86250000000000004</v>
      </c>
      <c r="BB143" s="72"/>
      <c r="BC143" s="72" t="str">
        <f>IFERROR(VLOOKUP(Out_Table[[#This Row],[Aggiornamento STATUS]],'INformazioni per calcoli'!$Y$70:$AA$76,2,FALSE),"")</f>
        <v/>
      </c>
      <c r="BD143" s="289"/>
      <c r="BE143" s="289"/>
      <c r="BF143" s="47" t="str">
        <f>LEFT($E143,3)</f>
        <v>AN6</v>
      </c>
      <c r="BG143" s="298" t="str">
        <f>IF(Out_Table[[#This Row],[Ora Uscita    (GH)]]&lt;&gt;"","x","")</f>
        <v>x</v>
      </c>
      <c r="BH143" s="299">
        <f>VLOOKUP($O143,'INformazioni per calcoli'!$Y$20:$AA$23,3,FALSE)</f>
        <v>14</v>
      </c>
      <c r="BI143" s="299">
        <f>MROUND(Out_Table[[#This Row],[Mtr. Trailer]]*AB143,0.5)</f>
        <v>14</v>
      </c>
      <c r="BJ143" s="299">
        <f>MROUND(Out_Table[[#This Row],[Mtr. Trailer]]*AE143,0.5)</f>
        <v>0</v>
      </c>
      <c r="BK143" s="299">
        <f>MROUND(Out_Table[[#This Row],[Mtr. Trailer]]*AH143,0.5)</f>
        <v>0</v>
      </c>
      <c r="BL143" s="300">
        <f>Out_Table[[#This Row],[Double Deck trailer N° bumpers]]</f>
        <v>0</v>
      </c>
      <c r="BM143" s="301"/>
      <c r="BN143" s="299" t="str">
        <f>B143</f>
        <v>ITD12089</v>
      </c>
      <c r="BO143" s="299" t="str">
        <f>E143</f>
        <v>AN6</v>
      </c>
      <c r="BP143" s="302">
        <f>IF(AND(G143&gt;(--"00:00:01"),G143&lt;(--"15:00:00")),IF(AND(X143&gt;(--"00:00:01"),X143&lt;(--"15:00:00")),G143-X143,G143+1-X143),G143-X143)</f>
        <v>0.15416666666666667</v>
      </c>
      <c r="BQ143" s="303">
        <f>AE143+AF143+AH143+AJ143</f>
        <v>0</v>
      </c>
      <c r="BR143" s="304" t="str">
        <f>IF(OR(BP143&lt;=(--"00:20:00"),BQ143&gt;=100%),"OK","Not OK")</f>
        <v>Not OK</v>
      </c>
      <c r="BS143" s="302">
        <f>IF(AND(G143&gt;(--"00:00:01"),G143&lt;(--"15:00:00")),IF(AND(AU143&gt;(--"00:00:01"),AU143&lt;(--"15:00:00")),G143-AU143,G143+1-AU143),G143-AU143)</f>
        <v>4.513888888888884E-2</v>
      </c>
      <c r="BT143" s="302">
        <f>IF(AND(AZ143&gt;(--"00:00:01"),AZ143&lt;(--"15:00:00")),IF(AND(AU143&gt;(--"00:00:01"),AU143&lt;(--"15:00:00")),AZ143-AU143,AZ143+1-AU143),AZ143-AU143)</f>
        <v>1.6666666666666607E-2</v>
      </c>
      <c r="BU143" s="302">
        <f>IF(AND(BA143&gt;(--"00:00:01"),BA143&lt;(--"15:00:00")),IF(AND(AZ143&gt;(--"00:00:01"),AZ143&lt;(--"15:00:00")),BA143-AZ143,BA143+1-AZ143),BA143-AZ143)</f>
        <v>5.5555555555556468E-3</v>
      </c>
      <c r="BV143" s="299">
        <f>AV143</f>
        <v>0</v>
      </c>
      <c r="BW143" s="301"/>
      <c r="BX143" s="299" t="str">
        <f>IF(AV143="T Status",IF(AV143&lt;&gt;T143,"X",""),"")</f>
        <v/>
      </c>
      <c r="BY143" s="301"/>
      <c r="BZ143" s="299" t="str">
        <f>IF(X143&lt;&gt;"",IF(CC143="X","Driver Delay",IF(CA143="X","Paperwork Delay",IF(CB143="X","Late freight late sort",IF(CD143="X","Chiamare Control Room",IF(CE143="X","Chiamare Control Room",IF(CF143="X","Chiamare Control Room","")))))),"")</f>
        <v>Chiamare Control Room</v>
      </c>
      <c r="CA143" s="302" t="str">
        <f>IF(K143="",IF(IF(AND(G143&gt;(--"00:00:01"),G143&lt;(--"15:00:00")),IF(AND(AT143&gt;(--"08:00:00"),AT143&lt;(--"23:59:59")),G143+1-AT143,G143-AT143),G143-AT143)&gt;(--"00:20:00"),"","X"),"")</f>
        <v/>
      </c>
      <c r="CB143" s="299" t="str">
        <f>IF(K143="",IF(BP143&gt;=(--"00:20:00"),"","X"),"")</f>
        <v/>
      </c>
      <c r="CC143" s="299" t="str">
        <f>IF(OR(AV143="Autista non presente",AV143="Dati driver non presenti"),"X","")</f>
        <v/>
      </c>
      <c r="CD143" s="299" t="str">
        <f>IF(K143="",IF(AND(CC143="",BS143&lt;(--"00:20:00")),"X",""),"")</f>
        <v/>
      </c>
      <c r="CE143" s="299" t="str">
        <f>IF(K143="",IF(BT143&gt;(--"00:15:00"),"X",""),IF(AZ143&lt;&gt;"",IF(G143-AZ143&gt;(--"00:30:00"),"X",""),""))</f>
        <v>X</v>
      </c>
      <c r="CF143" s="299" t="str">
        <f>IF(AND(CA143="",CB143="",CC143="",CD143="",CE143=""),"X","")</f>
        <v/>
      </c>
      <c r="CG143" s="301"/>
      <c r="CH143" s="299" t="str">
        <f>IF(BT143&gt;(--"00:15:00"),"X","")</f>
        <v>X</v>
      </c>
      <c r="CI143" s="302" t="str">
        <f>AY143</f>
        <v/>
      </c>
      <c r="CJ143" s="299" t="str">
        <f>IF(AND(CH143&lt;&gt;"",CI143&lt;&gt;"",LEFT(B143,3)="ITD"),AP143,"")</f>
        <v/>
      </c>
      <c r="CK143" s="305" t="str">
        <f>IF(CJ143&lt;&gt;"",BT143,"")</f>
        <v/>
      </c>
      <c r="CL143" s="301"/>
      <c r="CM143" s="305" t="str">
        <f>IFERROR(VLOOKUP(Q143,'Elenco Casse'!$D$4:$F$292,3,FALSE),"")</f>
        <v/>
      </c>
      <c r="CN143" s="301"/>
      <c r="CO143" s="305" t="str">
        <f>IFERROR(VLOOKUP(S143,'Elenco Casse'!$D$4:$F$292,3,FALSE),"")</f>
        <v/>
      </c>
      <c r="CP143" s="305" t="str">
        <f>IFERROR(IF(VLOOKUP($E143,Outlist!$A$5:$S$120,19,FALSE)&lt;&gt;0,"Y",""),"")</f>
        <v/>
      </c>
      <c r="CQ143" s="301"/>
      <c r="CR143" s="305" t="str">
        <f>CONCATENATE($B143,$E143,$G143)</f>
        <v>ITD12089AN60.885416666666667</v>
      </c>
      <c r="CS143" s="301"/>
      <c r="CT143" s="305" t="e">
        <f>VLOOKUP(Out_Table[[#This Row],[Destination             ORANGE (From Planning)]],Outlist!$A$5:$W$120,22,FALSE)</f>
        <v>#N/A</v>
      </c>
    </row>
    <row r="144" spans="1:98" s="20" customFormat="1" ht="30.75">
      <c r="A144" s="305" t="str">
        <f>$CR144</f>
        <v>ITD12099AN60.947916666666667</v>
      </c>
      <c r="B144" s="284" t="s">
        <v>976</v>
      </c>
      <c r="C144" s="290" t="str">
        <f>IFERROR(IF(LEFT(B144,3)='STAT 77'!$X$2,_xlfn.XLOOKUP(B144,'STAT 77'!C:C,'STAT 77'!B:B),_xlfn.XLOOKUP(B144,'STAT 77'!B:B,'STAT 77'!C:C)),"NON TROVATO")</f>
        <v>ITD30862</v>
      </c>
      <c r="D144" s="25" t="s">
        <v>977</v>
      </c>
      <c r="E144" s="290" t="s">
        <v>790</v>
      </c>
      <c r="F144" s="290" t="str">
        <f>IFERROR(VLOOKUP(E144,'Cambio O2P'!C:E,2,FALSE),"")</f>
        <v>AOIP</v>
      </c>
      <c r="G144" s="285">
        <v>0.94791666666666663</v>
      </c>
      <c r="H144" s="293" t="str">
        <f ca="1">IFERROR(IF(AND('INformazioni per calcoli'!$AB$3&lt;(--"14:30"),'INformazioni per calcoli'!$AB$3&gt;(--"10:00")),"",IF($B144="","",IF($X144&lt;&gt;"","Mezzo Chiuso",IF($W144="","Non al Carico",IF($G144-'INformazioni per calcoli'!$AB$5-'INformazioni per calcoli'!$AB$3+$J144&lt;0,"LFLS",IF($K144&lt;&gt;"","Safe Parking",IF($W144&lt;&gt;"",IF($E144="MXP",$G144-'INformazioni per calcoli'!$AB$6-'INformazioni per calcoli'!$AB$3+$J144,$G144-'INformazioni per calcoli'!$AB$5-'INformazioni per calcoli'!$AB$3+$J144),"Non al carico"))))))),"")</f>
        <v>Mezzo Chiuso</v>
      </c>
      <c r="I144" s="17" t="str">
        <f ca="1">IFERROR(IF($H144&lt;&gt;"",IF($H144="Safe Parking","",IF($W144&lt;&gt;"",IF(AND($U144="X",$V144="X"),$H144-(--"00:30"),""),IF($X144&lt;&gt;"","Mezzo Chiuso","Non al carico"))),""),"")</f>
        <v/>
      </c>
      <c r="J144" s="306">
        <f ca="1">IFERROR(IF($B144&lt;&gt;"",IF(AND('INformazioni per calcoli'!$AB$3&lt;(--"15:00"),'INformazioni per calcoli'!$AB$3&gt;(--"00:00")),0,IF($G144&lt;(--"18:30"),"+1",0)),""),"")</f>
        <v>0</v>
      </c>
      <c r="K144" s="17"/>
      <c r="L144" s="25" t="s">
        <v>427</v>
      </c>
      <c r="M144" s="25" t="str">
        <f>IFERROR(_xlfn.XLOOKUP($Q144,'Elenco Casse'!$D:$D,'Elenco Casse'!$E:$E),"")</f>
        <v/>
      </c>
      <c r="N144" s="25" t="str">
        <f>IFERROR(_xlfn.XLOOKUP($Q144,'Elenco Casse'!$D:$D,'Elenco Casse'!$F:$F),"")</f>
        <v/>
      </c>
      <c r="O144" s="286" t="s">
        <v>418</v>
      </c>
      <c r="P144" s="295" t="str">
        <f>IFERROR(_xlfn.XLOOKUP($Q144,'Elenco Casse'!$D:$D,'Elenco Casse'!$G:$G),"")</f>
        <v/>
      </c>
      <c r="Q144" s="355" t="s">
        <v>978</v>
      </c>
      <c r="R144" s="23" t="s">
        <v>420</v>
      </c>
      <c r="S144" s="25" t="s">
        <v>421</v>
      </c>
      <c r="T144" s="25" t="s">
        <v>726</v>
      </c>
      <c r="U144" s="23" t="str">
        <f>IF(ISNUMBER(SEARCH("Parcel",$T144)),"X","")</f>
        <v/>
      </c>
      <c r="V144" s="23" t="str">
        <f>IF(ISNUMBER(SEARCH("Freight",$T144)),"X","")</f>
        <v>X</v>
      </c>
      <c r="W144" s="26">
        <v>717</v>
      </c>
      <c r="X144" s="27">
        <v>0.8833333333333333</v>
      </c>
      <c r="Y144" s="25" t="str">
        <f>IF(Out_Table[[#This Row],[DOC Del. hr. (RTH)]]&lt;&gt;"","XXX","")</f>
        <v>XXX</v>
      </c>
      <c r="Z144" s="25"/>
      <c r="AA144" s="25" t="s">
        <v>487</v>
      </c>
      <c r="AB144" s="57">
        <v>1</v>
      </c>
      <c r="AC144" s="25"/>
      <c r="AD144" s="25"/>
      <c r="AE144" s="57"/>
      <c r="AF144" s="57"/>
      <c r="AG144" s="25" t="s">
        <v>488</v>
      </c>
      <c r="AH144" s="57"/>
      <c r="AI144" s="339"/>
      <c r="AJ144" s="339"/>
      <c r="AK144" s="297" t="str">
        <f>IF(X144&lt;&gt;"",CONCATENATE(IF(AA144&lt;&gt;"",CONCATENATE(Z144," ",AA144," ",BI144),""),IF(AD144&lt;&gt;"",CONCATENATE(","," ",AC144," ",AD144," ",BJ144),""),IF(AG144&lt;&gt;"",CONCATENATE(","," ",AF144," ",AG144," ",BK144),""),IF(AJ144&lt;&gt;"",CONCATENATE(","," ","DD"," ",BL144),"")," ",IF(AI144&lt;&gt;"",CONCATENATE(" - ",AI144," Bag"),"")),"")</f>
        <v xml:space="preserve"> FRT 14,  DG 0 </v>
      </c>
      <c r="AL144" s="287" t="s">
        <v>421</v>
      </c>
      <c r="AM144" s="287"/>
      <c r="AN144" s="287"/>
      <c r="AO144" s="287"/>
      <c r="AP144" s="370">
        <f>IFERROR(VLOOKUP($E26,Outlist!$A$5:$V$120,20,FALSE),"")</f>
        <v>0</v>
      </c>
      <c r="AQ144" s="288" t="s">
        <v>979</v>
      </c>
      <c r="AS144" s="24"/>
      <c r="AT144" s="24">
        <v>0.79583333333333328</v>
      </c>
      <c r="AU144" s="27">
        <v>0.91597222222222219</v>
      </c>
      <c r="AV144" s="27"/>
      <c r="AW144" s="20" t="s">
        <v>443</v>
      </c>
      <c r="AX144" s="20" t="str">
        <f>IFERROR(IF(Out_Table[[#This Row],[Cancellazione linea]]="Cancellata","yes",""),"")</f>
        <v/>
      </c>
      <c r="AY144" s="72" t="str">
        <f>IF(BA144="",BZ144,IF(AND(BA144&lt;(--"23:59:59"),BA144&gt;(--"15:00:00"),G144&lt;(--"14:00:00"),G144&gt;(--"00:00:01")),"",IF(BA144&gt;G144,BZ144,"")))</f>
        <v/>
      </c>
      <c r="AZ144" s="27">
        <v>0.91805555555555551</v>
      </c>
      <c r="BA144" s="32">
        <v>0.92361111111111116</v>
      </c>
      <c r="BB144" s="72"/>
      <c r="BC144" s="72" t="str">
        <f>IFERROR(VLOOKUP(Out_Table[[#This Row],[Aggiornamento STATUS]],'INformazioni per calcoli'!$Y$70:$AA$76,2,FALSE),"")</f>
        <v/>
      </c>
      <c r="BD144" s="289"/>
      <c r="BE144" s="289"/>
      <c r="BF144" s="47" t="str">
        <f>LEFT($E144,3)</f>
        <v>AN6</v>
      </c>
      <c r="BG144" s="298" t="str">
        <f>IF(Out_Table[[#This Row],[Ora Uscita    (GH)]]&lt;&gt;"","x","")</f>
        <v>x</v>
      </c>
      <c r="BH144" s="299">
        <f>VLOOKUP($O144,'INformazioni per calcoli'!$Y$20:$AA$23,3,FALSE)</f>
        <v>14</v>
      </c>
      <c r="BI144" s="299">
        <f>MROUND(Out_Table[[#This Row],[Mtr. Trailer]]*AB144,0.5)</f>
        <v>14</v>
      </c>
      <c r="BJ144" s="299">
        <f>MROUND(Out_Table[[#This Row],[Mtr. Trailer]]*AE144,0.5)</f>
        <v>0</v>
      </c>
      <c r="BK144" s="299">
        <f>MROUND(Out_Table[[#This Row],[Mtr. Trailer]]*AH144,0.5)</f>
        <v>0</v>
      </c>
      <c r="BL144" s="300">
        <f>Out_Table[[#This Row],[Double Deck trailer N° bumpers]]</f>
        <v>0</v>
      </c>
      <c r="BM144" s="301"/>
      <c r="BN144" s="299" t="str">
        <f>B144</f>
        <v>ITD12099</v>
      </c>
      <c r="BO144" s="299" t="str">
        <f>E144</f>
        <v>AN6</v>
      </c>
      <c r="BP144" s="302">
        <f>IF(AND(G144&gt;(--"00:00:01"),G144&lt;(--"15:00:00")),IF(AND(X144&gt;(--"00:00:01"),X144&lt;(--"15:00:00")),G144-X144,G144+1-X144),G144-X144)</f>
        <v>6.4583333333333326E-2</v>
      </c>
      <c r="BQ144" s="303">
        <f>AE144+AF144+AH144+AJ144</f>
        <v>0</v>
      </c>
      <c r="BR144" s="304" t="str">
        <f>IF(OR(BP144&lt;=(--"00:20:00"),BQ144&gt;=100%),"OK","Not OK")</f>
        <v>Not OK</v>
      </c>
      <c r="BS144" s="302">
        <f>IF(AND(G144&gt;(--"00:00:01"),G144&lt;(--"15:00:00")),IF(AND(AU144&gt;(--"00:00:01"),AU144&lt;(--"15:00:00")),G144-AU144,G144+1-AU144),G144-AU144)</f>
        <v>3.1944444444444442E-2</v>
      </c>
      <c r="BT144" s="302">
        <f>IF(AND(AZ144&gt;(--"00:00:01"),AZ144&lt;(--"15:00:00")),IF(AND(AU144&gt;(--"00:00:01"),AU144&lt;(--"15:00:00")),AZ144-AU144,AZ144+1-AU144),AZ144-AU144)</f>
        <v>2.0833333333333259E-3</v>
      </c>
      <c r="BU144" s="302">
        <f>IF(AND(BA144&gt;(--"00:00:01"),BA144&lt;(--"15:00:00")),IF(AND(AZ144&gt;(--"00:00:01"),AZ144&lt;(--"15:00:00")),BA144-AZ144,BA144+1-AZ144),BA144-AZ144)</f>
        <v>5.5555555555556468E-3</v>
      </c>
      <c r="BV144" s="299">
        <f>AV144</f>
        <v>0</v>
      </c>
      <c r="BW144" s="301"/>
      <c r="BX144" s="299" t="str">
        <f>IF(AV144="T Status",IF(AV144&lt;&gt;T144,"X",""),"")</f>
        <v/>
      </c>
      <c r="BY144" s="301"/>
      <c r="BZ144" s="299" t="str">
        <f>IF(X144&lt;&gt;"",IF(CC144="X","Driver Delay",IF(CA144="X","Paperwork Delay",IF(CB144="X","Late freight late sort",IF(CD144="X","Chiamare Control Room",IF(CE144="X","Chiamare Control Room",IF(CF144="X","Chiamare Control Room","")))))),"")</f>
        <v>Chiamare Control Room</v>
      </c>
      <c r="CA144" s="302" t="str">
        <f>IF(K144="",IF(IF(AND(G144&gt;(--"00:00:01"),G144&lt;(--"15:00:00")),IF(AND(AT144&gt;(--"08:00:00"),AT144&lt;(--"23:59:59")),G144+1-AT144,G144-AT144),G144-AT144)&gt;(--"00:20:00"),"","X"),"")</f>
        <v/>
      </c>
      <c r="CB144" s="299" t="str">
        <f>IF(K144="",IF(BP144&gt;=(--"00:20:00"),"","X"),"")</f>
        <v/>
      </c>
      <c r="CC144" s="299" t="str">
        <f>IF(OR(AV144="Autista non presente",AV144="Dati driver non presenti"),"X","")</f>
        <v/>
      </c>
      <c r="CD144" s="299" t="str">
        <f>IF(K144="",IF(AND(CC144="",BS144&lt;(--"00:20:00")),"X",""),"")</f>
        <v/>
      </c>
      <c r="CE144" s="299" t="str">
        <f>IF(K144="",IF(BT144&gt;(--"00:15:00"),"X",""),IF(AZ144&lt;&gt;"",IF(G144-AZ144&gt;(--"00:30:00"),"X",""),""))</f>
        <v/>
      </c>
      <c r="CF144" s="299" t="str">
        <f>IF(AND(CA144="",CB144="",CC144="",CD144="",CE144=""),"X","")</f>
        <v>X</v>
      </c>
      <c r="CG144" s="301"/>
      <c r="CH144" s="299" t="str">
        <f>IF(BT144&gt;(--"00:15:00"),"X","")</f>
        <v/>
      </c>
      <c r="CI144" s="302" t="str">
        <f>AY144</f>
        <v/>
      </c>
      <c r="CJ144" s="299" t="str">
        <f>IF(AND(CH144&lt;&gt;"",CI144&lt;&gt;"",LEFT(B144,3)="ITD"),AP144,"")</f>
        <v/>
      </c>
      <c r="CK144" s="305" t="str">
        <f>IF(CJ144&lt;&gt;"",BT144,"")</f>
        <v/>
      </c>
      <c r="CL144" s="301"/>
      <c r="CM144" s="305" t="str">
        <f>IFERROR(VLOOKUP(Q144,'Elenco Casse'!$D$4:$F$292,3,FALSE),"")</f>
        <v/>
      </c>
      <c r="CN144" s="301"/>
      <c r="CO144" s="305" t="str">
        <f>IFERROR(VLOOKUP(S144,'Elenco Casse'!$D$4:$F$292,3,FALSE),"")</f>
        <v/>
      </c>
      <c r="CP144" s="305" t="str">
        <f>IFERROR(IF(VLOOKUP($E144,Outlist!$A$5:$S$120,19,FALSE)&lt;&gt;0,"Y",""),"")</f>
        <v/>
      </c>
      <c r="CQ144" s="301"/>
      <c r="CR144" s="305" t="str">
        <f>CONCATENATE($B144,$E144,$G144)</f>
        <v>ITD12099AN60.947916666666667</v>
      </c>
      <c r="CS144" s="301"/>
      <c r="CT144" s="305" t="e">
        <f>VLOOKUP(Out_Table[[#This Row],[Destination             ORANGE (From Planning)]],Outlist!$A$5:$W$120,22,FALSE)</f>
        <v>#N/A</v>
      </c>
    </row>
    <row r="145" spans="1:98" s="20" customFormat="1" ht="30.75">
      <c r="A145" s="305" t="str">
        <f>$CR145</f>
        <v>ITD12762FC50.00694444444444444</v>
      </c>
      <c r="B145" s="284" t="s">
        <v>980</v>
      </c>
      <c r="C145" s="290" t="str">
        <f>IFERROR(IF(LEFT(B145,3)='STAT 77'!$X$2,_xlfn.XLOOKUP(B145,'STAT 77'!C:C,'STAT 77'!B:B),_xlfn.XLOOKUP(B145,'STAT 77'!B:B,'STAT 77'!C:C)),"NON TROVATO")</f>
        <v>ITD32258</v>
      </c>
      <c r="D145" s="25" t="s">
        <v>981</v>
      </c>
      <c r="E145" s="290" t="s">
        <v>751</v>
      </c>
      <c r="F145" s="290" t="str">
        <f>IFERROR(VLOOKUP(E145,'Cambio O2P'!C:E,2,FALSE),"")</f>
        <v>ZIPH</v>
      </c>
      <c r="G145" s="285">
        <v>6.9444444444444441E-3</v>
      </c>
      <c r="H145" s="293" t="str">
        <f ca="1">IFERROR(IF(AND('INformazioni per calcoli'!$AB$3&lt;(--"14:30"),'INformazioni per calcoli'!$AB$3&gt;(--"10:00")),"",IF($B145="","",IF($X145&lt;&gt;"","Mezzo Chiuso",IF($W145="","Non al Carico",IF($G145-'INformazioni per calcoli'!$AB$5-'INformazioni per calcoli'!$AB$3+$J145&lt;0,"LFLS",IF($K145&lt;&gt;"","Safe Parking",IF($W145&lt;&gt;"",IF($E145="MXP",$G145-'INformazioni per calcoli'!$AB$6-'INformazioni per calcoli'!$AB$3+$J145,$G145-'INformazioni per calcoli'!$AB$5-'INformazioni per calcoli'!$AB$3+$J145),"Non al carico"))))))),"")</f>
        <v>Mezzo Chiuso</v>
      </c>
      <c r="I145" s="17"/>
      <c r="J145" s="306">
        <f ca="1">IFERROR(IF($B145&lt;&gt;"",IF(AND('INformazioni per calcoli'!$AB$3&lt;(--"15:00"),'INformazioni per calcoli'!$AB$3&gt;(--"00:00")),0,IF($G145&lt;(--"18:30"),"+1",0)),""),"")</f>
        <v>0</v>
      </c>
      <c r="K145" s="17"/>
      <c r="L145" s="25" t="s">
        <v>451</v>
      </c>
      <c r="M145" s="25" t="str">
        <f>IFERROR(_xlfn.XLOOKUP($Q145,'Elenco Casse'!$D:$D,'Elenco Casse'!$E:$E),"")</f>
        <v>F.M. Trasporti S.R.L.</v>
      </c>
      <c r="N145" s="25">
        <f>IFERROR(_xlfn.XLOOKUP($Q145,'Elenco Casse'!$D:$D,'Elenco Casse'!$F:$F),"")</f>
        <v>0</v>
      </c>
      <c r="O145" s="286" t="s">
        <v>418</v>
      </c>
      <c r="P145" s="295" t="str">
        <f>IFERROR(_xlfn.XLOOKUP($Q145,'Elenco Casse'!$D:$D,'Elenco Casse'!$G:$G),"")</f>
        <v>trailer 80 m3 2/3 axes</v>
      </c>
      <c r="Q145" s="355" t="s">
        <v>982</v>
      </c>
      <c r="R145" s="23" t="s">
        <v>420</v>
      </c>
      <c r="S145" s="25" t="s">
        <v>421</v>
      </c>
      <c r="T145" s="25" t="s">
        <v>726</v>
      </c>
      <c r="U145" s="23" t="s">
        <v>500</v>
      </c>
      <c r="V145" s="23" t="str">
        <f>IF(ISNUMBER(SEARCH("Freight",$T145)),"X","")</f>
        <v>X</v>
      </c>
      <c r="W145" s="26">
        <v>718</v>
      </c>
      <c r="X145" s="27">
        <v>0.98333333333333328</v>
      </c>
      <c r="Y145" s="25" t="s">
        <v>624</v>
      </c>
      <c r="Z145" s="25"/>
      <c r="AA145" s="25" t="s">
        <v>40</v>
      </c>
      <c r="AB145" s="57">
        <v>0.8</v>
      </c>
      <c r="AC145" s="25"/>
      <c r="AD145" s="25" t="s">
        <v>487</v>
      </c>
      <c r="AE145" s="57">
        <v>0.2</v>
      </c>
      <c r="AF145" s="57"/>
      <c r="AG145" s="25"/>
      <c r="AH145" s="57"/>
      <c r="AI145" s="339"/>
      <c r="AJ145" s="339"/>
      <c r="AK145" s="297" t="str">
        <f>IF(X145&lt;&gt;"",CONCATENATE(IF(AA145&lt;&gt;"",CONCATENATE(Z145," ",AA145," ",BI145),""),IF(AD145&lt;&gt;"",CONCATENATE(","," ",AC145," ",AD145," ",BJ145),""),IF(AG145&lt;&gt;"",CONCATENATE(","," ",AF145," ",AG145," ",BK145),""),IF(AJ145&lt;&gt;"",CONCATENATE(","," ","DD"," ",BL145),"")," ",IF(AI145&lt;&gt;"",CONCATENATE(" - ",AI145," Bag"),"")),"")</f>
        <v xml:space="preserve"> LL 11,  FRT 3 </v>
      </c>
      <c r="AL145" s="287" t="s">
        <v>421</v>
      </c>
      <c r="AM145" s="287"/>
      <c r="AN145" s="287"/>
      <c r="AO145" s="287"/>
      <c r="AP145" s="370" t="str">
        <f>IFERROR(VLOOKUP(#REF!,Outlist!$A$5:$V$120,20,FALSE),"")</f>
        <v/>
      </c>
      <c r="AQ145" s="288" t="s">
        <v>983</v>
      </c>
      <c r="AS145" s="24"/>
      <c r="AT145" s="24">
        <v>0.44861111111111113</v>
      </c>
      <c r="AU145" s="27">
        <v>0.98402777777777772</v>
      </c>
      <c r="AV145" s="27"/>
      <c r="AW145" s="20" t="s">
        <v>443</v>
      </c>
      <c r="AX145" s="20" t="str">
        <f>IFERROR(IF(Out_Table[[#This Row],[Cancellazione linea]]="Cancellata","yes",""),"")</f>
        <v/>
      </c>
      <c r="AY145" s="72" t="str">
        <f>IF(BA145="",BZ145,IF(AND(BA145&lt;(--"23:59:59"),BA145&gt;(--"15:00:00"),G145&lt;(--"14:00:00"),G145&gt;(--"00:00:01")),"",IF(BA145&gt;G145,BZ145,"")))</f>
        <v/>
      </c>
      <c r="AZ145" s="27">
        <v>0.9868055555555556</v>
      </c>
      <c r="BA145" s="32">
        <v>0.99375000000000002</v>
      </c>
      <c r="BB145" s="72"/>
      <c r="BC145" s="72" t="str">
        <f>IFERROR(VLOOKUP(Out_Table[[#This Row],[Aggiornamento STATUS]],'INformazioni per calcoli'!$Y$70:$AA$76,2,FALSE),"")</f>
        <v/>
      </c>
      <c r="BD145" s="289"/>
      <c r="BE145" s="289"/>
      <c r="BF145" s="47" t="str">
        <f>LEFT($E145,3)</f>
        <v>FC5</v>
      </c>
      <c r="BG145" s="298" t="str">
        <f>IF(Out_Table[[#This Row],[Ora Uscita    (GH)]]&lt;&gt;"","x","")</f>
        <v>x</v>
      </c>
      <c r="BH145" s="299">
        <f>VLOOKUP($O145,'INformazioni per calcoli'!$Y$20:$AA$23,3,FALSE)</f>
        <v>14</v>
      </c>
      <c r="BI145" s="299">
        <f>MROUND(Out_Table[[#This Row],[Mtr. Trailer]]*AB145,0.5)</f>
        <v>11</v>
      </c>
      <c r="BJ145" s="299">
        <f>MROUND(Out_Table[[#This Row],[Mtr. Trailer]]*AE145,0.5)</f>
        <v>3</v>
      </c>
      <c r="BK145" s="299">
        <f>MROUND(Out_Table[[#This Row],[Mtr. Trailer]]*AH145,0.5)</f>
        <v>0</v>
      </c>
      <c r="BL145" s="300">
        <f>Out_Table[[#This Row],[Double Deck trailer N° bumpers]]</f>
        <v>0</v>
      </c>
      <c r="BM145" s="301"/>
      <c r="BN145" s="299" t="str">
        <f>B145</f>
        <v>ITD12762</v>
      </c>
      <c r="BO145" s="299" t="str">
        <f>E145</f>
        <v>FC5</v>
      </c>
      <c r="BP145" s="302">
        <f>IF(AND(G145&gt;(--"00:00:01"),G145&lt;(--"15:00:00")),IF(AND(X145&gt;(--"00:00:01"),X145&lt;(--"15:00:00")),G145-X145,G145+1-X145),G145-X145)</f>
        <v>2.3611111111111138E-2</v>
      </c>
      <c r="BQ145" s="303">
        <f>AE145+AF145+AH145+AJ145</f>
        <v>0.2</v>
      </c>
      <c r="BR145" s="304" t="str">
        <f>IF(OR(BP145&lt;=(--"00:20:00"),BQ145&gt;=100%),"OK","Not OK")</f>
        <v>Not OK</v>
      </c>
      <c r="BS145" s="302">
        <f>IF(AND(G145&gt;(--"00:00:01"),G145&lt;(--"15:00:00")),IF(AND(AU145&gt;(--"00:00:01"),AU145&lt;(--"15:00:00")),G145-AU145,G145+1-AU145),G145-AU145)</f>
        <v>2.2916666666666696E-2</v>
      </c>
      <c r="BT145" s="302">
        <f>IF(AND(AZ145&gt;(--"00:00:01"),AZ145&lt;(--"15:00:00")),IF(AND(AU145&gt;(--"00:00:01"),AU145&lt;(--"15:00:00")),AZ145-AU145,AZ145+1-AU145),AZ145-AU145)</f>
        <v>2.7777777777778789E-3</v>
      </c>
      <c r="BU145" s="302">
        <f>IF(AND(BA145&gt;(--"00:00:01"),BA145&lt;(--"15:00:00")),IF(AND(AZ145&gt;(--"00:00:01"),AZ145&lt;(--"15:00:00")),BA145-AZ145,BA145+1-AZ145),BA145-AZ145)</f>
        <v>6.9444444444444198E-3</v>
      </c>
      <c r="BV145" s="299">
        <f>AV145</f>
        <v>0</v>
      </c>
      <c r="BW145" s="301"/>
      <c r="BX145" s="299" t="str">
        <f>IF(AV145="T Status",IF(AV145&lt;&gt;T145,"X",""),"")</f>
        <v/>
      </c>
      <c r="BY145" s="301"/>
      <c r="BZ145" s="299" t="str">
        <f>IF(X145&lt;&gt;"",IF(CC145="X","Driver Delay",IF(CA145="X","Paperwork Delay",IF(CB145="X","Late freight late sort",IF(CD145="X","Chiamare Control Room",IF(CE145="X","Chiamare Control Room",IF(CF145="X","Chiamare Control Room","")))))),"")</f>
        <v>Chiamare Control Room</v>
      </c>
      <c r="CA145" s="302" t="str">
        <f>IF(K145="",IF(IF(AND(G145&gt;(--"00:00:01"),G145&lt;(--"15:00:00")),IF(AND(AT145&gt;(--"08:00:00"),AT145&lt;(--"23:59:59")),G145+1-AT145,G145-AT145),G145-AT145)&gt;(--"00:20:00"),"","X"),"")</f>
        <v/>
      </c>
      <c r="CB145" s="299" t="str">
        <f>IF(K145="",IF(BP145&gt;=(--"00:20:00"),"","X"),"")</f>
        <v/>
      </c>
      <c r="CC145" s="299" t="str">
        <f>IF(OR(AV145="Autista non presente",AV145="Dati driver non presenti"),"X","")</f>
        <v/>
      </c>
      <c r="CD145" s="299" t="str">
        <f>IF(K145="",IF(AND(CC145="",BS145&lt;(--"00:20:00")),"X",""),"")</f>
        <v/>
      </c>
      <c r="CE145" s="299" t="str">
        <f>IF(K145="",IF(BT145&gt;(--"00:15:00"),"X",""),IF(AZ145&lt;&gt;"",IF(G145-AZ145&gt;(--"00:30:00"),"X",""),""))</f>
        <v/>
      </c>
      <c r="CF145" s="299" t="str">
        <f>IF(AND(CA145="",CB145="",CC145="",CD145="",CE145=""),"X","")</f>
        <v>X</v>
      </c>
      <c r="CG145" s="301"/>
      <c r="CH145" s="299" t="str">
        <f>IF(BT145&gt;(--"00:15:00"),"X","")</f>
        <v/>
      </c>
      <c r="CI145" s="302" t="str">
        <f>AY145</f>
        <v/>
      </c>
      <c r="CJ145" s="299" t="str">
        <f>IF(AND(CH145&lt;&gt;"",CI145&lt;&gt;"",LEFT(B145,3)="ITD"),AP145,"")</f>
        <v/>
      </c>
      <c r="CK145" s="305" t="str">
        <f>IF(CJ145&lt;&gt;"",BT145,"")</f>
        <v/>
      </c>
      <c r="CL145" s="301"/>
      <c r="CM145" s="305" t="str">
        <f>IFERROR(VLOOKUP(Q145,'Elenco Casse'!$D$4:$F$292,3,FALSE),"")</f>
        <v/>
      </c>
      <c r="CN145" s="301"/>
      <c r="CO145" s="305" t="str">
        <f>IFERROR(VLOOKUP(S145,'Elenco Casse'!$D$4:$F$292,3,FALSE),"")</f>
        <v/>
      </c>
      <c r="CP145" s="305" t="str">
        <f>IFERROR(IF(VLOOKUP($E145,Outlist!$A$5:$S$120,19,FALSE)&lt;&gt;0,"Y",""),"")</f>
        <v/>
      </c>
      <c r="CQ145" s="301"/>
      <c r="CR145" s="305" t="str">
        <f>CONCATENATE($B145,$E145,$G145)</f>
        <v>ITD12762FC50.00694444444444444</v>
      </c>
      <c r="CS145" s="301"/>
      <c r="CT145" s="305" t="e">
        <f>VLOOKUP(Out_Table[[#This Row],[Destination             ORANGE (From Planning)]],Outlist!$A$5:$W$120,22,FALSE)</f>
        <v>#N/A</v>
      </c>
    </row>
    <row r="146" spans="1:98" s="20" customFormat="1" ht="30.75">
      <c r="A146" s="305" t="str">
        <f>$CR146</f>
        <v>ITD12210FC50.864583333333333</v>
      </c>
      <c r="B146" s="284" t="s">
        <v>984</v>
      </c>
      <c r="C146" s="290" t="str">
        <f>IFERROR(IF(LEFT(B146,3)='STAT 77'!$X$2,_xlfn.XLOOKUP(B146,'STAT 77'!C:C,'STAT 77'!B:B),_xlfn.XLOOKUP(B146,'STAT 77'!B:B,'STAT 77'!C:C)),"NON TROVATO")</f>
        <v>ITD31088</v>
      </c>
      <c r="D146" s="25" t="s">
        <v>764</v>
      </c>
      <c r="E146" s="290" t="s">
        <v>751</v>
      </c>
      <c r="F146" s="290" t="str">
        <f>IFERROR(VLOOKUP(E146,'Cambio O2P'!C:E,2,FALSE),"")</f>
        <v>ZIPH</v>
      </c>
      <c r="G146" s="285">
        <v>0.86458333333333337</v>
      </c>
      <c r="H146" s="293" t="str">
        <f ca="1">IFERROR(IF(AND('INformazioni per calcoli'!$AB$3&lt;(--"14:30"),'INformazioni per calcoli'!$AB$3&gt;(--"10:00")),"",IF($B146="","",IF($X146&lt;&gt;"","Mezzo Chiuso",IF($W146="","Non al Carico",IF($G146-'INformazioni per calcoli'!$AB$5-'INformazioni per calcoli'!$AB$3+$J146&lt;0,"LFLS",IF($K146&lt;&gt;"","Safe Parking",IF($W146&lt;&gt;"",IF($E146="MXP",$G146-'INformazioni per calcoli'!$AB$6-'INformazioni per calcoli'!$AB$3+$J146,$G146-'INformazioni per calcoli'!$AB$5-'INformazioni per calcoli'!$AB$3+$J146),"Non al carico"))))))),"")</f>
        <v>Mezzo Chiuso</v>
      </c>
      <c r="I146" s="17" t="str">
        <f ca="1">IFERROR(IF($H146&lt;&gt;"",IF($H146="Safe Parking","",IF($W146&lt;&gt;"",IF(AND($U146="X",$V146="X"),$H146-(--"00:30"),""),IF($X146&lt;&gt;"","Mezzo Chiuso","Non al carico"))),""),"")</f>
        <v/>
      </c>
      <c r="J146" s="306">
        <f ca="1">IFERROR(IF($B146&lt;&gt;"",IF(AND('INformazioni per calcoli'!$AB$3&lt;(--"15:00"),'INformazioni per calcoli'!$AB$3&gt;(--"00:00")),0,IF($G146&lt;(--"18:30"),"+1",0)),""),"")</f>
        <v>0</v>
      </c>
      <c r="K146" s="17"/>
      <c r="L146" s="25" t="s">
        <v>606</v>
      </c>
      <c r="M146" s="25" t="str">
        <f>IFERROR(_xlfn.XLOOKUP($Q146,'Elenco Casse'!$D:$D,'Elenco Casse'!$E:$E),"")</f>
        <v>Tonia Trasporti S.R.L.</v>
      </c>
      <c r="N146" s="25">
        <f>IFERROR(_xlfn.XLOOKUP($Q146,'Elenco Casse'!$D:$D,'Elenco Casse'!$F:$F),"")</f>
        <v>0</v>
      </c>
      <c r="O146" s="286" t="s">
        <v>418</v>
      </c>
      <c r="P146" s="295" t="str">
        <f>IFERROR(_xlfn.XLOOKUP($Q146,'Elenco Casse'!$D:$D,'Elenco Casse'!$G:$G),"")</f>
        <v>trailer 80 m3 2/3 axes</v>
      </c>
      <c r="Q146" s="355" t="s">
        <v>985</v>
      </c>
      <c r="R146" s="23" t="s">
        <v>420</v>
      </c>
      <c r="S146" s="25" t="s">
        <v>421</v>
      </c>
      <c r="T146" s="25" t="s">
        <v>726</v>
      </c>
      <c r="U146" s="23" t="str">
        <f>IF(ISNUMBER(SEARCH("Parcel",$T146)),"X","")</f>
        <v/>
      </c>
      <c r="V146" s="23" t="str">
        <f>IF(ISNUMBER(SEARCH("Freight",$T146)),"X","")</f>
        <v>X</v>
      </c>
      <c r="W146" s="26">
        <v>718</v>
      </c>
      <c r="X146" s="27">
        <v>0.2722222222222222</v>
      </c>
      <c r="Y146" s="25" t="s">
        <v>986</v>
      </c>
      <c r="Z146" s="25"/>
      <c r="AA146" s="25" t="s">
        <v>487</v>
      </c>
      <c r="AB146" s="57">
        <v>1</v>
      </c>
      <c r="AC146" s="25"/>
      <c r="AD146" s="25"/>
      <c r="AE146" s="57"/>
      <c r="AF146" s="57"/>
      <c r="AG146" s="25"/>
      <c r="AH146" s="57"/>
      <c r="AI146" s="339"/>
      <c r="AJ146" s="339"/>
      <c r="AK146" s="297" t="str">
        <f>IF(X146&lt;&gt;"",CONCATENATE(IF(AA146&lt;&gt;"",CONCATENATE(Z146," ",AA146," ",BI146),""),IF(AD146&lt;&gt;"",CONCATENATE(","," ",AC146," ",AD146," ",BJ146),""),IF(AG146&lt;&gt;"",CONCATENATE(","," ",AF146," ",AG146," ",BK146),""),IF(AJ146&lt;&gt;"",CONCATENATE(","," ","DD"," ",BL146),"")," ",IF(AI146&lt;&gt;"",CONCATENATE(" - ",AI146," Bag"),"")),"")</f>
        <v xml:space="preserve"> FRT 14 </v>
      </c>
      <c r="AL146" s="287" t="s">
        <v>421</v>
      </c>
      <c r="AM146" s="287"/>
      <c r="AN146" s="287"/>
      <c r="AO146" s="287"/>
      <c r="AP146" s="370" t="str">
        <f>IFERROR(VLOOKUP(#REF!,Outlist!$A$5:$V$120,20,FALSE),"")</f>
        <v/>
      </c>
      <c r="AQ146" s="288" t="s">
        <v>987</v>
      </c>
      <c r="AS146" s="24"/>
      <c r="AT146" s="24">
        <v>0.76875000000000004</v>
      </c>
      <c r="AU146" s="27">
        <v>0.79097222222222219</v>
      </c>
      <c r="AV146" s="27"/>
      <c r="AW146" s="20" t="s">
        <v>443</v>
      </c>
      <c r="AX146" s="20" t="str">
        <f>IFERROR(IF(Out_Table[[#This Row],[Cancellazione linea]]="Cancellata","yes",""),"")</f>
        <v/>
      </c>
      <c r="AY146" s="72" t="str">
        <f>IF(BA146="",BZ146,IF(AND(BA146&lt;(--"23:59:59"),BA146&gt;(--"15:00:00"),G146&lt;(--"14:00:00"),G146&gt;(--"00:00:01")),"",IF(BA146&gt;G146,BZ146,"")))</f>
        <v/>
      </c>
      <c r="AZ146" s="27">
        <v>0.79513888888888884</v>
      </c>
      <c r="BA146" s="32">
        <v>0.80277777777777781</v>
      </c>
      <c r="BB146" s="72"/>
      <c r="BC146" s="72" t="str">
        <f>IFERROR(VLOOKUP(Out_Table[[#This Row],[Aggiornamento STATUS]],'INformazioni per calcoli'!$Y$70:$AA$76,2,FALSE),"")</f>
        <v/>
      </c>
      <c r="BD146" s="289"/>
      <c r="BE146" s="289"/>
      <c r="BF146" s="47" t="str">
        <f>LEFT($E146,3)</f>
        <v>FC5</v>
      </c>
      <c r="BG146" s="298" t="str">
        <f>IF(Out_Table[[#This Row],[Ora Uscita    (GH)]]&lt;&gt;"","x","")</f>
        <v>x</v>
      </c>
      <c r="BH146" s="299">
        <f>VLOOKUP($O146,'INformazioni per calcoli'!$Y$20:$AA$23,3,FALSE)</f>
        <v>14</v>
      </c>
      <c r="BI146" s="299">
        <f>MROUND(Out_Table[[#This Row],[Mtr. Trailer]]*AB146,0.5)</f>
        <v>14</v>
      </c>
      <c r="BJ146" s="299">
        <f>MROUND(Out_Table[[#This Row],[Mtr. Trailer]]*AE146,0.5)</f>
        <v>0</v>
      </c>
      <c r="BK146" s="299">
        <f>MROUND(Out_Table[[#This Row],[Mtr. Trailer]]*AH146,0.5)</f>
        <v>0</v>
      </c>
      <c r="BL146" s="300">
        <f>Out_Table[[#This Row],[Double Deck trailer N° bumpers]]</f>
        <v>0</v>
      </c>
      <c r="BM146" s="301"/>
      <c r="BN146" s="299" t="str">
        <f>B146</f>
        <v>ITD12210</v>
      </c>
      <c r="BO146" s="299" t="str">
        <f>E146</f>
        <v>FC5</v>
      </c>
      <c r="BP146" s="302">
        <f>IF(AND(G146&gt;(--"00:00:01"),G146&lt;(--"15:00:00")),IF(AND(X146&gt;(--"00:00:01"),X146&lt;(--"15:00:00")),G146-X146,G146+1-X146),G146-X146)</f>
        <v>0.59236111111111112</v>
      </c>
      <c r="BQ146" s="303">
        <f>AE146+AF146+AH146+AJ146</f>
        <v>0</v>
      </c>
      <c r="BR146" s="304" t="str">
        <f>IF(OR(BP146&lt;=(--"00:20:00"),BQ146&gt;=100%),"OK","Not OK")</f>
        <v>Not OK</v>
      </c>
      <c r="BS146" s="302">
        <f>IF(AND(G146&gt;(--"00:00:01"),G146&lt;(--"15:00:00")),IF(AND(AU146&gt;(--"00:00:01"),AU146&lt;(--"15:00:00")),G146-AU146,G146+1-AU146),G146-AU146)</f>
        <v>7.3611111111111183E-2</v>
      </c>
      <c r="BT146" s="302">
        <f>IF(AND(AZ146&gt;(--"00:00:01"),AZ146&lt;(--"15:00:00")),IF(AND(AU146&gt;(--"00:00:01"),AU146&lt;(--"15:00:00")),AZ146-AU146,AZ146+1-AU146),AZ146-AU146)</f>
        <v>4.1666666666666519E-3</v>
      </c>
      <c r="BU146" s="302">
        <f>IF(AND(BA146&gt;(--"00:00:01"),BA146&lt;(--"15:00:00")),IF(AND(AZ146&gt;(--"00:00:01"),AZ146&lt;(--"15:00:00")),BA146-AZ146,BA146+1-AZ146),BA146-AZ146)</f>
        <v>7.6388888888889728E-3</v>
      </c>
      <c r="BV146" s="299">
        <f>AV146</f>
        <v>0</v>
      </c>
      <c r="BW146" s="301"/>
      <c r="BX146" s="299" t="str">
        <f>IF(AV146="T Status",IF(AV146&lt;&gt;T146,"X",""),"")</f>
        <v/>
      </c>
      <c r="BY146" s="301"/>
      <c r="BZ146" s="299" t="str">
        <f>IF(X146&lt;&gt;"",IF(CC146="X","Driver Delay",IF(CA146="X","Paperwork Delay",IF(CB146="X","Late freight late sort",IF(CD146="X","Chiamare Control Room",IF(CE146="X","Chiamare Control Room",IF(CF146="X","Chiamare Control Room","")))))),"")</f>
        <v>Chiamare Control Room</v>
      </c>
      <c r="CA146" s="302" t="str">
        <f>IF(K146="",IF(IF(AND(G146&gt;(--"00:00:01"),G146&lt;(--"15:00:00")),IF(AND(AT146&gt;(--"08:00:00"),AT146&lt;(--"23:59:59")),G146+1-AT146,G146-AT146),G146-AT146)&gt;(--"00:20:00"),"","X"),"")</f>
        <v/>
      </c>
      <c r="CB146" s="299" t="str">
        <f>IF(K146="",IF(BP146&gt;=(--"00:20:00"),"","X"),"")</f>
        <v/>
      </c>
      <c r="CC146" s="299" t="str">
        <f>IF(OR(AV146="Autista non presente",AV146="Dati driver non presenti"),"X","")</f>
        <v/>
      </c>
      <c r="CD146" s="299" t="str">
        <f>IF(K146="",IF(AND(CC146="",BS146&lt;(--"00:20:00")),"X",""),"")</f>
        <v/>
      </c>
      <c r="CE146" s="299" t="str">
        <f>IF(K146="",IF(BT146&gt;(--"00:15:00"),"X",""),IF(AZ146&lt;&gt;"",IF(G146-AZ146&gt;(--"00:30:00"),"X",""),""))</f>
        <v/>
      </c>
      <c r="CF146" s="299" t="str">
        <f>IF(AND(CA146="",CB146="",CC146="",CD146="",CE146=""),"X","")</f>
        <v>X</v>
      </c>
      <c r="CG146" s="301"/>
      <c r="CH146" s="299" t="str">
        <f>IF(BT146&gt;(--"00:15:00"),"X","")</f>
        <v/>
      </c>
      <c r="CI146" s="302" t="str">
        <f>AY146</f>
        <v/>
      </c>
      <c r="CJ146" s="299" t="str">
        <f>IF(AND(CH146&lt;&gt;"",CI146&lt;&gt;"",LEFT(B146,3)="ITD"),AP146,"")</f>
        <v/>
      </c>
      <c r="CK146" s="305" t="str">
        <f>IF(CJ146&lt;&gt;"",BT146,"")</f>
        <v/>
      </c>
      <c r="CL146" s="301"/>
      <c r="CM146" s="305" t="str">
        <f>IFERROR(VLOOKUP(Q146,'Elenco Casse'!$D$4:$F$292,3,FALSE),"")</f>
        <v/>
      </c>
      <c r="CN146" s="301"/>
      <c r="CO146" s="305" t="str">
        <f>IFERROR(VLOOKUP(S146,'Elenco Casse'!$D$4:$F$292,3,FALSE),"")</f>
        <v/>
      </c>
      <c r="CP146" s="305" t="str">
        <f>IFERROR(IF(VLOOKUP($E146,Outlist!$A$5:$S$120,19,FALSE)&lt;&gt;0,"Y",""),"")</f>
        <v/>
      </c>
      <c r="CQ146" s="301"/>
      <c r="CR146" s="305" t="str">
        <f>CONCATENATE($B146,$E146,$G146)</f>
        <v>ITD12210FC50.864583333333333</v>
      </c>
      <c r="CS146" s="301"/>
      <c r="CT146" s="305" t="e">
        <f>VLOOKUP(Out_Table[[#This Row],[Destination             ORANGE (From Planning)]],Outlist!$A$5:$W$120,22,FALSE)</f>
        <v>#N/A</v>
      </c>
    </row>
    <row r="147" spans="1:98" s="20" customFormat="1" ht="30.75">
      <c r="A147" s="305" t="str">
        <f>$CR147</f>
        <v>ITD12304FC50.916666666666667</v>
      </c>
      <c r="B147" s="284" t="s">
        <v>988</v>
      </c>
      <c r="C147" s="290" t="str">
        <f>IFERROR(IF(LEFT(B147,3)='STAT 77'!$X$2,_xlfn.XLOOKUP(B147,'STAT 77'!C:C,'STAT 77'!B:B),_xlfn.XLOOKUP(B147,'STAT 77'!B:B,'STAT 77'!C:C)),"NON TROVATO")</f>
        <v>ITD32684</v>
      </c>
      <c r="D147" s="25" t="s">
        <v>989</v>
      </c>
      <c r="E147" s="290" t="s">
        <v>751</v>
      </c>
      <c r="F147" s="290" t="str">
        <f>IFERROR(VLOOKUP(E147,'Cambio O2P'!C:E,2,FALSE),"")</f>
        <v>ZIPH</v>
      </c>
      <c r="G147" s="285">
        <v>0.91666666666666663</v>
      </c>
      <c r="H147" s="293" t="str">
        <f ca="1">IFERROR(IF(AND('INformazioni per calcoli'!$AB$3&lt;(--"14:30"),'INformazioni per calcoli'!$AB$3&gt;(--"10:00")),"",IF($B147="","",IF($X147&lt;&gt;"","Mezzo Chiuso",IF($W147="","Non al Carico",IF($G147-'INformazioni per calcoli'!$AB$5-'INformazioni per calcoli'!$AB$3+$J147&lt;0,"LFLS",IF($K147&lt;&gt;"","Safe Parking",IF($W147&lt;&gt;"",IF($E147="MXP",$G147-'INformazioni per calcoli'!$AB$6-'INformazioni per calcoli'!$AB$3+$J147,$G147-'INformazioni per calcoli'!$AB$5-'INformazioni per calcoli'!$AB$3+$J147),"Non al carico"))))))),"")</f>
        <v>Mezzo Chiuso</v>
      </c>
      <c r="I147" s="17" t="str">
        <f ca="1">IFERROR(IF($H147&lt;&gt;"",IF($H147="Safe Parking","",IF($W147&lt;&gt;"",IF(AND($U147="X",$V147="X"),$H147-(--"00:30"),""),IF($X147&lt;&gt;"","Mezzo Chiuso","Non al carico"))),""),"")</f>
        <v/>
      </c>
      <c r="J147" s="306">
        <f ca="1">IFERROR(IF($B147&lt;&gt;"",IF(AND('INformazioni per calcoli'!$AB$3&lt;(--"15:00"),'INformazioni per calcoli'!$AB$3&gt;(--"00:00")),0,IF($G147&lt;(--"18:30"),"+1",0)),""),"")</f>
        <v>0</v>
      </c>
      <c r="K147" s="17"/>
      <c r="L147" s="25" t="s">
        <v>606</v>
      </c>
      <c r="M147" s="25" t="str">
        <f>IFERROR(_xlfn.XLOOKUP($Q147,'Elenco Casse'!$D:$D,'Elenco Casse'!$E:$E),"")</f>
        <v>Tonia Trasporti S.R.L.</v>
      </c>
      <c r="N147" s="25">
        <f>IFERROR(_xlfn.XLOOKUP($Q147,'Elenco Casse'!$D:$D,'Elenco Casse'!$F:$F),"")</f>
        <v>0</v>
      </c>
      <c r="O147" s="286" t="s">
        <v>418</v>
      </c>
      <c r="P147" s="295" t="str">
        <f>IFERROR(_xlfn.XLOOKUP($Q147,'Elenco Casse'!$D:$D,'Elenco Casse'!$G:$G),"")</f>
        <v>trailer 80 m3 2/3 axes</v>
      </c>
      <c r="Q147" s="355" t="s">
        <v>990</v>
      </c>
      <c r="R147" s="23" t="s">
        <v>420</v>
      </c>
      <c r="S147" s="25" t="s">
        <v>421</v>
      </c>
      <c r="T147" s="25" t="s">
        <v>726</v>
      </c>
      <c r="U147" s="23" t="str">
        <f>IF(ISNUMBER(SEARCH("Parcel",$T147)),"X","")</f>
        <v/>
      </c>
      <c r="V147" s="23" t="str">
        <f>IF(ISNUMBER(SEARCH("Freight",$T147)),"X","")</f>
        <v>X</v>
      </c>
      <c r="W147" s="26">
        <v>718</v>
      </c>
      <c r="X147" s="27">
        <v>0.78819444444444442</v>
      </c>
      <c r="Y147" s="25" t="s">
        <v>991</v>
      </c>
      <c r="Z147" s="25"/>
      <c r="AA147" s="25" t="s">
        <v>487</v>
      </c>
      <c r="AB147" s="57">
        <v>1</v>
      </c>
      <c r="AC147" s="25"/>
      <c r="AD147" s="25"/>
      <c r="AE147" s="57"/>
      <c r="AF147" s="57"/>
      <c r="AG147" s="25"/>
      <c r="AH147" s="57"/>
      <c r="AI147" s="339"/>
      <c r="AJ147" s="339"/>
      <c r="AK147" s="297" t="str">
        <f>IF(X147&lt;&gt;"",CONCATENATE(IF(AA147&lt;&gt;"",CONCATENATE(Z147," ",AA147," ",BI147),""),IF(AD147&lt;&gt;"",CONCATENATE(","," ",AC147," ",AD147," ",BJ147),""),IF(AG147&lt;&gt;"",CONCATENATE(","," ",AF147," ",AG147," ",BK147),""),IF(AJ147&lt;&gt;"",CONCATENATE(","," ","DD"," ",BL147),"")," ",IF(AI147&lt;&gt;"",CONCATENATE(" - ",AI147," Bag"),"")),"")</f>
        <v xml:space="preserve"> FRT 14 </v>
      </c>
      <c r="AL147" s="287" t="s">
        <v>421</v>
      </c>
      <c r="AM147" s="287"/>
      <c r="AN147" s="287"/>
      <c r="AO147" s="287"/>
      <c r="AP147" s="370">
        <f>IFERROR(VLOOKUP($E29,Outlist!$A$5:$V$120,20,FALSE),"")</f>
        <v>0</v>
      </c>
      <c r="AQ147" s="288" t="s">
        <v>992</v>
      </c>
      <c r="AS147" s="24"/>
      <c r="AT147" s="24">
        <v>0.79374999999999996</v>
      </c>
      <c r="AU147" s="27">
        <v>0.88194444444444442</v>
      </c>
      <c r="AV147" s="27"/>
      <c r="AW147" s="20" t="s">
        <v>443</v>
      </c>
      <c r="AX147" s="20" t="str">
        <f>IFERROR(IF(Out_Table[[#This Row],[Cancellazione linea]]="Cancellata","yes",""),"")</f>
        <v/>
      </c>
      <c r="AY147" s="72" t="str">
        <f>IF(BA147="",BZ147,IF(AND(BA147&lt;(--"23:59:59"),BA147&gt;(--"15:00:00"),G147&lt;(--"14:00:00"),G147&gt;(--"00:00:01")),"",IF(BA147&gt;G147,BZ147,"")))</f>
        <v/>
      </c>
      <c r="AZ147" s="27">
        <v>0.90416666666666667</v>
      </c>
      <c r="BA147" s="32">
        <v>0.91249999999999998</v>
      </c>
      <c r="BB147" s="72"/>
      <c r="BC147" s="72" t="str">
        <f>IFERROR(VLOOKUP(Out_Table[[#This Row],[Aggiornamento STATUS]],'INformazioni per calcoli'!$Y$70:$AA$76,2,FALSE),"")</f>
        <v/>
      </c>
      <c r="BD147" s="289"/>
      <c r="BE147" s="289"/>
      <c r="BF147" s="47" t="str">
        <f>LEFT($E147,3)</f>
        <v>FC5</v>
      </c>
      <c r="BG147" s="298" t="str">
        <f>IF(Out_Table[[#This Row],[Ora Uscita    (GH)]]&lt;&gt;"","x","")</f>
        <v>x</v>
      </c>
      <c r="BH147" s="299">
        <f>VLOOKUP($O147,'INformazioni per calcoli'!$Y$20:$AA$23,3,FALSE)</f>
        <v>14</v>
      </c>
      <c r="BI147" s="299">
        <f>MROUND(Out_Table[[#This Row],[Mtr. Trailer]]*AB147,0.5)</f>
        <v>14</v>
      </c>
      <c r="BJ147" s="299">
        <f>MROUND(Out_Table[[#This Row],[Mtr. Trailer]]*AE147,0.5)</f>
        <v>0</v>
      </c>
      <c r="BK147" s="299">
        <f>MROUND(Out_Table[[#This Row],[Mtr. Trailer]]*AH147,0.5)</f>
        <v>0</v>
      </c>
      <c r="BL147" s="300">
        <f>Out_Table[[#This Row],[Double Deck trailer N° bumpers]]</f>
        <v>0</v>
      </c>
      <c r="BM147" s="301"/>
      <c r="BN147" s="299" t="str">
        <f>B147</f>
        <v>ITD12304</v>
      </c>
      <c r="BO147" s="299" t="str">
        <f>E147</f>
        <v>FC5</v>
      </c>
      <c r="BP147" s="302">
        <f>IF(AND(G147&gt;(--"00:00:01"),G147&lt;(--"15:00:00")),IF(AND(X147&gt;(--"00:00:01"),X147&lt;(--"15:00:00")),G147-X147,G147+1-X147),G147-X147)</f>
        <v>0.12847222222222221</v>
      </c>
      <c r="BQ147" s="303">
        <f>AE147+AF147+AH147+AJ147</f>
        <v>0</v>
      </c>
      <c r="BR147" s="304" t="str">
        <f>IF(OR(BP147&lt;=(--"00:20:00"),BQ147&gt;=100%),"OK","Not OK")</f>
        <v>Not OK</v>
      </c>
      <c r="BS147" s="302">
        <f>IF(AND(G147&gt;(--"00:00:01"),G147&lt;(--"15:00:00")),IF(AND(AU147&gt;(--"00:00:01"),AU147&lt;(--"15:00:00")),G147-AU147,G147+1-AU147),G147-AU147)</f>
        <v>3.472222222222221E-2</v>
      </c>
      <c r="BT147" s="302">
        <f>IF(AND(AZ147&gt;(--"00:00:01"),AZ147&lt;(--"15:00:00")),IF(AND(AU147&gt;(--"00:00:01"),AU147&lt;(--"15:00:00")),AZ147-AU147,AZ147+1-AU147),AZ147-AU147)</f>
        <v>2.2222222222222254E-2</v>
      </c>
      <c r="BU147" s="302">
        <f>IF(AND(BA147&gt;(--"00:00:01"),BA147&lt;(--"15:00:00")),IF(AND(AZ147&gt;(--"00:00:01"),AZ147&lt;(--"15:00:00")),BA147-AZ147,BA147+1-AZ147),BA147-AZ147)</f>
        <v>8.3333333333333037E-3</v>
      </c>
      <c r="BV147" s="299">
        <f>AV147</f>
        <v>0</v>
      </c>
      <c r="BW147" s="301"/>
      <c r="BX147" s="299" t="str">
        <f>IF(AV147="T Status",IF(AV147&lt;&gt;T147,"X",""),"")</f>
        <v/>
      </c>
      <c r="BY147" s="301"/>
      <c r="BZ147" s="299" t="str">
        <f>IF(X147&lt;&gt;"",IF(CC147="X","Driver Delay",IF(CA147="X","Paperwork Delay",IF(CB147="X","Late freight late sort",IF(CD147="X","Chiamare Control Room",IF(CE147="X","Chiamare Control Room",IF(CF147="X","Chiamare Control Room","")))))),"")</f>
        <v>Chiamare Control Room</v>
      </c>
      <c r="CA147" s="302" t="str">
        <f>IF(K147="",IF(IF(AND(G147&gt;(--"00:00:01"),G147&lt;(--"15:00:00")),IF(AND(AT147&gt;(--"08:00:00"),AT147&lt;(--"23:59:59")),G147+1-AT147,G147-AT147),G147-AT147)&gt;(--"00:20:00"),"","X"),"")</f>
        <v/>
      </c>
      <c r="CB147" s="299" t="str">
        <f>IF(K147="",IF(BP147&gt;=(--"00:20:00"),"","X"),"")</f>
        <v/>
      </c>
      <c r="CC147" s="299" t="str">
        <f>IF(OR(AV147="Autista non presente",AV147="Dati driver non presenti"),"X","")</f>
        <v/>
      </c>
      <c r="CD147" s="299" t="str">
        <f>IF(K147="",IF(AND(CC147="",BS147&lt;(--"00:20:00")),"X",""),"")</f>
        <v/>
      </c>
      <c r="CE147" s="299" t="str">
        <f>IF(K147="",IF(BT147&gt;(--"00:15:00"),"X",""),IF(AZ147&lt;&gt;"",IF(G147-AZ147&gt;(--"00:30:00"),"X",""),""))</f>
        <v>X</v>
      </c>
      <c r="CF147" s="299" t="str">
        <f>IF(AND(CA147="",CB147="",CC147="",CD147="",CE147=""),"X","")</f>
        <v/>
      </c>
      <c r="CG147" s="301"/>
      <c r="CH147" s="299" t="str">
        <f>IF(BT147&gt;(--"00:15:00"),"X","")</f>
        <v>X</v>
      </c>
      <c r="CI147" s="302" t="str">
        <f>AY147</f>
        <v/>
      </c>
      <c r="CJ147" s="299" t="str">
        <f>IF(AND(CH147&lt;&gt;"",CI147&lt;&gt;"",LEFT(B147,3)="ITD"),AP147,"")</f>
        <v/>
      </c>
      <c r="CK147" s="305" t="str">
        <f>IF(CJ147&lt;&gt;"",BT147,"")</f>
        <v/>
      </c>
      <c r="CL147" s="301"/>
      <c r="CM147" s="305" t="str">
        <f>IFERROR(VLOOKUP(Q147,'Elenco Casse'!$D$4:$F$292,3,FALSE),"")</f>
        <v/>
      </c>
      <c r="CN147" s="301"/>
      <c r="CO147" s="305" t="str">
        <f>IFERROR(VLOOKUP(S147,'Elenco Casse'!$D$4:$F$292,3,FALSE),"")</f>
        <v/>
      </c>
      <c r="CP147" s="305" t="str">
        <f>IFERROR(IF(VLOOKUP($E147,Outlist!$A$5:$S$120,19,FALSE)&lt;&gt;0,"Y",""),"")</f>
        <v/>
      </c>
      <c r="CQ147" s="301"/>
      <c r="CR147" s="305" t="str">
        <f>CONCATENATE($B147,$E147,$G147)</f>
        <v>ITD12304FC50.916666666666667</v>
      </c>
      <c r="CS147" s="301"/>
      <c r="CT147" s="305" t="e">
        <f>VLOOKUP(Out_Table[[#This Row],[Destination             ORANGE (From Planning)]],Outlist!$A$5:$W$120,22,FALSE)</f>
        <v>#N/A</v>
      </c>
    </row>
    <row r="148" spans="1:98" s="20" customFormat="1" ht="30.75">
      <c r="A148" s="305" t="str">
        <f>$CR148</f>
        <v>ITD12218FC50.958333333333333</v>
      </c>
      <c r="B148" s="284" t="s">
        <v>993</v>
      </c>
      <c r="C148" s="290" t="str">
        <f>IFERROR(IF(LEFT(B148,3)='STAT 77'!$X$2,_xlfn.XLOOKUP(B148,'STAT 77'!C:C,'STAT 77'!B:B),_xlfn.XLOOKUP(B148,'STAT 77'!B:B,'STAT 77'!C:C)),"NON TROVATO")</f>
        <v>ITD31110</v>
      </c>
      <c r="D148" s="25" t="s">
        <v>981</v>
      </c>
      <c r="E148" s="290" t="s">
        <v>751</v>
      </c>
      <c r="F148" s="290" t="str">
        <f>IFERROR(VLOOKUP(E148,'Cambio O2P'!C:E,2,FALSE),"")</f>
        <v>ZIPH</v>
      </c>
      <c r="G148" s="285">
        <v>0.95833333333333337</v>
      </c>
      <c r="H148" s="293" t="str">
        <f ca="1">IFERROR(IF(AND('INformazioni per calcoli'!$AB$3&lt;(--"14:30"),'INformazioni per calcoli'!$AB$3&gt;(--"10:00")),"",IF($B148="","",IF($X148&lt;&gt;"","Mezzo Chiuso",IF($W148="","Non al Carico",IF($G148-'INformazioni per calcoli'!$AB$5-'INformazioni per calcoli'!$AB$3+$J148&lt;0,"LFLS",IF($K148&lt;&gt;"","Safe Parking",IF($W148&lt;&gt;"",IF($E148="MXP",$G148-'INformazioni per calcoli'!$AB$6-'INformazioni per calcoli'!$AB$3+$J148,$G148-'INformazioni per calcoli'!$AB$5-'INformazioni per calcoli'!$AB$3+$J148),"Non al carico"))))))),"")</f>
        <v>Mezzo Chiuso</v>
      </c>
      <c r="I148" s="17" t="str">
        <f ca="1">IFERROR(IF($H148&lt;&gt;"",IF($H148="Safe Parking","",IF($W148&lt;&gt;"",IF(AND($U148="X",$V148="X"),$H148-(--"00:30"),""),IF($X148&lt;&gt;"","Mezzo Chiuso","Non al carico"))),""),"")</f>
        <v/>
      </c>
      <c r="J148" s="306">
        <f ca="1">IFERROR(IF($B148&lt;&gt;"",IF(AND('INformazioni per calcoli'!$AB$3&lt;(--"15:00"),'INformazioni per calcoli'!$AB$3&gt;(--"00:00")),0,IF($G148&lt;(--"18:30"),"+1",0)),""),"")</f>
        <v>0</v>
      </c>
      <c r="K148" s="17"/>
      <c r="L148" s="25" t="s">
        <v>606</v>
      </c>
      <c r="M148" s="25" t="str">
        <f>IFERROR(_xlfn.XLOOKUP($Q148,'Elenco Casse'!$D:$D,'Elenco Casse'!$E:$E),"")</f>
        <v xml:space="preserve">Tonia Trasporti </v>
      </c>
      <c r="N148" s="25">
        <f>IFERROR(_xlfn.XLOOKUP($Q148,'Elenco Casse'!$D:$D,'Elenco Casse'!$F:$F),"")</f>
        <v>0</v>
      </c>
      <c r="O148" s="286" t="s">
        <v>418</v>
      </c>
      <c r="P148" s="295" t="str">
        <f>IFERROR(_xlfn.XLOOKUP($Q148,'Elenco Casse'!$D:$D,'Elenco Casse'!$G:$G),"")</f>
        <v>DOUBLE DECK</v>
      </c>
      <c r="Q148" s="355" t="s">
        <v>994</v>
      </c>
      <c r="R148" s="23" t="s">
        <v>420</v>
      </c>
      <c r="S148" s="25" t="s">
        <v>421</v>
      </c>
      <c r="T148" s="25" t="s">
        <v>726</v>
      </c>
      <c r="U148" s="23" t="str">
        <f>IF(ISNUMBER(SEARCH("Parcel",$T148)),"X","")</f>
        <v/>
      </c>
      <c r="V148" s="23" t="str">
        <f>IF(ISNUMBER(SEARCH("Freight",$T148)),"X","")</f>
        <v>X</v>
      </c>
      <c r="W148" s="26">
        <v>718</v>
      </c>
      <c r="X148" s="27">
        <v>0.88124999999999998</v>
      </c>
      <c r="Y148" s="25" t="s">
        <v>716</v>
      </c>
      <c r="Z148" s="25"/>
      <c r="AA148" s="25" t="s">
        <v>487</v>
      </c>
      <c r="AB148" s="57">
        <v>1</v>
      </c>
      <c r="AC148" s="25"/>
      <c r="AD148" s="25"/>
      <c r="AE148" s="57"/>
      <c r="AF148" s="57"/>
      <c r="AG148" s="25" t="s">
        <v>488</v>
      </c>
      <c r="AH148" s="57"/>
      <c r="AI148" s="339"/>
      <c r="AJ148" s="339"/>
      <c r="AK148" s="297" t="str">
        <f>IF(X148&lt;&gt;"",CONCATENATE(IF(AA148&lt;&gt;"",CONCATENATE(Z148," ",AA148," ",BI148),""),IF(AD148&lt;&gt;"",CONCATENATE(","," ",AC148," ",AD148," ",BJ148),""),IF(AG148&lt;&gt;"",CONCATENATE(","," ",AF148," ",AG148," ",BK148),""),IF(AJ148&lt;&gt;"",CONCATENATE(","," ","DD"," ",BL148),"")," ",IF(AI148&lt;&gt;"",CONCATENATE(" - ",AI148," Bag"),"")),"")</f>
        <v xml:space="preserve"> FRT 14,  DG 0 </v>
      </c>
      <c r="AL148" s="287" t="s">
        <v>421</v>
      </c>
      <c r="AM148" s="287"/>
      <c r="AN148" s="287"/>
      <c r="AO148" s="287"/>
      <c r="AP148" s="370">
        <f>IFERROR(VLOOKUP($E30,Outlist!$A$5:$V$120,20,FALSE),"")</f>
        <v>0</v>
      </c>
      <c r="AQ148" s="288" t="s">
        <v>995</v>
      </c>
      <c r="AS148" s="24"/>
      <c r="AT148" s="24">
        <v>0.79652777777777772</v>
      </c>
      <c r="AU148" s="27">
        <v>0.91805555555555551</v>
      </c>
      <c r="AV148" s="27"/>
      <c r="AW148" s="20" t="s">
        <v>443</v>
      </c>
      <c r="AX148" s="20" t="str">
        <f>IFERROR(IF(Out_Table[[#This Row],[Cancellazione linea]]="Cancellata","yes",""),"")</f>
        <v/>
      </c>
      <c r="AY148" s="72" t="str">
        <f>IF(BA148="",BZ148,IF(AND(BA148&lt;(--"23:59:59"),BA148&gt;(--"15:00:00"),G148&lt;(--"14:00:00"),G148&gt;(--"00:00:01")),"",IF(BA148&gt;G148,BZ148,"")))</f>
        <v/>
      </c>
      <c r="AZ148" s="27">
        <v>0.92083333333333328</v>
      </c>
      <c r="BA148" s="32">
        <v>0.92777777777777781</v>
      </c>
      <c r="BB148" s="72"/>
      <c r="BC148" s="72" t="str">
        <f>IFERROR(VLOOKUP(Out_Table[[#This Row],[Aggiornamento STATUS]],'INformazioni per calcoli'!$Y$70:$AA$76,2,FALSE),"")</f>
        <v/>
      </c>
      <c r="BD148" s="289"/>
      <c r="BE148" s="289"/>
      <c r="BF148" s="47" t="str">
        <f>LEFT($E148,3)</f>
        <v>FC5</v>
      </c>
      <c r="BG148" s="298" t="str">
        <f>IF(Out_Table[[#This Row],[Ora Uscita    (GH)]]&lt;&gt;"","x","")</f>
        <v>x</v>
      </c>
      <c r="BH148" s="299">
        <f>VLOOKUP($O148,'INformazioni per calcoli'!$Y$20:$AA$23,3,FALSE)</f>
        <v>14</v>
      </c>
      <c r="BI148" s="299">
        <f>MROUND(Out_Table[[#This Row],[Mtr. Trailer]]*AB148,0.5)</f>
        <v>14</v>
      </c>
      <c r="BJ148" s="299">
        <f>MROUND(Out_Table[[#This Row],[Mtr. Trailer]]*AE148,0.5)</f>
        <v>0</v>
      </c>
      <c r="BK148" s="299">
        <f>MROUND(Out_Table[[#This Row],[Mtr. Trailer]]*AH148,0.5)</f>
        <v>0</v>
      </c>
      <c r="BL148" s="300">
        <f>Out_Table[[#This Row],[Double Deck trailer N° bumpers]]</f>
        <v>0</v>
      </c>
      <c r="BM148" s="301"/>
      <c r="BN148" s="299" t="str">
        <f>B148</f>
        <v>ITD12218</v>
      </c>
      <c r="BO148" s="299" t="str">
        <f>E148</f>
        <v>FC5</v>
      </c>
      <c r="BP148" s="302">
        <f>IF(AND(G148&gt;(--"00:00:01"),G148&lt;(--"15:00:00")),IF(AND(X148&gt;(--"00:00:01"),X148&lt;(--"15:00:00")),G148-X148,G148+1-X148),G148-X148)</f>
        <v>7.7083333333333393E-2</v>
      </c>
      <c r="BQ148" s="303">
        <f>AE148+AF148+AH148+AJ148</f>
        <v>0</v>
      </c>
      <c r="BR148" s="304" t="str">
        <f>IF(OR(BP148&lt;=(--"00:20:00"),BQ148&gt;=100%),"OK","Not OK")</f>
        <v>Not OK</v>
      </c>
      <c r="BS148" s="302">
        <f>IF(AND(G148&gt;(--"00:00:01"),G148&lt;(--"15:00:00")),IF(AND(AU148&gt;(--"00:00:01"),AU148&lt;(--"15:00:00")),G148-AU148,G148+1-AU148),G148-AU148)</f>
        <v>4.0277777777777857E-2</v>
      </c>
      <c r="BT148" s="302">
        <f>IF(AND(AZ148&gt;(--"00:00:01"),AZ148&lt;(--"15:00:00")),IF(AND(AU148&gt;(--"00:00:01"),AU148&lt;(--"15:00:00")),AZ148-AU148,AZ148+1-AU148),AZ148-AU148)</f>
        <v>2.7777777777777679E-3</v>
      </c>
      <c r="BU148" s="302">
        <f>IF(AND(BA148&gt;(--"00:00:01"),BA148&lt;(--"15:00:00")),IF(AND(AZ148&gt;(--"00:00:01"),AZ148&lt;(--"15:00:00")),BA148-AZ148,BA148+1-AZ148),BA148-AZ148)</f>
        <v>6.9444444444445308E-3</v>
      </c>
      <c r="BV148" s="299">
        <f>AV148</f>
        <v>0</v>
      </c>
      <c r="BW148" s="301"/>
      <c r="BX148" s="299" t="str">
        <f>IF(AV148="T Status",IF(AV148&lt;&gt;T148,"X",""),"")</f>
        <v/>
      </c>
      <c r="BY148" s="301"/>
      <c r="BZ148" s="299" t="str">
        <f>IF(X148&lt;&gt;"",IF(CC148="X","Driver Delay",IF(CA148="X","Paperwork Delay",IF(CB148="X","Late freight late sort",IF(CD148="X","Chiamare Control Room",IF(CE148="X","Chiamare Control Room",IF(CF148="X","Chiamare Control Room","")))))),"")</f>
        <v>Chiamare Control Room</v>
      </c>
      <c r="CA148" s="302" t="str">
        <f>IF(K148="",IF(IF(AND(G148&gt;(--"00:00:01"),G148&lt;(--"15:00:00")),IF(AND(AT148&gt;(--"08:00:00"),AT148&lt;(--"23:59:59")),G148+1-AT148,G148-AT148),G148-AT148)&gt;(--"00:20:00"),"","X"),"")</f>
        <v/>
      </c>
      <c r="CB148" s="299" t="str">
        <f>IF(K148="",IF(BP148&gt;=(--"00:20:00"),"","X"),"")</f>
        <v/>
      </c>
      <c r="CC148" s="299" t="str">
        <f>IF(OR(AV148="Autista non presente",AV148="Dati driver non presenti"),"X","")</f>
        <v/>
      </c>
      <c r="CD148" s="299" t="str">
        <f>IF(K148="",IF(AND(CC148="",BS148&lt;(--"00:20:00")),"X",""),"")</f>
        <v/>
      </c>
      <c r="CE148" s="299" t="str">
        <f>IF(K148="",IF(BT148&gt;(--"00:15:00"),"X",""),IF(AZ148&lt;&gt;"",IF(G148-AZ148&gt;(--"00:30:00"),"X",""),""))</f>
        <v/>
      </c>
      <c r="CF148" s="299" t="str">
        <f>IF(AND(CA148="",CB148="",CC148="",CD148="",CE148=""),"X","")</f>
        <v>X</v>
      </c>
      <c r="CG148" s="301"/>
      <c r="CH148" s="299" t="str">
        <f>IF(BT148&gt;(--"00:15:00"),"X","")</f>
        <v/>
      </c>
      <c r="CI148" s="302" t="str">
        <f>AY148</f>
        <v/>
      </c>
      <c r="CJ148" s="299" t="str">
        <f>IF(AND(CH148&lt;&gt;"",CI148&lt;&gt;"",LEFT(B148,3)="ITD"),AP148,"")</f>
        <v/>
      </c>
      <c r="CK148" s="305" t="str">
        <f>IF(CJ148&lt;&gt;"",BT148,"")</f>
        <v/>
      </c>
      <c r="CL148" s="301"/>
      <c r="CM148" s="305" t="str">
        <f>IFERROR(VLOOKUP(Q148,'Elenco Casse'!$D$4:$F$292,3,FALSE),"")</f>
        <v/>
      </c>
      <c r="CN148" s="301"/>
      <c r="CO148" s="305" t="str">
        <f>IFERROR(VLOOKUP(S148,'Elenco Casse'!$D$4:$F$292,3,FALSE),"")</f>
        <v/>
      </c>
      <c r="CP148" s="305" t="str">
        <f>IFERROR(IF(VLOOKUP($E148,Outlist!$A$5:$S$120,19,FALSE)&lt;&gt;0,"Y",""),"")</f>
        <v/>
      </c>
      <c r="CQ148" s="301"/>
      <c r="CR148" s="305" t="str">
        <f>CONCATENATE($B148,$E148,$G148)</f>
        <v>ITD12218FC50.958333333333333</v>
      </c>
      <c r="CS148" s="301"/>
      <c r="CT148" s="305" t="e">
        <f>VLOOKUP(Out_Table[[#This Row],[Destination             ORANGE (From Planning)]],Outlist!$A$5:$W$120,22,FALSE)</f>
        <v>#N/A</v>
      </c>
    </row>
    <row r="149" spans="1:98" s="20" customFormat="1" ht="15">
      <c r="A149" s="305" t="str">
        <f>$CR149</f>
        <v>ITD12667MIL0.208333333333333</v>
      </c>
      <c r="B149" s="284" t="s">
        <v>996</v>
      </c>
      <c r="C149" s="290" t="str">
        <f>IFERROR(IF(LEFT(B149,3)='STAT 77'!$X$2,_xlfn.XLOOKUP(B149,'STAT 77'!C:C,'STAT 77'!B:B),_xlfn.XLOOKUP(B149,'STAT 77'!B:B,'STAT 77'!C:C)),"NON TROVATO")</f>
        <v>ITD32640</v>
      </c>
      <c r="D149" s="25" t="s">
        <v>997</v>
      </c>
      <c r="E149" s="290" t="s">
        <v>671</v>
      </c>
      <c r="F149" s="290" t="str">
        <f>IFERROR(VLOOKUP(E149,'Cambio O2P'!C:E,2,FALSE),"")</f>
        <v>MILA</v>
      </c>
      <c r="G149" s="285">
        <v>0.20833333333333334</v>
      </c>
      <c r="H149" s="293">
        <f ca="1">IFERROR(IF(AND('INformazioni per calcoli'!$AB$3&lt;(--"14:30"),'INformazioni per calcoli'!$AB$3&gt;(--"10:00")),"",IF($B149="","",IF($X149&lt;&gt;"","Mezzo Chiuso",IF($W149="","Non al Carico",IF($G149-'INformazioni per calcoli'!$AB$5-'INformazioni per calcoli'!$AB$3+$J149&lt;0,"LFLS",IF($K149&lt;&gt;"","Safe Parking",IF($W149&lt;&gt;"",IF($E149="MXP",$G149-'INformazioni per calcoli'!$AB$6-'INformazioni per calcoli'!$AB$3+$J149,$G149-'INformazioni per calcoli'!$AB$5-'INformazioni per calcoli'!$AB$3+$J149),"Non al carico"))))))),"")</f>
        <v>4.8981481481481487E-2</v>
      </c>
      <c r="I149" s="17" t="str">
        <f ca="1">IFERROR(IF($H149&lt;&gt;"",IF($H149="Safe Parking","",IF($W149&lt;&gt;"",IF(AND($U149="X",$V149="X"),$H149-(--"00:30"),""),IF($X149&lt;&gt;"","Mezzo Chiuso","Non al carico"))),""),"")</f>
        <v/>
      </c>
      <c r="J149" s="306">
        <f ca="1">IFERROR(IF($B149&lt;&gt;"",IF(AND('INformazioni per calcoli'!$AB$3&lt;(--"15:00"),'INformazioni per calcoli'!$AB$3&gt;(--"00:00")),0,IF($G149&lt;(--"18:30"),"+1",0)),""),"")</f>
        <v>0</v>
      </c>
      <c r="K149" s="17"/>
      <c r="L149" s="25" t="s">
        <v>417</v>
      </c>
      <c r="M149" s="25" t="str">
        <f>IFERROR(_xlfn.XLOOKUP($Q149,'Elenco Casse'!$D:$D,'Elenco Casse'!$E:$E),"")</f>
        <v/>
      </c>
      <c r="N149" s="25" t="str">
        <f>IFERROR(_xlfn.XLOOKUP($Q149,'Elenco Casse'!$D:$D,'Elenco Casse'!$F:$F),"")</f>
        <v/>
      </c>
      <c r="O149" s="286" t="s">
        <v>418</v>
      </c>
      <c r="P149" s="295" t="str">
        <f>IFERROR(_xlfn.XLOOKUP($Q149,'Elenco Casse'!$D:$D,'Elenco Casse'!$G:$G),"")</f>
        <v/>
      </c>
      <c r="Q149" s="355" t="s">
        <v>998</v>
      </c>
      <c r="R149" s="23" t="s">
        <v>420</v>
      </c>
      <c r="S149" s="25" t="s">
        <v>421</v>
      </c>
      <c r="T149" s="25" t="s">
        <v>999</v>
      </c>
      <c r="U149" s="23" t="str">
        <f>IF(ISNUMBER(SEARCH("Parcel",$T149)),"X","")</f>
        <v/>
      </c>
      <c r="V149" s="23" t="str">
        <f>IF(ISNUMBER(SEARCH("Freight",$T149)),"X","")</f>
        <v>X</v>
      </c>
      <c r="W149" s="26">
        <v>733</v>
      </c>
      <c r="X149" s="27"/>
      <c r="Y149" s="25"/>
      <c r="Z149" s="25"/>
      <c r="AA149" s="25" t="s">
        <v>487</v>
      </c>
      <c r="AB149" s="57"/>
      <c r="AC149" s="25"/>
      <c r="AD149" s="25"/>
      <c r="AE149" s="57"/>
      <c r="AF149" s="57"/>
      <c r="AG149" s="25" t="s">
        <v>488</v>
      </c>
      <c r="AH149" s="57"/>
      <c r="AI149" s="339"/>
      <c r="AJ149" s="339"/>
      <c r="AK149" s="297" t="str">
        <f>IF(X149&lt;&gt;"",CONCATENATE(IF(AA149&lt;&gt;"",CONCATENATE(Z149," ",AA149," ",BI149),""),IF(AD149&lt;&gt;"",CONCATENATE(","," ",AC149," ",AD149," ",BJ149),""),IF(AG149&lt;&gt;"",CONCATENATE(","," ",AF149," ",AG149," ",BK149),""),IF(AJ149&lt;&gt;"",CONCATENATE(","," ","DD"," ",BL149),"")," ",IF(AI149&lt;&gt;"",CONCATENATE(" - ",AI149," Bag"),"")),"")</f>
        <v/>
      </c>
      <c r="AL149" s="287"/>
      <c r="AM149" s="287"/>
      <c r="AN149" s="287"/>
      <c r="AO149" s="287"/>
      <c r="AP149" s="370" t="str">
        <f>IFERROR(VLOOKUP(#REF!,Outlist!$A$5:$V$120,20,FALSE),"")</f>
        <v/>
      </c>
      <c r="AQ149" s="288" t="str">
        <f>IFERROR(IF(VLOOKUP($A149,#REF!,8,FALSE)&lt;&gt;"",VLOOKUP($A149,#REF!,8,FALSE),""),"")</f>
        <v/>
      </c>
      <c r="AS149" s="24"/>
      <c r="AT149" s="24">
        <v>0.59930555555555554</v>
      </c>
      <c r="AU149" s="27"/>
      <c r="AV149" s="27"/>
      <c r="AX149" s="20" t="str">
        <f>IFERROR(IF(Out_Table[[#This Row],[Cancellazione linea]]="Cancellata","yes",""),"")</f>
        <v/>
      </c>
      <c r="AY149" s="72" t="str">
        <f>IF(BA149="",BZ149,IF(AND(BA149&lt;(--"23:59:59"),BA149&gt;(--"15:00:00"),G149&lt;(--"14:00:00"),G149&gt;(--"00:00:01")),"",IF(BA149&gt;G149,BZ149,"")))</f>
        <v/>
      </c>
      <c r="AZ149" s="27"/>
      <c r="BA149" s="32"/>
      <c r="BB149" s="72"/>
      <c r="BC149" s="72" t="str">
        <f>IFERROR(VLOOKUP(Out_Table[[#This Row],[Aggiornamento STATUS]],'INformazioni per calcoli'!$Y$70:$AA$76,2,FALSE),"")</f>
        <v/>
      </c>
      <c r="BD149" s="289"/>
      <c r="BE149" s="289"/>
      <c r="BF149" s="47" t="str">
        <f>LEFT($E149,3)</f>
        <v>MIL</v>
      </c>
      <c r="BG149" s="298" t="str">
        <f>IF(Out_Table[[#This Row],[Ora Uscita    (GH)]]&lt;&gt;"","x","")</f>
        <v/>
      </c>
      <c r="BH149" s="299">
        <f>VLOOKUP($O149,'INformazioni per calcoli'!$Y$20:$AA$23,3,FALSE)</f>
        <v>14</v>
      </c>
      <c r="BI149" s="299">
        <f>MROUND(Out_Table[[#This Row],[Mtr. Trailer]]*AB149,0.5)</f>
        <v>0</v>
      </c>
      <c r="BJ149" s="299">
        <f>MROUND(Out_Table[[#This Row],[Mtr. Trailer]]*AE149,0.5)</f>
        <v>0</v>
      </c>
      <c r="BK149" s="299">
        <f>MROUND(Out_Table[[#This Row],[Mtr. Trailer]]*AH149,0.5)</f>
        <v>0</v>
      </c>
      <c r="BL149" s="300">
        <f>Out_Table[[#This Row],[Double Deck trailer N° bumpers]]</f>
        <v>0</v>
      </c>
      <c r="BM149" s="301"/>
      <c r="BN149" s="299" t="str">
        <f>B149</f>
        <v>ITD12667</v>
      </c>
      <c r="BO149" s="299" t="str">
        <f>E149</f>
        <v>MIL</v>
      </c>
      <c r="BP149" s="302">
        <f>IF(AND(G149&gt;(--"00:00:01"),G149&lt;(--"15:00:00")),IF(AND(X149&gt;(--"00:00:01"),X149&lt;(--"15:00:00")),G149-X149,G149+1-X149),G149-X149)</f>
        <v>1.2083333333333333</v>
      </c>
      <c r="BQ149" s="303">
        <f>AE149+AF149+AH149+AJ149</f>
        <v>0</v>
      </c>
      <c r="BR149" s="304" t="str">
        <f>IF(OR(BP149&lt;=(--"00:20:00"),BQ149&gt;=100%),"OK","Not OK")</f>
        <v>Not OK</v>
      </c>
      <c r="BS149" s="302">
        <f>IF(AND(G149&gt;(--"00:00:01"),G149&lt;(--"15:00:00")),IF(AND(AU149&gt;(--"00:00:01"),AU149&lt;(--"15:00:00")),G149-AU149,G149+1-AU149),G149-AU149)</f>
        <v>1.2083333333333333</v>
      </c>
      <c r="BT149" s="302">
        <f>IF(AND(AZ149&gt;(--"00:00:01"),AZ149&lt;(--"15:00:00")),IF(AND(AU149&gt;(--"00:00:01"),AU149&lt;(--"15:00:00")),AZ149-AU149,AZ149+1-AU149),AZ149-AU149)</f>
        <v>0</v>
      </c>
      <c r="BU149" s="302">
        <f>IF(AND(BA149&gt;(--"00:00:01"),BA149&lt;(--"15:00:00")),IF(AND(AZ149&gt;(--"00:00:01"),AZ149&lt;(--"15:00:00")),BA149-AZ149,BA149+1-AZ149),BA149-AZ149)</f>
        <v>0</v>
      </c>
      <c r="BV149" s="299">
        <f>AV149</f>
        <v>0</v>
      </c>
      <c r="BW149" s="301"/>
      <c r="BX149" s="299" t="str">
        <f>IF(AV149="T Status",IF(AV149&lt;&gt;T149,"X",""),"")</f>
        <v/>
      </c>
      <c r="BY149" s="301"/>
      <c r="BZ149" s="299" t="str">
        <f>IF(X149&lt;&gt;"",IF(CC149="X","Driver Delay",IF(CA149="X","Paperwork Delay",IF(CB149="X","Late freight late sort",IF(CD149="X","Chiamare Control Room",IF(CE149="X","Chiamare Control Room",IF(CF149="X","Chiamare Control Room","")))))),"")</f>
        <v/>
      </c>
      <c r="CA149" s="302" t="str">
        <f>IF(K149="",IF(IF(AND(G149&gt;(--"00:00:01"),G149&lt;(--"15:00:00")),IF(AND(AT149&gt;(--"08:00:00"),AT149&lt;(--"23:59:59")),G149+1-AT149,G149-AT149),G149-AT149)&gt;(--"00:20:00"),"","X"),"")</f>
        <v/>
      </c>
      <c r="CB149" s="299" t="str">
        <f>IF(K149="",IF(BP149&gt;=(--"00:20:00"),"","X"),"")</f>
        <v/>
      </c>
      <c r="CC149" s="299" t="str">
        <f>IF(OR(AV149="Autista non presente",AV149="Dati driver non presenti"),"X","")</f>
        <v/>
      </c>
      <c r="CD149" s="299" t="str">
        <f>IF(K149="",IF(AND(CC149="",BS149&lt;(--"00:20:00")),"X",""),"")</f>
        <v/>
      </c>
      <c r="CE149" s="299" t="str">
        <f>IF(K149="",IF(BT149&gt;(--"00:15:00"),"X",""),IF(AZ149&lt;&gt;"",IF(G149-AZ149&gt;(--"00:30:00"),"X",""),""))</f>
        <v/>
      </c>
      <c r="CF149" s="299" t="str">
        <f>IF(AND(CA149="",CB149="",CC149="",CD149="",CE149=""),"X","")</f>
        <v>X</v>
      </c>
      <c r="CG149" s="301"/>
      <c r="CH149" s="299" t="str">
        <f>IF(BT149&gt;(--"00:15:00"),"X","")</f>
        <v/>
      </c>
      <c r="CI149" s="302" t="str">
        <f>AY149</f>
        <v/>
      </c>
      <c r="CJ149" s="299" t="str">
        <f>IF(AND(CH149&lt;&gt;"",CI149&lt;&gt;"",LEFT(B149,3)="ITD"),AP149,"")</f>
        <v/>
      </c>
      <c r="CK149" s="305" t="str">
        <f>IF(CJ149&lt;&gt;"",BT149,"")</f>
        <v/>
      </c>
      <c r="CL149" s="301"/>
      <c r="CM149" s="305" t="str">
        <f>IFERROR(VLOOKUP(Q149,'Elenco Casse'!$D$4:$F$292,3,FALSE),"")</f>
        <v/>
      </c>
      <c r="CN149" s="301"/>
      <c r="CO149" s="305" t="str">
        <f>IFERROR(VLOOKUP(S149,'Elenco Casse'!$D$4:$F$292,3,FALSE),"")</f>
        <v/>
      </c>
      <c r="CP149" s="305" t="str">
        <f>IFERROR(IF(VLOOKUP($E149,Outlist!$A$5:$S$120,19,FALSE)&lt;&gt;0,"Y",""),"")</f>
        <v/>
      </c>
      <c r="CQ149" s="301"/>
      <c r="CR149" s="305" t="str">
        <f>CONCATENATE($B149,$E149,$G149)</f>
        <v>ITD12667MIL0.208333333333333</v>
      </c>
      <c r="CS149" s="301"/>
      <c r="CT149" s="305" t="e">
        <f>VLOOKUP(Out_Table[[#This Row],[Destination             ORANGE (From Planning)]],Outlist!$A$5:$W$120,22,FALSE)</f>
        <v>#N/A</v>
      </c>
    </row>
    <row r="150" spans="1:98" s="20" customFormat="1" ht="15">
      <c r="A150" s="305" t="str">
        <f>$CR150</f>
        <v>ITD12412IOE0.326388888888889</v>
      </c>
      <c r="B150" s="284" t="s">
        <v>1000</v>
      </c>
      <c r="C150" s="290" t="str">
        <f>IFERROR(IF(LEFT(B150,3)='STAT 77'!$X$2,_xlfn.XLOOKUP(B150,'STAT 77'!C:C,'STAT 77'!B:B),_xlfn.XLOOKUP(B150,'STAT 77'!B:B,'STAT 77'!C:C)),"NON TROVATO")</f>
        <v>ITD31578</v>
      </c>
      <c r="D150" s="25" t="s">
        <v>638</v>
      </c>
      <c r="E150" s="290" t="s">
        <v>639</v>
      </c>
      <c r="F150" s="290" t="str">
        <f>IFERROR(VLOOKUP(E150,'Cambio O2P'!C:E,2,FALSE),"")</f>
        <v>ISHA</v>
      </c>
      <c r="G150" s="285">
        <v>0.3263888888888889</v>
      </c>
      <c r="H150" s="293">
        <f ca="1">IFERROR(IF(AND('INformazioni per calcoli'!$AB$3&lt;(--"14:30"),'INformazioni per calcoli'!$AB$3&gt;(--"10:00")),"",IF($B150="","",IF($X150&lt;&gt;"","Mezzo Chiuso",IF($W150="","Non al Carico",IF($G150-'INformazioni per calcoli'!$AB$5-'INformazioni per calcoli'!$AB$3+$J150&lt;0,"LFLS",IF($K150&lt;&gt;"","Safe Parking",IF($W150&lt;&gt;"",IF($E150="MXP",$G150-'INformazioni per calcoli'!$AB$6-'INformazioni per calcoli'!$AB$3+$J150,$G150-'INformazioni per calcoli'!$AB$5-'INformazioni per calcoli'!$AB$3+$J150),"Non al carico"))))))),"")</f>
        <v>0.16703703703703704</v>
      </c>
      <c r="I150" s="17" t="str">
        <f ca="1">IFERROR(IF($H150&lt;&gt;"",IF($H150="Safe Parking","",IF($W150&lt;&gt;"",IF(AND($U150="X",$V150="X"),$H150-(--"00:30"),""),IF($X150&lt;&gt;"","Mezzo Chiuso","Non al carico"))),""),"")</f>
        <v/>
      </c>
      <c r="J150" s="306">
        <f ca="1">IFERROR(IF($B150&lt;&gt;"",IF(AND('INformazioni per calcoli'!$AB$3&lt;(--"15:00"),'INformazioni per calcoli'!$AB$3&gt;(--"00:00")),0,IF($G150&lt;(--"18:30"),"+1",0)),""),"")</f>
        <v>0</v>
      </c>
      <c r="K150" s="17"/>
      <c r="L150" s="25" t="s">
        <v>430</v>
      </c>
      <c r="M150" s="25" t="str">
        <f>IFERROR(_xlfn.XLOOKUP($Q150,'Elenco Casse'!$D:$D,'Elenco Casse'!$E:$E),"")</f>
        <v xml:space="preserve">TRANS SPEEDY </v>
      </c>
      <c r="N150" s="25">
        <f>IFERROR(_xlfn.XLOOKUP($Q150,'Elenco Casse'!$D:$D,'Elenco Casse'!$F:$F),"")</f>
        <v>0</v>
      </c>
      <c r="O150" s="286" t="s">
        <v>640</v>
      </c>
      <c r="P150" s="295" t="str">
        <f>IFERROR(_xlfn.XLOOKUP($Q150,'Elenco Casse'!$D:$D,'Elenco Casse'!$G:$G),"")</f>
        <v>trailer 55 m3 2/3 axles</v>
      </c>
      <c r="Q150" s="355" t="s">
        <v>1001</v>
      </c>
      <c r="R150" s="23" t="s">
        <v>420</v>
      </c>
      <c r="S150" s="25" t="s">
        <v>421</v>
      </c>
      <c r="T150" s="25" t="s">
        <v>599</v>
      </c>
      <c r="U150" s="23" t="str">
        <f>IF(ISNUMBER(SEARCH("Parcel",$T150)),"X","")</f>
        <v/>
      </c>
      <c r="V150" s="23" t="str">
        <f>IF(ISNUMBER(SEARCH("Freight",$T150)),"X","")</f>
        <v>X</v>
      </c>
      <c r="W150" s="26">
        <v>735</v>
      </c>
      <c r="X150" s="27"/>
      <c r="Y150" s="25"/>
      <c r="Z150" s="25"/>
      <c r="AA150" s="25" t="s">
        <v>487</v>
      </c>
      <c r="AB150" s="57"/>
      <c r="AC150" s="25"/>
      <c r="AD150" s="25"/>
      <c r="AE150" s="57"/>
      <c r="AF150" s="57"/>
      <c r="AG150" s="25"/>
      <c r="AH150" s="57"/>
      <c r="AI150" s="339"/>
      <c r="AJ150" s="339"/>
      <c r="AK150" s="297" t="str">
        <f>IF(X150&lt;&gt;"",CONCATENATE(IF(AA150&lt;&gt;"",CONCATENATE(Z150," ",AA150," ",BI150),""),IF(AD150&lt;&gt;"",CONCATENATE(","," ",AC150," ",AD150," ",BJ150),""),IF(AG150&lt;&gt;"",CONCATENATE(","," ",AF150," ",AG150," ",BK150),""),IF(AJ150&lt;&gt;"",CONCATENATE(","," ","DD"," ",BL150),"")," ",IF(AI150&lt;&gt;"",CONCATENATE(" - ",AI150," Bag"),"")),"")</f>
        <v/>
      </c>
      <c r="AL150" s="287"/>
      <c r="AM150" s="287"/>
      <c r="AN150" s="287"/>
      <c r="AO150" s="287"/>
      <c r="AP150" s="370" t="str">
        <f>IFERROR(VLOOKUP(#REF!,Outlist!$A$5:$V$120,20,FALSE),"")</f>
        <v/>
      </c>
      <c r="AQ150" s="288" t="str">
        <f>IFERROR(IF(VLOOKUP($A150,#REF!,8,FALSE)&lt;&gt;"",VLOOKUP($A150,#REF!,8,FALSE),""),"")</f>
        <v/>
      </c>
      <c r="AS150" s="24"/>
      <c r="AT150" s="24">
        <v>2.361111111111111E-2</v>
      </c>
      <c r="AU150" s="27"/>
      <c r="AV150" s="27"/>
      <c r="AX150" s="20" t="str">
        <f>IFERROR(IF(Out_Table[[#This Row],[Cancellazione linea]]="Cancellata","yes",""),"")</f>
        <v/>
      </c>
      <c r="AY150" s="72" t="str">
        <f>IF(BA150="",BZ150,IF(AND(BA150&lt;(--"23:59:59"),BA150&gt;(--"15:00:00"),G150&lt;(--"14:00:00"),G150&gt;(--"00:00:01")),"",IF(BA150&gt;G150,BZ150,"")))</f>
        <v/>
      </c>
      <c r="AZ150" s="27"/>
      <c r="BA150" s="32"/>
      <c r="BB150" s="72"/>
      <c r="BC150" s="72" t="str">
        <f>IFERROR(VLOOKUP(Out_Table[[#This Row],[Aggiornamento STATUS]],'INformazioni per calcoli'!$Y$70:$AA$76,2,FALSE),"")</f>
        <v/>
      </c>
      <c r="BD150" s="289"/>
      <c r="BE150" s="289"/>
      <c r="BF150" s="47" t="str">
        <f>LEFT($E150,3)</f>
        <v>IOE</v>
      </c>
      <c r="BG150" s="298" t="str">
        <f>IF(Out_Table[[#This Row],[Ora Uscita    (GH)]]&lt;&gt;"","x","")</f>
        <v/>
      </c>
      <c r="BH150" s="299">
        <f>VLOOKUP($O150,'INformazioni per calcoli'!$Y$20:$AA$23,3,FALSE)</f>
        <v>12</v>
      </c>
      <c r="BI150" s="299">
        <f>MROUND(Out_Table[[#This Row],[Mtr. Trailer]]*AB150,0.5)</f>
        <v>0</v>
      </c>
      <c r="BJ150" s="299">
        <f>MROUND(Out_Table[[#This Row],[Mtr. Trailer]]*AE150,0.5)</f>
        <v>0</v>
      </c>
      <c r="BK150" s="299">
        <f>MROUND(Out_Table[[#This Row],[Mtr. Trailer]]*AH150,0.5)</f>
        <v>0</v>
      </c>
      <c r="BL150" s="300">
        <f>Out_Table[[#This Row],[Double Deck trailer N° bumpers]]</f>
        <v>0</v>
      </c>
      <c r="BM150" s="301"/>
      <c r="BN150" s="299" t="str">
        <f>B150</f>
        <v>ITD12412</v>
      </c>
      <c r="BO150" s="299" t="str">
        <f>E150</f>
        <v>IOE</v>
      </c>
      <c r="BP150" s="302">
        <f>IF(AND(G150&gt;(--"00:00:01"),G150&lt;(--"15:00:00")),IF(AND(X150&gt;(--"00:00:01"),X150&lt;(--"15:00:00")),G150-X150,G150+1-X150),G150-X150)</f>
        <v>1.3263888888888888</v>
      </c>
      <c r="BQ150" s="303">
        <f>AE150+AF150+AH150+AJ150</f>
        <v>0</v>
      </c>
      <c r="BR150" s="304" t="str">
        <f>IF(OR(BP150&lt;=(--"00:20:00"),BQ150&gt;=100%),"OK","Not OK")</f>
        <v>Not OK</v>
      </c>
      <c r="BS150" s="302">
        <f>IF(AND(G150&gt;(--"00:00:01"),G150&lt;(--"15:00:00")),IF(AND(AU150&gt;(--"00:00:01"),AU150&lt;(--"15:00:00")),G150-AU150,G150+1-AU150),G150-AU150)</f>
        <v>1.3263888888888888</v>
      </c>
      <c r="BT150" s="302">
        <f>IF(AND(AZ150&gt;(--"00:00:01"),AZ150&lt;(--"15:00:00")),IF(AND(AU150&gt;(--"00:00:01"),AU150&lt;(--"15:00:00")),AZ150-AU150,AZ150+1-AU150),AZ150-AU150)</f>
        <v>0</v>
      </c>
      <c r="BU150" s="302">
        <f>IF(AND(BA150&gt;(--"00:00:01"),BA150&lt;(--"15:00:00")),IF(AND(AZ150&gt;(--"00:00:01"),AZ150&lt;(--"15:00:00")),BA150-AZ150,BA150+1-AZ150),BA150-AZ150)</f>
        <v>0</v>
      </c>
      <c r="BV150" s="299">
        <f>AV150</f>
        <v>0</v>
      </c>
      <c r="BW150" s="301"/>
      <c r="BX150" s="299" t="str">
        <f>IF(AV150="T Status",IF(AV150&lt;&gt;T150,"X",""),"")</f>
        <v/>
      </c>
      <c r="BY150" s="301"/>
      <c r="BZ150" s="299" t="str">
        <f>IF(X150&lt;&gt;"",IF(CC150="X","Driver Delay",IF(CA150="X","Paperwork Delay",IF(CB150="X","Late freight late sort",IF(CD150="X","Chiamare Control Room",IF(CE150="X","Chiamare Control Room",IF(CF150="X","Chiamare Control Room","")))))),"")</f>
        <v/>
      </c>
      <c r="CA150" s="302" t="str">
        <f>IF(K150="",IF(IF(AND(G150&gt;(--"00:00:01"),G150&lt;(--"15:00:00")),IF(AND(AT150&gt;(--"08:00:00"),AT150&lt;(--"23:59:59")),G150+1-AT150,G150-AT150),G150-AT150)&gt;(--"00:20:00"),"","X"),"")</f>
        <v/>
      </c>
      <c r="CB150" s="299" t="str">
        <f>IF(K150="",IF(BP150&gt;=(--"00:20:00"),"","X"),"")</f>
        <v/>
      </c>
      <c r="CC150" s="299" t="str">
        <f>IF(OR(AV150="Autista non presente",AV150="Dati driver non presenti"),"X","")</f>
        <v/>
      </c>
      <c r="CD150" s="299" t="str">
        <f>IF(K150="",IF(AND(CC150="",BS150&lt;(--"00:20:00")),"X",""),"")</f>
        <v/>
      </c>
      <c r="CE150" s="299" t="str">
        <f>IF(K150="",IF(BT150&gt;(--"00:15:00"),"X",""),IF(AZ150&lt;&gt;"",IF(G150-AZ150&gt;(--"00:30:00"),"X",""),""))</f>
        <v/>
      </c>
      <c r="CF150" s="299" t="str">
        <f>IF(AND(CA150="",CB150="",CC150="",CD150="",CE150=""),"X","")</f>
        <v>X</v>
      </c>
      <c r="CG150" s="301"/>
      <c r="CH150" s="299" t="str">
        <f>IF(BT150&gt;(--"00:15:00"),"X","")</f>
        <v/>
      </c>
      <c r="CI150" s="302" t="str">
        <f>AY150</f>
        <v/>
      </c>
      <c r="CJ150" s="299" t="str">
        <f>IF(AND(CH150&lt;&gt;"",CI150&lt;&gt;"",LEFT(B150,3)="ITD"),AP150,"")</f>
        <v/>
      </c>
      <c r="CK150" s="305" t="str">
        <f>IF(CJ150&lt;&gt;"",BT150,"")</f>
        <v/>
      </c>
      <c r="CL150" s="301"/>
      <c r="CM150" s="305" t="str">
        <f>IFERROR(VLOOKUP(Q150,'Elenco Casse'!$D$4:$F$292,3,FALSE),"")</f>
        <v/>
      </c>
      <c r="CN150" s="301"/>
      <c r="CO150" s="305" t="str">
        <f>IFERROR(VLOOKUP(S150,'Elenco Casse'!$D$4:$F$292,3,FALSE),"")</f>
        <v/>
      </c>
      <c r="CP150" s="305" t="str">
        <f>IFERROR(IF(VLOOKUP($E150,Outlist!$A$5:$S$120,19,FALSE)&lt;&gt;0,"Y",""),"")</f>
        <v/>
      </c>
      <c r="CQ150" s="301"/>
      <c r="CR150" s="305" t="str">
        <f>CONCATENATE($B150,$E150,$G150)</f>
        <v>ITD12412IOE0.326388888888889</v>
      </c>
      <c r="CS150" s="301"/>
      <c r="CT150" s="305" t="e">
        <f>VLOOKUP(Out_Table[[#This Row],[Destination             ORANGE (From Planning)]],Outlist!$A$5:$W$120,22,FALSE)</f>
        <v>#N/A</v>
      </c>
    </row>
    <row r="151" spans="1:98" s="20" customFormat="1" ht="15">
      <c r="A151" s="305" t="str">
        <f>$CR151</f>
        <v>ITD12720AOT0.25</v>
      </c>
      <c r="B151" s="284" t="s">
        <v>1002</v>
      </c>
      <c r="C151" s="290" t="str">
        <f>IFERROR(IF(LEFT(B151,3)='STAT 77'!$X$2,_xlfn.XLOOKUP(B151,'STAT 77'!C:C,'STAT 77'!B:B),_xlfn.XLOOKUP(B151,'STAT 77'!B:B,'STAT 77'!C:C)),"NON TROVATO")</f>
        <v>ITD32153</v>
      </c>
      <c r="D151" s="25" t="s">
        <v>885</v>
      </c>
      <c r="E151" s="290" t="s">
        <v>886</v>
      </c>
      <c r="F151" s="290" t="str">
        <f>IFERROR(VLOOKUP(E151,'Cambio O2P'!C:E,2,FALSE),"")</f>
        <v>AOTT8</v>
      </c>
      <c r="G151" s="285">
        <v>0.25</v>
      </c>
      <c r="H151" s="293">
        <f ca="1">IFERROR(IF(AND('INformazioni per calcoli'!$AB$3&lt;(--"14:30"),'INformazioni per calcoli'!$AB$3&gt;(--"10:00")),"",IF($B151="","",IF($X151&lt;&gt;"","Mezzo Chiuso",IF($W151="","Non al Carico",IF($G151-'INformazioni per calcoli'!$AB$5-'INformazioni per calcoli'!$AB$3+$J151&lt;0,"LFLS",IF($K151&lt;&gt;"","Safe Parking",IF($W151&lt;&gt;"",IF($E151="MXP",$G151-'INformazioni per calcoli'!$AB$6-'INformazioni per calcoli'!$AB$3+$J151,$G151-'INformazioni per calcoli'!$AB$5-'INformazioni per calcoli'!$AB$3+$J151),"Non al carico"))))))),"")</f>
        <v>9.0648148148148144E-2</v>
      </c>
      <c r="I151" s="17">
        <f ca="1">IFERROR(IF($H151&lt;&gt;"",IF($H151="Safe Parking","",IF($W151&lt;&gt;"",IF(AND($U151="X",$V151="X"),$H151-(--"00:30"),""),IF($X151&lt;&gt;"","Mezzo Chiuso","Non al carico"))),""),"")</f>
        <v>6.9814814814814816E-2</v>
      </c>
      <c r="J151" s="306">
        <f ca="1">IFERROR(IF($B151&lt;&gt;"",IF(AND('INformazioni per calcoli'!$AB$3&lt;(--"15:00"),'INformazioni per calcoli'!$AB$3&gt;(--"00:00")),0,IF($G151&lt;(--"18:30"),"+1",0)),""),"")</f>
        <v>0</v>
      </c>
      <c r="K151" s="17"/>
      <c r="L151" s="25" t="s">
        <v>427</v>
      </c>
      <c r="M151" s="25" t="str">
        <f>IFERROR(_xlfn.XLOOKUP($Q151,'Elenco Casse'!$D:$D,'Elenco Casse'!$E:$E),"")</f>
        <v>Zampieri</v>
      </c>
      <c r="N151" s="25">
        <f>IFERROR(_xlfn.XLOOKUP($Q151,'Elenco Casse'!$D:$D,'Elenco Casse'!$F:$F),"")</f>
        <v>0</v>
      </c>
      <c r="O151" s="286" t="s">
        <v>640</v>
      </c>
      <c r="P151" s="295" t="str">
        <f>IFERROR(_xlfn.XLOOKUP($Q151,'Elenco Casse'!$D:$D,'Elenco Casse'!$G:$G),"")</f>
        <v>trailer 55 m3 2/3 axles</v>
      </c>
      <c r="Q151" s="355" t="s">
        <v>1003</v>
      </c>
      <c r="R151" s="23" t="s">
        <v>420</v>
      </c>
      <c r="S151" s="25" t="s">
        <v>421</v>
      </c>
      <c r="T151" s="25" t="s">
        <v>1004</v>
      </c>
      <c r="U151" s="23" t="str">
        <f>IF(ISNUMBER(SEARCH("Parcel",$T151)),"X","")</f>
        <v>X</v>
      </c>
      <c r="V151" s="23" t="str">
        <f>IF(ISNUMBER(SEARCH("Freight",$T151)),"X","")</f>
        <v>X</v>
      </c>
      <c r="W151" s="26">
        <v>736</v>
      </c>
      <c r="X151" s="27"/>
      <c r="Y151" s="25"/>
      <c r="Z151" s="25"/>
      <c r="AA151" s="25" t="s">
        <v>487</v>
      </c>
      <c r="AB151" s="57"/>
      <c r="AC151" s="25"/>
      <c r="AD151" s="25"/>
      <c r="AE151" s="57"/>
      <c r="AF151" s="57"/>
      <c r="AG151" s="25" t="s">
        <v>488</v>
      </c>
      <c r="AH151" s="57"/>
      <c r="AI151" s="339"/>
      <c r="AJ151" s="339"/>
      <c r="AK151" s="297" t="str">
        <f>IF(X151&lt;&gt;"",CONCATENATE(IF(AA151&lt;&gt;"",CONCATENATE(Z151," ",AA151," ",BI151),""),IF(AD151&lt;&gt;"",CONCATENATE(","," ",AC151," ",AD151," ",BJ151),""),IF(AG151&lt;&gt;"",CONCATENATE(","," ",AF151," ",AG151," ",BK151),""),IF(AJ151&lt;&gt;"",CONCATENATE(","," ","DD"," ",BL151),"")," ",IF(AI151&lt;&gt;"",CONCATENATE(" - ",AI151," Bag"),"")),"")</f>
        <v/>
      </c>
      <c r="AL151" s="287"/>
      <c r="AM151" s="287"/>
      <c r="AN151" s="287"/>
      <c r="AO151" s="287"/>
      <c r="AP151" s="370" t="str">
        <f>IFERROR(VLOOKUP(#REF!,Outlist!$A$5:$V$120,20,FALSE),"")</f>
        <v/>
      </c>
      <c r="AQ151" s="288" t="str">
        <f>IFERROR(IF(VLOOKUP($A151,#REF!,8,FALSE)&lt;&gt;"",VLOOKUP($A151,#REF!,8,FALSE),""),"")</f>
        <v/>
      </c>
      <c r="AS151" s="24"/>
      <c r="AT151" s="24">
        <v>1.0416666666666666E-2</v>
      </c>
      <c r="AU151" s="27"/>
      <c r="AV151" s="27"/>
      <c r="AX151" s="20" t="str">
        <f>IFERROR(IF(Out_Table[[#This Row],[Cancellazione linea]]="Cancellata","yes",""),"")</f>
        <v/>
      </c>
      <c r="AY151" s="72" t="str">
        <f>IF(BA151="",BZ151,IF(AND(BA151&lt;(--"23:59:59"),BA151&gt;(--"15:00:00"),G151&lt;(--"14:00:00"),G151&gt;(--"00:00:01")),"",IF(BA151&gt;G151,BZ151,"")))</f>
        <v/>
      </c>
      <c r="AZ151" s="27"/>
      <c r="BA151" s="32"/>
      <c r="BB151" s="72"/>
      <c r="BC151" s="72" t="str">
        <f>IFERROR(VLOOKUP(Out_Table[[#This Row],[Aggiornamento STATUS]],'INformazioni per calcoli'!$Y$70:$AA$76,2,FALSE),"")</f>
        <v/>
      </c>
      <c r="BD151" s="289"/>
      <c r="BE151" s="289"/>
      <c r="BF151" s="47" t="str">
        <f>LEFT($E151,3)</f>
        <v>AOT</v>
      </c>
      <c r="BG151" s="298" t="str">
        <f>IF(Out_Table[[#This Row],[Ora Uscita    (GH)]]&lt;&gt;"","x","")</f>
        <v/>
      </c>
      <c r="BH151" s="299">
        <f>VLOOKUP($O151,'INformazioni per calcoli'!$Y$20:$AA$23,3,FALSE)</f>
        <v>12</v>
      </c>
      <c r="BI151" s="299">
        <f>MROUND(Out_Table[[#This Row],[Mtr. Trailer]]*AB151,0.5)</f>
        <v>0</v>
      </c>
      <c r="BJ151" s="299">
        <f>MROUND(Out_Table[[#This Row],[Mtr. Trailer]]*AE151,0.5)</f>
        <v>0</v>
      </c>
      <c r="BK151" s="299">
        <f>MROUND(Out_Table[[#This Row],[Mtr. Trailer]]*AH151,0.5)</f>
        <v>0</v>
      </c>
      <c r="BL151" s="300">
        <f>Out_Table[[#This Row],[Double Deck trailer N° bumpers]]</f>
        <v>0</v>
      </c>
      <c r="BM151" s="301"/>
      <c r="BN151" s="299" t="str">
        <f>B151</f>
        <v>ITD12720</v>
      </c>
      <c r="BO151" s="299" t="str">
        <f>E151</f>
        <v>AOT</v>
      </c>
      <c r="BP151" s="302">
        <f>IF(AND(G151&gt;(--"00:00:01"),G151&lt;(--"15:00:00")),IF(AND(X151&gt;(--"00:00:01"),X151&lt;(--"15:00:00")),G151-X151,G151+1-X151),G151-X151)</f>
        <v>1.25</v>
      </c>
      <c r="BQ151" s="303">
        <f>AE151+AF151+AH151+AJ151</f>
        <v>0</v>
      </c>
      <c r="BR151" s="304" t="str">
        <f>IF(OR(BP151&lt;=(--"00:20:00"),BQ151&gt;=100%),"OK","Not OK")</f>
        <v>Not OK</v>
      </c>
      <c r="BS151" s="302">
        <f>IF(AND(G151&gt;(--"00:00:01"),G151&lt;(--"15:00:00")),IF(AND(AU151&gt;(--"00:00:01"),AU151&lt;(--"15:00:00")),G151-AU151,G151+1-AU151),G151-AU151)</f>
        <v>1.25</v>
      </c>
      <c r="BT151" s="302">
        <f>IF(AND(AZ151&gt;(--"00:00:01"),AZ151&lt;(--"15:00:00")),IF(AND(AU151&gt;(--"00:00:01"),AU151&lt;(--"15:00:00")),AZ151-AU151,AZ151+1-AU151),AZ151-AU151)</f>
        <v>0</v>
      </c>
      <c r="BU151" s="302">
        <f>IF(AND(BA151&gt;(--"00:00:01"),BA151&lt;(--"15:00:00")),IF(AND(AZ151&gt;(--"00:00:01"),AZ151&lt;(--"15:00:00")),BA151-AZ151,BA151+1-AZ151),BA151-AZ151)</f>
        <v>0</v>
      </c>
      <c r="BV151" s="299">
        <f>AV151</f>
        <v>0</v>
      </c>
      <c r="BW151" s="301"/>
      <c r="BX151" s="299" t="str">
        <f>IF(AV151="T Status",IF(AV151&lt;&gt;T151,"X",""),"")</f>
        <v/>
      </c>
      <c r="BY151" s="301"/>
      <c r="BZ151" s="299" t="str">
        <f>IF(X151&lt;&gt;"",IF(CC151="X","Driver Delay",IF(CA151="X","Paperwork Delay",IF(CB151="X","Late freight late sort",IF(CD151="X","Chiamare Control Room",IF(CE151="X","Chiamare Control Room",IF(CF151="X","Chiamare Control Room","")))))),"")</f>
        <v/>
      </c>
      <c r="CA151" s="302" t="str">
        <f>IF(K151="",IF(IF(AND(G151&gt;(--"00:00:01"),G151&lt;(--"15:00:00")),IF(AND(AT151&gt;(--"08:00:00"),AT151&lt;(--"23:59:59")),G151+1-AT151,G151-AT151),G151-AT151)&gt;(--"00:20:00"),"","X"),"")</f>
        <v/>
      </c>
      <c r="CB151" s="299" t="str">
        <f>IF(K151="",IF(BP151&gt;=(--"00:20:00"),"","X"),"")</f>
        <v/>
      </c>
      <c r="CC151" s="299" t="str">
        <f>IF(OR(AV151="Autista non presente",AV151="Dati driver non presenti"),"X","")</f>
        <v/>
      </c>
      <c r="CD151" s="299" t="str">
        <f>IF(K151="",IF(AND(CC151="",BS151&lt;(--"00:20:00")),"X",""),"")</f>
        <v/>
      </c>
      <c r="CE151" s="299" t="str">
        <f>IF(K151="",IF(BT151&gt;(--"00:15:00"),"X",""),IF(AZ151&lt;&gt;"",IF(G151-AZ151&gt;(--"00:30:00"),"X",""),""))</f>
        <v/>
      </c>
      <c r="CF151" s="299" t="str">
        <f>IF(AND(CA151="",CB151="",CC151="",CD151="",CE151=""),"X","")</f>
        <v>X</v>
      </c>
      <c r="CG151" s="301"/>
      <c r="CH151" s="299" t="str">
        <f>IF(BT151&gt;(--"00:15:00"),"X","")</f>
        <v/>
      </c>
      <c r="CI151" s="302" t="str">
        <f>AY151</f>
        <v/>
      </c>
      <c r="CJ151" s="299" t="str">
        <f>IF(AND(CH151&lt;&gt;"",CI151&lt;&gt;"",LEFT(B151,3)="ITD"),AP151,"")</f>
        <v/>
      </c>
      <c r="CK151" s="305" t="str">
        <f>IF(CJ151&lt;&gt;"",BT151,"")</f>
        <v/>
      </c>
      <c r="CL151" s="301"/>
      <c r="CM151" s="305" t="str">
        <f>IFERROR(VLOOKUP(Q151,'Elenco Casse'!$D$4:$F$292,3,FALSE),"")</f>
        <v/>
      </c>
      <c r="CN151" s="301"/>
      <c r="CO151" s="305" t="str">
        <f>IFERROR(VLOOKUP(S151,'Elenco Casse'!$D$4:$F$292,3,FALSE),"")</f>
        <v/>
      </c>
      <c r="CP151" s="305" t="str">
        <f>IFERROR(IF(VLOOKUP($E151,Outlist!$A$5:$S$120,19,FALSE)&lt;&gt;0,"Y",""),"")</f>
        <v/>
      </c>
      <c r="CQ151" s="301"/>
      <c r="CR151" s="305" t="str">
        <f>CONCATENATE($B151,$E151,$G151)</f>
        <v>ITD12720AOT0.25</v>
      </c>
      <c r="CS151" s="301"/>
      <c r="CT151" s="305" t="e">
        <f>VLOOKUP(Out_Table[[#This Row],[Destination             ORANGE (From Planning)]],Outlist!$A$5:$W$120,22,FALSE)</f>
        <v>#N/A</v>
      </c>
    </row>
    <row r="152" spans="1:98" s="20" customFormat="1" ht="30.75">
      <c r="A152" s="305" t="str">
        <f>$CR152</f>
        <v>ERN06793XWT 10.000694444446708076</v>
      </c>
      <c r="B152" s="351" t="str">
        <f>IFERROR(VLOOKUP(E152,Outlist!$A$5:$AC$120,2,FALSE),"")</f>
        <v>ERN06793</v>
      </c>
      <c r="C152" s="352" t="str">
        <f>IFERROR(IF(LEFT(B152,3)='STAT 77'!$X$2,_xlfn.XLOOKUP(B152,'STAT 77'!C:C,'STAT 77'!B:B),_xlfn.XLOOKUP(B152,'STAT 77'!B:B,'STAT 77'!C:C)),"NON TROVATO")</f>
        <v>ERN03204</v>
      </c>
      <c r="D152" s="4"/>
      <c r="E152" s="352" t="str">
        <f>IFERROR(IF(Outlist!$A47&lt;&gt;"",Outlist!$A47,""),"")</f>
        <v>XWT 1</v>
      </c>
      <c r="F152" s="352" t="str">
        <f>IFERROR(VLOOKUP(E152,'Cambio O2P'!C:E,2,FALSE),"")</f>
        <v/>
      </c>
      <c r="G152" s="353">
        <f>IFERROR(VLOOKUP(E152,Outlist!$A$5:$AC$120,5,FALSE)-INT(VLOOKUP(E152,Outlist!$A$5:$AC$120,5,FALSE)),"")</f>
        <v>6.944444467080757E-4</v>
      </c>
      <c r="H152" s="294" t="str">
        <f ca="1">IFERROR(IF(AND('INformazioni per calcoli'!$AB$3&lt;(--"14:30"),'INformazioni per calcoli'!$AB$3&gt;(--"10:00")),"",IF($B152="","",IF($X152&lt;&gt;"","Mezzo Chiuso",IF($W152="","Non al Carico",IF($K152="Safe Parking","Safe Parking", IF(OR($BF152='INformazioni per calcoli'!$AF$8,$BF152='INformazioni per calcoli'!$AC$8,$BF152='INformazioni per calcoli'!$AD$8,$BF152='INformazioni per calcoli'!$AE$8,$BF152='INformazioni per calcoli'!$AG$8,$BF152='INformazioni per calcoli'!$AH$8,$BF152='INformazioni per calcoli'!$AI$8,$BF152='INformazioni per calcoli'!$AJ$8),IF($G152-'INformazioni per calcoli'!$AB$6-'INformazioni per calcoli'!$AB$3+$J152&lt;0,"LFLS",$G152-'INformazioni per calcoli'!$AB$6-'INformazioni per calcoli'!$AB$3+$J152), IF(OR($BF152='INformazioni per calcoli'!$AF$6,$BF152='INformazioni per calcoli'!$AD$6,$BF152='INformazioni per calcoli'!$AE$6,$BF152='INformazioni per calcoli'!$AG$6),IF($G152-'INformazioni per calcoli'!$AB$8-'INformazioni per calcoli'!$AB$3+$J152&lt;0,"LFLS",$G152-'INformazioni per calcoli'!$AB$8-'INformazioni per calcoli'!$AB$3+$J152), IF($G152-'INformazioni per calcoli'!$AB$7-'INformazioni per calcoli'!$AB$3+$J152&lt;0,"LFLS",$G152-'INformazioni per calcoli'!$AB$7-'INformazioni per calcoli'!$AB$3+$J152)))))))),"")</f>
        <v>Mezzo Chiuso</v>
      </c>
      <c r="I152" s="17"/>
      <c r="J152" s="306">
        <f ca="1">IFERROR(IF($B152&lt;&gt;"",IF(AND('INformazioni per calcoli'!$AB$3&lt;(--"15:00"),'INformazioni per calcoli'!$AB$3&gt;(--"00:00")),0,IF($G152&lt;(--"18:30"),"+1",0)),""),"")</f>
        <v>0</v>
      </c>
      <c r="K152" s="27">
        <f>IF(E152&lt;&gt;"",IFERROR(VLOOKUP(E152,Outlist!$A$5:$AC$120,22,FALSE),""),"")</f>
        <v>0</v>
      </c>
      <c r="L152" s="352" t="str">
        <f>IF(E152&lt;&gt;"",IFERROR(VLOOKUP(E152,Outlist!$A$5:$AC$120,3,FALSE),""),"")</f>
        <v>Dunca Expeditii S.A.</v>
      </c>
      <c r="M152" s="4" t="str">
        <f>IFERROR(_xlfn.XLOOKUP($Q152,'Elenco Casse'!$D:$D,'Elenco Casse'!$E:$E),"")</f>
        <v/>
      </c>
      <c r="N152" s="4" t="str">
        <f>IFERROR(_xlfn.XLOOKUP($Q152,'Elenco Casse'!$D:$D,'Elenco Casse'!$F:$F),"")</f>
        <v/>
      </c>
      <c r="O152" s="4" t="str">
        <f>IF($L152&lt;&gt;"","TT-2/3","")</f>
        <v>TT-2/3</v>
      </c>
      <c r="P152" s="296" t="str">
        <f>IFERROR(IF(VLOOKUP(E152,Outlist!$A$5:$AC$120,21,FALSE)="YES","Linea Variata",""),"")</f>
        <v/>
      </c>
      <c r="Q152" s="355" t="s">
        <v>1005</v>
      </c>
      <c r="R152" s="23" t="s">
        <v>420</v>
      </c>
      <c r="S152" s="25" t="str">
        <f>IFERROR(IF(VLOOKUP(E152,Outlist!$A$5:$AC$120,7,FALSE)="X","SUBCO",""),"")</f>
        <v/>
      </c>
      <c r="T152" s="25"/>
      <c r="U152" s="23" t="s">
        <v>61</v>
      </c>
      <c r="V152" s="23" t="s">
        <v>61</v>
      </c>
      <c r="W152" s="26">
        <v>736</v>
      </c>
      <c r="X152" s="27">
        <v>0.93263888888888891</v>
      </c>
      <c r="Y152" s="25" t="s">
        <v>1006</v>
      </c>
      <c r="Z152" s="25"/>
      <c r="AA152" s="25" t="s">
        <v>40</v>
      </c>
      <c r="AB152" s="57">
        <v>0.6</v>
      </c>
      <c r="AC152" s="25"/>
      <c r="AD152" s="25" t="s">
        <v>487</v>
      </c>
      <c r="AE152" s="57">
        <v>0.4</v>
      </c>
      <c r="AF152" s="57"/>
      <c r="AG152" s="25"/>
      <c r="AH152" s="57"/>
      <c r="AI152" s="339">
        <v>9</v>
      </c>
      <c r="AJ152" s="339"/>
      <c r="AK152" s="297" t="str">
        <f>IF(X152&lt;&gt;"",CONCATENATE(IF(AA152&lt;&gt;"",CONCATENATE(Z152," ",AA152," ",BI152),""),IF(AD152&lt;&gt;"",CONCATENATE(","," ",AC152," ",AD152," ",BJ152),""),IF(AG152&lt;&gt;"",CONCATENATE(","," ",AF152," ",AG152," ",BK152),""),IF(AJ152&lt;&gt;"",CONCATENATE(","," ","DD"," ",BL152),"")," ",IF(AI152&lt;&gt;"",CONCATENATE(" - ",AI152," Bag"),"")),"")</f>
        <v xml:space="preserve"> LL 8.5,  FRT 5.5  - 9 Bag</v>
      </c>
      <c r="AL152" s="287" t="s">
        <v>421</v>
      </c>
      <c r="AM152" s="287"/>
      <c r="AN152" s="287"/>
      <c r="AO152" s="287"/>
      <c r="AP152" s="370">
        <f>IFERROR(VLOOKUP($E152,Outlist!$A$5:$V$120,20,FALSE),"")</f>
        <v>0</v>
      </c>
      <c r="AQ152" s="288" t="s">
        <v>1007</v>
      </c>
      <c r="AR152" s="430">
        <v>0.9375</v>
      </c>
      <c r="AS152" s="24">
        <v>0.94374999999999998</v>
      </c>
      <c r="AT152" s="24">
        <v>0.94513888888888886</v>
      </c>
      <c r="AU152" s="27"/>
      <c r="AV152" s="27"/>
      <c r="AW152" s="20" t="s">
        <v>443</v>
      </c>
      <c r="AX152" s="20" t="str">
        <f>IFERROR(IF(Out_Table[[#This Row],[Cancellazione linea]]="Cancellata","yes",""),"")</f>
        <v/>
      </c>
      <c r="AY152" s="72"/>
      <c r="AZ152" s="27">
        <v>0.95694444444444449</v>
      </c>
      <c r="BA152" s="32">
        <v>0.96666666666666667</v>
      </c>
      <c r="BB152" s="72"/>
      <c r="BC152" s="72" t="str">
        <f>IFERROR(VLOOKUP(Out_Table[[#This Row],[Aggiornamento STATUS]],'INformazioni per calcoli'!$Y$70:$AA$76,2,FALSE),"")</f>
        <v/>
      </c>
      <c r="BD152" s="289"/>
      <c r="BE152" s="289"/>
      <c r="BF152" s="47" t="str">
        <f>LEFT($E152,3)</f>
        <v>XWT</v>
      </c>
      <c r="BG152" s="298" t="str">
        <f>IF(Out_Table[[#This Row],[Ora Uscita    (GH)]]&lt;&gt;"","x","")</f>
        <v>x</v>
      </c>
      <c r="BH152" s="299">
        <f>VLOOKUP($O152,'INformazioni per calcoli'!$Y$20:$AA$23,3,FALSE)</f>
        <v>14</v>
      </c>
      <c r="BI152" s="299">
        <f>MROUND(Out_Table[[#This Row],[Mtr. Trailer]]*AB152,0.5)</f>
        <v>8.5</v>
      </c>
      <c r="BJ152" s="299">
        <f>MROUND(Out_Table[[#This Row],[Mtr. Trailer]]*AE152,0.5)</f>
        <v>5.5</v>
      </c>
      <c r="BK152" s="299">
        <f>MROUND(Out_Table[[#This Row],[Mtr. Trailer]]*AH152,0.5)</f>
        <v>0</v>
      </c>
      <c r="BL152" s="300">
        <f>Out_Table[[#This Row],[Double Deck trailer N° bumpers]]</f>
        <v>0</v>
      </c>
      <c r="BM152" s="301"/>
      <c r="BN152" s="299" t="str">
        <f>B152</f>
        <v>ERN06793</v>
      </c>
      <c r="BO152" s="299" t="str">
        <f>E152</f>
        <v>XWT 1</v>
      </c>
      <c r="BP152" s="302">
        <f>IF(AND(G152&gt;(--"00:00:01"),G152&lt;(--"15:00:00")),IF(AND(X152&gt;(--"00:00:01"),X152&lt;(--"15:00:00")),G152-X152,G152+1-X152),G152-X152)</f>
        <v>6.805555555781917E-2</v>
      </c>
      <c r="BQ152" s="303">
        <f>AE152+AF152+AH152+AJ152</f>
        <v>0.4</v>
      </c>
      <c r="BR152" s="304" t="str">
        <f>IF(OR(BP152&lt;=(--"00:20:00"),BQ152&gt;=100%),"OK","Not OK")</f>
        <v>Not OK</v>
      </c>
      <c r="BS152" s="302">
        <f>IF(AND(G152&gt;(--"00:00:01"),G152&lt;(--"15:00:00")),IF(AND(AU152&gt;(--"00:00:01"),AU152&lt;(--"15:00:00")),G152-AU152,G152+1-AU152),G152-AU152)</f>
        <v>1.0006944444467081</v>
      </c>
      <c r="BT152" s="302">
        <f>IF(AND(AZ152&gt;(--"00:00:01"),AZ152&lt;(--"15:00:00")),IF(AND(AU152&gt;(--"00:00:01"),AU152&lt;(--"15:00:00")),AZ152-AU152,AZ152+1-AU152),AZ152-AU152)</f>
        <v>0.95694444444444449</v>
      </c>
      <c r="BU152" s="302">
        <f>IF(AND(BA152&gt;(--"00:00:01"),BA152&lt;(--"15:00:00")),IF(AND(AZ152&gt;(--"00:00:01"),AZ152&lt;(--"15:00:00")),BA152-AZ152,BA152+1-AZ152),BA152-AZ152)</f>
        <v>9.7222222222221877E-3</v>
      </c>
      <c r="BV152" s="299">
        <f>AV152</f>
        <v>0</v>
      </c>
      <c r="BW152" s="301"/>
      <c r="BX152" s="299" t="str">
        <f>IF(AV152="T Status",IF(AV152&lt;&gt;T152,"X",""),"")</f>
        <v/>
      </c>
      <c r="BY152" s="301"/>
      <c r="BZ152" s="299" t="str">
        <f>IF(X152&lt;&gt;"",IF(CC152="X","Driver Delay",IF(CA152="X","Paperwork Delay",IF(CB152="X","Late freight late sort",IF(CD152="X","Chiamare Control Room",IF(CE152="X","Chiamare Control Room",IF(CF152="X","Chiamare Control Room","")))))),"")</f>
        <v>Chiamare Control Room</v>
      </c>
      <c r="CA152" s="302" t="str">
        <f>IF(K152="",IF(IF(AND(G152&gt;(--"00:00:01"),G152&lt;(--"15:00:00")),IF(AND(AT152&gt;(--"08:00:00"),AT152&lt;(--"23:59:59")),G152+1-AT152,G152-AT152),G152-AT152)&gt;(--"00:20:00"),"","X"),"")</f>
        <v/>
      </c>
      <c r="CB152" s="299" t="str">
        <f>IF(K152="",IF(BP152&gt;=(--"00:20:00"),"","X"),"")</f>
        <v/>
      </c>
      <c r="CC152" s="299" t="str">
        <f>IF(OR(AV152="Autista non presente",AV152="Dati driver non presenti"),"X","")</f>
        <v/>
      </c>
      <c r="CD152" s="299" t="str">
        <f>IF(K152="",IF(AND(CC152="",BS152&lt;(--"00:20:00")),"X",""),"")</f>
        <v/>
      </c>
      <c r="CE152" s="299" t="str">
        <f>IF(K152="",IF(BT152&gt;(--"00:15:00"),"X",""),IF(AZ152&lt;&gt;"",IF(G152-AZ152&gt;(--"00:30:00"),"X",""),""))</f>
        <v/>
      </c>
      <c r="CF152" s="299" t="str">
        <f>IF(AND(CA152="",CB152="",CC152="",CD152="",CE152=""),"X","")</f>
        <v>X</v>
      </c>
      <c r="CG152" s="301"/>
      <c r="CH152" s="299" t="str">
        <f>IF(BT152&gt;(--"00:15:00"),"X","")</f>
        <v>X</v>
      </c>
      <c r="CI152" s="302">
        <f>AY152</f>
        <v>0</v>
      </c>
      <c r="CJ152" s="299" t="str">
        <f>IF(AND(CH152&lt;&gt;"",CI152&lt;&gt;"",LEFT(B152,3)="ITD"),AP152,"")</f>
        <v/>
      </c>
      <c r="CK152" s="305" t="str">
        <f>IF(CJ152&lt;&gt;"",BT152,"")</f>
        <v/>
      </c>
      <c r="CL152" s="301"/>
      <c r="CM152" s="305" t="str">
        <f>IFERROR(VLOOKUP(Q152,'Elenco Casse'!$D$4:$F$292,3,FALSE),"")</f>
        <v/>
      </c>
      <c r="CN152" s="301"/>
      <c r="CO152" s="305" t="str">
        <f>IFERROR(VLOOKUP(E152,Outlist!$A$5:$H$120,8,FALSE),"")</f>
        <v>RENT487</v>
      </c>
      <c r="CP152" s="305" t="str">
        <f>IFERROR(IF(VLOOKUP($E152,Outlist!$A$5:$S$120,19,FALSE)&lt;&gt;0,"Y",""),"")</f>
        <v>Y</v>
      </c>
      <c r="CQ152" s="301"/>
      <c r="CR152" s="305" t="str">
        <f>CONCATENATE($B152,$E152,$G152)</f>
        <v>ERN06793XWT 10.000694444446708076</v>
      </c>
      <c r="CS152" s="301"/>
      <c r="CT152" s="305">
        <f>VLOOKUP(Out_Table[[#This Row],[Destination             ORANGE (From Planning)]],Outlist!$A$5:$W$120,22,FALSE)</f>
        <v>0</v>
      </c>
    </row>
    <row r="153" spans="1:98" s="20" customFormat="1" ht="15">
      <c r="A153" s="305" t="str">
        <f>$CR153</f>
        <v>ITD12408OS30.291666666666667</v>
      </c>
      <c r="B153" s="284" t="s">
        <v>1008</v>
      </c>
      <c r="C153" s="290" t="str">
        <f>IFERROR(IF(LEFT(B153,3)='STAT 77'!$X$2,_xlfn.XLOOKUP(B153,'STAT 77'!C:C,'STAT 77'!B:B),_xlfn.XLOOKUP(B153,'STAT 77'!B:B,'STAT 77'!C:C)),"NON TROVATO")</f>
        <v>ITD31570</v>
      </c>
      <c r="D153" s="25" t="s">
        <v>426</v>
      </c>
      <c r="E153" s="290" t="s">
        <v>416</v>
      </c>
      <c r="F153" s="290" t="str">
        <f>IFERROR(VLOOKUP(E153,'Cambio O2P'!C:E,2,FALSE),"")</f>
        <v>SUFA</v>
      </c>
      <c r="G153" s="285">
        <v>0.29166666666666669</v>
      </c>
      <c r="H153" s="293">
        <f ca="1">IFERROR(IF(AND('INformazioni per calcoli'!$AB$3&lt;(--"14:30"),'INformazioni per calcoli'!$AB$3&gt;(--"10:00")),"",IF($B153="","",IF($X153&lt;&gt;"","Mezzo Chiuso",IF($W153="","Non al Carico",IF($G153-'INformazioni per calcoli'!$AB$5-'INformazioni per calcoli'!$AB$3+$J153&lt;0,"LFLS",IF($K153&lt;&gt;"","Safe Parking",IF($W153&lt;&gt;"",IF($E153="MXP",$G153-'INformazioni per calcoli'!$AB$6-'INformazioni per calcoli'!$AB$3+$J153,$G153-'INformazioni per calcoli'!$AB$5-'INformazioni per calcoli'!$AB$3+$J153),"Non al carico"))))))),"")</f>
        <v>0.13231481481481483</v>
      </c>
      <c r="I153" s="17" t="str">
        <f ca="1">IFERROR(IF($H153&lt;&gt;"",IF($H153="Safe Parking","",IF($W153&lt;&gt;"",IF(AND($U153="X",$V153="X"),$H153-(--"00:30"),""),IF($X153&lt;&gt;"","Mezzo Chiuso","Non al carico"))),""),"")</f>
        <v/>
      </c>
      <c r="J153" s="306">
        <f ca="1">IFERROR(IF($B153&lt;&gt;"",IF(AND('INformazioni per calcoli'!$AB$3&lt;(--"15:00"),'INformazioni per calcoli'!$AB$3&gt;(--"00:00")),0,IF($G153&lt;(--"18:30"),"+1",0)),""),"")</f>
        <v>0</v>
      </c>
      <c r="K153" s="27"/>
      <c r="L153" s="25" t="s">
        <v>427</v>
      </c>
      <c r="M153" s="25" t="str">
        <f>IFERROR(_xlfn.XLOOKUP($Q153,'Elenco Casse'!$D:$D,'Elenco Casse'!$E:$E),"")</f>
        <v>Zampieri Holding S.R.L.</v>
      </c>
      <c r="N153" s="25">
        <f>IFERROR(_xlfn.XLOOKUP($Q153,'Elenco Casse'!$D:$D,'Elenco Casse'!$F:$F),"")</f>
        <v>0</v>
      </c>
      <c r="O153" s="286" t="s">
        <v>418</v>
      </c>
      <c r="P153" s="295" t="str">
        <f>IFERROR(_xlfn.XLOOKUP($Q153,'Elenco Casse'!$D:$D,'Elenco Casse'!$G:$G),"")</f>
        <v>trailer 55 m3 2/3 axes</v>
      </c>
      <c r="Q153" s="355" t="s">
        <v>1009</v>
      </c>
      <c r="R153" s="23" t="s">
        <v>420</v>
      </c>
      <c r="S153" s="25" t="s">
        <v>421</v>
      </c>
      <c r="T153" s="25" t="s">
        <v>1010</v>
      </c>
      <c r="U153" s="23" t="str">
        <f>IF(ISNUMBER(SEARCH("Parcel",$T153)),"X","")</f>
        <v/>
      </c>
      <c r="V153" s="23" t="str">
        <f>IF(ISNUMBER(SEARCH("Freight",$T153)),"X","")</f>
        <v>X</v>
      </c>
      <c r="W153" s="26">
        <v>737</v>
      </c>
      <c r="X153" s="27"/>
      <c r="Y153" s="25"/>
      <c r="Z153" s="25"/>
      <c r="AA153" s="25" t="s">
        <v>487</v>
      </c>
      <c r="AB153" s="57"/>
      <c r="AC153" s="25"/>
      <c r="AD153" s="25"/>
      <c r="AE153" s="57"/>
      <c r="AF153" s="57"/>
      <c r="AG153" s="25" t="s">
        <v>488</v>
      </c>
      <c r="AH153" s="57"/>
      <c r="AI153" s="339"/>
      <c r="AJ153" s="339"/>
      <c r="AK153" s="297" t="str">
        <f>IF(X153&lt;&gt;"",CONCATENATE(IF(AA153&lt;&gt;"",CONCATENATE(Z153," ",AA153," ",BI153),""),IF(AD153&lt;&gt;"",CONCATENATE(","," ",AC153," ",AD153," ",BJ153),""),IF(AG153&lt;&gt;"",CONCATENATE(","," ",AF153," ",AG153," ",BK153),""),IF(AJ153&lt;&gt;"",CONCATENATE(","," ","DD"," ",BL153),"")," ",IF(AI153&lt;&gt;"",CONCATENATE(" - ",AI153," Bag"),"")),"")</f>
        <v/>
      </c>
      <c r="AL153" s="287"/>
      <c r="AM153" s="287"/>
      <c r="AN153" s="287"/>
      <c r="AO153" s="287"/>
      <c r="AP153" s="370" t="str">
        <f>IFERROR(VLOOKUP($E150,Outlist!$A$5:$V$120,20,FALSE),"")</f>
        <v/>
      </c>
      <c r="AQ153" s="288" t="str">
        <f>IFERROR(IF(VLOOKUP($A153,#REF!,8,FALSE)&lt;&gt;"",VLOOKUP($A153,#REF!,8,FALSE),""),"")</f>
        <v/>
      </c>
      <c r="AS153" s="24"/>
      <c r="AT153" s="24">
        <v>2.2916666666666665E-2</v>
      </c>
      <c r="AU153" s="27"/>
      <c r="AV153" s="27"/>
      <c r="AX153" s="20" t="str">
        <f>IFERROR(IF(Out_Table[[#This Row],[Cancellazione linea]]="Cancellata","yes",""),"")</f>
        <v/>
      </c>
      <c r="AY153" s="72" t="str">
        <f>IF(BA153="",BZ153,IF(AND(BA153&lt;(--"23:59:59"),BA153&gt;(--"15:00:00"),G153&lt;(--"14:00:00"),G153&gt;(--"00:00:01")),"",IF(BA153&gt;G153,BZ153,"")))</f>
        <v/>
      </c>
      <c r="AZ153" s="27"/>
      <c r="BA153" s="32"/>
      <c r="BB153" s="72"/>
      <c r="BC153" s="72" t="str">
        <f>IFERROR(VLOOKUP(Out_Table[[#This Row],[Aggiornamento STATUS]],'INformazioni per calcoli'!$Y$70:$AA$76,2,FALSE),"")</f>
        <v/>
      </c>
      <c r="BD153" s="289"/>
      <c r="BE153" s="289"/>
      <c r="BF153" s="47" t="str">
        <f>LEFT($E153,3)</f>
        <v>OS3</v>
      </c>
      <c r="BG153" s="298" t="str">
        <f>IF(Out_Table[[#This Row],[Ora Uscita    (GH)]]&lt;&gt;"","x","")</f>
        <v/>
      </c>
      <c r="BH153" s="299">
        <f>VLOOKUP($O153,'INformazioni per calcoli'!$Y$20:$AA$23,3,FALSE)</f>
        <v>14</v>
      </c>
      <c r="BI153" s="299">
        <f>MROUND(Out_Table[[#This Row],[Mtr. Trailer]]*AB153,0.5)</f>
        <v>0</v>
      </c>
      <c r="BJ153" s="299">
        <f>MROUND(Out_Table[[#This Row],[Mtr. Trailer]]*AE153,0.5)</f>
        <v>0</v>
      </c>
      <c r="BK153" s="299">
        <f>MROUND(Out_Table[[#This Row],[Mtr. Trailer]]*AH153,0.5)</f>
        <v>0</v>
      </c>
      <c r="BL153" s="300">
        <f>Out_Table[[#This Row],[Double Deck trailer N° bumpers]]</f>
        <v>0</v>
      </c>
      <c r="BM153" s="301"/>
      <c r="BN153" s="299" t="str">
        <f>B153</f>
        <v>ITD12408</v>
      </c>
      <c r="BO153" s="299" t="str">
        <f>E153</f>
        <v>OS3</v>
      </c>
      <c r="BP153" s="302">
        <f>IF(AND(G153&gt;(--"00:00:01"),G153&lt;(--"15:00:00")),IF(AND(X153&gt;(--"00:00:01"),X153&lt;(--"15:00:00")),G153-X153,G153+1-X153),G153-X153)</f>
        <v>1.2916666666666667</v>
      </c>
      <c r="BQ153" s="303">
        <f>AE153+AF153+AH153+AJ153</f>
        <v>0</v>
      </c>
      <c r="BR153" s="304" t="str">
        <f>IF(OR(BP153&lt;=(--"00:20:00"),BQ153&gt;=100%),"OK","Not OK")</f>
        <v>Not OK</v>
      </c>
      <c r="BS153" s="302">
        <f>IF(AND(G153&gt;(--"00:00:01"),G153&lt;(--"15:00:00")),IF(AND(AU153&gt;(--"00:00:01"),AU153&lt;(--"15:00:00")),G153-AU153,G153+1-AU153),G153-AU153)</f>
        <v>1.2916666666666667</v>
      </c>
      <c r="BT153" s="302">
        <f>IF(AND(AZ153&gt;(--"00:00:01"),AZ153&lt;(--"15:00:00")),IF(AND(AU153&gt;(--"00:00:01"),AU153&lt;(--"15:00:00")),AZ153-AU153,AZ153+1-AU153),AZ153-AU153)</f>
        <v>0</v>
      </c>
      <c r="BU153" s="302">
        <f>IF(AND(BA153&gt;(--"00:00:01"),BA153&lt;(--"15:00:00")),IF(AND(AZ153&gt;(--"00:00:01"),AZ153&lt;(--"15:00:00")),BA153-AZ153,BA153+1-AZ153),BA153-AZ153)</f>
        <v>0</v>
      </c>
      <c r="BV153" s="299">
        <f>AV153</f>
        <v>0</v>
      </c>
      <c r="BW153" s="301"/>
      <c r="BX153" s="299" t="str">
        <f>IF(AV153="T Status",IF(AV153&lt;&gt;T153,"X",""),"")</f>
        <v/>
      </c>
      <c r="BY153" s="301"/>
      <c r="BZ153" s="299" t="str">
        <f>IF(X153&lt;&gt;"",IF(CC153="X","Driver Delay",IF(CA153="X","Paperwork Delay",IF(CB153="X","Late freight late sort",IF(CD153="X","Chiamare Control Room",IF(CE153="X","Chiamare Control Room",IF(CF153="X","Chiamare Control Room","")))))),"")</f>
        <v/>
      </c>
      <c r="CA153" s="302" t="str">
        <f>IF(K153="",IF(IF(AND(G153&gt;(--"00:00:01"),G153&lt;(--"15:00:00")),IF(AND(AT153&gt;(--"08:00:00"),AT153&lt;(--"23:59:59")),G153+1-AT153,G153-AT153),G153-AT153)&gt;(--"00:20:00"),"","X"),"")</f>
        <v/>
      </c>
      <c r="CB153" s="299" t="str">
        <f>IF(K153="",IF(BP153&gt;=(--"00:20:00"),"","X"),"")</f>
        <v/>
      </c>
      <c r="CC153" s="299" t="str">
        <f>IF(OR(AV153="Autista non presente",AV153="Dati driver non presenti"),"X","")</f>
        <v/>
      </c>
      <c r="CD153" s="299" t="str">
        <f>IF(K153="",IF(AND(CC153="",BS153&lt;(--"00:20:00")),"X",""),"")</f>
        <v/>
      </c>
      <c r="CE153" s="299" t="str">
        <f>IF(K153="",IF(BT153&gt;(--"00:15:00"),"X",""),IF(AZ153&lt;&gt;"",IF(G153-AZ153&gt;(--"00:30:00"),"X",""),""))</f>
        <v/>
      </c>
      <c r="CF153" s="299" t="str">
        <f>IF(AND(CA153="",CB153="",CC153="",CD153="",CE153=""),"X","")</f>
        <v>X</v>
      </c>
      <c r="CG153" s="301"/>
      <c r="CH153" s="299" t="str">
        <f>IF(BT153&gt;(--"00:15:00"),"X","")</f>
        <v/>
      </c>
      <c r="CI153" s="302" t="str">
        <f>AY153</f>
        <v/>
      </c>
      <c r="CJ153" s="299" t="str">
        <f>IF(AND(CH153&lt;&gt;"",CI153&lt;&gt;"",LEFT(B153,3)="ITD"),AP153,"")</f>
        <v/>
      </c>
      <c r="CK153" s="305" t="str">
        <f>IF(CJ153&lt;&gt;"",BT153,"")</f>
        <v/>
      </c>
      <c r="CL153" s="301"/>
      <c r="CM153" s="305" t="str">
        <f>IFERROR(VLOOKUP(Q153,'Elenco Casse'!$D$4:$F$292,3,FALSE),"")</f>
        <v/>
      </c>
      <c r="CN153" s="301"/>
      <c r="CO153" s="305" t="str">
        <f>IFERROR(VLOOKUP(S153,'Elenco Casse'!$D$4:$F$292,3,FALSE),"")</f>
        <v/>
      </c>
      <c r="CP153" s="305" t="str">
        <f>IFERROR(IF(VLOOKUP($E153,Outlist!$A$5:$S$120,19,FALSE)&lt;&gt;0,"Y",""),"")</f>
        <v/>
      </c>
      <c r="CQ153" s="301"/>
      <c r="CR153" s="305" t="str">
        <f>CONCATENATE($B153,$E153,$G153)</f>
        <v>ITD12408OS30.291666666666667</v>
      </c>
      <c r="CS153" s="301"/>
      <c r="CT153" s="305" t="e">
        <f>VLOOKUP(Out_Table[[#This Row],[Destination             ORANGE (From Planning)]],Outlist!$A$5:$W$120,22,FALSE)</f>
        <v>#N/A</v>
      </c>
    </row>
    <row r="154" spans="1:98" s="20" customFormat="1" ht="30.75">
      <c r="A154" s="305" t="str">
        <f>$CR154</f>
        <v>ITD12410OS30.204861111111111</v>
      </c>
      <c r="B154" s="284" t="s">
        <v>1011</v>
      </c>
      <c r="C154" s="290" t="str">
        <f>IFERROR(IF(LEFT(B154,3)='STAT 77'!$X$2,_xlfn.XLOOKUP(B154,'STAT 77'!C:C,'STAT 77'!B:B),_xlfn.XLOOKUP(B154,'STAT 77'!B:B,'STAT 77'!C:C)),"NON TROVATO")</f>
        <v>ITD31574</v>
      </c>
      <c r="D154" s="25" t="s">
        <v>426</v>
      </c>
      <c r="E154" s="290" t="s">
        <v>416</v>
      </c>
      <c r="F154" s="290" t="str">
        <f>IFERROR(VLOOKUP(E154,'Cambio O2P'!C:E,2,FALSE),"")</f>
        <v>SUFA</v>
      </c>
      <c r="G154" s="285">
        <v>0.20486111111111113</v>
      </c>
      <c r="H154" s="293" t="str">
        <f ca="1">IFERROR(IF(AND('INformazioni per calcoli'!$AB$3&lt;(--"14:30"),'INformazioni per calcoli'!$AB$3&gt;(--"10:00")),"",IF($B154="","",IF($X154&lt;&gt;"","Mezzo Chiuso",IF($W154="","Non al Carico",IF($G154-'INformazioni per calcoli'!$AB$5-'INformazioni per calcoli'!$AB$3+$J154&lt;0,"LFLS",IF($K154&lt;&gt;"","Safe Parking",IF($W154&lt;&gt;"",IF($E154="MXP",$G154-'INformazioni per calcoli'!$AB$6-'INformazioni per calcoli'!$AB$3+$J154,$G154-'INformazioni per calcoli'!$AB$5-'INformazioni per calcoli'!$AB$3+$J154),"Non al carico"))))))),"")</f>
        <v>Mezzo Chiuso</v>
      </c>
      <c r="I154" s="17" t="str">
        <f ca="1">IFERROR(IF($H154&lt;&gt;"",IF($H154="Safe Parking","",IF($W154&lt;&gt;"",IF(AND($U154="X",$V154="X"),$H154-(--"00:30"),""),IF($X154&lt;&gt;"","Mezzo Chiuso","Non al carico"))),""),"")</f>
        <v/>
      </c>
      <c r="J154" s="306">
        <f ca="1">IFERROR(IF($B154&lt;&gt;"",IF(AND('INformazioni per calcoli'!$AB$3&lt;(--"15:00"),'INformazioni per calcoli'!$AB$3&gt;(--"00:00")),0,IF($G154&lt;(--"18:30"),"+1",0)),""),"")</f>
        <v>0</v>
      </c>
      <c r="K154" s="17"/>
      <c r="L154" s="25" t="s">
        <v>427</v>
      </c>
      <c r="M154" s="25" t="str">
        <f>IFERROR(_xlfn.XLOOKUP($Q154,'Elenco Casse'!$D:$D,'Elenco Casse'!$E:$E),"")</f>
        <v/>
      </c>
      <c r="N154" s="25" t="str">
        <f>IFERROR(_xlfn.XLOOKUP($Q154,'Elenco Casse'!$D:$D,'Elenco Casse'!$F:$F),"")</f>
        <v/>
      </c>
      <c r="O154" s="286" t="s">
        <v>418</v>
      </c>
      <c r="P154" s="295" t="str">
        <f>IFERROR(_xlfn.XLOOKUP($Q154,'Elenco Casse'!$D:$D,'Elenco Casse'!$G:$G),"")</f>
        <v/>
      </c>
      <c r="Q154" s="355" t="s">
        <v>1012</v>
      </c>
      <c r="R154" s="23" t="s">
        <v>420</v>
      </c>
      <c r="S154" s="25" t="s">
        <v>421</v>
      </c>
      <c r="T154" s="25" t="s">
        <v>1010</v>
      </c>
      <c r="U154" s="23" t="str">
        <f>IF(ISNUMBER(SEARCH("Parcel",$T154)),"X","")</f>
        <v/>
      </c>
      <c r="V154" s="23" t="str">
        <f>IF(ISNUMBER(SEARCH("Freight",$T154)),"X","")</f>
        <v>X</v>
      </c>
      <c r="W154" s="26">
        <v>737</v>
      </c>
      <c r="X154" s="27">
        <v>0.99930555555555556</v>
      </c>
      <c r="Y154" s="25" t="s">
        <v>766</v>
      </c>
      <c r="Z154" s="25"/>
      <c r="AA154" s="25" t="s">
        <v>487</v>
      </c>
      <c r="AB154" s="57">
        <v>1</v>
      </c>
      <c r="AC154" s="25"/>
      <c r="AD154" s="25"/>
      <c r="AE154" s="57"/>
      <c r="AF154" s="57"/>
      <c r="AG154" s="25"/>
      <c r="AH154" s="57"/>
      <c r="AI154" s="339"/>
      <c r="AJ154" s="339"/>
      <c r="AK154" s="297" t="str">
        <f>IF(X154&lt;&gt;"",CONCATENATE(IF(AA154&lt;&gt;"",CONCATENATE(Z154," ",AA154," ",BI154),""),IF(AD154&lt;&gt;"",CONCATENATE(","," ",AC154," ",AD154," ",BJ154),""),IF(AG154&lt;&gt;"",CONCATENATE(","," ",AF154," ",AG154," ",BK154),""),IF(AJ154&lt;&gt;"",CONCATENATE(","," ","DD"," ",BL154),"")," ",IF(AI154&lt;&gt;"",CONCATENATE(" - ",AI154," Bag"),"")),"")</f>
        <v xml:space="preserve"> FRT 14 </v>
      </c>
      <c r="AL154" s="287" t="s">
        <v>421</v>
      </c>
      <c r="AM154" s="287"/>
      <c r="AN154" s="287"/>
      <c r="AO154" s="287"/>
      <c r="AP154" s="370" t="str">
        <f>IFERROR(VLOOKUP($E151,Outlist!$A$5:$V$120,20,FALSE),"")</f>
        <v/>
      </c>
      <c r="AQ154" s="288" t="str">
        <f>IFERROR(IF(VLOOKUP($A154,#REF!,8,FALSE)&lt;&gt;"",VLOOKUP($A154,#REF!,8,FALSE),""),"")</f>
        <v/>
      </c>
      <c r="AS154" s="24"/>
      <c r="AT154" s="24">
        <v>0.83125000000000004</v>
      </c>
      <c r="AU154" s="27"/>
      <c r="AV154" s="27"/>
      <c r="AX154" s="20" t="str">
        <f>IFERROR(IF(Out_Table[[#This Row],[Cancellazione linea]]="Cancellata","yes",""),"")</f>
        <v/>
      </c>
      <c r="AY154" s="72" t="str">
        <f>IF(BA154="",BZ154,IF(AND(BA154&lt;(--"23:59:59"),BA154&gt;(--"15:00:00"),G154&lt;(--"14:00:00"),G154&gt;(--"00:00:01")),"",IF(BA154&gt;G154,BZ154,"")))</f>
        <v>Chiamare Control Room</v>
      </c>
      <c r="AZ154" s="27"/>
      <c r="BA154" s="32"/>
      <c r="BB154" s="72"/>
      <c r="BC154" s="72" t="str">
        <f>IFERROR(VLOOKUP(Out_Table[[#This Row],[Aggiornamento STATUS]],'INformazioni per calcoli'!$Y$70:$AA$76,2,FALSE),"")</f>
        <v/>
      </c>
      <c r="BD154" s="289"/>
      <c r="BE154" s="289"/>
      <c r="BF154" s="47" t="str">
        <f>LEFT($E154,3)</f>
        <v>OS3</v>
      </c>
      <c r="BG154" s="298" t="str">
        <f>IF(Out_Table[[#This Row],[Ora Uscita    (GH)]]&lt;&gt;"","x","")</f>
        <v/>
      </c>
      <c r="BH154" s="299">
        <f>VLOOKUP($O154,'INformazioni per calcoli'!$Y$20:$AA$23,3,FALSE)</f>
        <v>14</v>
      </c>
      <c r="BI154" s="299">
        <f>MROUND(Out_Table[[#This Row],[Mtr. Trailer]]*AB154,0.5)</f>
        <v>14</v>
      </c>
      <c r="BJ154" s="299">
        <f>MROUND(Out_Table[[#This Row],[Mtr. Trailer]]*AE154,0.5)</f>
        <v>0</v>
      </c>
      <c r="BK154" s="299">
        <f>MROUND(Out_Table[[#This Row],[Mtr. Trailer]]*AH154,0.5)</f>
        <v>0</v>
      </c>
      <c r="BL154" s="300">
        <f>Out_Table[[#This Row],[Double Deck trailer N° bumpers]]</f>
        <v>0</v>
      </c>
      <c r="BM154" s="301"/>
      <c r="BN154" s="299" t="str">
        <f>B154</f>
        <v>ITD12410</v>
      </c>
      <c r="BO154" s="299" t="str">
        <f>E154</f>
        <v>OS3</v>
      </c>
      <c r="BP154" s="302">
        <f>IF(AND(G154&gt;(--"00:00:01"),G154&lt;(--"15:00:00")),IF(AND(X154&gt;(--"00:00:01"),X154&lt;(--"15:00:00")),G154-X154,G154+1-X154),G154-X154)</f>
        <v>0.2055555555555556</v>
      </c>
      <c r="BQ154" s="303">
        <f>AE154+AF154+AH154+AJ154</f>
        <v>0</v>
      </c>
      <c r="BR154" s="304" t="str">
        <f>IF(OR(BP154&lt;=(--"00:20:00"),BQ154&gt;=100%),"OK","Not OK")</f>
        <v>Not OK</v>
      </c>
      <c r="BS154" s="302">
        <f>IF(AND(G154&gt;(--"00:00:01"),G154&lt;(--"15:00:00")),IF(AND(AU154&gt;(--"00:00:01"),AU154&lt;(--"15:00:00")),G154-AU154,G154+1-AU154),G154-AU154)</f>
        <v>1.2048611111111112</v>
      </c>
      <c r="BT154" s="302">
        <f>IF(AND(AZ154&gt;(--"00:00:01"),AZ154&lt;(--"15:00:00")),IF(AND(AU154&gt;(--"00:00:01"),AU154&lt;(--"15:00:00")),AZ154-AU154,AZ154+1-AU154),AZ154-AU154)</f>
        <v>0</v>
      </c>
      <c r="BU154" s="302">
        <f>IF(AND(BA154&gt;(--"00:00:01"),BA154&lt;(--"15:00:00")),IF(AND(AZ154&gt;(--"00:00:01"),AZ154&lt;(--"15:00:00")),BA154-AZ154,BA154+1-AZ154),BA154-AZ154)</f>
        <v>0</v>
      </c>
      <c r="BV154" s="299">
        <f>AV154</f>
        <v>0</v>
      </c>
      <c r="BW154" s="301"/>
      <c r="BX154" s="299" t="str">
        <f>IF(AV154="T Status",IF(AV154&lt;&gt;T154,"X",""),"")</f>
        <v/>
      </c>
      <c r="BY154" s="301"/>
      <c r="BZ154" s="299" t="str">
        <f>IF(X154&lt;&gt;"",IF(CC154="X","Driver Delay",IF(CA154="X","Paperwork Delay",IF(CB154="X","Late freight late sort",IF(CD154="X","Chiamare Control Room",IF(CE154="X","Chiamare Control Room",IF(CF154="X","Chiamare Control Room","")))))),"")</f>
        <v>Chiamare Control Room</v>
      </c>
      <c r="CA154" s="302" t="str">
        <f>IF(K154="",IF(IF(AND(G154&gt;(--"00:00:01"),G154&lt;(--"15:00:00")),IF(AND(AT154&gt;(--"08:00:00"),AT154&lt;(--"23:59:59")),G154+1-AT154,G154-AT154),G154-AT154)&gt;(--"00:20:00"),"","X"),"")</f>
        <v/>
      </c>
      <c r="CB154" s="299" t="str">
        <f>IF(K154="",IF(BP154&gt;=(--"00:20:00"),"","X"),"")</f>
        <v/>
      </c>
      <c r="CC154" s="299" t="str">
        <f>IF(OR(AV154="Autista non presente",AV154="Dati driver non presenti"),"X","")</f>
        <v/>
      </c>
      <c r="CD154" s="299" t="str">
        <f>IF(K154="",IF(AND(CC154="",BS154&lt;(--"00:20:00")),"X",""),"")</f>
        <v/>
      </c>
      <c r="CE154" s="299" t="str">
        <f>IF(K154="",IF(BT154&gt;(--"00:15:00"),"X",""),IF(AZ154&lt;&gt;"",IF(G154-AZ154&gt;(--"00:30:00"),"X",""),""))</f>
        <v/>
      </c>
      <c r="CF154" s="299" t="str">
        <f>IF(AND(CA154="",CB154="",CC154="",CD154="",CE154=""),"X","")</f>
        <v>X</v>
      </c>
      <c r="CG154" s="301"/>
      <c r="CH154" s="299" t="str">
        <f>IF(BT154&gt;(--"00:15:00"),"X","")</f>
        <v/>
      </c>
      <c r="CI154" s="302" t="str">
        <f>AY154</f>
        <v>Chiamare Control Room</v>
      </c>
      <c r="CJ154" s="299" t="str">
        <f>IF(AND(CH154&lt;&gt;"",CI154&lt;&gt;"",LEFT(B154,3)="ITD"),AP154,"")</f>
        <v/>
      </c>
      <c r="CK154" s="305" t="str">
        <f>IF(CJ154&lt;&gt;"",BT154,"")</f>
        <v/>
      </c>
      <c r="CL154" s="301"/>
      <c r="CM154" s="305" t="str">
        <f>IFERROR(VLOOKUP(Q154,'Elenco Casse'!$D$4:$F$292,3,FALSE),"")</f>
        <v/>
      </c>
      <c r="CN154" s="301"/>
      <c r="CO154" s="305" t="str">
        <f>IFERROR(VLOOKUP(S154,'Elenco Casse'!$D$4:$F$292,3,FALSE),"")</f>
        <v/>
      </c>
      <c r="CP154" s="305" t="str">
        <f>IFERROR(IF(VLOOKUP($E154,Outlist!$A$5:$S$120,19,FALSE)&lt;&gt;0,"Y",""),"")</f>
        <v/>
      </c>
      <c r="CQ154" s="301"/>
      <c r="CR154" s="305" t="str">
        <f>CONCATENATE($B154,$E154,$G154)</f>
        <v>ITD12410OS30.204861111111111</v>
      </c>
      <c r="CS154" s="301"/>
      <c r="CT154" s="305" t="e">
        <f>VLOOKUP(Out_Table[[#This Row],[Destination             ORANGE (From Planning)]],Outlist!$A$5:$W$120,22,FALSE)</f>
        <v>#N/A</v>
      </c>
    </row>
    <row r="155" spans="1:98" s="20" customFormat="1" ht="30.75">
      <c r="A155" s="305" t="str">
        <f>$CR155</f>
        <v>ERN92365XWT 40.104166666664241</v>
      </c>
      <c r="B155" s="351" t="str">
        <f>IFERROR(VLOOKUP(E155,Outlist!$A$5:$AC$120,2,FALSE),"")</f>
        <v>ERN92365</v>
      </c>
      <c r="C155" s="352" t="str">
        <f>IFERROR(IF(LEFT(B155,3)='STAT 77'!$X$2,_xlfn.XLOOKUP(B155,'STAT 77'!C:C,'STAT 77'!B:B),_xlfn.XLOOKUP(B155,'STAT 77'!B:B,'STAT 77'!C:C)),"NON TROVATO")</f>
        <v>ERN91168</v>
      </c>
      <c r="D155" s="4"/>
      <c r="E155" s="352" t="str">
        <f>IFERROR(IF(Outlist!$A50&lt;&gt;"",Outlist!$A50,""),"")</f>
        <v>XWT 4</v>
      </c>
      <c r="F155" s="352" t="str">
        <f>IFERROR(VLOOKUP(E155,'Cambio O2P'!C:E,2,FALSE),"")</f>
        <v/>
      </c>
      <c r="G155" s="353">
        <f>IFERROR(VLOOKUP(E155,Outlist!$A$5:$AC$120,5,FALSE)-INT(VLOOKUP(E155,Outlist!$A$5:$AC$120,5,FALSE)),"")</f>
        <v>0.10416666666424135</v>
      </c>
      <c r="H155" s="294" t="str">
        <f ca="1">IFERROR(IF(AND('INformazioni per calcoli'!$AB$3&lt;(--"14:30"),'INformazioni per calcoli'!$AB$3&gt;(--"10:00")),"",IF($B155="","",IF($X155&lt;&gt;"","Mezzo Chiuso",IF($W155="","Non al Carico",IF($K155="Safe Parking","Safe Parking", IF(OR($BF155='INformazioni per calcoli'!$AF$8,$BF155='INformazioni per calcoli'!$AC$8,$BF155='INformazioni per calcoli'!$AD$8,$BF155='INformazioni per calcoli'!$AE$8,$BF155='INformazioni per calcoli'!$AG$8,$BF155='INformazioni per calcoli'!$AH$8,$BF155='INformazioni per calcoli'!$AI$8,$BF155='INformazioni per calcoli'!$AJ$8),IF($G155-'INformazioni per calcoli'!$AB$6-'INformazioni per calcoli'!$AB$3+$J155&lt;0,"LFLS",$G155-'INformazioni per calcoli'!$AB$6-'INformazioni per calcoli'!$AB$3+$J155), IF(OR($BF155='INformazioni per calcoli'!$AF$6,$BF155='INformazioni per calcoli'!$AD$6,$BF155='INformazioni per calcoli'!$AE$6,$BF155='INformazioni per calcoli'!$AG$6),IF($G155-'INformazioni per calcoli'!$AB$8-'INformazioni per calcoli'!$AB$3+$J155&lt;0,"LFLS",$G155-'INformazioni per calcoli'!$AB$8-'INformazioni per calcoli'!$AB$3+$J155), IF($G155-'INformazioni per calcoli'!$AB$7-'INformazioni per calcoli'!$AB$3+$J155&lt;0,"LFLS",$G155-'INformazioni per calcoli'!$AB$7-'INformazioni per calcoli'!$AB$3+$J155)))))))),"")</f>
        <v>Mezzo Chiuso</v>
      </c>
      <c r="I155" s="17"/>
      <c r="J155" s="306">
        <f ca="1">IFERROR(IF($B155&lt;&gt;"",IF(AND('INformazioni per calcoli'!$AB$3&lt;(--"15:00"),'INformazioni per calcoli'!$AB$3&gt;(--"00:00")),0,IF($G155&lt;(--"18:30"),"+1",0)),""),"")</f>
        <v>0</v>
      </c>
      <c r="K155" s="27">
        <f>IF(E155&lt;&gt;"",IFERROR(VLOOKUP(E155,Outlist!$A$5:$AC$120,22,FALSE),""),"")</f>
        <v>0</v>
      </c>
      <c r="L155" s="352" t="str">
        <f>IF(E155&lt;&gt;"",IFERROR(VLOOKUP(E155,Outlist!$A$5:$AC$120,3,FALSE),""),"")</f>
        <v>Matelda Srl</v>
      </c>
      <c r="M155" s="4" t="str">
        <f>IFERROR(_xlfn.XLOOKUP($Q155,'Elenco Casse'!$D:$D,'Elenco Casse'!$E:$E),"")</f>
        <v>Matelda Srl</v>
      </c>
      <c r="N155" s="4">
        <f>IFERROR(_xlfn.XLOOKUP($Q155,'Elenco Casse'!$D:$D,'Elenco Casse'!$F:$F),"")</f>
        <v>0</v>
      </c>
      <c r="O155" s="4" t="str">
        <f>IF($L155&lt;&gt;"","TT-2/3","")</f>
        <v>TT-2/3</v>
      </c>
      <c r="P155" s="296" t="str">
        <f>IFERROR(IF(VLOOKUP(E155,Outlist!$A$5:$AC$120,21,FALSE)="YES","Linea Variata",""),"")</f>
        <v/>
      </c>
      <c r="Q155" s="355" t="s">
        <v>1013</v>
      </c>
      <c r="R155" s="23" t="s">
        <v>420</v>
      </c>
      <c r="S155" s="25" t="str">
        <f>IFERROR(IF(VLOOKUP(E155,Outlist!$A$5:$AC$120,7,FALSE)="X","SUBCO",""),"")</f>
        <v>SUBCO</v>
      </c>
      <c r="T155" s="25"/>
      <c r="U155" s="23" t="s">
        <v>61</v>
      </c>
      <c r="V155" s="23" t="s">
        <v>61</v>
      </c>
      <c r="W155" s="26">
        <v>738</v>
      </c>
      <c r="X155" s="27">
        <v>6.0416666666666667E-2</v>
      </c>
      <c r="Y155" s="25" t="s">
        <v>1014</v>
      </c>
      <c r="Z155" s="25"/>
      <c r="AA155" s="25" t="s">
        <v>40</v>
      </c>
      <c r="AB155" s="57">
        <v>0.4</v>
      </c>
      <c r="AC155" s="25"/>
      <c r="AD155" s="25" t="s">
        <v>487</v>
      </c>
      <c r="AE155" s="57">
        <v>0.6</v>
      </c>
      <c r="AF155" s="57"/>
      <c r="AG155" s="25"/>
      <c r="AH155" s="57"/>
      <c r="AI155" s="339">
        <v>3</v>
      </c>
      <c r="AJ155" s="339"/>
      <c r="AK155" s="297" t="str">
        <f>IF(X155&lt;&gt;"",CONCATENATE(IF(AA155&lt;&gt;"",CONCATENATE(Z155," ",AA155," ",BI155),""),IF(AD155&lt;&gt;"",CONCATENATE(","," ",AC155," ",AD155," ",BJ155),""),IF(AG155&lt;&gt;"",CONCATENATE(","," ",AF155," ",AG155," ",BK155),""),IF(AJ155&lt;&gt;"",CONCATENATE(","," ","DD"," ",BL155),"")," ",IF(AI155&lt;&gt;"",CONCATENATE(" - ",AI155," Bag"),"")),"")</f>
        <v xml:space="preserve"> LL 5.5,  FRT 8.5  - 3 Bag</v>
      </c>
      <c r="AL155" s="287" t="s">
        <v>421</v>
      </c>
      <c r="AM155" s="287"/>
      <c r="AN155" s="287"/>
      <c r="AO155" s="287"/>
      <c r="AP155" s="370" t="str">
        <f>IFERROR(VLOOKUP($E155,Outlist!$A$5:$V$120,20,FALSE),"")</f>
        <v>QUALSIASI RIMORCHIO SUBCO</v>
      </c>
      <c r="AQ155" s="288" t="s">
        <v>1015</v>
      </c>
      <c r="AR155" s="430">
        <v>6.25E-2</v>
      </c>
      <c r="AS155" s="24">
        <v>6.5972222222222224E-2</v>
      </c>
      <c r="AT155" s="24">
        <v>6.5972222222222224E-2</v>
      </c>
      <c r="AU155" s="27"/>
      <c r="AV155" s="27"/>
      <c r="AW155" s="20" t="s">
        <v>443</v>
      </c>
      <c r="AX155" s="20" t="str">
        <f>IFERROR(IF(Out_Table[[#This Row],[Cancellazione linea]]="Cancellata","yes",""),"")</f>
        <v/>
      </c>
      <c r="AY155" s="72"/>
      <c r="AZ155" s="27">
        <v>7.4305555555555555E-2</v>
      </c>
      <c r="BA155" s="32">
        <v>8.1250000000000003E-2</v>
      </c>
      <c r="BB155" s="72"/>
      <c r="BC155" s="72" t="str">
        <f>IFERROR(VLOOKUP(Out_Table[[#This Row],[Aggiornamento STATUS]],'INformazioni per calcoli'!$Y$70:$AA$76,2,FALSE),"")</f>
        <v/>
      </c>
      <c r="BD155" s="289"/>
      <c r="BE155" s="289"/>
      <c r="BF155" s="47" t="str">
        <f>LEFT($E155,3)</f>
        <v>XWT</v>
      </c>
      <c r="BG155" s="298" t="str">
        <f>IF(Out_Table[[#This Row],[Ora Uscita    (GH)]]&lt;&gt;"","x","")</f>
        <v>x</v>
      </c>
      <c r="BH155" s="299">
        <f>VLOOKUP($O155,'INformazioni per calcoli'!$Y$20:$AA$23,3,FALSE)</f>
        <v>14</v>
      </c>
      <c r="BI155" s="299">
        <f>MROUND(Out_Table[[#This Row],[Mtr. Trailer]]*AB155,0.5)</f>
        <v>5.5</v>
      </c>
      <c r="BJ155" s="299">
        <f>MROUND(Out_Table[[#This Row],[Mtr. Trailer]]*AE155,0.5)</f>
        <v>8.5</v>
      </c>
      <c r="BK155" s="299">
        <f>MROUND(Out_Table[[#This Row],[Mtr. Trailer]]*AH155,0.5)</f>
        <v>0</v>
      </c>
      <c r="BL155" s="300">
        <f>Out_Table[[#This Row],[Double Deck trailer N° bumpers]]</f>
        <v>0</v>
      </c>
      <c r="BM155" s="301"/>
      <c r="BN155" s="299" t="str">
        <f>B155</f>
        <v>ERN92365</v>
      </c>
      <c r="BO155" s="299" t="str">
        <f>E155</f>
        <v>XWT 4</v>
      </c>
      <c r="BP155" s="302">
        <f>IF(AND(G155&gt;(--"00:00:01"),G155&lt;(--"15:00:00")),IF(AND(X155&gt;(--"00:00:01"),X155&lt;(--"15:00:00")),G155-X155,G155+1-X155),G155-X155)</f>
        <v>4.374999999757468E-2</v>
      </c>
      <c r="BQ155" s="303">
        <f>AE155+AF155+AH155+AJ155</f>
        <v>0.6</v>
      </c>
      <c r="BR155" s="304" t="str">
        <f>IF(OR(BP155&lt;=(--"00:20:00"),BQ155&gt;=100%),"OK","Not OK")</f>
        <v>Not OK</v>
      </c>
      <c r="BS155" s="302">
        <f>IF(AND(G155&gt;(--"00:00:01"),G155&lt;(--"15:00:00")),IF(AND(AU155&gt;(--"00:00:01"),AU155&lt;(--"15:00:00")),G155-AU155,G155+1-AU155),G155-AU155)</f>
        <v>1.1041666666642413</v>
      </c>
      <c r="BT155" s="302">
        <f>IF(AND(AZ155&gt;(--"00:00:01"),AZ155&lt;(--"15:00:00")),IF(AND(AU155&gt;(--"00:00:01"),AU155&lt;(--"15:00:00")),AZ155-AU155,AZ155+1-AU155),AZ155-AU155)</f>
        <v>1.0743055555555556</v>
      </c>
      <c r="BU155" s="302">
        <f>IF(AND(BA155&gt;(--"00:00:01"),BA155&lt;(--"15:00:00")),IF(AND(AZ155&gt;(--"00:00:01"),AZ155&lt;(--"15:00:00")),BA155-AZ155,BA155+1-AZ155),BA155-AZ155)</f>
        <v>6.9444444444444475E-3</v>
      </c>
      <c r="BV155" s="299">
        <f>AV155</f>
        <v>0</v>
      </c>
      <c r="BW155" s="301"/>
      <c r="BX155" s="299" t="str">
        <f>IF(AV155="T Status",IF(AV155&lt;&gt;T155,"X",""),"")</f>
        <v/>
      </c>
      <c r="BY155" s="301"/>
      <c r="BZ155" s="299" t="str">
        <f>IF(X155&lt;&gt;"",IF(CC155="X","Driver Delay",IF(CA155="X","Paperwork Delay",IF(CB155="X","Late freight late sort",IF(CD155="X","Chiamare Control Room",IF(CE155="X","Chiamare Control Room",IF(CF155="X","Chiamare Control Room","")))))),"")</f>
        <v>Chiamare Control Room</v>
      </c>
      <c r="CA155" s="302" t="str">
        <f>IF(K155="",IF(IF(AND(G155&gt;(--"00:00:01"),G155&lt;(--"15:00:00")),IF(AND(AT155&gt;(--"08:00:00"),AT155&lt;(--"23:59:59")),G155+1-AT155,G155-AT155),G155-AT155)&gt;(--"00:20:00"),"","X"),"")</f>
        <v/>
      </c>
      <c r="CB155" s="299" t="str">
        <f>IF(K155="",IF(BP155&gt;=(--"00:20:00"),"","X"),"")</f>
        <v/>
      </c>
      <c r="CC155" s="299" t="str">
        <f>IF(OR(AV155="Autista non presente",AV155="Dati driver non presenti"),"X","")</f>
        <v/>
      </c>
      <c r="CD155" s="299" t="str">
        <f>IF(K155="",IF(AND(CC155="",BS155&lt;(--"00:20:00")),"X",""),"")</f>
        <v/>
      </c>
      <c r="CE155" s="299" t="str">
        <f>IF(K155="",IF(BT155&gt;(--"00:15:00"),"X",""),IF(AZ155&lt;&gt;"",IF(G155-AZ155&gt;(--"00:30:00"),"X",""),""))</f>
        <v>X</v>
      </c>
      <c r="CF155" s="299" t="str">
        <f>IF(AND(CA155="",CB155="",CC155="",CD155="",CE155=""),"X","")</f>
        <v/>
      </c>
      <c r="CG155" s="301"/>
      <c r="CH155" s="299" t="str">
        <f>IF(BT155&gt;(--"00:15:00"),"X","")</f>
        <v>X</v>
      </c>
      <c r="CI155" s="302">
        <f>AY155</f>
        <v>0</v>
      </c>
      <c r="CJ155" s="299" t="str">
        <f>IF(AND(CH155&lt;&gt;"",CI155&lt;&gt;"",LEFT(B155,3)="ITD"),AP155,"")</f>
        <v/>
      </c>
      <c r="CK155" s="305" t="str">
        <f>IF(CJ155&lt;&gt;"",BT155,"")</f>
        <v/>
      </c>
      <c r="CL155" s="301"/>
      <c r="CM155" s="305" t="str">
        <f>IFERROR(VLOOKUP(Q155,'Elenco Casse'!$D$4:$F$292,3,FALSE),"")</f>
        <v/>
      </c>
      <c r="CN155" s="301"/>
      <c r="CO155" s="305" t="str">
        <f>IFERROR(VLOOKUP(E155,Outlist!$A$5:$H$120,8,FALSE),"")</f>
        <v>XA318EY</v>
      </c>
      <c r="CP155" s="305" t="str">
        <f>IFERROR(IF(VLOOKUP($E155,Outlist!$A$5:$S$120,19,FALSE)&lt;&gt;0,"Y",""),"")</f>
        <v>Y</v>
      </c>
      <c r="CQ155" s="301"/>
      <c r="CR155" s="305" t="str">
        <f>CONCATENATE($B155,$E155,$G155)</f>
        <v>ERN92365XWT 40.104166666664241</v>
      </c>
      <c r="CS155" s="301"/>
      <c r="CT155" s="305">
        <f>VLOOKUP(Out_Table[[#This Row],[Destination             ORANGE (From Planning)]],Outlist!$A$5:$W$120,22,FALSE)</f>
        <v>0</v>
      </c>
    </row>
    <row r="156" spans="1:98" s="20" customFormat="1" ht="30.75">
      <c r="A156" s="305" t="str">
        <f>$CR156</f>
        <v>ERN15952XWT 20.104166666664241</v>
      </c>
      <c r="B156" s="351" t="str">
        <f>IFERROR(VLOOKUP(E156,Outlist!$A$5:$AC$120,2,FALSE),"")</f>
        <v>ERN15952</v>
      </c>
      <c r="C156" s="352" t="str">
        <f>IFERROR(IF(LEFT(B156,3)='STAT 77'!$X$2,_xlfn.XLOOKUP(B156,'STAT 77'!C:C,'STAT 77'!B:B),_xlfn.XLOOKUP(B156,'STAT 77'!B:B,'STAT 77'!C:C)),"NON TROVATO")</f>
        <v>ERN08143</v>
      </c>
      <c r="D156" s="4"/>
      <c r="E156" s="352" t="str">
        <f>IFERROR(IF(Outlist!$A48&lt;&gt;"",Outlist!$A48,""),"")</f>
        <v>XWT 2</v>
      </c>
      <c r="F156" s="352" t="str">
        <f>IFERROR(VLOOKUP(E156,'Cambio O2P'!C:E,2,FALSE),"")</f>
        <v/>
      </c>
      <c r="G156" s="353">
        <f>IFERROR(VLOOKUP(E156,Outlist!$A$5:$AC$120,5,FALSE)-INT(VLOOKUP(E156,Outlist!$A$5:$AC$120,5,FALSE)),"")</f>
        <v>0.10416666666424135</v>
      </c>
      <c r="H156" s="294" t="str">
        <f ca="1">IFERROR(IF(AND('INformazioni per calcoli'!$AB$3&lt;(--"14:30"),'INformazioni per calcoli'!$AB$3&gt;(--"10:00")),"",IF($B156="","",IF($X156&lt;&gt;"","Mezzo Chiuso",IF($W156="","Non al Carico",IF($K156="Safe Parking","Safe Parking", IF(OR($BF156='INformazioni per calcoli'!$AF$8,$BF156='INformazioni per calcoli'!$AC$8,$BF156='INformazioni per calcoli'!$AD$8,$BF156='INformazioni per calcoli'!$AE$8,$BF156='INformazioni per calcoli'!$AG$8,$BF156='INformazioni per calcoli'!$AH$8,$BF156='INformazioni per calcoli'!$AI$8,$BF156='INformazioni per calcoli'!$AJ$8),IF($G156-'INformazioni per calcoli'!$AB$6-'INformazioni per calcoli'!$AB$3+$J156&lt;0,"LFLS",$G156-'INformazioni per calcoli'!$AB$6-'INformazioni per calcoli'!$AB$3+$J156), IF(OR($BF156='INformazioni per calcoli'!$AF$6,$BF156='INformazioni per calcoli'!$AD$6,$BF156='INformazioni per calcoli'!$AE$6,$BF156='INformazioni per calcoli'!$AG$6),IF($G156-'INformazioni per calcoli'!$AB$8-'INformazioni per calcoli'!$AB$3+$J156&lt;0,"LFLS",$G156-'INformazioni per calcoli'!$AB$8-'INformazioni per calcoli'!$AB$3+$J156), IF($G156-'INformazioni per calcoli'!$AB$7-'INformazioni per calcoli'!$AB$3+$J156&lt;0,"LFLS",$G156-'INformazioni per calcoli'!$AB$7-'INformazioni per calcoli'!$AB$3+$J156)))))))),"")</f>
        <v>Mezzo Chiuso</v>
      </c>
      <c r="I156" s="17" t="str">
        <f ca="1">IFERROR(IF($H156&lt;&gt;"",IF($H156="Safe Parking","",IF($W156&lt;&gt;"",IF(AND($U156="X",$V156="X"),$H156-(--"00:30"),""),IF($X156&lt;&gt;"","Mezzo Chiuso","Non al carico"))),""),"")</f>
        <v/>
      </c>
      <c r="J156" s="306">
        <f ca="1">IFERROR(IF($B156&lt;&gt;"",IF(AND('INformazioni per calcoli'!$AB$3&lt;(--"15:00"),'INformazioni per calcoli'!$AB$3&gt;(--"00:00")),0,IF($G156&lt;(--"18:30"),"+1",0)),""),"")</f>
        <v>0</v>
      </c>
      <c r="K156" s="27">
        <f>IF(E156&lt;&gt;"",IFERROR(VLOOKUP(E156,Outlist!$A$5:$AC$120,22,FALSE),""),"")</f>
        <v>0</v>
      </c>
      <c r="L156" s="352" t="str">
        <f>IF(E156&lt;&gt;"",IFERROR(VLOOKUP(E156,Outlist!$A$5:$AC$120,3,FALSE),""),"")</f>
        <v>T&amp;ti Cargo Line Srl</v>
      </c>
      <c r="M156" s="4" t="str">
        <f>IFERROR(_xlfn.XLOOKUP($Q156,'Elenco Casse'!$D:$D,'Elenco Casse'!$E:$E),"")</f>
        <v/>
      </c>
      <c r="N156" s="4" t="str">
        <f>IFERROR(_xlfn.XLOOKUP($Q156,'Elenco Casse'!$D:$D,'Elenco Casse'!$F:$F),"")</f>
        <v/>
      </c>
      <c r="O156" s="4" t="str">
        <f>IF($L156&lt;&gt;"","TT-2/3","")</f>
        <v>TT-2/3</v>
      </c>
      <c r="P156" s="296" t="str">
        <f>IFERROR(IF(VLOOKUP(E156,Outlist!$A$5:$AC$120,21,FALSE)="YES","Linea Variata",""),"")</f>
        <v/>
      </c>
      <c r="Q156" s="355" t="s">
        <v>1016</v>
      </c>
      <c r="R156" s="23" t="s">
        <v>420</v>
      </c>
      <c r="S156" s="25" t="str">
        <f>IFERROR(IF(VLOOKUP(E156,Outlist!$A$5:$AC$120,7,FALSE)="X","SUBCO",""),"")</f>
        <v/>
      </c>
      <c r="T156" s="25"/>
      <c r="U156" s="23"/>
      <c r="V156" s="23" t="s">
        <v>500</v>
      </c>
      <c r="W156" s="26">
        <v>738</v>
      </c>
      <c r="X156" s="27">
        <v>0.97916666666666663</v>
      </c>
      <c r="Y156" s="25" t="s">
        <v>492</v>
      </c>
      <c r="Z156" s="25"/>
      <c r="AA156" s="25" t="s">
        <v>487</v>
      </c>
      <c r="AB156" s="57">
        <v>1</v>
      </c>
      <c r="AC156" s="25"/>
      <c r="AD156" s="25"/>
      <c r="AE156" s="57"/>
      <c r="AF156" s="57"/>
      <c r="AG156" s="25" t="s">
        <v>488</v>
      </c>
      <c r="AH156" s="57"/>
      <c r="AI156" s="339"/>
      <c r="AJ156" s="339"/>
      <c r="AK156" s="297" t="str">
        <f>IF(X156&lt;&gt;"",CONCATENATE(IF(AA156&lt;&gt;"",CONCATENATE(Z156," ",AA156," ",BI156),""),IF(AD156&lt;&gt;"",CONCATENATE(","," ",AC156," ",AD156," ",BJ156),""),IF(AG156&lt;&gt;"",CONCATENATE(","," ",AF156," ",AG156," ",BK156),""),IF(AJ156&lt;&gt;"",CONCATENATE(","," ","DD"," ",BL156),"")," ",IF(AI156&lt;&gt;"",CONCATENATE(" - ",AI156," Bag"),"")),"")</f>
        <v xml:space="preserve"> FRT 14,  DG 0 </v>
      </c>
      <c r="AL156" s="287" t="s">
        <v>421</v>
      </c>
      <c r="AM156" s="287"/>
      <c r="AN156" s="287"/>
      <c r="AO156" s="287"/>
      <c r="AP156" s="370">
        <f>IFERROR(VLOOKUP($E156,Outlist!$A$5:$V$120,20,FALSE),"")</f>
        <v>0</v>
      </c>
      <c r="AQ156" s="288" t="s">
        <v>1017</v>
      </c>
      <c r="AR156" s="430">
        <v>0.98472222222222228</v>
      </c>
      <c r="AS156" s="24">
        <v>0.98958333333333337</v>
      </c>
      <c r="AT156" s="24">
        <v>0.9916666666666667</v>
      </c>
      <c r="AU156" s="27"/>
      <c r="AV156" s="27"/>
      <c r="AW156" s="20" t="s">
        <v>443</v>
      </c>
      <c r="AX156" s="20" t="str">
        <f>IFERROR(IF(Out_Table[[#This Row],[Cancellazione linea]]="Cancellata","yes",""),"")</f>
        <v/>
      </c>
      <c r="AY156" s="72"/>
      <c r="AZ156" s="27"/>
      <c r="BA156" s="32">
        <v>5.9722222222222225E-2</v>
      </c>
      <c r="BB156" s="72"/>
      <c r="BC156" s="72" t="str">
        <f>IFERROR(VLOOKUP(Out_Table[[#This Row],[Aggiornamento STATUS]],'INformazioni per calcoli'!$Y$70:$AA$76,2,FALSE),"")</f>
        <v/>
      </c>
      <c r="BD156" s="289"/>
      <c r="BE156" s="289"/>
      <c r="BF156" s="47" t="str">
        <f>LEFT($E156,3)</f>
        <v>XWT</v>
      </c>
      <c r="BG156" s="298" t="str">
        <f>IF(Out_Table[[#This Row],[Ora Uscita    (GH)]]&lt;&gt;"","x","")</f>
        <v>x</v>
      </c>
      <c r="BH156" s="299">
        <f>VLOOKUP($O156,'INformazioni per calcoli'!$Y$20:$AA$23,3,FALSE)</f>
        <v>14</v>
      </c>
      <c r="BI156" s="299">
        <f>MROUND(Out_Table[[#This Row],[Mtr. Trailer]]*AB156,0.5)</f>
        <v>14</v>
      </c>
      <c r="BJ156" s="299">
        <f>MROUND(Out_Table[[#This Row],[Mtr. Trailer]]*AE156,0.5)</f>
        <v>0</v>
      </c>
      <c r="BK156" s="299">
        <f>MROUND(Out_Table[[#This Row],[Mtr. Trailer]]*AH156,0.5)</f>
        <v>0</v>
      </c>
      <c r="BL156" s="300">
        <f>Out_Table[[#This Row],[Double Deck trailer N° bumpers]]</f>
        <v>0</v>
      </c>
      <c r="BM156" s="301"/>
      <c r="BN156" s="299" t="str">
        <f>B156</f>
        <v>ERN15952</v>
      </c>
      <c r="BO156" s="299" t="str">
        <f>E156</f>
        <v>XWT 2</v>
      </c>
      <c r="BP156" s="302">
        <f>IF(AND(G156&gt;(--"00:00:01"),G156&lt;(--"15:00:00")),IF(AND(X156&gt;(--"00:00:01"),X156&lt;(--"15:00:00")),G156-X156,G156+1-X156),G156-X156)</f>
        <v>0.12499999999757472</v>
      </c>
      <c r="BQ156" s="303">
        <f>AE156+AF156+AH156+AJ156</f>
        <v>0</v>
      </c>
      <c r="BR156" s="304" t="str">
        <f>IF(OR(BP156&lt;=(--"00:20:00"),BQ156&gt;=100%),"OK","Not OK")</f>
        <v>Not OK</v>
      </c>
      <c r="BS156" s="302">
        <f>IF(AND(G156&gt;(--"00:00:01"),G156&lt;(--"15:00:00")),IF(AND(AU156&gt;(--"00:00:01"),AU156&lt;(--"15:00:00")),G156-AU156,G156+1-AU156),G156-AU156)</f>
        <v>1.1041666666642413</v>
      </c>
      <c r="BT156" s="302">
        <f>IF(AND(AZ156&gt;(--"00:00:01"),AZ156&lt;(--"15:00:00")),IF(AND(AU156&gt;(--"00:00:01"),AU156&lt;(--"15:00:00")),AZ156-AU156,AZ156+1-AU156),AZ156-AU156)</f>
        <v>0</v>
      </c>
      <c r="BU156" s="302">
        <f>IF(AND(BA156&gt;(--"00:00:01"),BA156&lt;(--"15:00:00")),IF(AND(AZ156&gt;(--"00:00:01"),AZ156&lt;(--"15:00:00")),BA156-AZ156,BA156+1-AZ156),BA156-AZ156)</f>
        <v>1.0597222222222222</v>
      </c>
      <c r="BV156" s="299">
        <f>AV156</f>
        <v>0</v>
      </c>
      <c r="BW156" s="301"/>
      <c r="BX156" s="299" t="str">
        <f>IF(AV156="T Status",IF(AV156&lt;&gt;T156,"X",""),"")</f>
        <v/>
      </c>
      <c r="BY156" s="301"/>
      <c r="BZ156" s="299" t="str">
        <f>IF(X156&lt;&gt;"",IF(CC156="X","Driver Delay",IF(CA156="X","Paperwork Delay",IF(CB156="X","Late freight late sort",IF(CD156="X","Chiamare Control Room",IF(CE156="X","Chiamare Control Room",IF(CF156="X","Chiamare Control Room","")))))),"")</f>
        <v>Chiamare Control Room</v>
      </c>
      <c r="CA156" s="302" t="str">
        <f>IF(K156="",IF(IF(AND(G156&gt;(--"00:00:01"),G156&lt;(--"15:00:00")),IF(AND(AT156&gt;(--"08:00:00"),AT156&lt;(--"23:59:59")),G156+1-AT156,G156-AT156),G156-AT156)&gt;(--"00:20:00"),"","X"),"")</f>
        <v/>
      </c>
      <c r="CB156" s="299" t="str">
        <f>IF(K156="",IF(BP156&gt;=(--"00:20:00"),"","X"),"")</f>
        <v/>
      </c>
      <c r="CC156" s="299" t="str">
        <f>IF(OR(AV156="Autista non presente",AV156="Dati driver non presenti"),"X","")</f>
        <v/>
      </c>
      <c r="CD156" s="299" t="str">
        <f>IF(K156="",IF(AND(CC156="",BS156&lt;(--"00:20:00")),"X",""),"")</f>
        <v/>
      </c>
      <c r="CE156" s="299" t="str">
        <f>IF(K156="",IF(BT156&gt;(--"00:15:00"),"X",""),IF(AZ156&lt;&gt;"",IF(G156-AZ156&gt;(--"00:30:00"),"X",""),""))</f>
        <v/>
      </c>
      <c r="CF156" s="299" t="str">
        <f>IF(AND(CA156="",CB156="",CC156="",CD156="",CE156=""),"X","")</f>
        <v>X</v>
      </c>
      <c r="CG156" s="301"/>
      <c r="CH156" s="299" t="str">
        <f>IF(BT156&gt;(--"00:15:00"),"X","")</f>
        <v/>
      </c>
      <c r="CI156" s="302">
        <f>AY156</f>
        <v>0</v>
      </c>
      <c r="CJ156" s="299" t="str">
        <f>IF(AND(CH156&lt;&gt;"",CI156&lt;&gt;"",LEFT(B156,3)="ITD"),AP156,"")</f>
        <v/>
      </c>
      <c r="CK156" s="305" t="str">
        <f>IF(CJ156&lt;&gt;"",BT156,"")</f>
        <v/>
      </c>
      <c r="CL156" s="301"/>
      <c r="CM156" s="305" t="str">
        <f>IFERROR(VLOOKUP(Q156,'Elenco Casse'!$D$4:$F$292,3,FALSE),"")</f>
        <v/>
      </c>
      <c r="CN156" s="301"/>
      <c r="CO156" s="305" t="str">
        <f>IFERROR(VLOOKUP(E156,Outlist!$A$5:$H$120,8,FALSE),"")</f>
        <v>enbd20115</v>
      </c>
      <c r="CP156" s="305" t="str">
        <f>IFERROR(IF(VLOOKUP($E156,Outlist!$A$5:$S$120,19,FALSE)&lt;&gt;0,"Y",""),"")</f>
        <v>Y</v>
      </c>
      <c r="CQ156" s="301"/>
      <c r="CR156" s="305" t="str">
        <f>CONCATENATE($B156,$E156,$G156)</f>
        <v>ERN15952XWT 20.104166666664241</v>
      </c>
      <c r="CS156" s="301"/>
      <c r="CT156" s="305">
        <f>VLOOKUP(Out_Table[[#This Row],[Destination             ORANGE (From Planning)]],Outlist!$A$5:$W$120,22,FALSE)</f>
        <v>0</v>
      </c>
    </row>
    <row r="157" spans="1:98" s="20" customFormat="1" ht="30.75">
      <c r="A157" s="305" t="str">
        <f>$CR157</f>
        <v>ERN18726MAD 10.0833333333357587</v>
      </c>
      <c r="B157" s="351" t="str">
        <f>IFERROR(VLOOKUP(E157,Outlist!$A$5:$AC$120,2,FALSE),"")</f>
        <v>ERN18726</v>
      </c>
      <c r="C157" s="352" t="str">
        <f>IFERROR(IF(LEFT(B157,3)='STAT 77'!$X$2,_xlfn.XLOOKUP(B157,'STAT 77'!C:C,'STAT 77'!B:B),_xlfn.XLOOKUP(B157,'STAT 77'!B:B,'STAT 77'!C:C)),"NON TROVATO")</f>
        <v>ERN09485</v>
      </c>
      <c r="D157" s="4"/>
      <c r="E157" s="352" t="str">
        <f>IFERROR(IF(Outlist!$A61&lt;&gt;"",Outlist!$A61,""),"")</f>
        <v>MAD 1</v>
      </c>
      <c r="F157" s="352" t="str">
        <f>IFERROR(VLOOKUP(E157,'Cambio O2P'!C:E,2,FALSE),"")</f>
        <v/>
      </c>
      <c r="G157" s="353">
        <f>IFERROR(VLOOKUP(E157,Outlist!$A$5:$AC$120,5,FALSE)-INT(VLOOKUP(E157,Outlist!$A$5:$AC$120,5,FALSE)),"")</f>
        <v>8.3333333335758653E-2</v>
      </c>
      <c r="H157" s="294" t="str">
        <f ca="1">IFERROR(IF(AND('INformazioni per calcoli'!$AB$3&lt;(--"14:30"),'INformazioni per calcoli'!$AB$3&gt;(--"10:00")),"",IF($B157="","",IF($X157&lt;&gt;"","Mezzo Chiuso",IF($W157="","Non al Carico",IF($K157="Safe Parking","Safe Parking", IF(OR($BF157='INformazioni per calcoli'!$AF$8,$BF157='INformazioni per calcoli'!$AC$8,$BF157='INformazioni per calcoli'!$AD$8,$BF157='INformazioni per calcoli'!$AE$8,$BF157='INformazioni per calcoli'!$AG$8,$BF157='INformazioni per calcoli'!$AH$8,$BF157='INformazioni per calcoli'!$AI$8,$BF157='INformazioni per calcoli'!$AJ$8),IF($G157-'INformazioni per calcoli'!$AB$6-'INformazioni per calcoli'!$AB$3+$J157&lt;0,"LFLS",$G157-'INformazioni per calcoli'!$AB$6-'INformazioni per calcoli'!$AB$3+$J157), IF(OR($BF157='INformazioni per calcoli'!$AF$6,$BF157='INformazioni per calcoli'!$AD$6,$BF157='INformazioni per calcoli'!$AE$6,$BF157='INformazioni per calcoli'!$AG$6),IF($G157-'INformazioni per calcoli'!$AB$8-'INformazioni per calcoli'!$AB$3+$J157&lt;0,"LFLS",$G157-'INformazioni per calcoli'!$AB$8-'INformazioni per calcoli'!$AB$3+$J157), IF($G157-'INformazioni per calcoli'!$AB$7-'INformazioni per calcoli'!$AB$3+$J157&lt;0,"LFLS",$G157-'INformazioni per calcoli'!$AB$7-'INformazioni per calcoli'!$AB$3+$J157)))))))),"")</f>
        <v>Mezzo Chiuso</v>
      </c>
      <c r="I157" s="17" t="str">
        <f ca="1">IFERROR(IF($H157&lt;&gt;"",IF($H157="Safe Parking","",IF($W157&lt;&gt;"",IF(AND($U157="X",$V157="X"),$H157-(--"00:30"),""),IF($X157&lt;&gt;"","Mezzo Chiuso","Non al carico"))),""),"")</f>
        <v/>
      </c>
      <c r="J157" s="306">
        <f ca="1">IFERROR(IF($B157&lt;&gt;"",IF(AND('INformazioni per calcoli'!$AB$3&lt;(--"15:00"),'INformazioni per calcoli'!$AB$3&gt;(--"00:00")),0,IF($G157&lt;(--"18:30"),"+1",0)),""),"")</f>
        <v>0</v>
      </c>
      <c r="K157" s="27">
        <f>IF(E157&lt;&gt;"",IFERROR(VLOOKUP(E157,Outlist!$A$5:$AC$120,22,FALSE),""),"")</f>
        <v>0</v>
      </c>
      <c r="L157" s="352" t="str">
        <f>IF(E157&lt;&gt;"",IFERROR(VLOOKUP(E157,Outlist!$A$5:$AC$120,3,FALSE),""),"")</f>
        <v>Furgo-trayler</v>
      </c>
      <c r="M157" s="4" t="str">
        <f>IFERROR(_xlfn.XLOOKUP($Q157,'Elenco Casse'!$D:$D,'Elenco Casse'!$E:$E),"")</f>
        <v/>
      </c>
      <c r="N157" s="4" t="str">
        <f>IFERROR(_xlfn.XLOOKUP($Q157,'Elenco Casse'!$D:$D,'Elenco Casse'!$F:$F),"")</f>
        <v/>
      </c>
      <c r="O157" s="4" t="str">
        <f>IF($L157&lt;&gt;"","TT-2/3","")</f>
        <v>TT-2/3</v>
      </c>
      <c r="P157" s="296" t="str">
        <f>IFERROR(IF(VLOOKUP(E157,Outlist!$A$5:$AC$120,21,FALSE)="YES","Linea Variata",""),"")</f>
        <v/>
      </c>
      <c r="Q157" s="355" t="s">
        <v>1018</v>
      </c>
      <c r="R157" s="23" t="s">
        <v>420</v>
      </c>
      <c r="S157" s="25" t="str">
        <f>IFERROR(IF(VLOOKUP(E157,Outlist!$A$5:$AC$120,7,FALSE)="X","SUBCO",""),"")</f>
        <v/>
      </c>
      <c r="T157" s="25"/>
      <c r="U157" s="23"/>
      <c r="V157" s="23" t="s">
        <v>61</v>
      </c>
      <c r="W157" s="26">
        <v>739</v>
      </c>
      <c r="X157" s="27">
        <v>0.99791666666666667</v>
      </c>
      <c r="Y157" s="25" t="s">
        <v>1019</v>
      </c>
      <c r="Z157" s="25"/>
      <c r="AA157" s="25" t="s">
        <v>487</v>
      </c>
      <c r="AB157" s="57">
        <v>1</v>
      </c>
      <c r="AC157" s="25"/>
      <c r="AD157" s="25"/>
      <c r="AE157" s="57"/>
      <c r="AF157" s="57"/>
      <c r="AG157" s="25" t="s">
        <v>488</v>
      </c>
      <c r="AH157" s="57"/>
      <c r="AI157" s="339"/>
      <c r="AJ157" s="339">
        <v>8</v>
      </c>
      <c r="AK157" s="297" t="str">
        <f>IF(X157&lt;&gt;"",CONCATENATE(IF(AA157&lt;&gt;"",CONCATENATE(Z157," ",AA157," ",BI157),""),IF(AD157&lt;&gt;"",CONCATENATE(","," ",AC157," ",AD157," ",BJ157),""),IF(AG157&lt;&gt;"",CONCATENATE(","," ",AF157," ",AG157," ",BK157),""),IF(AJ157&lt;&gt;"",CONCATENATE(","," ","DD"," ",BL157),"")," ",IF(AI157&lt;&gt;"",CONCATENATE(" - ",AI157," Bag"),"")),"")</f>
        <v xml:space="preserve"> FRT 14,  DG 0, DD 8 </v>
      </c>
      <c r="AL157" s="287" t="s">
        <v>421</v>
      </c>
      <c r="AM157" s="287"/>
      <c r="AN157" s="287"/>
      <c r="AO157" s="287"/>
      <c r="AP157" s="370">
        <f>IFERROR(VLOOKUP($E157,Outlist!$A$5:$V$120,20,FALSE),"")</f>
        <v>0</v>
      </c>
      <c r="AQ157" s="288" t="s">
        <v>1020</v>
      </c>
      <c r="AR157" s="430">
        <v>6.9444444444444447E-4</v>
      </c>
      <c r="AS157" s="24">
        <v>3.472222222222222E-3</v>
      </c>
      <c r="AT157" s="24">
        <v>3.472222222222222E-3</v>
      </c>
      <c r="AU157" s="27"/>
      <c r="AV157" s="27"/>
      <c r="AW157" s="20" t="s">
        <v>1021</v>
      </c>
      <c r="AX157" s="20" t="str">
        <f>IFERROR(IF(Out_Table[[#This Row],[Cancellazione linea]]="Cancellata","yes",""),"")</f>
        <v/>
      </c>
      <c r="AY157" s="72"/>
      <c r="AZ157" s="27">
        <v>3.2638888888888891E-2</v>
      </c>
      <c r="BA157" s="32">
        <v>4.0972222222222222E-2</v>
      </c>
      <c r="BB157" s="72"/>
      <c r="BC157" s="72" t="str">
        <f>IFERROR(VLOOKUP(Out_Table[[#This Row],[Aggiornamento STATUS]],'INformazioni per calcoli'!$Y$70:$AA$76,2,FALSE),"")</f>
        <v/>
      </c>
      <c r="BD157" s="289"/>
      <c r="BE157" s="289"/>
      <c r="BF157" s="47" t="str">
        <f>LEFT($E157,3)</f>
        <v>MAD</v>
      </c>
      <c r="BG157" s="298" t="str">
        <f>IF(Out_Table[[#This Row],[Ora Uscita    (GH)]]&lt;&gt;"","x","")</f>
        <v>x</v>
      </c>
      <c r="BH157" s="299">
        <f>VLOOKUP($O157,'INformazioni per calcoli'!$Y$20:$AA$23,3,FALSE)</f>
        <v>14</v>
      </c>
      <c r="BI157" s="299">
        <f>MROUND(Out_Table[[#This Row],[Mtr. Trailer]]*AB157,0.5)</f>
        <v>14</v>
      </c>
      <c r="BJ157" s="299">
        <f>MROUND(Out_Table[[#This Row],[Mtr. Trailer]]*AE157,0.5)</f>
        <v>0</v>
      </c>
      <c r="BK157" s="299">
        <f>MROUND(Out_Table[[#This Row],[Mtr. Trailer]]*AH157,0.5)</f>
        <v>0</v>
      </c>
      <c r="BL157" s="300">
        <f>Out_Table[[#This Row],[Double Deck trailer N° bumpers]]</f>
        <v>8</v>
      </c>
      <c r="BM157" s="301"/>
      <c r="BN157" s="299" t="str">
        <f>B157</f>
        <v>ERN18726</v>
      </c>
      <c r="BO157" s="299" t="str">
        <f>E157</f>
        <v>MAD 1</v>
      </c>
      <c r="BP157" s="302">
        <f>IF(AND(G157&gt;(--"00:00:01"),G157&lt;(--"15:00:00")),IF(AND(X157&gt;(--"00:00:01"),X157&lt;(--"15:00:00")),G157-X157,G157+1-X157),G157-X157)</f>
        <v>8.5416666669091978E-2</v>
      </c>
      <c r="BQ157" s="303">
        <f>AE157+AF157+AH157+AJ157</f>
        <v>8</v>
      </c>
      <c r="BR157" s="304" t="str">
        <f>IF(OR(BP157&lt;=(--"00:20:00"),BQ157&gt;=100%),"OK","Not OK")</f>
        <v>OK</v>
      </c>
      <c r="BS157" s="302">
        <f>IF(AND(G157&gt;(--"00:00:01"),G157&lt;(--"15:00:00")),IF(AND(AU157&gt;(--"00:00:01"),AU157&lt;(--"15:00:00")),G157-AU157,G157+1-AU157),G157-AU157)</f>
        <v>1.0833333333357587</v>
      </c>
      <c r="BT157" s="302">
        <f>IF(AND(AZ157&gt;(--"00:00:01"),AZ157&lt;(--"15:00:00")),IF(AND(AU157&gt;(--"00:00:01"),AU157&lt;(--"15:00:00")),AZ157-AU157,AZ157+1-AU157),AZ157-AU157)</f>
        <v>1.0326388888888889</v>
      </c>
      <c r="BU157" s="302">
        <f>IF(AND(BA157&gt;(--"00:00:01"),BA157&lt;(--"15:00:00")),IF(AND(AZ157&gt;(--"00:00:01"),AZ157&lt;(--"15:00:00")),BA157-AZ157,BA157+1-AZ157),BA157-AZ157)</f>
        <v>8.3333333333333315E-3</v>
      </c>
      <c r="BV157" s="299">
        <f>AV157</f>
        <v>0</v>
      </c>
      <c r="BW157" s="301"/>
      <c r="BX157" s="299" t="str">
        <f>IF(AV157="T Status",IF(AV157&lt;&gt;T157,"X",""),"")</f>
        <v/>
      </c>
      <c r="BY157" s="301"/>
      <c r="BZ157" s="299" t="str">
        <f>IF(X157&lt;&gt;"",IF(CC157="X","Driver Delay",IF(CA157="X","Paperwork Delay",IF(CB157="X","Late freight late sort",IF(CD157="X","Chiamare Control Room",IF(CE157="X","Chiamare Control Room",IF(CF157="X","Chiamare Control Room","")))))),"")</f>
        <v>Chiamare Control Room</v>
      </c>
      <c r="CA157" s="302" t="str">
        <f>IF(K157="",IF(IF(AND(G157&gt;(--"00:00:01"),G157&lt;(--"15:00:00")),IF(AND(AT157&gt;(--"08:00:00"),AT157&lt;(--"23:59:59")),G157+1-AT157,G157-AT157),G157-AT157)&gt;(--"00:20:00"),"","X"),"")</f>
        <v/>
      </c>
      <c r="CB157" s="299" t="str">
        <f>IF(K157="",IF(BP157&gt;=(--"00:20:00"),"","X"),"")</f>
        <v/>
      </c>
      <c r="CC157" s="299" t="str">
        <f>IF(OR(AV157="Autista non presente",AV157="Dati driver non presenti"),"X","")</f>
        <v/>
      </c>
      <c r="CD157" s="299" t="str">
        <f>IF(K157="",IF(AND(CC157="",BS157&lt;(--"00:20:00")),"X",""),"")</f>
        <v/>
      </c>
      <c r="CE157" s="299" t="str">
        <f>IF(K157="",IF(BT157&gt;(--"00:15:00"),"X",""),IF(AZ157&lt;&gt;"",IF(G157-AZ157&gt;(--"00:30:00"),"X",""),""))</f>
        <v>X</v>
      </c>
      <c r="CF157" s="299" t="str">
        <f>IF(AND(CA157="",CB157="",CC157="",CD157="",CE157=""),"X","")</f>
        <v/>
      </c>
      <c r="CG157" s="301"/>
      <c r="CH157" s="299" t="str">
        <f>IF(BT157&gt;(--"00:15:00"),"X","")</f>
        <v>X</v>
      </c>
      <c r="CI157" s="302">
        <f>AY157</f>
        <v>0</v>
      </c>
      <c r="CJ157" s="299" t="str">
        <f>IF(AND(CH157&lt;&gt;"",CI157&lt;&gt;"",LEFT(B157,3)="ITD"),AP157,"")</f>
        <v/>
      </c>
      <c r="CK157" s="305" t="str">
        <f>IF(CJ157&lt;&gt;"",BT157,"")</f>
        <v/>
      </c>
      <c r="CL157" s="301"/>
      <c r="CM157" s="305" t="str">
        <f>IFERROR(VLOOKUP(Q157,'Elenco Casse'!$D$4:$F$292,3,FALSE),"")</f>
        <v/>
      </c>
      <c r="CN157" s="301"/>
      <c r="CO157" s="305" t="str">
        <f>IFERROR(VLOOKUP(E157,Outlist!$A$5:$H$120,8,FALSE),"")</f>
        <v>ENBR21008</v>
      </c>
      <c r="CP157" s="305" t="str">
        <f>IFERROR(IF(VLOOKUP($E157,Outlist!$A$5:$S$120,19,FALSE)&lt;&gt;0,"Y",""),"")</f>
        <v>Y</v>
      </c>
      <c r="CQ157" s="301"/>
      <c r="CR157" s="305" t="str">
        <f>CONCATENATE($B157,$E157,$G157)</f>
        <v>ERN18726MAD 10.0833333333357587</v>
      </c>
      <c r="CS157" s="301"/>
      <c r="CT157" s="305">
        <f>VLOOKUP(Out_Table[[#This Row],[Destination             ORANGE (From Planning)]],Outlist!$A$5:$W$120,22,FALSE)</f>
        <v>0</v>
      </c>
    </row>
    <row r="158" spans="1:98" s="20" customFormat="1" ht="15">
      <c r="A158" s="305" t="str">
        <f>$CR158</f>
        <v>ERN90414ZNF0.416666666664241</v>
      </c>
      <c r="B158" s="351" t="str">
        <f>IFERROR(VLOOKUP(E158,Outlist!$A$5:$AC$120,2,FALSE),"")</f>
        <v>ERN90414</v>
      </c>
      <c r="C158" s="352" t="str">
        <f>IFERROR(IF(LEFT(B158,3)='STAT 77'!$X$2,_xlfn.XLOOKUP(B158,'STAT 77'!C:C,'STAT 77'!B:B),_xlfn.XLOOKUP(B158,'STAT 77'!B:B,'STAT 77'!C:C)),"NON TROVATO")</f>
        <v>ERN90252</v>
      </c>
      <c r="D158" s="4"/>
      <c r="E158" s="352" t="str">
        <f>IFERROR(IF(Outlist!$A79&lt;&gt;"",Outlist!$A79,""),"")</f>
        <v>ZNF</v>
      </c>
      <c r="F158" s="352" t="str">
        <f>IFERROR(VLOOKUP(E158,'Cambio O2P'!C:E,2,FALSE),"")</f>
        <v/>
      </c>
      <c r="G158" s="353">
        <f>IFERROR(VLOOKUP(E158,Outlist!$A$5:$AC$120,5,FALSE)-INT(VLOOKUP(E158,Outlist!$A$5:$AC$120,5,FALSE)),"")</f>
        <v>0.41666666666424135</v>
      </c>
      <c r="H158" s="294">
        <f ca="1">IFERROR(IF(AND('INformazioni per calcoli'!$AB$3&lt;(--"14:30"),'INformazioni per calcoli'!$AB$3&gt;(--"10:00")),"",IF($B158="","",IF($X158&lt;&gt;"","Mezzo Chiuso",IF($W158="","Non al Carico",IF($K158="Safe Parking","Safe Parking", IF(OR($BF158='INformazioni per calcoli'!$AF$8,$BF158='INformazioni per calcoli'!$AC$8,$BF158='INformazioni per calcoli'!$AD$8,$BF158='INformazioni per calcoli'!$AE$8,$BF158='INformazioni per calcoli'!$AG$8,$BF158='INformazioni per calcoli'!$AH$8,$BF158='INformazioni per calcoli'!$AI$8,$BF158='INformazioni per calcoli'!$AJ$8),IF($G158-'INformazioni per calcoli'!$AB$6-'INformazioni per calcoli'!$AB$3+$J158&lt;0,"LFLS",$G158-'INformazioni per calcoli'!$AB$6-'INformazioni per calcoli'!$AB$3+$J158), IF(OR($BF158='INformazioni per calcoli'!$AF$6,$BF158='INformazioni per calcoli'!$AD$6,$BF158='INformazioni per calcoli'!$AE$6,$BF158='INformazioni per calcoli'!$AG$6),IF($G158-'INformazioni per calcoli'!$AB$8-'INformazioni per calcoli'!$AB$3+$J158&lt;0,"LFLS",$G158-'INformazioni per calcoli'!$AB$8-'INformazioni per calcoli'!$AB$3+$J158), IF($G158-'INformazioni per calcoli'!$AB$7-'INformazioni per calcoli'!$AB$3+$J158&lt;0,"LFLS",$G158-'INformazioni per calcoli'!$AB$7-'INformazioni per calcoli'!$AB$3+$J158)))))))),"")</f>
        <v>0.2295370370346117</v>
      </c>
      <c r="I158" s="17" t="str">
        <f ca="1">IFERROR(IF($H158&lt;&gt;"",IF($H158="Safe Parking","",IF($W158&lt;&gt;"",IF(AND($U158="X",$V158="X"),$H158-(--"00:30"),""),IF($X158&lt;&gt;"","Mezzo Chiuso","Non al carico"))),""),"")</f>
        <v/>
      </c>
      <c r="J158" s="306">
        <f ca="1">IFERROR(IF($B158&lt;&gt;"",IF(AND('INformazioni per calcoli'!$AB$3&lt;(--"15:00"),'INformazioni per calcoli'!$AB$3&gt;(--"00:00")),0,IF($G158&lt;(--"18:30"),"+1",0)),""),"")</f>
        <v>0</v>
      </c>
      <c r="K158" s="27">
        <f>IF(E158&lt;&gt;"",IFERROR(VLOOKUP(E158,Outlist!$A$5:$AC$120,22,FALSE),""),"")</f>
        <v>0</v>
      </c>
      <c r="L158" s="352" t="str">
        <f>IF(E158&lt;&gt;"",IFERROR(VLOOKUP(E158,Outlist!$A$5:$AC$120,3,FALSE),""),"")</f>
        <v>Transimeksa Uab</v>
      </c>
      <c r="M158" s="4" t="str">
        <f>IFERROR(_xlfn.XLOOKUP($Q158,'Elenco Casse'!$D:$D,'Elenco Casse'!$E:$E),"")</f>
        <v/>
      </c>
      <c r="N158" s="4" t="str">
        <f>IFERROR(_xlfn.XLOOKUP($Q158,'Elenco Casse'!$D:$D,'Elenco Casse'!$F:$F),"")</f>
        <v/>
      </c>
      <c r="O158" s="4" t="str">
        <f>IF($L158&lt;&gt;"","TT-2/3","")</f>
        <v>TT-2/3</v>
      </c>
      <c r="P158" s="296" t="str">
        <f>IFERROR(IF(VLOOKUP(E158,Outlist!$A$5:$AC$120,21,FALSE)="YES","Linea Variata",""),"")</f>
        <v/>
      </c>
      <c r="Q158" s="355" t="s">
        <v>1022</v>
      </c>
      <c r="R158" s="23" t="s">
        <v>420</v>
      </c>
      <c r="S158" s="25" t="str">
        <f>IFERROR(IF(VLOOKUP(E158,Outlist!$A$5:$AC$120,7,FALSE)="X","SUBCO",""),"")</f>
        <v/>
      </c>
      <c r="T158" s="25"/>
      <c r="U158" s="23"/>
      <c r="V158" s="23" t="s">
        <v>500</v>
      </c>
      <c r="W158" s="26">
        <v>740</v>
      </c>
      <c r="X158" s="27"/>
      <c r="Y158" s="25"/>
      <c r="Z158" s="25"/>
      <c r="AA158" s="25" t="s">
        <v>487</v>
      </c>
      <c r="AB158" s="57"/>
      <c r="AC158" s="25"/>
      <c r="AD158" s="25"/>
      <c r="AE158" s="57"/>
      <c r="AF158" s="57"/>
      <c r="AG158" s="25"/>
      <c r="AH158" s="57"/>
      <c r="AI158" s="339"/>
      <c r="AJ158" s="339"/>
      <c r="AK158" s="297" t="str">
        <f>IF(X158&lt;&gt;"",CONCATENATE(IF(AA158&lt;&gt;"",CONCATENATE(Z158," ",AA158," ",BI158),""),IF(AD158&lt;&gt;"",CONCATENATE(","," ",AC158," ",AD158," ",BJ158),""),IF(AG158&lt;&gt;"",CONCATENATE(","," ",AF158," ",AG158," ",BK158),""),IF(AJ158&lt;&gt;"",CONCATENATE(","," ","DD"," ",BL158),"")," ",IF(AI158&lt;&gt;"",CONCATENATE(" - ",AI158," Bag"),"")),"")</f>
        <v/>
      </c>
      <c r="AL158" s="287"/>
      <c r="AM158" s="287"/>
      <c r="AN158" s="287"/>
      <c r="AO158" s="287"/>
      <c r="AP158" s="370">
        <f>IFERROR(VLOOKUP($E158,Outlist!$A$5:$V$120,20,FALSE),"")</f>
        <v>0</v>
      </c>
      <c r="AQ158" s="288" t="str">
        <f>IFERROR(IF(VLOOKUP($A158,#REF!,8,FALSE)&lt;&gt;"",VLOOKUP($A158,#REF!,8,FALSE),""),"")</f>
        <v/>
      </c>
      <c r="AS158" s="24"/>
      <c r="AT158" s="24"/>
      <c r="AU158" s="27"/>
      <c r="AV158" s="27"/>
      <c r="AX158" s="20" t="str">
        <f>IFERROR(IF(Out_Table[[#This Row],[Cancellazione linea]]="Cancellata","yes",""),"")</f>
        <v/>
      </c>
      <c r="AY158" s="72"/>
      <c r="AZ158" s="27"/>
      <c r="BA158" s="32"/>
      <c r="BB158" s="72"/>
      <c r="BC158" s="72" t="str">
        <f>IFERROR(VLOOKUP(Out_Table[[#This Row],[Aggiornamento STATUS]],'INformazioni per calcoli'!$Y$70:$AA$76,2,FALSE),"")</f>
        <v/>
      </c>
      <c r="BD158" s="289"/>
      <c r="BE158" s="289"/>
      <c r="BF158" s="47" t="str">
        <f>LEFT($E158,3)</f>
        <v>ZNF</v>
      </c>
      <c r="BG158" s="298" t="str">
        <f>IF(Out_Table[[#This Row],[Ora Uscita    (GH)]]&lt;&gt;"","x","")</f>
        <v/>
      </c>
      <c r="BH158" s="299">
        <f>VLOOKUP($O158,'INformazioni per calcoli'!$Y$20:$AA$23,3,FALSE)</f>
        <v>14</v>
      </c>
      <c r="BI158" s="299">
        <f>MROUND(Out_Table[[#This Row],[Mtr. Trailer]]*AB158,0.5)</f>
        <v>0</v>
      </c>
      <c r="BJ158" s="299">
        <f>MROUND(Out_Table[[#This Row],[Mtr. Trailer]]*AE158,0.5)</f>
        <v>0</v>
      </c>
      <c r="BK158" s="299">
        <f>MROUND(Out_Table[[#This Row],[Mtr. Trailer]]*AH158,0.5)</f>
        <v>0</v>
      </c>
      <c r="BL158" s="300">
        <f>Out_Table[[#This Row],[Double Deck trailer N° bumpers]]</f>
        <v>0</v>
      </c>
      <c r="BM158" s="301"/>
      <c r="BN158" s="299" t="str">
        <f>B158</f>
        <v>ERN90414</v>
      </c>
      <c r="BO158" s="299" t="str">
        <f>E158</f>
        <v>ZNF</v>
      </c>
      <c r="BP158" s="302">
        <f>IF(AND(G158&gt;(--"00:00:01"),G158&lt;(--"15:00:00")),IF(AND(X158&gt;(--"00:00:01"),X158&lt;(--"15:00:00")),G158-X158,G158+1-X158),G158-X158)</f>
        <v>1.4166666666642413</v>
      </c>
      <c r="BQ158" s="303">
        <f>AE158+AF158+AH158+AJ158</f>
        <v>0</v>
      </c>
      <c r="BR158" s="304" t="str">
        <f>IF(OR(BP158&lt;=(--"00:20:00"),BQ158&gt;=100%),"OK","Not OK")</f>
        <v>Not OK</v>
      </c>
      <c r="BS158" s="302">
        <f>IF(AND(G158&gt;(--"00:00:01"),G158&lt;(--"15:00:00")),IF(AND(AU158&gt;(--"00:00:01"),AU158&lt;(--"15:00:00")),G158-AU158,G158+1-AU158),G158-AU158)</f>
        <v>1.4166666666642413</v>
      </c>
      <c r="BT158" s="302">
        <f>IF(AND(AZ158&gt;(--"00:00:01"),AZ158&lt;(--"15:00:00")),IF(AND(AU158&gt;(--"00:00:01"),AU158&lt;(--"15:00:00")),AZ158-AU158,AZ158+1-AU158),AZ158-AU158)</f>
        <v>0</v>
      </c>
      <c r="BU158" s="302">
        <f>IF(AND(BA158&gt;(--"00:00:01"),BA158&lt;(--"15:00:00")),IF(AND(AZ158&gt;(--"00:00:01"),AZ158&lt;(--"15:00:00")),BA158-AZ158,BA158+1-AZ158),BA158-AZ158)</f>
        <v>0</v>
      </c>
      <c r="BV158" s="299">
        <f>AV158</f>
        <v>0</v>
      </c>
      <c r="BW158" s="301"/>
      <c r="BX158" s="299" t="str">
        <f>IF(AV158="T Status",IF(AV158&lt;&gt;T158,"X",""),"")</f>
        <v/>
      </c>
      <c r="BY158" s="301"/>
      <c r="BZ158" s="299" t="str">
        <f>IF(X158&lt;&gt;"",IF(CC158="X","Driver Delay",IF(CA158="X","Paperwork Delay",IF(CB158="X","Late freight late sort",IF(CD158="X","Chiamare Control Room",IF(CE158="X","Chiamare Control Room",IF(CF158="X","Chiamare Control Room","")))))),"")</f>
        <v/>
      </c>
      <c r="CA158" s="302" t="str">
        <f>IF(K158="",IF(IF(AND(G158&gt;(--"00:00:01"),G158&lt;(--"15:00:00")),IF(AND(AT158&gt;(--"08:00:00"),AT158&lt;(--"23:59:59")),G158+1-AT158,G158-AT158),G158-AT158)&gt;(--"00:20:00"),"","X"),"")</f>
        <v/>
      </c>
      <c r="CB158" s="299" t="str">
        <f>IF(K158="",IF(BP158&gt;=(--"00:20:00"),"","X"),"")</f>
        <v/>
      </c>
      <c r="CC158" s="299" t="str">
        <f>IF(OR(AV158="Autista non presente",AV158="Dati driver non presenti"),"X","")</f>
        <v/>
      </c>
      <c r="CD158" s="299" t="str">
        <f>IF(K158="",IF(AND(CC158="",BS158&lt;(--"00:20:00")),"X",""),"")</f>
        <v/>
      </c>
      <c r="CE158" s="299" t="str">
        <f>IF(K158="",IF(BT158&gt;(--"00:15:00"),"X",""),IF(AZ158&lt;&gt;"",IF(G158-AZ158&gt;(--"00:30:00"),"X",""),""))</f>
        <v/>
      </c>
      <c r="CF158" s="299" t="str">
        <f>IF(AND(CA158="",CB158="",CC158="",CD158="",CE158=""),"X","")</f>
        <v>X</v>
      </c>
      <c r="CG158" s="301"/>
      <c r="CH158" s="299" t="str">
        <f>IF(BT158&gt;(--"00:15:00"),"X","")</f>
        <v/>
      </c>
      <c r="CI158" s="302">
        <f>AY158</f>
        <v>0</v>
      </c>
      <c r="CJ158" s="299" t="str">
        <f>IF(AND(CH158&lt;&gt;"",CI158&lt;&gt;"",LEFT(B158,3)="ITD"),AP158,"")</f>
        <v/>
      </c>
      <c r="CK158" s="305" t="str">
        <f>IF(CJ158&lt;&gt;"",BT158,"")</f>
        <v/>
      </c>
      <c r="CL158" s="301"/>
      <c r="CM158" s="305" t="str">
        <f>IFERROR(VLOOKUP(Q158,'Elenco Casse'!$D$4:$F$292,3,FALSE),"")</f>
        <v/>
      </c>
      <c r="CN158" s="301"/>
      <c r="CO158" s="305" t="str">
        <f>IFERROR(VLOOKUP(E158,Outlist!$A$5:$H$120,8,FALSE),"")</f>
        <v>ENBR26568</v>
      </c>
      <c r="CP158" s="305" t="str">
        <f>IFERROR(IF(VLOOKUP($E158,Outlist!$A$5:$S$120,19,FALSE)&lt;&gt;0,"Y",""),"")</f>
        <v/>
      </c>
      <c r="CQ158" s="301"/>
      <c r="CR158" s="305" t="str">
        <f>CONCATENATE($B158,$E158,$G158)</f>
        <v>ERN90414ZNF0.416666666664241</v>
      </c>
      <c r="CS158" s="301"/>
      <c r="CT158" s="305">
        <f>VLOOKUP(Out_Table[[#This Row],[Destination             ORANGE (From Planning)]],Outlist!$A$5:$W$120,22,FALSE)</f>
        <v>0</v>
      </c>
    </row>
    <row r="159" spans="1:98" s="20" customFormat="1" ht="30.75">
      <c r="A159" s="305" t="str">
        <f>$CR159</f>
        <v>ERN12476BCN 10.09375</v>
      </c>
      <c r="B159" s="351" t="str">
        <f>IFERROR(VLOOKUP(E159,Outlist!$A$5:$AC$120,2,FALSE),"")</f>
        <v>ERN12476</v>
      </c>
      <c r="C159" s="352" t="str">
        <f>IFERROR(IF(LEFT(B159,3)='STAT 77'!$X$2,_xlfn.XLOOKUP(B159,'STAT 77'!C:C,'STAT 77'!B:B),_xlfn.XLOOKUP(B159,'STAT 77'!B:B,'STAT 77'!C:C)),"NON TROVATO")</f>
        <v>ERN06267</v>
      </c>
      <c r="D159" s="4"/>
      <c r="E159" s="352" t="str">
        <f>IFERROR(IF(Outlist!$A56&lt;&gt;"",Outlist!$A56,""),"")</f>
        <v>BCN 1</v>
      </c>
      <c r="F159" s="352" t="str">
        <f>IFERROR(VLOOKUP(E159,'Cambio O2P'!C:E,2,FALSE),"")</f>
        <v/>
      </c>
      <c r="G159" s="353">
        <f>IFERROR(VLOOKUP(E159,Outlist!$A$5:$AC$120,5,FALSE)-INT(VLOOKUP(E159,Outlist!$A$5:$AC$120,5,FALSE)),"")</f>
        <v>9.375E-2</v>
      </c>
      <c r="H159" s="294" t="str">
        <f ca="1">IFERROR(IF(AND('INformazioni per calcoli'!$AB$3&lt;(--"14:30"),'INformazioni per calcoli'!$AB$3&gt;(--"10:00")),"",IF($B159="","",IF($X159&lt;&gt;"","Mezzo Chiuso",IF($W159="","Non al Carico",IF($K159="Safe Parking","Safe Parking", IF(OR($BF159='INformazioni per calcoli'!$AF$8,$BF159='INformazioni per calcoli'!$AC$8,$BF159='INformazioni per calcoli'!$AD$8,$BF159='INformazioni per calcoli'!$AE$8,$BF159='INformazioni per calcoli'!$AG$8,$BF159='INformazioni per calcoli'!$AH$8,$BF159='INformazioni per calcoli'!$AI$8,$BF159='INformazioni per calcoli'!$AJ$8),IF($G159-'INformazioni per calcoli'!$AB$6-'INformazioni per calcoli'!$AB$3+$J159&lt;0,"LFLS",$G159-'INformazioni per calcoli'!$AB$6-'INformazioni per calcoli'!$AB$3+$J159), IF(OR($BF159='INformazioni per calcoli'!$AF$6,$BF159='INformazioni per calcoli'!$AD$6,$BF159='INformazioni per calcoli'!$AE$6,$BF159='INformazioni per calcoli'!$AG$6),IF($G159-'INformazioni per calcoli'!$AB$8-'INformazioni per calcoli'!$AB$3+$J159&lt;0,"LFLS",$G159-'INformazioni per calcoli'!$AB$8-'INformazioni per calcoli'!$AB$3+$J159), IF($G159-'INformazioni per calcoli'!$AB$7-'INformazioni per calcoli'!$AB$3+$J159&lt;0,"LFLS",$G159-'INformazioni per calcoli'!$AB$7-'INformazioni per calcoli'!$AB$3+$J159)))))))),"")</f>
        <v>Mezzo Chiuso</v>
      </c>
      <c r="I159" s="17" t="str">
        <f ca="1">IFERROR(IF($H159&lt;&gt;"",IF($H159="Safe Parking","",IF($W159&lt;&gt;"",IF(AND($U159="X",$V159="X"),$H159-(--"00:30"),""),IF($X159&lt;&gt;"","Mezzo Chiuso","Non al carico"))),""),"")</f>
        <v/>
      </c>
      <c r="J159" s="306">
        <f ca="1">IFERROR(IF($B159&lt;&gt;"",IF(AND('INformazioni per calcoli'!$AB$3&lt;(--"15:00"),'INformazioni per calcoli'!$AB$3&gt;(--"00:00")),0,IF($G159&lt;(--"18:30"),"+1",0)),""),"")</f>
        <v>0</v>
      </c>
      <c r="K159" s="27">
        <f>IF(E159&lt;&gt;"",IFERROR(VLOOKUP(E159,Outlist!$A$5:$AC$120,22,FALSE),""),"")</f>
        <v>0</v>
      </c>
      <c r="L159" s="352" t="str">
        <f>IF(E159&lt;&gt;"",IFERROR(VLOOKUP(E159,Outlist!$A$5:$AC$120,3,FALSE),""),"")</f>
        <v>Furgo-trayler</v>
      </c>
      <c r="M159" s="4" t="str">
        <f>IFERROR(_xlfn.XLOOKUP($Q159,'Elenco Casse'!$D:$D,'Elenco Casse'!$E:$E),"")</f>
        <v/>
      </c>
      <c r="N159" s="4" t="str">
        <f>IFERROR(_xlfn.XLOOKUP($Q159,'Elenco Casse'!$D:$D,'Elenco Casse'!$F:$F),"")</f>
        <v/>
      </c>
      <c r="O159" s="4" t="str">
        <f>IF($L159&lt;&gt;"","TT-2/3","")</f>
        <v>TT-2/3</v>
      </c>
      <c r="P159" s="296" t="str">
        <f>IFERROR(IF(VLOOKUP(E159,Outlist!$A$5:$AC$120,21,FALSE)="YES","Linea Variata",""),"")</f>
        <v/>
      </c>
      <c r="Q159" s="355" t="s">
        <v>1023</v>
      </c>
      <c r="R159" s="23" t="s">
        <v>420</v>
      </c>
      <c r="S159" s="25" t="str">
        <f>IFERROR(IF(VLOOKUP(E159,Outlist!$A$5:$AC$120,7,FALSE)="X","SUBCO",""),"")</f>
        <v/>
      </c>
      <c r="T159" s="25"/>
      <c r="U159" s="23"/>
      <c r="V159" s="23" t="s">
        <v>61</v>
      </c>
      <c r="W159" s="26">
        <v>743</v>
      </c>
      <c r="X159" s="27">
        <v>3.125E-2</v>
      </c>
      <c r="Y159" s="25" t="s">
        <v>894</v>
      </c>
      <c r="Z159" s="25"/>
      <c r="AA159" s="25" t="s">
        <v>487</v>
      </c>
      <c r="AB159" s="57">
        <v>1</v>
      </c>
      <c r="AC159" s="25"/>
      <c r="AD159" s="25"/>
      <c r="AE159" s="57"/>
      <c r="AF159" s="57"/>
      <c r="AG159" s="25"/>
      <c r="AH159" s="57"/>
      <c r="AI159" s="339"/>
      <c r="AJ159" s="339">
        <v>8</v>
      </c>
      <c r="AK159" s="297" t="str">
        <f>IF(X159&lt;&gt;"",CONCATENATE(IF(AA159&lt;&gt;"",CONCATENATE(Z159," ",AA159," ",BI159),""),IF(AD159&lt;&gt;"",CONCATENATE(","," ",AC159," ",AD159," ",BJ159),""),IF(AG159&lt;&gt;"",CONCATENATE(","," ",AF159," ",AG159," ",BK159),""),IF(AJ159&lt;&gt;"",CONCATENATE(","," ","DD"," ",BL159),"")," ",IF(AI159&lt;&gt;"",CONCATENATE(" - ",AI159," Bag"),"")),"")</f>
        <v xml:space="preserve"> FRT 14, DD 8 </v>
      </c>
      <c r="AL159" s="287" t="s">
        <v>421</v>
      </c>
      <c r="AM159" s="287"/>
      <c r="AN159" s="287"/>
      <c r="AO159" s="287"/>
      <c r="AP159" s="370">
        <f>IFERROR(VLOOKUP($E159,Outlist!$A$5:$V$120,20,FALSE),"")</f>
        <v>0</v>
      </c>
      <c r="AQ159" s="288" t="s">
        <v>1024</v>
      </c>
      <c r="AR159" s="430">
        <v>3.888888888888889E-2</v>
      </c>
      <c r="AS159" s="24">
        <v>4.2361111111111113E-2</v>
      </c>
      <c r="AT159" s="24">
        <v>4.2361111111111113E-2</v>
      </c>
      <c r="AU159" s="27"/>
      <c r="AV159" s="27"/>
      <c r="AW159" s="20" t="s">
        <v>1021</v>
      </c>
      <c r="AX159" s="20" t="str">
        <f>IFERROR(IF(Out_Table[[#This Row],[Cancellazione linea]]="Cancellata","yes",""),"")</f>
        <v/>
      </c>
      <c r="AY159" s="72"/>
      <c r="AZ159" s="27">
        <v>6.3888888888888884E-2</v>
      </c>
      <c r="BA159" s="32">
        <v>6.9444444444444448E-2</v>
      </c>
      <c r="BB159" s="72"/>
      <c r="BC159" s="72" t="str">
        <f>IFERROR(VLOOKUP(Out_Table[[#This Row],[Aggiornamento STATUS]],'INformazioni per calcoli'!$Y$70:$AA$76,2,FALSE),"")</f>
        <v/>
      </c>
      <c r="BD159" s="289"/>
      <c r="BE159" s="289"/>
      <c r="BF159" s="47" t="str">
        <f>LEFT($E159,3)</f>
        <v>BCN</v>
      </c>
      <c r="BG159" s="298" t="str">
        <f>IF(Out_Table[[#This Row],[Ora Uscita    (GH)]]&lt;&gt;"","x","")</f>
        <v>x</v>
      </c>
      <c r="BH159" s="299">
        <f>VLOOKUP($O159,'INformazioni per calcoli'!$Y$20:$AA$23,3,FALSE)</f>
        <v>14</v>
      </c>
      <c r="BI159" s="299">
        <f>MROUND(Out_Table[[#This Row],[Mtr. Trailer]]*AB159,0.5)</f>
        <v>14</v>
      </c>
      <c r="BJ159" s="299">
        <f>MROUND(Out_Table[[#This Row],[Mtr. Trailer]]*AE159,0.5)</f>
        <v>0</v>
      </c>
      <c r="BK159" s="299">
        <f>MROUND(Out_Table[[#This Row],[Mtr. Trailer]]*AH159,0.5)</f>
        <v>0</v>
      </c>
      <c r="BL159" s="300">
        <f>Out_Table[[#This Row],[Double Deck trailer N° bumpers]]</f>
        <v>8</v>
      </c>
      <c r="BM159" s="301"/>
      <c r="BN159" s="299" t="str">
        <f>B159</f>
        <v>ERN12476</v>
      </c>
      <c r="BO159" s="299" t="str">
        <f>E159</f>
        <v>BCN 1</v>
      </c>
      <c r="BP159" s="302">
        <f>IF(AND(G159&gt;(--"00:00:01"),G159&lt;(--"15:00:00")),IF(AND(X159&gt;(--"00:00:01"),X159&lt;(--"15:00:00")),G159-X159,G159+1-X159),G159-X159)</f>
        <v>6.25E-2</v>
      </c>
      <c r="BQ159" s="303">
        <f>AE159+AF159+AH159+AJ159</f>
        <v>8</v>
      </c>
      <c r="BR159" s="304" t="str">
        <f>IF(OR(BP159&lt;=(--"00:20:00"),BQ159&gt;=100%),"OK","Not OK")</f>
        <v>OK</v>
      </c>
      <c r="BS159" s="302">
        <f>IF(AND(G159&gt;(--"00:00:01"),G159&lt;(--"15:00:00")),IF(AND(AU159&gt;(--"00:00:01"),AU159&lt;(--"15:00:00")),G159-AU159,G159+1-AU159),G159-AU159)</f>
        <v>1.09375</v>
      </c>
      <c r="BT159" s="302">
        <f>IF(AND(AZ159&gt;(--"00:00:01"),AZ159&lt;(--"15:00:00")),IF(AND(AU159&gt;(--"00:00:01"),AU159&lt;(--"15:00:00")),AZ159-AU159,AZ159+1-AU159),AZ159-AU159)</f>
        <v>1.0638888888888889</v>
      </c>
      <c r="BU159" s="302">
        <f>IF(AND(BA159&gt;(--"00:00:01"),BA159&lt;(--"15:00:00")),IF(AND(AZ159&gt;(--"00:00:01"),AZ159&lt;(--"15:00:00")),BA159-AZ159,BA159+1-AZ159),BA159-AZ159)</f>
        <v>5.5555555555555636E-3</v>
      </c>
      <c r="BV159" s="299">
        <f>AV159</f>
        <v>0</v>
      </c>
      <c r="BW159" s="301"/>
      <c r="BX159" s="299" t="str">
        <f>IF(AV159="T Status",IF(AV159&lt;&gt;T159,"X",""),"")</f>
        <v/>
      </c>
      <c r="BY159" s="301"/>
      <c r="BZ159" s="299" t="str">
        <f>IF(X159&lt;&gt;"",IF(CC159="X","Driver Delay",IF(CA159="X","Paperwork Delay",IF(CB159="X","Late freight late sort",IF(CD159="X","Chiamare Control Room",IF(CE159="X","Chiamare Control Room",IF(CF159="X","Chiamare Control Room","")))))),"")</f>
        <v>Chiamare Control Room</v>
      </c>
      <c r="CA159" s="302" t="str">
        <f>IF(K159="",IF(IF(AND(G159&gt;(--"00:00:01"),G159&lt;(--"15:00:00")),IF(AND(AT159&gt;(--"08:00:00"),AT159&lt;(--"23:59:59")),G159+1-AT159,G159-AT159),G159-AT159)&gt;(--"00:20:00"),"","X"),"")</f>
        <v/>
      </c>
      <c r="CB159" s="299" t="str">
        <f>IF(K159="",IF(BP159&gt;=(--"00:20:00"),"","X"),"")</f>
        <v/>
      </c>
      <c r="CC159" s="299" t="str">
        <f>IF(OR(AV159="Autista non presente",AV159="Dati driver non presenti"),"X","")</f>
        <v/>
      </c>
      <c r="CD159" s="299" t="str">
        <f>IF(K159="",IF(AND(CC159="",BS159&lt;(--"00:20:00")),"X",""),"")</f>
        <v/>
      </c>
      <c r="CE159" s="299" t="str">
        <f>IF(K159="",IF(BT159&gt;(--"00:15:00"),"X",""),IF(AZ159&lt;&gt;"",IF(G159-AZ159&gt;(--"00:30:00"),"X",""),""))</f>
        <v>X</v>
      </c>
      <c r="CF159" s="299" t="str">
        <f>IF(AND(CA159="",CB159="",CC159="",CD159="",CE159=""),"X","")</f>
        <v/>
      </c>
      <c r="CG159" s="301"/>
      <c r="CH159" s="299" t="str">
        <f>IF(BT159&gt;(--"00:15:00"),"X","")</f>
        <v>X</v>
      </c>
      <c r="CI159" s="302">
        <f>AY159</f>
        <v>0</v>
      </c>
      <c r="CJ159" s="299" t="str">
        <f>IF(AND(CH159&lt;&gt;"",CI159&lt;&gt;"",LEFT(B159,3)="ITD"),AP159,"")</f>
        <v/>
      </c>
      <c r="CK159" s="305" t="str">
        <f>IF(CJ159&lt;&gt;"",BT159,"")</f>
        <v/>
      </c>
      <c r="CL159" s="301"/>
      <c r="CM159" s="305" t="str">
        <f>IFERROR(VLOOKUP(Q159,'Elenco Casse'!$D$4:$F$292,3,FALSE),"")</f>
        <v/>
      </c>
      <c r="CN159" s="301"/>
      <c r="CO159" s="305" t="str">
        <f>IFERROR(VLOOKUP(E159,Outlist!$A$5:$H$120,8,FALSE),"")</f>
        <v>ENBR21391</v>
      </c>
      <c r="CP159" s="305" t="str">
        <f>IFERROR(IF(VLOOKUP($E159,Outlist!$A$5:$S$120,19,FALSE)&lt;&gt;0,"Y",""),"")</f>
        <v>Y</v>
      </c>
      <c r="CQ159" s="301"/>
      <c r="CR159" s="305" t="str">
        <f>CONCATENATE($B159,$E159,$G159)</f>
        <v>ERN12476BCN 10.09375</v>
      </c>
      <c r="CS159" s="301"/>
      <c r="CT159" s="305">
        <f>VLOOKUP(Out_Table[[#This Row],[Destination             ORANGE (From Planning)]],Outlist!$A$5:$W$120,22,FALSE)</f>
        <v>0</v>
      </c>
    </row>
    <row r="160" spans="1:98" s="20" customFormat="1" ht="15">
      <c r="A160" s="305" t="str">
        <f>$CR160</f>
        <v>ERN13137BCN 50.4375</v>
      </c>
      <c r="B160" s="351" t="str">
        <f>IFERROR(VLOOKUP(E160,Outlist!$A$5:$AC$120,2,FALSE),"")</f>
        <v>ERN13137</v>
      </c>
      <c r="C160" s="352" t="str">
        <f>IFERROR(IF(LEFT(B160,3)='STAT 77'!$X$2,_xlfn.XLOOKUP(B160,'STAT 77'!C:C,'STAT 77'!B:B),_xlfn.XLOOKUP(B160,'STAT 77'!B:B,'STAT 77'!C:C)),"NON TROVATO")</f>
        <v>ERN00369</v>
      </c>
      <c r="D160" s="4"/>
      <c r="E160" s="352" t="str">
        <f>IFERROR(IF(Outlist!$A60&lt;&gt;"",Outlist!$A60,""),"")</f>
        <v>BCN 5</v>
      </c>
      <c r="F160" s="352" t="str">
        <f>IFERROR(VLOOKUP(E160,'Cambio O2P'!C:E,2,FALSE),"")</f>
        <v/>
      </c>
      <c r="G160" s="353">
        <f>IFERROR(VLOOKUP(E160,Outlist!$A$5:$AC$120,5,FALSE)-INT(VLOOKUP(E160,Outlist!$A$5:$AC$120,5,FALSE)),"")</f>
        <v>0.4375</v>
      </c>
      <c r="H160" s="294">
        <f ca="1">IFERROR(IF(AND('INformazioni per calcoli'!$AB$3&lt;(--"14:30"),'INformazioni per calcoli'!$AB$3&gt;(--"10:00")),"",IF($B160="","",IF($X160&lt;&gt;"","Mezzo Chiuso",IF($W160="","Non al Carico",IF($K160="Safe Parking","Safe Parking", IF(OR($BF160='INformazioni per calcoli'!$AF$8,$BF160='INformazioni per calcoli'!$AC$8,$BF160='INformazioni per calcoli'!$AD$8,$BF160='INformazioni per calcoli'!$AE$8,$BF160='INformazioni per calcoli'!$AG$8,$BF160='INformazioni per calcoli'!$AH$8,$BF160='INformazioni per calcoli'!$AI$8,$BF160='INformazioni per calcoli'!$AJ$8),IF($G160-'INformazioni per calcoli'!$AB$6-'INformazioni per calcoli'!$AB$3+$J160&lt;0,"LFLS",$G160-'INformazioni per calcoli'!$AB$6-'INformazioni per calcoli'!$AB$3+$J160), IF(OR($BF160='INformazioni per calcoli'!$AF$6,$BF160='INformazioni per calcoli'!$AD$6,$BF160='INformazioni per calcoli'!$AE$6,$BF160='INformazioni per calcoli'!$AG$6),IF($G160-'INformazioni per calcoli'!$AB$8-'INformazioni per calcoli'!$AB$3+$J160&lt;0,"LFLS",$G160-'INformazioni per calcoli'!$AB$8-'INformazioni per calcoli'!$AB$3+$J160), IF($G160-'INformazioni per calcoli'!$AB$7-'INformazioni per calcoli'!$AB$3+$J160&lt;0,"LFLS",$G160-'INformazioni per calcoli'!$AB$7-'INformazioni per calcoli'!$AB$3+$J160)))))))),"")</f>
        <v>0.25037037037037035</v>
      </c>
      <c r="I160" s="17">
        <f ca="1">IFERROR(IF($H160&lt;&gt;"",IF($H160="Safe Parking","",IF($W160&lt;&gt;"",IF(AND($U160="X",$V160="X"),$H160-(--"00:30"),""),IF($X160&lt;&gt;"","Mezzo Chiuso","Non al carico"))),""),"")</f>
        <v>0.22953703703703701</v>
      </c>
      <c r="J160" s="306">
        <f ca="1">IFERROR(IF($B160&lt;&gt;"",IF(AND('INformazioni per calcoli'!$AB$3&lt;(--"15:00"),'INformazioni per calcoli'!$AB$3&gt;(--"00:00")),0,IF($G160&lt;(--"18:30"),"+1",0)),""),"")</f>
        <v>0</v>
      </c>
      <c r="K160" s="27">
        <f>IF(E160&lt;&gt;"",IFERROR(VLOOKUP(E160,Outlist!$A$5:$AC$120,22,FALSE),""),"")</f>
        <v>0</v>
      </c>
      <c r="L160" s="352" t="str">
        <f>IF(E160&lt;&gt;"",IFERROR(VLOOKUP(E160,Outlist!$A$5:$AC$120,3,FALSE),""),"")</f>
        <v>J.V.,Sl Central De Servicios Y Seleccion</v>
      </c>
      <c r="M160" s="4" t="str">
        <f>IFERROR(_xlfn.XLOOKUP($Q160,'Elenco Casse'!$D:$D,'Elenco Casse'!$E:$E),"")</f>
        <v/>
      </c>
      <c r="N160" s="4" t="str">
        <f>IFERROR(_xlfn.XLOOKUP($Q160,'Elenco Casse'!$D:$D,'Elenco Casse'!$F:$F),"")</f>
        <v/>
      </c>
      <c r="O160" s="4" t="str">
        <f>IF($L160&lt;&gt;"","TT-2/3","")</f>
        <v>TT-2/3</v>
      </c>
      <c r="P160" s="296" t="str">
        <f>IFERROR(IF(VLOOKUP(E160,Outlist!$A$5:$AC$120,21,FALSE)="YES","Linea Variata",""),"")</f>
        <v/>
      </c>
      <c r="Q160" s="355" t="s">
        <v>1025</v>
      </c>
      <c r="R160" s="23" t="s">
        <v>420</v>
      </c>
      <c r="S160" s="25" t="str">
        <f>IFERROR(IF(VLOOKUP(E160,Outlist!$A$5:$AC$120,7,FALSE)="X","SUBCO",""),"")</f>
        <v/>
      </c>
      <c r="T160" s="25"/>
      <c r="U160" s="23" t="s">
        <v>61</v>
      </c>
      <c r="V160" s="23" t="s">
        <v>61</v>
      </c>
      <c r="W160" s="26">
        <v>743</v>
      </c>
      <c r="X160" s="27"/>
      <c r="Y160" s="25"/>
      <c r="Z160" s="25"/>
      <c r="AA160" s="25" t="s">
        <v>487</v>
      </c>
      <c r="AB160" s="57"/>
      <c r="AC160" s="25"/>
      <c r="AD160" s="25"/>
      <c r="AE160" s="57"/>
      <c r="AF160" s="57"/>
      <c r="AG160" s="25"/>
      <c r="AH160" s="57"/>
      <c r="AI160" s="339"/>
      <c r="AJ160" s="339"/>
      <c r="AK160" s="297" t="str">
        <f>IF(X160&lt;&gt;"",CONCATENATE(IF(AA160&lt;&gt;"",CONCATENATE(Z160," ",AA160," ",BI160),""),IF(AD160&lt;&gt;"",CONCATENATE(","," ",AC160," ",AD160," ",BJ160),""),IF(AG160&lt;&gt;"",CONCATENATE(","," ",AF160," ",AG160," ",BK160),""),IF(AJ160&lt;&gt;"",CONCATENATE(","," ","DD"," ",BL160),"")," ",IF(AI160&lt;&gt;"",CONCATENATE(" - ",AI160," Bag"),"")),"")</f>
        <v/>
      </c>
      <c r="AL160" s="287"/>
      <c r="AM160" s="287"/>
      <c r="AN160" s="287"/>
      <c r="AO160" s="287"/>
      <c r="AP160" s="370">
        <f>IFERROR(VLOOKUP($E160,Outlist!$A$5:$V$120,20,FALSE),"")</f>
        <v>0</v>
      </c>
      <c r="AQ160" s="288" t="str">
        <f>IFERROR(IF(VLOOKUP($A160,#REF!,8,FALSE)&lt;&gt;"",VLOOKUP($A160,#REF!,8,FALSE),""),"")</f>
        <v/>
      </c>
      <c r="AS160" s="24"/>
      <c r="AT160" s="24"/>
      <c r="AU160" s="27"/>
      <c r="AV160" s="27"/>
      <c r="AX160" s="20" t="str">
        <f>IFERROR(IF(Out_Table[[#This Row],[Cancellazione linea]]="Cancellata","yes",""),"")</f>
        <v/>
      </c>
      <c r="AY160" s="72"/>
      <c r="AZ160" s="27"/>
      <c r="BA160" s="32"/>
      <c r="BB160" s="72"/>
      <c r="BC160" s="72" t="str">
        <f>IFERROR(VLOOKUP(Out_Table[[#This Row],[Aggiornamento STATUS]],'INformazioni per calcoli'!$Y$70:$AA$76,2,FALSE),"")</f>
        <v/>
      </c>
      <c r="BD160" s="289"/>
      <c r="BE160" s="289"/>
      <c r="BF160" s="47" t="str">
        <f>LEFT($E160,3)</f>
        <v>BCN</v>
      </c>
      <c r="BG160" s="298" t="str">
        <f>IF(Out_Table[[#This Row],[Ora Uscita    (GH)]]&lt;&gt;"","x","")</f>
        <v/>
      </c>
      <c r="BH160" s="299">
        <f>VLOOKUP($O160,'INformazioni per calcoli'!$Y$20:$AA$23,3,FALSE)</f>
        <v>14</v>
      </c>
      <c r="BI160" s="299">
        <f>MROUND(Out_Table[[#This Row],[Mtr. Trailer]]*AB160,0.5)</f>
        <v>0</v>
      </c>
      <c r="BJ160" s="299">
        <f>MROUND(Out_Table[[#This Row],[Mtr. Trailer]]*AE160,0.5)</f>
        <v>0</v>
      </c>
      <c r="BK160" s="299">
        <f>MROUND(Out_Table[[#This Row],[Mtr. Trailer]]*AH160,0.5)</f>
        <v>0</v>
      </c>
      <c r="BL160" s="300">
        <f>Out_Table[[#This Row],[Double Deck trailer N° bumpers]]</f>
        <v>0</v>
      </c>
      <c r="BM160" s="301"/>
      <c r="BN160" s="299" t="str">
        <f>B160</f>
        <v>ERN13137</v>
      </c>
      <c r="BO160" s="299" t="str">
        <f>E160</f>
        <v>BCN 5</v>
      </c>
      <c r="BP160" s="302">
        <f>IF(AND(G160&gt;(--"00:00:01"),G160&lt;(--"15:00:00")),IF(AND(X160&gt;(--"00:00:01"),X160&lt;(--"15:00:00")),G160-X160,G160+1-X160),G160-X160)</f>
        <v>1.4375</v>
      </c>
      <c r="BQ160" s="303">
        <f>AE160+AF160+AH160+AJ160</f>
        <v>0</v>
      </c>
      <c r="BR160" s="304" t="str">
        <f>IF(OR(BP160&lt;=(--"00:20:00"),BQ160&gt;=100%),"OK","Not OK")</f>
        <v>Not OK</v>
      </c>
      <c r="BS160" s="302">
        <f>IF(AND(G160&gt;(--"00:00:01"),G160&lt;(--"15:00:00")),IF(AND(AU160&gt;(--"00:00:01"),AU160&lt;(--"15:00:00")),G160-AU160,G160+1-AU160),G160-AU160)</f>
        <v>1.4375</v>
      </c>
      <c r="BT160" s="302">
        <f>IF(AND(AZ160&gt;(--"00:00:01"),AZ160&lt;(--"15:00:00")),IF(AND(AU160&gt;(--"00:00:01"),AU160&lt;(--"15:00:00")),AZ160-AU160,AZ160+1-AU160),AZ160-AU160)</f>
        <v>0</v>
      </c>
      <c r="BU160" s="302">
        <f>IF(AND(BA160&gt;(--"00:00:01"),BA160&lt;(--"15:00:00")),IF(AND(AZ160&gt;(--"00:00:01"),AZ160&lt;(--"15:00:00")),BA160-AZ160,BA160+1-AZ160),BA160-AZ160)</f>
        <v>0</v>
      </c>
      <c r="BV160" s="299">
        <f>AV160</f>
        <v>0</v>
      </c>
      <c r="BW160" s="301"/>
      <c r="BX160" s="299" t="str">
        <f>IF(AV160="T Status",IF(AV160&lt;&gt;T160,"X",""),"")</f>
        <v/>
      </c>
      <c r="BY160" s="301"/>
      <c r="BZ160" s="299" t="str">
        <f>IF(X160&lt;&gt;"",IF(CC160="X","Driver Delay",IF(CA160="X","Paperwork Delay",IF(CB160="X","Late freight late sort",IF(CD160="X","Chiamare Control Room",IF(CE160="X","Chiamare Control Room",IF(CF160="X","Chiamare Control Room","")))))),"")</f>
        <v/>
      </c>
      <c r="CA160" s="302" t="str">
        <f>IF(K160="",IF(IF(AND(G160&gt;(--"00:00:01"),G160&lt;(--"15:00:00")),IF(AND(AT160&gt;(--"08:00:00"),AT160&lt;(--"23:59:59")),G160+1-AT160,G160-AT160),G160-AT160)&gt;(--"00:20:00"),"","X"),"")</f>
        <v/>
      </c>
      <c r="CB160" s="299" t="str">
        <f>IF(K160="",IF(BP160&gt;=(--"00:20:00"),"","X"),"")</f>
        <v/>
      </c>
      <c r="CC160" s="299" t="str">
        <f>IF(OR(AV160="Autista non presente",AV160="Dati driver non presenti"),"X","")</f>
        <v/>
      </c>
      <c r="CD160" s="299" t="str">
        <f>IF(K160="",IF(AND(CC160="",BS160&lt;(--"00:20:00")),"X",""),"")</f>
        <v/>
      </c>
      <c r="CE160" s="299" t="str">
        <f>IF(K160="",IF(BT160&gt;(--"00:15:00"),"X",""),IF(AZ160&lt;&gt;"",IF(G160-AZ160&gt;(--"00:30:00"),"X",""),""))</f>
        <v/>
      </c>
      <c r="CF160" s="299" t="str">
        <f>IF(AND(CA160="",CB160="",CC160="",CD160="",CE160=""),"X","")</f>
        <v>X</v>
      </c>
      <c r="CG160" s="301"/>
      <c r="CH160" s="299" t="str">
        <f>IF(BT160&gt;(--"00:15:00"),"X","")</f>
        <v/>
      </c>
      <c r="CI160" s="302">
        <f>AY160</f>
        <v>0</v>
      </c>
      <c r="CJ160" s="299" t="str">
        <f>IF(AND(CH160&lt;&gt;"",CI160&lt;&gt;"",LEFT(B160,3)="ITD"),AP160,"")</f>
        <v/>
      </c>
      <c r="CK160" s="305" t="str">
        <f>IF(CJ160&lt;&gt;"",BT160,"")</f>
        <v/>
      </c>
      <c r="CL160" s="301"/>
      <c r="CM160" s="305" t="str">
        <f>IFERROR(VLOOKUP(Q160,'Elenco Casse'!$D$4:$F$292,3,FALSE),"")</f>
        <v/>
      </c>
      <c r="CN160" s="301"/>
      <c r="CO160" s="305" t="str">
        <f>IFERROR(VLOOKUP(E160,Outlist!$A$5:$H$120,8,FALSE),"")</f>
        <v>ENBR21394</v>
      </c>
      <c r="CP160" s="305" t="str">
        <f>IFERROR(IF(VLOOKUP($E160,Outlist!$A$5:$S$120,19,FALSE)&lt;&gt;0,"Y",""),"")</f>
        <v/>
      </c>
      <c r="CQ160" s="301"/>
      <c r="CR160" s="305" t="str">
        <f>CONCATENATE($B160,$E160,$G160)</f>
        <v>ERN13137BCN 50.4375</v>
      </c>
      <c r="CS160" s="301"/>
      <c r="CT160" s="305">
        <f>VLOOKUP(Out_Table[[#This Row],[Destination             ORANGE (From Planning)]],Outlist!$A$5:$W$120,22,FALSE)</f>
        <v>0</v>
      </c>
    </row>
    <row r="161" spans="1:98" s="20" customFormat="1" ht="15">
      <c r="A161" s="305" t="str">
        <f>$CR161</f>
        <v>ERN19354KG4 10.416666666664241</v>
      </c>
      <c r="B161" s="351" t="str">
        <f>IFERROR(VLOOKUP(E161,Outlist!$A$5:$AC$120,2,FALSE),"")</f>
        <v>ERN19354</v>
      </c>
      <c r="C161" s="352" t="str">
        <f>IFERROR(IF(LEFT(B161,3)='STAT 77'!$X$2,_xlfn.XLOOKUP(B161,'STAT 77'!C:C,'STAT 77'!B:B),_xlfn.XLOOKUP(B161,'STAT 77'!B:B,'STAT 77'!C:C)),"NON TROVATO")</f>
        <v>ERN09783</v>
      </c>
      <c r="D161" s="4"/>
      <c r="E161" s="352" t="str">
        <f>IFERROR(IF(Outlist!$A30&lt;&gt;"",Outlist!$A30,""),"")</f>
        <v>KG4 1</v>
      </c>
      <c r="F161" s="352" t="str">
        <f>IFERROR(VLOOKUP(E161,'Cambio O2P'!C:E,2,FALSE),"")</f>
        <v/>
      </c>
      <c r="G161" s="353">
        <f>IFERROR(VLOOKUP(E161,Outlist!$A$5:$AC$120,5,FALSE)-INT(VLOOKUP(E161,Outlist!$A$5:$AC$120,5,FALSE)),"")</f>
        <v>0.41666666666424135</v>
      </c>
      <c r="H161" s="294">
        <f ca="1">IFERROR(IF(AND('INformazioni per calcoli'!$AB$3&lt;(--"14:30"),'INformazioni per calcoli'!$AB$3&gt;(--"10:00")),"",IF($B161="","",IF($X161&lt;&gt;"","Mezzo Chiuso",IF($W161="","Non al Carico",IF($K161="Safe Parking","Safe Parking", IF(OR($BF161='INformazioni per calcoli'!$AF$8,$BF161='INformazioni per calcoli'!$AC$8,$BF161='INformazioni per calcoli'!$AD$8,$BF161='INformazioni per calcoli'!$AE$8,$BF161='INformazioni per calcoli'!$AG$8,$BF161='INformazioni per calcoli'!$AH$8,$BF161='INformazioni per calcoli'!$AI$8,$BF161='INformazioni per calcoli'!$AJ$8),IF($G161-'INformazioni per calcoli'!$AB$6-'INformazioni per calcoli'!$AB$3+$J161&lt;0,"LFLS",$G161-'INformazioni per calcoli'!$AB$6-'INformazioni per calcoli'!$AB$3+$J161), IF(OR($BF161='INformazioni per calcoli'!$AF$6,$BF161='INformazioni per calcoli'!$AD$6,$BF161='INformazioni per calcoli'!$AE$6,$BF161='INformazioni per calcoli'!$AG$6),IF($G161-'INformazioni per calcoli'!$AB$8-'INformazioni per calcoli'!$AB$3+$J161&lt;0,"LFLS",$G161-'INformazioni per calcoli'!$AB$8-'INformazioni per calcoli'!$AB$3+$J161), IF($G161-'INformazioni per calcoli'!$AB$7-'INformazioni per calcoli'!$AB$3+$J161&lt;0,"LFLS",$G161-'INformazioni per calcoli'!$AB$7-'INformazioni per calcoli'!$AB$3+$J161)))))))),"")</f>
        <v>0.18787037036794507</v>
      </c>
      <c r="I161" s="17" t="str">
        <f ca="1">IFERROR(IF($H161&lt;&gt;"",IF($H161="Safe Parking","",IF($W161&lt;&gt;"",IF(AND($U161="X",$V161="X"),$H161-(--"00:30"),""),IF($X161&lt;&gt;"","Mezzo Chiuso","Non al carico"))),""),"")</f>
        <v/>
      </c>
      <c r="J161" s="306">
        <f ca="1">IFERROR(IF($B161&lt;&gt;"",IF(AND('INformazioni per calcoli'!$AB$3&lt;(--"15:00"),'INformazioni per calcoli'!$AB$3&gt;(--"00:00")),0,IF($G161&lt;(--"18:30"),"+1",0)),""),"")</f>
        <v>0</v>
      </c>
      <c r="K161" s="27">
        <f>IF(E161&lt;&gt;"",IFERROR(VLOOKUP(E161,Outlist!$A$5:$AC$120,22,FALSE),""),"")</f>
        <v>0</v>
      </c>
      <c r="L161" s="352" t="str">
        <f>IF(E161&lt;&gt;"",IFERROR(VLOOKUP(E161,Outlist!$A$5:$AC$120,3,FALSE),""),"")</f>
        <v>Ravitex Srl</v>
      </c>
      <c r="M161" s="4" t="str">
        <f>IFERROR(_xlfn.XLOOKUP($Q161,'Elenco Casse'!$D:$D,'Elenco Casse'!$E:$E),"")</f>
        <v/>
      </c>
      <c r="N161" s="4" t="str">
        <f>IFERROR(_xlfn.XLOOKUP($Q161,'Elenco Casse'!$D:$D,'Elenco Casse'!$F:$F),"")</f>
        <v/>
      </c>
      <c r="O161" s="4" t="str">
        <f>IF($L161&lt;&gt;"","TT-2/3","")</f>
        <v>TT-2/3</v>
      </c>
      <c r="P161" s="296" t="str">
        <f>IFERROR(IF(VLOOKUP(E161,Outlist!$A$5:$AC$120,21,FALSE)="YES","Linea Variata",""),"")</f>
        <v/>
      </c>
      <c r="Q161" s="355" t="s">
        <v>1026</v>
      </c>
      <c r="R161" s="23" t="s">
        <v>420</v>
      </c>
      <c r="S161" s="25" t="str">
        <f>IFERROR(IF(VLOOKUP(E161,Outlist!$A$5:$AC$120,7,FALSE)="X","SUBCO",""),"")</f>
        <v/>
      </c>
      <c r="T161" s="25"/>
      <c r="U161" s="23"/>
      <c r="V161" s="23" t="s">
        <v>61</v>
      </c>
      <c r="W161" s="26">
        <v>744</v>
      </c>
      <c r="X161" s="27"/>
      <c r="Y161" s="25"/>
      <c r="Z161" s="25"/>
      <c r="AA161" s="25" t="s">
        <v>487</v>
      </c>
      <c r="AB161" s="57"/>
      <c r="AC161" s="25"/>
      <c r="AD161" s="25"/>
      <c r="AE161" s="57"/>
      <c r="AF161" s="57"/>
      <c r="AG161" s="25"/>
      <c r="AH161" s="57"/>
      <c r="AI161" s="339"/>
      <c r="AJ161" s="339"/>
      <c r="AK161" s="297" t="str">
        <f>IF(X161&lt;&gt;"",CONCATENATE(IF(AA161&lt;&gt;"",CONCATENATE(Z161," ",AA161," ",BI161),""),IF(AD161&lt;&gt;"",CONCATENATE(","," ",AC161," ",AD161," ",BJ161),""),IF(AG161&lt;&gt;"",CONCATENATE(","," ",AF161," ",AG161," ",BK161),""),IF(AJ161&lt;&gt;"",CONCATENATE(","," ","DD"," ",BL161),"")," ",IF(AI161&lt;&gt;"",CONCATENATE(" - ",AI161," Bag"),"")),"")</f>
        <v/>
      </c>
      <c r="AL161" s="287"/>
      <c r="AM161" s="287"/>
      <c r="AN161" s="287"/>
      <c r="AO161" s="287"/>
      <c r="AP161" s="370">
        <f>IFERROR(VLOOKUP($E161,Outlist!$A$5:$V$120,20,FALSE),"")</f>
        <v>0</v>
      </c>
      <c r="AQ161" s="288" t="str">
        <f>IFERROR(IF(VLOOKUP($A161,#REF!,8,FALSE)&lt;&gt;"",VLOOKUP($A161,#REF!,8,FALSE),""),"")</f>
        <v/>
      </c>
      <c r="AS161" s="24"/>
      <c r="AT161" s="24"/>
      <c r="AU161" s="27"/>
      <c r="AV161" s="27"/>
      <c r="AX161" s="20" t="str">
        <f>IFERROR(IF(Out_Table[[#This Row],[Cancellazione linea]]="Cancellata","yes",""),"")</f>
        <v/>
      </c>
      <c r="AY161" s="72"/>
      <c r="AZ161" s="27"/>
      <c r="BA161" s="32"/>
      <c r="BB161" s="72"/>
      <c r="BC161" s="72" t="str">
        <f>IFERROR(VLOOKUP(Out_Table[[#This Row],[Aggiornamento STATUS]],'INformazioni per calcoli'!$Y$70:$AA$76,2,FALSE),"")</f>
        <v/>
      </c>
      <c r="BD161" s="289"/>
      <c r="BE161" s="289"/>
      <c r="BF161" s="47" t="str">
        <f>LEFT($E161,3)</f>
        <v>KG4</v>
      </c>
      <c r="BG161" s="298" t="str">
        <f>IF(Out_Table[[#This Row],[Ora Uscita    (GH)]]&lt;&gt;"","x","")</f>
        <v/>
      </c>
      <c r="BH161" s="299">
        <f>VLOOKUP($O161,'INformazioni per calcoli'!$Y$20:$AA$23,3,FALSE)</f>
        <v>14</v>
      </c>
      <c r="BI161" s="299">
        <f>MROUND(Out_Table[[#This Row],[Mtr. Trailer]]*AB161,0.5)</f>
        <v>0</v>
      </c>
      <c r="BJ161" s="299">
        <f>MROUND(Out_Table[[#This Row],[Mtr. Trailer]]*AE161,0.5)</f>
        <v>0</v>
      </c>
      <c r="BK161" s="299">
        <f>MROUND(Out_Table[[#This Row],[Mtr. Trailer]]*AH161,0.5)</f>
        <v>0</v>
      </c>
      <c r="BL161" s="300">
        <f>Out_Table[[#This Row],[Double Deck trailer N° bumpers]]</f>
        <v>0</v>
      </c>
      <c r="BM161" s="301"/>
      <c r="BN161" s="299" t="str">
        <f>B161</f>
        <v>ERN19354</v>
      </c>
      <c r="BO161" s="299" t="str">
        <f>E161</f>
        <v>KG4 1</v>
      </c>
      <c r="BP161" s="302">
        <f>IF(AND(G161&gt;(--"00:00:01"),G161&lt;(--"15:00:00")),IF(AND(X161&gt;(--"00:00:01"),X161&lt;(--"15:00:00")),G161-X161,G161+1-X161),G161-X161)</f>
        <v>1.4166666666642413</v>
      </c>
      <c r="BQ161" s="303">
        <f>AE161+AF161+AH161+AJ161</f>
        <v>0</v>
      </c>
      <c r="BR161" s="304" t="str">
        <f>IF(OR(BP161&lt;=(--"00:20:00"),BQ161&gt;=100%),"OK","Not OK")</f>
        <v>Not OK</v>
      </c>
      <c r="BS161" s="302">
        <f>IF(AND(G161&gt;(--"00:00:01"),G161&lt;(--"15:00:00")),IF(AND(AU161&gt;(--"00:00:01"),AU161&lt;(--"15:00:00")),G161-AU161,G161+1-AU161),G161-AU161)</f>
        <v>1.4166666666642413</v>
      </c>
      <c r="BT161" s="302">
        <f>IF(AND(AZ161&gt;(--"00:00:01"),AZ161&lt;(--"15:00:00")),IF(AND(AU161&gt;(--"00:00:01"),AU161&lt;(--"15:00:00")),AZ161-AU161,AZ161+1-AU161),AZ161-AU161)</f>
        <v>0</v>
      </c>
      <c r="BU161" s="302">
        <f>IF(AND(BA161&gt;(--"00:00:01"),BA161&lt;(--"15:00:00")),IF(AND(AZ161&gt;(--"00:00:01"),AZ161&lt;(--"15:00:00")),BA161-AZ161,BA161+1-AZ161),BA161-AZ161)</f>
        <v>0</v>
      </c>
      <c r="BV161" s="299">
        <f>AV161</f>
        <v>0</v>
      </c>
      <c r="BW161" s="301"/>
      <c r="BX161" s="299" t="str">
        <f>IF(AV161="T Status",IF(AV161&lt;&gt;T161,"X",""),"")</f>
        <v/>
      </c>
      <c r="BY161" s="301"/>
      <c r="BZ161" s="299" t="str">
        <f>IF(X161&lt;&gt;"",IF(CC161="X","Driver Delay",IF(CA161="X","Paperwork Delay",IF(CB161="X","Late freight late sort",IF(CD161="X","Chiamare Control Room",IF(CE161="X","Chiamare Control Room",IF(CF161="X","Chiamare Control Room","")))))),"")</f>
        <v/>
      </c>
      <c r="CA161" s="302" t="str">
        <f>IF(K161="",IF(IF(AND(G161&gt;(--"00:00:01"),G161&lt;(--"15:00:00")),IF(AND(AT161&gt;(--"08:00:00"),AT161&lt;(--"23:59:59")),G161+1-AT161,G161-AT161),G161-AT161)&gt;(--"00:20:00"),"","X"),"")</f>
        <v/>
      </c>
      <c r="CB161" s="299" t="str">
        <f>IF(K161="",IF(BP161&gt;=(--"00:20:00"),"","X"),"")</f>
        <v/>
      </c>
      <c r="CC161" s="299" t="str">
        <f>IF(OR(AV161="Autista non presente",AV161="Dati driver non presenti"),"X","")</f>
        <v/>
      </c>
      <c r="CD161" s="299" t="str">
        <f>IF(K161="",IF(AND(CC161="",BS161&lt;(--"00:20:00")),"X",""),"")</f>
        <v/>
      </c>
      <c r="CE161" s="299" t="str">
        <f>IF(K161="",IF(BT161&gt;(--"00:15:00"),"X",""),IF(AZ161&lt;&gt;"",IF(G161-AZ161&gt;(--"00:30:00"),"X",""),""))</f>
        <v/>
      </c>
      <c r="CF161" s="299" t="str">
        <f>IF(AND(CA161="",CB161="",CC161="",CD161="",CE161=""),"X","")</f>
        <v>X</v>
      </c>
      <c r="CG161" s="301"/>
      <c r="CH161" s="299" t="str">
        <f>IF(BT161&gt;(--"00:15:00"),"X","")</f>
        <v/>
      </c>
      <c r="CI161" s="302">
        <f>AY161</f>
        <v>0</v>
      </c>
      <c r="CJ161" s="299" t="str">
        <f>IF(AND(CH161&lt;&gt;"",CI161&lt;&gt;"",LEFT(B161,3)="ITD"),AP161,"")</f>
        <v/>
      </c>
      <c r="CK161" s="305" t="str">
        <f>IF(CJ161&lt;&gt;"",BT161,"")</f>
        <v/>
      </c>
      <c r="CL161" s="301"/>
      <c r="CM161" s="305" t="str">
        <f>IFERROR(VLOOKUP(Q161,'Elenco Casse'!$D$4:$F$292,3,FALSE),"")</f>
        <v/>
      </c>
      <c r="CN161" s="301"/>
      <c r="CO161" s="305" t="str">
        <f>IFERROR(VLOOKUP(E161,Outlist!$A$5:$H$120,8,FALSE),"")</f>
        <v>ENBR21329</v>
      </c>
      <c r="CP161" s="305" t="str">
        <f>IFERROR(IF(VLOOKUP($E161,Outlist!$A$5:$S$120,19,FALSE)&lt;&gt;0,"Y",""),"")</f>
        <v/>
      </c>
      <c r="CQ161" s="301"/>
      <c r="CR161" s="305" t="str">
        <f>CONCATENATE($B161,$E161,$G161)</f>
        <v>ERN19354KG4 10.416666666664241</v>
      </c>
      <c r="CS161" s="301"/>
      <c r="CT161" s="305">
        <f>VLOOKUP(Out_Table[[#This Row],[Destination             ORANGE (From Planning)]],Outlist!$A$5:$W$120,22,FALSE)</f>
        <v>0</v>
      </c>
    </row>
    <row r="162" spans="1:98" s="20" customFormat="1" ht="30.75">
      <c r="A162" s="305" t="str">
        <f>$CR162</f>
        <v>ERN92357BZQ 30.114583333335759</v>
      </c>
      <c r="B162" s="351" t="str">
        <f>IFERROR(VLOOKUP(E162,Outlist!$A$5:$AC$120,2,FALSE),"")</f>
        <v>ERN92357</v>
      </c>
      <c r="C162" s="352" t="str">
        <f>IFERROR(IF(LEFT(B162,3)='STAT 77'!$X$2,_xlfn.XLOOKUP(B162,'STAT 77'!C:C,'STAT 77'!B:B),_xlfn.XLOOKUP(B162,'STAT 77'!B:B,'STAT 77'!C:C)),"NON TROVATO")</f>
        <v>ERN91164</v>
      </c>
      <c r="D162" s="4"/>
      <c r="E162" s="352" t="str">
        <f>IFERROR(IF(Outlist!$A20&lt;&gt;"",Outlist!$A20,""),"")</f>
        <v>BZQ 3</v>
      </c>
      <c r="F162" s="352" t="str">
        <f>IFERROR(VLOOKUP(E162,'Cambio O2P'!C:E,2,FALSE),"")</f>
        <v/>
      </c>
      <c r="G162" s="353">
        <f>IFERROR(VLOOKUP(E162,Outlist!$A$5:$AC$120,5,FALSE)-INT(VLOOKUP(E162,Outlist!$A$5:$AC$120,5,FALSE)),"")</f>
        <v>0.11458333333575865</v>
      </c>
      <c r="H162" s="294" t="str">
        <f ca="1">IFERROR(IF(AND('INformazioni per calcoli'!$AB$3&lt;(--"14:30"),'INformazioni per calcoli'!$AB$3&gt;(--"10:00")),"",IF($B162="","",IF($X162&lt;&gt;"","Mezzo Chiuso",IF($W162="","Non al Carico",IF($K162="Safe Parking","Safe Parking", IF(OR($BF162='INformazioni per calcoli'!$AF$8,$BF162='INformazioni per calcoli'!$AC$8,$BF162='INformazioni per calcoli'!$AD$8,$BF162='INformazioni per calcoli'!$AE$8,$BF162='INformazioni per calcoli'!$AG$8,$BF162='INformazioni per calcoli'!$AH$8,$BF162='INformazioni per calcoli'!$AI$8,$BF162='INformazioni per calcoli'!$AJ$8),IF($G162-'INformazioni per calcoli'!$AB$6-'INformazioni per calcoli'!$AB$3+$J162&lt;0,"LFLS",$G162-'INformazioni per calcoli'!$AB$6-'INformazioni per calcoli'!$AB$3+$J162), IF(OR($BF162='INformazioni per calcoli'!$AF$6,$BF162='INformazioni per calcoli'!$AD$6,$BF162='INformazioni per calcoli'!$AE$6,$BF162='INformazioni per calcoli'!$AG$6),IF($G162-'INformazioni per calcoli'!$AB$8-'INformazioni per calcoli'!$AB$3+$J162&lt;0,"LFLS",$G162-'INformazioni per calcoli'!$AB$8-'INformazioni per calcoli'!$AB$3+$J162), IF($G162-'INformazioni per calcoli'!$AB$7-'INformazioni per calcoli'!$AB$3+$J162&lt;0,"LFLS",$G162-'INformazioni per calcoli'!$AB$7-'INformazioni per calcoli'!$AB$3+$J162)))))))),"")</f>
        <v>Mezzo Chiuso</v>
      </c>
      <c r="I162" s="17"/>
      <c r="J162" s="306">
        <f ca="1">IFERROR(IF($B162&lt;&gt;"",IF(AND('INformazioni per calcoli'!$AB$3&lt;(--"15:00"),'INformazioni per calcoli'!$AB$3&gt;(--"00:00")),0,IF($G162&lt;(--"18:30"),"+1",0)),""),"")</f>
        <v>0</v>
      </c>
      <c r="K162" s="27">
        <f>IF(E162&lt;&gt;"",IFERROR(VLOOKUP(E162,Outlist!$A$5:$AC$120,22,FALSE),""),"")</f>
        <v>0</v>
      </c>
      <c r="L162" s="352" t="str">
        <f>IF(E162&lt;&gt;"",IFERROR(VLOOKUP(E162,Outlist!$A$5:$AC$120,3,FALSE),""),"")</f>
        <v>T Service Spa</v>
      </c>
      <c r="M162" s="4" t="str">
        <f>IFERROR(_xlfn.XLOOKUP($Q162,'Elenco Casse'!$D:$D,'Elenco Casse'!$E:$E),"")</f>
        <v/>
      </c>
      <c r="N162" s="4" t="str">
        <f>IFERROR(_xlfn.XLOOKUP($Q162,'Elenco Casse'!$D:$D,'Elenco Casse'!$F:$F),"")</f>
        <v/>
      </c>
      <c r="O162" s="4" t="str">
        <f>IF($L162&lt;&gt;"","TT-2/3","")</f>
        <v>TT-2/3</v>
      </c>
      <c r="P162" s="296" t="str">
        <f>IFERROR(IF(VLOOKUP(E162,Outlist!$A$5:$AC$120,21,FALSE)="YES","Linea Variata",""),"")</f>
        <v/>
      </c>
      <c r="Q162" s="355" t="s">
        <v>1027</v>
      </c>
      <c r="R162" s="23" t="s">
        <v>420</v>
      </c>
      <c r="S162" s="25" t="str">
        <f>IFERROR(IF(VLOOKUP(E162,Outlist!$A$5:$AC$120,7,FALSE)="X","SUBCO",""),"")</f>
        <v/>
      </c>
      <c r="T162" s="25"/>
      <c r="U162" s="23" t="s">
        <v>61</v>
      </c>
      <c r="V162" s="23" t="s">
        <v>61</v>
      </c>
      <c r="W162" s="26">
        <v>745</v>
      </c>
      <c r="X162" s="27">
        <v>7.2916666666666671E-2</v>
      </c>
      <c r="Y162" s="25" t="s">
        <v>1028</v>
      </c>
      <c r="Z162" s="25"/>
      <c r="AA162" s="25" t="s">
        <v>40</v>
      </c>
      <c r="AB162" s="57">
        <v>0.2</v>
      </c>
      <c r="AC162" s="25"/>
      <c r="AD162" s="25" t="s">
        <v>487</v>
      </c>
      <c r="AE162" s="57">
        <v>0.3</v>
      </c>
      <c r="AF162" s="57"/>
      <c r="AG162" s="25"/>
      <c r="AH162" s="57"/>
      <c r="AI162" s="339"/>
      <c r="AJ162" s="339"/>
      <c r="AK162" s="297" t="str">
        <f>IF(X162&lt;&gt;"",CONCATENATE(IF(AA162&lt;&gt;"",CONCATENATE(Z162," ",AA162," ",BI162),""),IF(AD162&lt;&gt;"",CONCATENATE(","," ",AC162," ",AD162," ",BJ162),""),IF(AG162&lt;&gt;"",CONCATENATE(","," ",AF162," ",AG162," ",BK162),""),IF(AJ162&lt;&gt;"",CONCATENATE(","," ","DD"," ",BL162),"")," ",IF(AI162&lt;&gt;"",CONCATENATE(" - ",AI162," Bag"),"")),"")</f>
        <v xml:space="preserve"> LL 3,  FRT 4 </v>
      </c>
      <c r="AL162" s="287" t="s">
        <v>421</v>
      </c>
      <c r="AM162" s="287"/>
      <c r="AN162" s="287"/>
      <c r="AO162" s="287"/>
      <c r="AP162" s="370" t="str">
        <f>IFERROR(VLOOKUP($E162,Outlist!$A$5:$V$120,20,FALSE),"")</f>
        <v>VARIABILE</v>
      </c>
      <c r="AQ162" s="288" t="s">
        <v>1029</v>
      </c>
      <c r="AR162" s="430">
        <v>7.5694444444444439E-2</v>
      </c>
      <c r="AS162" s="24">
        <v>7.9861111111111105E-2</v>
      </c>
      <c r="AT162" s="24">
        <v>7.9861111111111105E-2</v>
      </c>
      <c r="AU162" s="27"/>
      <c r="AV162" s="27"/>
      <c r="AW162" s="20" t="s">
        <v>443</v>
      </c>
      <c r="AX162" s="20" t="str">
        <f>IFERROR(IF(Out_Table[[#This Row],[Cancellazione linea]]="Cancellata","yes",""),"")</f>
        <v/>
      </c>
      <c r="AY162" s="72"/>
      <c r="AZ162" s="27">
        <v>8.611111111111111E-2</v>
      </c>
      <c r="BA162" s="32">
        <v>9.2361111111111116E-2</v>
      </c>
      <c r="BB162" s="72"/>
      <c r="BC162" s="72" t="str">
        <f>IFERROR(VLOOKUP(Out_Table[[#This Row],[Aggiornamento STATUS]],'INformazioni per calcoli'!$Y$70:$AA$76,2,FALSE),"")</f>
        <v/>
      </c>
      <c r="BD162" s="289"/>
      <c r="BE162" s="289"/>
      <c r="BF162" s="47" t="str">
        <f>LEFT($E162,3)</f>
        <v>BZQ</v>
      </c>
      <c r="BG162" s="298" t="str">
        <f>IF(Out_Table[[#This Row],[Ora Uscita    (GH)]]&lt;&gt;"","x","")</f>
        <v>x</v>
      </c>
      <c r="BH162" s="299">
        <f>VLOOKUP($O162,'INformazioni per calcoli'!$Y$20:$AA$23,3,FALSE)</f>
        <v>14</v>
      </c>
      <c r="BI162" s="299">
        <f>MROUND(Out_Table[[#This Row],[Mtr. Trailer]]*AB162,0.5)</f>
        <v>3</v>
      </c>
      <c r="BJ162" s="299">
        <f>MROUND(Out_Table[[#This Row],[Mtr. Trailer]]*AE162,0.5)</f>
        <v>4</v>
      </c>
      <c r="BK162" s="299">
        <f>MROUND(Out_Table[[#This Row],[Mtr. Trailer]]*AH162,0.5)</f>
        <v>0</v>
      </c>
      <c r="BL162" s="300">
        <f>Out_Table[[#This Row],[Double Deck trailer N° bumpers]]</f>
        <v>0</v>
      </c>
      <c r="BM162" s="301"/>
      <c r="BN162" s="299" t="str">
        <f>B162</f>
        <v>ERN92357</v>
      </c>
      <c r="BO162" s="299" t="str">
        <f>E162</f>
        <v>BZQ 3</v>
      </c>
      <c r="BP162" s="302">
        <f>IF(AND(G162&gt;(--"00:00:01"),G162&lt;(--"15:00:00")),IF(AND(X162&gt;(--"00:00:01"),X162&lt;(--"15:00:00")),G162-X162,G162+1-X162),G162-X162)</f>
        <v>4.1666666669091981E-2</v>
      </c>
      <c r="BQ162" s="303">
        <f>AE162+AF162+AH162+AJ162</f>
        <v>0.3</v>
      </c>
      <c r="BR162" s="304" t="str">
        <f>IF(OR(BP162&lt;=(--"00:20:00"),BQ162&gt;=100%),"OK","Not OK")</f>
        <v>Not OK</v>
      </c>
      <c r="BS162" s="302">
        <f>IF(AND(G162&gt;(--"00:00:01"),G162&lt;(--"15:00:00")),IF(AND(AU162&gt;(--"00:00:01"),AU162&lt;(--"15:00:00")),G162-AU162,G162+1-AU162),G162-AU162)</f>
        <v>1.1145833333357587</v>
      </c>
      <c r="BT162" s="302">
        <f>IF(AND(AZ162&gt;(--"00:00:01"),AZ162&lt;(--"15:00:00")),IF(AND(AU162&gt;(--"00:00:01"),AU162&lt;(--"15:00:00")),AZ162-AU162,AZ162+1-AU162),AZ162-AU162)</f>
        <v>1.086111111111111</v>
      </c>
      <c r="BU162" s="302">
        <f>IF(AND(BA162&gt;(--"00:00:01"),BA162&lt;(--"15:00:00")),IF(AND(AZ162&gt;(--"00:00:01"),AZ162&lt;(--"15:00:00")),BA162-AZ162,BA162+1-AZ162),BA162-AZ162)</f>
        <v>6.2500000000000056E-3</v>
      </c>
      <c r="BV162" s="299">
        <f>AV162</f>
        <v>0</v>
      </c>
      <c r="BW162" s="301"/>
      <c r="BX162" s="299" t="str">
        <f>IF(AV162="T Status",IF(AV162&lt;&gt;T162,"X",""),"")</f>
        <v/>
      </c>
      <c r="BY162" s="301"/>
      <c r="BZ162" s="299" t="str">
        <f>IF(X162&lt;&gt;"",IF(CC162="X","Driver Delay",IF(CA162="X","Paperwork Delay",IF(CB162="X","Late freight late sort",IF(CD162="X","Chiamare Control Room",IF(CE162="X","Chiamare Control Room",IF(CF162="X","Chiamare Control Room","")))))),"")</f>
        <v>Chiamare Control Room</v>
      </c>
      <c r="CA162" s="302" t="str">
        <f>IF(K162="",IF(IF(AND(G162&gt;(--"00:00:01"),G162&lt;(--"15:00:00")),IF(AND(AT162&gt;(--"08:00:00"),AT162&lt;(--"23:59:59")),G162+1-AT162,G162-AT162),G162-AT162)&gt;(--"00:20:00"),"","X"),"")</f>
        <v/>
      </c>
      <c r="CB162" s="299" t="str">
        <f>IF(K162="",IF(BP162&gt;=(--"00:20:00"),"","X"),"")</f>
        <v/>
      </c>
      <c r="CC162" s="299" t="str">
        <f>IF(OR(AV162="Autista non presente",AV162="Dati driver non presenti"),"X","")</f>
        <v/>
      </c>
      <c r="CD162" s="299" t="str">
        <f>IF(K162="",IF(AND(CC162="",BS162&lt;(--"00:20:00")),"X",""),"")</f>
        <v/>
      </c>
      <c r="CE162" s="299" t="str">
        <f>IF(K162="",IF(BT162&gt;(--"00:15:00"),"X",""),IF(AZ162&lt;&gt;"",IF(G162-AZ162&gt;(--"00:30:00"),"X",""),""))</f>
        <v>X</v>
      </c>
      <c r="CF162" s="299" t="str">
        <f>IF(AND(CA162="",CB162="",CC162="",CD162="",CE162=""),"X","")</f>
        <v/>
      </c>
      <c r="CG162" s="301"/>
      <c r="CH162" s="299" t="str">
        <f>IF(BT162&gt;(--"00:15:00"),"X","")</f>
        <v>X</v>
      </c>
      <c r="CI162" s="302">
        <f>AY162</f>
        <v>0</v>
      </c>
      <c r="CJ162" s="299" t="str">
        <f>IF(AND(CH162&lt;&gt;"",CI162&lt;&gt;"",LEFT(B162,3)="ITD"),AP162,"")</f>
        <v/>
      </c>
      <c r="CK162" s="305" t="str">
        <f>IF(CJ162&lt;&gt;"",BT162,"")</f>
        <v/>
      </c>
      <c r="CL162" s="301"/>
      <c r="CM162" s="305" t="str">
        <f>IFERROR(VLOOKUP(Q162,'Elenco Casse'!$D$4:$F$292,3,FALSE),"")</f>
        <v/>
      </c>
      <c r="CN162" s="301"/>
      <c r="CO162" s="305" t="str">
        <f>IFERROR(VLOOKUP(E162,Outlist!$A$5:$H$120,8,FALSE),"")</f>
        <v>ENB17310</v>
      </c>
      <c r="CP162" s="305" t="str">
        <f>IFERROR(IF(VLOOKUP($E162,Outlist!$A$5:$S$120,19,FALSE)&lt;&gt;0,"Y",""),"")</f>
        <v>Y</v>
      </c>
      <c r="CQ162" s="301"/>
      <c r="CR162" s="305" t="str">
        <f>CONCATENATE($B162,$E162,$G162)</f>
        <v>ERN92357BZQ 30.114583333335759</v>
      </c>
      <c r="CS162" s="301"/>
      <c r="CT162" s="305">
        <f>VLOOKUP(Out_Table[[#This Row],[Destination             ORANGE (From Planning)]],Outlist!$A$5:$W$120,22,FALSE)</f>
        <v>0</v>
      </c>
    </row>
    <row r="163" spans="1:98" s="20" customFormat="1" ht="30.75">
      <c r="A163" s="305" t="str">
        <f>$CR163</f>
        <v>ERN16950BZQ 20.114583333335759</v>
      </c>
      <c r="B163" s="351" t="str">
        <f>IFERROR(VLOOKUP(E163,Outlist!$A$5:$AC$120,2,FALSE),"")</f>
        <v>ERN16950</v>
      </c>
      <c r="C163" s="352" t="str">
        <f>IFERROR(IF(LEFT(B163,3)='STAT 77'!$X$2,_xlfn.XLOOKUP(B163,'STAT 77'!C:C,'STAT 77'!B:B),_xlfn.XLOOKUP(B163,'STAT 77'!B:B,'STAT 77'!C:C)),"NON TROVATO")</f>
        <v>ERN08627</v>
      </c>
      <c r="D163" s="4"/>
      <c r="E163" s="352" t="str">
        <f>IFERROR(IF(Outlist!$A19&lt;&gt;"",Outlist!$A19,""),"")</f>
        <v>BZQ 2</v>
      </c>
      <c r="F163" s="352" t="str">
        <f>IFERROR(VLOOKUP(E163,'Cambio O2P'!C:E,2,FALSE),"")</f>
        <v/>
      </c>
      <c r="G163" s="353">
        <f>IFERROR(VLOOKUP(E163,Outlist!$A$5:$AC$120,5,FALSE)-INT(VLOOKUP(E163,Outlist!$A$5:$AC$120,5,FALSE)),"")</f>
        <v>0.11458333333575865</v>
      </c>
      <c r="H163" s="294" t="str">
        <f ca="1">IFERROR(IF(AND('INformazioni per calcoli'!$AB$3&lt;(--"14:30"),'INformazioni per calcoli'!$AB$3&gt;(--"10:00")),"",IF($B163="","",IF($X163&lt;&gt;"","Mezzo Chiuso",IF($W163="","Non al Carico",IF($K163="Safe Parking","Safe Parking", IF(OR($BF163='INformazioni per calcoli'!$AF$8,$BF163='INformazioni per calcoli'!$AC$8,$BF163='INformazioni per calcoli'!$AD$8,$BF163='INformazioni per calcoli'!$AE$8,$BF163='INformazioni per calcoli'!$AG$8,$BF163='INformazioni per calcoli'!$AH$8,$BF163='INformazioni per calcoli'!$AI$8,$BF163='INformazioni per calcoli'!$AJ$8),IF($G163-'INformazioni per calcoli'!$AB$6-'INformazioni per calcoli'!$AB$3+$J163&lt;0,"LFLS",$G163-'INformazioni per calcoli'!$AB$6-'INformazioni per calcoli'!$AB$3+$J163), IF(OR($BF163='INformazioni per calcoli'!$AF$6,$BF163='INformazioni per calcoli'!$AD$6,$BF163='INformazioni per calcoli'!$AE$6,$BF163='INformazioni per calcoli'!$AG$6),IF($G163-'INformazioni per calcoli'!$AB$8-'INformazioni per calcoli'!$AB$3+$J163&lt;0,"LFLS",$G163-'INformazioni per calcoli'!$AB$8-'INformazioni per calcoli'!$AB$3+$J163), IF($G163-'INformazioni per calcoli'!$AB$7-'INformazioni per calcoli'!$AB$3+$J163&lt;0,"LFLS",$G163-'INformazioni per calcoli'!$AB$7-'INformazioni per calcoli'!$AB$3+$J163)))))))),"")</f>
        <v>Mezzo Chiuso</v>
      </c>
      <c r="I163" s="17" t="str">
        <f ca="1">IFERROR(IF($H163&lt;&gt;"",IF($H163="Safe Parking","",IF($W163&lt;&gt;"",IF(AND($U163="X",$V163="X"),$H163-(--"00:30"),""),IF($X163&lt;&gt;"","Mezzo Chiuso","Non al carico"))),""),"")</f>
        <v/>
      </c>
      <c r="J163" s="306">
        <f ca="1">IFERROR(IF($B163&lt;&gt;"",IF(AND('INformazioni per calcoli'!$AB$3&lt;(--"15:00"),'INformazioni per calcoli'!$AB$3&gt;(--"00:00")),0,IF($G163&lt;(--"18:30"),"+1",0)),""),"")</f>
        <v>0</v>
      </c>
      <c r="K163" s="27">
        <f>IF(E163&lt;&gt;"",IFERROR(VLOOKUP(E163,Outlist!$A$5:$AC$120,22,FALSE),""),"")</f>
        <v>0</v>
      </c>
      <c r="L163" s="352" t="str">
        <f>IF(E163&lt;&gt;"",IFERROR(VLOOKUP(E163,Outlist!$A$5:$AC$120,3,FALSE),""),"")</f>
        <v>Matelda Srl</v>
      </c>
      <c r="M163" s="4" t="str">
        <f>IFERROR(_xlfn.XLOOKUP($Q163,'Elenco Casse'!$D:$D,'Elenco Casse'!$E:$E),"")</f>
        <v/>
      </c>
      <c r="N163" s="4" t="str">
        <f>IFERROR(_xlfn.XLOOKUP($Q163,'Elenco Casse'!$D:$D,'Elenco Casse'!$F:$F),"")</f>
        <v/>
      </c>
      <c r="O163" s="4" t="str">
        <f>IF($L163&lt;&gt;"","TT-2/3","")</f>
        <v>TT-2/3</v>
      </c>
      <c r="P163" s="296" t="str">
        <f>IFERROR(IF(VLOOKUP(E163,Outlist!$A$5:$AC$120,21,FALSE)="YES","Linea Variata",""),"")</f>
        <v/>
      </c>
      <c r="Q163" s="355" t="s">
        <v>1030</v>
      </c>
      <c r="R163" s="23" t="s">
        <v>420</v>
      </c>
      <c r="S163" s="25"/>
      <c r="T163" s="25"/>
      <c r="U163" s="23"/>
      <c r="V163" s="23" t="s">
        <v>61</v>
      </c>
      <c r="W163" s="26">
        <v>745</v>
      </c>
      <c r="X163" s="27">
        <v>2.7777777777777779E-3</v>
      </c>
      <c r="Y163" s="25" t="s">
        <v>1031</v>
      </c>
      <c r="Z163" s="25"/>
      <c r="AA163" s="25" t="s">
        <v>487</v>
      </c>
      <c r="AB163" s="57">
        <v>1</v>
      </c>
      <c r="AC163" s="25"/>
      <c r="AD163" s="25"/>
      <c r="AE163" s="57"/>
      <c r="AF163" s="57"/>
      <c r="AG163" s="25"/>
      <c r="AH163" s="57"/>
      <c r="AI163" s="339"/>
      <c r="AJ163" s="339"/>
      <c r="AK163" s="297" t="str">
        <f>IF(X163&lt;&gt;"",CONCATENATE(IF(AA163&lt;&gt;"",CONCATENATE(Z163," ",AA163," ",BI163),""),IF(AD163&lt;&gt;"",CONCATENATE(","," ",AC163," ",AD163," ",BJ163),""),IF(AG163&lt;&gt;"",CONCATENATE(","," ",AF163," ",AG163," ",BK163),""),IF(AJ163&lt;&gt;"",CONCATENATE(","," ","DD"," ",BL163),"")," ",IF(AI163&lt;&gt;"",CONCATENATE(" - ",AI163," Bag"),"")),"")</f>
        <v xml:space="preserve"> FRT 14 </v>
      </c>
      <c r="AL163" s="287" t="s">
        <v>421</v>
      </c>
      <c r="AM163" s="287"/>
      <c r="AN163" s="287"/>
      <c r="AO163" s="287"/>
      <c r="AP163" s="370">
        <f>IFERROR(VLOOKUP($E163,Outlist!$A$5:$V$120,20,FALSE),"")</f>
        <v>0</v>
      </c>
      <c r="AQ163" s="288" t="s">
        <v>1032</v>
      </c>
      <c r="AR163" s="430">
        <v>7.6388888888888886E-3</v>
      </c>
      <c r="AS163" s="24">
        <v>1.8055555555555554E-2</v>
      </c>
      <c r="AT163" s="24">
        <v>1.8055555555555554E-2</v>
      </c>
      <c r="AU163" s="27"/>
      <c r="AV163" s="27"/>
      <c r="AW163" s="20" t="s">
        <v>443</v>
      </c>
      <c r="AX163" s="20" t="str">
        <f>IFERROR(IF(Out_Table[[#This Row],[Cancellazione linea]]="Cancellata","yes",""),"")</f>
        <v/>
      </c>
      <c r="AY163" s="72"/>
      <c r="AZ163" s="27">
        <v>8.4027777777777785E-2</v>
      </c>
      <c r="BA163" s="32">
        <v>9.0277777777777776E-2</v>
      </c>
      <c r="BB163" s="72"/>
      <c r="BC163" s="72" t="str">
        <f>IFERROR(VLOOKUP(Out_Table[[#This Row],[Aggiornamento STATUS]],'INformazioni per calcoli'!$Y$70:$AA$76,2,FALSE),"")</f>
        <v/>
      </c>
      <c r="BD163" s="289"/>
      <c r="BE163" s="289"/>
      <c r="BF163" s="47" t="str">
        <f>LEFT($E163,3)</f>
        <v>BZQ</v>
      </c>
      <c r="BG163" s="298" t="str">
        <f>IF(Out_Table[[#This Row],[Ora Uscita    (GH)]]&lt;&gt;"","x","")</f>
        <v>x</v>
      </c>
      <c r="BH163" s="299">
        <f>VLOOKUP($O163,'INformazioni per calcoli'!$Y$20:$AA$23,3,FALSE)</f>
        <v>14</v>
      </c>
      <c r="BI163" s="299">
        <f>MROUND(Out_Table[[#This Row],[Mtr. Trailer]]*AB163,0.5)</f>
        <v>14</v>
      </c>
      <c r="BJ163" s="299">
        <f>MROUND(Out_Table[[#This Row],[Mtr. Trailer]]*AE163,0.5)</f>
        <v>0</v>
      </c>
      <c r="BK163" s="299">
        <f>MROUND(Out_Table[[#This Row],[Mtr. Trailer]]*AH163,0.5)</f>
        <v>0</v>
      </c>
      <c r="BL163" s="300">
        <f>Out_Table[[#This Row],[Double Deck trailer N° bumpers]]</f>
        <v>0</v>
      </c>
      <c r="BM163" s="301"/>
      <c r="BN163" s="299" t="str">
        <f>B163</f>
        <v>ERN16950</v>
      </c>
      <c r="BO163" s="299" t="str">
        <f>E163</f>
        <v>BZQ 2</v>
      </c>
      <c r="BP163" s="302">
        <f>IF(AND(G163&gt;(--"00:00:01"),G163&lt;(--"15:00:00")),IF(AND(X163&gt;(--"00:00:01"),X163&lt;(--"15:00:00")),G163-X163,G163+1-X163),G163-X163)</f>
        <v>0.11180555555798087</v>
      </c>
      <c r="BQ163" s="303">
        <f>AE163+AF163+AH163+AJ163</f>
        <v>0</v>
      </c>
      <c r="BR163" s="304" t="str">
        <f>IF(OR(BP163&lt;=(--"00:20:00"),BQ163&gt;=100%),"OK","Not OK")</f>
        <v>Not OK</v>
      </c>
      <c r="BS163" s="302">
        <f>IF(AND(G163&gt;(--"00:00:01"),G163&lt;(--"15:00:00")),IF(AND(AU163&gt;(--"00:00:01"),AU163&lt;(--"15:00:00")),G163-AU163,G163+1-AU163),G163-AU163)</f>
        <v>1.1145833333357587</v>
      </c>
      <c r="BT163" s="302">
        <f>IF(AND(AZ163&gt;(--"00:00:01"),AZ163&lt;(--"15:00:00")),IF(AND(AU163&gt;(--"00:00:01"),AU163&lt;(--"15:00:00")),AZ163-AU163,AZ163+1-AU163),AZ163-AU163)</f>
        <v>1.0840277777777778</v>
      </c>
      <c r="BU163" s="302">
        <f>IF(AND(BA163&gt;(--"00:00:01"),BA163&lt;(--"15:00:00")),IF(AND(AZ163&gt;(--"00:00:01"),AZ163&lt;(--"15:00:00")),BA163-AZ163,BA163+1-AZ163),BA163-AZ163)</f>
        <v>6.2499999999999917E-3</v>
      </c>
      <c r="BV163" s="299">
        <f>AV163</f>
        <v>0</v>
      </c>
      <c r="BW163" s="301"/>
      <c r="BX163" s="299" t="str">
        <f>IF(AV163="T Status",IF(AV163&lt;&gt;T163,"X",""),"")</f>
        <v/>
      </c>
      <c r="BY163" s="301"/>
      <c r="BZ163" s="299" t="str">
        <f>IF(X163&lt;&gt;"",IF(CC163="X","Driver Delay",IF(CA163="X","Paperwork Delay",IF(CB163="X","Late freight late sort",IF(CD163="X","Chiamare Control Room",IF(CE163="X","Chiamare Control Room",IF(CF163="X","Chiamare Control Room","")))))),"")</f>
        <v>Chiamare Control Room</v>
      </c>
      <c r="CA163" s="302" t="str">
        <f>IF(K163="",IF(IF(AND(G163&gt;(--"00:00:01"),G163&lt;(--"15:00:00")),IF(AND(AT163&gt;(--"08:00:00"),AT163&lt;(--"23:59:59")),G163+1-AT163,G163-AT163),G163-AT163)&gt;(--"00:20:00"),"","X"),"")</f>
        <v/>
      </c>
      <c r="CB163" s="299" t="str">
        <f>IF(K163="",IF(BP163&gt;=(--"00:20:00"),"","X"),"")</f>
        <v/>
      </c>
      <c r="CC163" s="299" t="str">
        <f>IF(OR(AV163="Autista non presente",AV163="Dati driver non presenti"),"X","")</f>
        <v/>
      </c>
      <c r="CD163" s="299" t="str">
        <f>IF(K163="",IF(AND(CC163="",BS163&lt;(--"00:20:00")),"X",""),"")</f>
        <v/>
      </c>
      <c r="CE163" s="299" t="str">
        <f>IF(K163="",IF(BT163&gt;(--"00:15:00"),"X",""),IF(AZ163&lt;&gt;"",IF(G163-AZ163&gt;(--"00:30:00"),"X",""),""))</f>
        <v>X</v>
      </c>
      <c r="CF163" s="299" t="str">
        <f>IF(AND(CA163="",CB163="",CC163="",CD163="",CE163=""),"X","")</f>
        <v/>
      </c>
      <c r="CG163" s="301"/>
      <c r="CH163" s="299" t="str">
        <f>IF(BT163&gt;(--"00:15:00"),"X","")</f>
        <v>X</v>
      </c>
      <c r="CI163" s="302">
        <f>AY163</f>
        <v>0</v>
      </c>
      <c r="CJ163" s="299" t="str">
        <f>IF(AND(CH163&lt;&gt;"",CI163&lt;&gt;"",LEFT(B163,3)="ITD"),AP163,"")</f>
        <v/>
      </c>
      <c r="CK163" s="305" t="str">
        <f>IF(CJ163&lt;&gt;"",BT163,"")</f>
        <v/>
      </c>
      <c r="CL163" s="301"/>
      <c r="CM163" s="305" t="str">
        <f>IFERROR(VLOOKUP(Q163,'Elenco Casse'!$D$4:$F$292,3,FALSE),"")</f>
        <v/>
      </c>
      <c r="CN163" s="301"/>
      <c r="CO163" s="305" t="str">
        <f>IFERROR(VLOOKUP(E163,Outlist!$A$5:$H$120,8,FALSE),"")</f>
        <v>ENBR22026</v>
      </c>
      <c r="CP163" s="305" t="str">
        <f>IFERROR(IF(VLOOKUP($E163,Outlist!$A$5:$S$120,19,FALSE)&lt;&gt;0,"Y",""),"")</f>
        <v>Y</v>
      </c>
      <c r="CQ163" s="301"/>
      <c r="CR163" s="305" t="str">
        <f>CONCATENATE($B163,$E163,$G163)</f>
        <v>ERN16950BZQ 20.114583333335759</v>
      </c>
      <c r="CS163" s="301"/>
      <c r="CT163" s="305">
        <f>VLOOKUP(Out_Table[[#This Row],[Destination             ORANGE (From Planning)]],Outlist!$A$5:$W$120,22,FALSE)</f>
        <v>0</v>
      </c>
    </row>
    <row r="164" spans="1:98" s="20" customFormat="1" ht="30.75">
      <c r="A164" s="305" t="str">
        <f>$CR164</f>
        <v>ERN15398LYS X10.9375</v>
      </c>
      <c r="B164" s="351" t="str">
        <f>IFERROR(VLOOKUP(E164,Outlist!$A$5:$AC$120,2,FALSE),"")</f>
        <v>ERN15398</v>
      </c>
      <c r="C164" s="352" t="str">
        <f>IFERROR(IF(LEFT(B164,3)='STAT 77'!$X$2,_xlfn.XLOOKUP(B164,'STAT 77'!C:C,'STAT 77'!B:B),_xlfn.XLOOKUP(B164,'STAT 77'!B:B,'STAT 77'!C:C)),"NON TROVATO")</f>
        <v>ERN07755</v>
      </c>
      <c r="D164" s="4"/>
      <c r="E164" s="352" t="str">
        <f>IFERROR(IF(Outlist!$A42&lt;&gt;"",Outlist!$A42,""),"")</f>
        <v>LYS X1</v>
      </c>
      <c r="F164" s="352" t="str">
        <f>IFERROR(VLOOKUP(E164,'Cambio O2P'!C:E,2,FALSE),"")</f>
        <v/>
      </c>
      <c r="G164" s="353">
        <f>IFERROR(VLOOKUP(E164,Outlist!$A$5:$AC$120,5,FALSE)-INT(VLOOKUP(E164,Outlist!$A$5:$AC$120,5,FALSE)),"")</f>
        <v>0.9375</v>
      </c>
      <c r="H164" s="294" t="str">
        <f ca="1">IFERROR(IF(AND('INformazioni per calcoli'!$AB$3&lt;(--"14:30"),'INformazioni per calcoli'!$AB$3&gt;(--"10:00")),"",IF($B164="","",IF($X164&lt;&gt;"","Mezzo Chiuso",IF($W164="","Non al Carico",IF($K164="Safe Parking","Safe Parking", IF(OR($BF164='INformazioni per calcoli'!$AF$8,$BF164='INformazioni per calcoli'!$AC$8,$BF164='INformazioni per calcoli'!$AD$8,$BF164='INformazioni per calcoli'!$AE$8,$BF164='INformazioni per calcoli'!$AG$8,$BF164='INformazioni per calcoli'!$AH$8,$BF164='INformazioni per calcoli'!$AI$8,$BF164='INformazioni per calcoli'!$AJ$8),IF($G164-'INformazioni per calcoli'!$AB$6-'INformazioni per calcoli'!$AB$3+$J164&lt;0,"LFLS",$G164-'INformazioni per calcoli'!$AB$6-'INformazioni per calcoli'!$AB$3+$J164), IF(OR($BF164='INformazioni per calcoli'!$AF$6,$BF164='INformazioni per calcoli'!$AD$6,$BF164='INformazioni per calcoli'!$AE$6,$BF164='INformazioni per calcoli'!$AG$6),IF($G164-'INformazioni per calcoli'!$AB$8-'INformazioni per calcoli'!$AB$3+$J164&lt;0,"LFLS",$G164-'INformazioni per calcoli'!$AB$8-'INformazioni per calcoli'!$AB$3+$J164), IF($G164-'INformazioni per calcoli'!$AB$7-'INformazioni per calcoli'!$AB$3+$J164&lt;0,"LFLS",$G164-'INformazioni per calcoli'!$AB$7-'INformazioni per calcoli'!$AB$3+$J164)))))))),"")</f>
        <v>Mezzo Chiuso</v>
      </c>
      <c r="I164" s="17" t="str">
        <f ca="1">IFERROR(IF($H164&lt;&gt;"",IF($H164="Safe Parking","",IF($W164&lt;&gt;"",IF(AND($U164="X",$V164="X"),$H164-(--"00:30"),""),IF($X164&lt;&gt;"","Mezzo Chiuso","Non al carico"))),""),"")</f>
        <v/>
      </c>
      <c r="J164" s="354">
        <f ca="1">IFERROR(IF($G164="","",IF(INT(VLOOKUP($E164,Outlist!$A$5:$E$120,5,FALSE))&gt;'INformazioni per calcoli'!$AB$2,INT(VLOOKUP($E164,Outlist!$A$5:$E$120,5,FALSE))-INT('INformazioni per calcoli'!$AB$2),0)),"")</f>
        <v>0</v>
      </c>
      <c r="K164" s="27">
        <f>IF(E164&lt;&gt;"",IFERROR(VLOOKUP(E164,Outlist!$A$5:$AC$120,22,FALSE),""),"")</f>
        <v>0</v>
      </c>
      <c r="L164" s="352" t="str">
        <f>IF(E164&lt;&gt;"",IFERROR(VLOOKUP(E164,Outlist!$A$5:$AC$120,3,FALSE),""),"")</f>
        <v>Cornali Autotrasporti Srl</v>
      </c>
      <c r="M164" s="4" t="str">
        <f>IFERROR(_xlfn.XLOOKUP($Q164,'Elenco Casse'!$D:$D,'Elenco Casse'!$E:$E),"")</f>
        <v>CORNALI</v>
      </c>
      <c r="N164" s="4" t="str">
        <f>IFERROR(_xlfn.XLOOKUP($Q164,'Elenco Casse'!$D:$D,'Elenco Casse'!$F:$F),"")</f>
        <v>SOLO X LYS FRT</v>
      </c>
      <c r="O164" s="4" t="str">
        <f>IF($L164&lt;&gt;"","TT-2/3","")</f>
        <v>TT-2/3</v>
      </c>
      <c r="P164" s="296" t="str">
        <f>IFERROR(IF(VLOOKUP(E164,Outlist!$A$5:$AC$120,21,FALSE)="YES","Linea Variata",""),"")</f>
        <v/>
      </c>
      <c r="Q164" s="355" t="s">
        <v>1033</v>
      </c>
      <c r="R164" s="23" t="s">
        <v>420</v>
      </c>
      <c r="S164" s="25" t="str">
        <f>IFERROR(IF(VLOOKUP(E164,Outlist!$A$5:$AC$120,7,FALSE)="X","SUBCO",""),"")</f>
        <v>SUBCO</v>
      </c>
      <c r="T164" s="25"/>
      <c r="U164" s="23"/>
      <c r="V164" s="23" t="s">
        <v>61</v>
      </c>
      <c r="W164" s="26">
        <v>746</v>
      </c>
      <c r="X164" s="27">
        <v>0.3972222222222222</v>
      </c>
      <c r="Y164" s="25" t="s">
        <v>1034</v>
      </c>
      <c r="Z164" s="25"/>
      <c r="AA164" s="25" t="s">
        <v>487</v>
      </c>
      <c r="AB164" s="57">
        <v>1</v>
      </c>
      <c r="AC164" s="25"/>
      <c r="AD164" s="25"/>
      <c r="AE164" s="57"/>
      <c r="AF164" s="57"/>
      <c r="AG164" s="25"/>
      <c r="AH164" s="57"/>
      <c r="AI164" s="339"/>
      <c r="AJ164" s="339"/>
      <c r="AK164" s="297" t="str">
        <f>IF(X164&lt;&gt;"",CONCATENATE(IF(AA164&lt;&gt;"",CONCATENATE(Z164," ",AA164," ",BI164),""),IF(AD164&lt;&gt;"",CONCATENATE(","," ",AC164," ",AD164," ",BJ164),""),IF(AG164&lt;&gt;"",CONCATENATE(","," ",AF164," ",AG164," ",BK164),""),IF(AJ164&lt;&gt;"",CONCATENATE(","," ","DD"," ",BL164),"")," ",IF(AI164&lt;&gt;"",CONCATENATE(" - ",AI164," Bag"),"")),"")</f>
        <v xml:space="preserve"> FRT 14 </v>
      </c>
      <c r="AL164" s="287" t="s">
        <v>421</v>
      </c>
      <c r="AM164" s="287"/>
      <c r="AN164" s="287"/>
      <c r="AO164" s="287"/>
      <c r="AP164" s="370">
        <f>IFERROR(VLOOKUP($E164,Outlist!$A$5:$V$120,20,FALSE),"")</f>
        <v>0</v>
      </c>
      <c r="AQ164" s="288" t="s">
        <v>1035</v>
      </c>
      <c r="AR164" s="426">
        <v>0.65763888888888888</v>
      </c>
      <c r="AS164" s="24">
        <v>0.66319444444444442</v>
      </c>
      <c r="AT164" s="24">
        <v>0.68472222222222223</v>
      </c>
      <c r="AU164" s="27"/>
      <c r="AV164" s="27"/>
      <c r="AW164" s="20" t="s">
        <v>443</v>
      </c>
      <c r="AX164" s="20" t="str">
        <f>IFERROR(IF(Out_Table[[#This Row],[Cancellazione linea]]="Cancellata","yes",""),"")</f>
        <v/>
      </c>
      <c r="AY164" s="72"/>
      <c r="AZ164" s="27">
        <v>0.90277777777777779</v>
      </c>
      <c r="BA164" s="32">
        <v>0.90763888888888888</v>
      </c>
      <c r="BB164" s="72"/>
      <c r="BC164" s="72" t="str">
        <f>IFERROR(VLOOKUP(Out_Table[[#This Row],[Aggiornamento STATUS]],'INformazioni per calcoli'!$Y$70:$AA$76,2,FALSE),"")</f>
        <v/>
      </c>
      <c r="BD164" s="289"/>
      <c r="BE164" s="289"/>
      <c r="BF164" s="47" t="str">
        <f>LEFT($E164,3)</f>
        <v>LYS</v>
      </c>
      <c r="BG164" s="298" t="str">
        <f>IF(Out_Table[[#This Row],[Ora Uscita    (GH)]]&lt;&gt;"","x","")</f>
        <v>x</v>
      </c>
      <c r="BH164" s="299">
        <f>VLOOKUP($O164,'INformazioni per calcoli'!$Y$20:$AA$23,3,FALSE)</f>
        <v>14</v>
      </c>
      <c r="BI164" s="299">
        <f>MROUND(Out_Table[[#This Row],[Mtr. Trailer]]*AB164,0.5)</f>
        <v>14</v>
      </c>
      <c r="BJ164" s="299">
        <f>MROUND(Out_Table[[#This Row],[Mtr. Trailer]]*AE164,0.5)</f>
        <v>0</v>
      </c>
      <c r="BK164" s="299">
        <f>MROUND(Out_Table[[#This Row],[Mtr. Trailer]]*AH164,0.5)</f>
        <v>0</v>
      </c>
      <c r="BL164" s="300">
        <f>Out_Table[[#This Row],[Double Deck trailer N° bumpers]]</f>
        <v>0</v>
      </c>
      <c r="BM164" s="301"/>
      <c r="BN164" s="299" t="str">
        <f>B164</f>
        <v>ERN15398</v>
      </c>
      <c r="BO164" s="299" t="str">
        <f>E164</f>
        <v>LYS X1</v>
      </c>
      <c r="BP164" s="302">
        <f>IF(AND(G164&gt;(--"00:00:01"),G164&lt;(--"15:00:00")),IF(AND(X164&gt;(--"00:00:01"),X164&lt;(--"15:00:00")),G164-X164,G164+1-X164),G164-X164)</f>
        <v>0.54027777777777786</v>
      </c>
      <c r="BQ164" s="303">
        <f>AE164+AF164+AH164+AJ164</f>
        <v>0</v>
      </c>
      <c r="BR164" s="304" t="str">
        <f>IF(OR(BP164&lt;=(--"00:20:00"),BQ164&gt;=100%),"OK","Not OK")</f>
        <v>Not OK</v>
      </c>
      <c r="BS164" s="302">
        <f>IF(AND(G164&gt;(--"00:00:01"),G164&lt;(--"15:00:00")),IF(AND(AU164&gt;(--"00:00:01"),AU164&lt;(--"15:00:00")),G164-AU164,G164+1-AU164),G164-AU164)</f>
        <v>0.9375</v>
      </c>
      <c r="BT164" s="302">
        <f>IF(AND(AZ164&gt;(--"00:00:01"),AZ164&lt;(--"15:00:00")),IF(AND(AU164&gt;(--"00:00:01"),AU164&lt;(--"15:00:00")),AZ164-AU164,AZ164+1-AU164),AZ164-AU164)</f>
        <v>0.90277777777777779</v>
      </c>
      <c r="BU164" s="302">
        <f>IF(AND(BA164&gt;(--"00:00:01"),BA164&lt;(--"15:00:00")),IF(AND(AZ164&gt;(--"00:00:01"),AZ164&lt;(--"15:00:00")),BA164-AZ164,BA164+1-AZ164),BA164-AZ164)</f>
        <v>4.8611111111110938E-3</v>
      </c>
      <c r="BV164" s="299">
        <f>AV164</f>
        <v>0</v>
      </c>
      <c r="BW164" s="301"/>
      <c r="BX164" s="299" t="str">
        <f>IF(AV164="T Status",IF(AV164&lt;&gt;T164,"X",""),"")</f>
        <v/>
      </c>
      <c r="BY164" s="301"/>
      <c r="BZ164" s="299" t="str">
        <f>IF(X164&lt;&gt;"",IF(CC164="X","Driver Delay",IF(CA164="X","Paperwork Delay",IF(CB164="X","Late freight late sort",IF(CD164="X","Chiamare Control Room",IF(CE164="X","Chiamare Control Room",IF(CF164="X","Chiamare Control Room","")))))),"")</f>
        <v>Chiamare Control Room</v>
      </c>
      <c r="CA164" s="302" t="str">
        <f>IF(K164="",IF(IF(AND(G164&gt;(--"00:00:01"),G164&lt;(--"15:00:00")),IF(AND(AT164&gt;(--"08:00:00"),AT164&lt;(--"23:59:59")),G164+1-AT164,G164-AT164),G164-AT164)&gt;(--"00:20:00"),"","X"),"")</f>
        <v/>
      </c>
      <c r="CB164" s="299" t="str">
        <f>IF(K164="",IF(BP164&gt;=(--"00:20:00"),"","X"),"")</f>
        <v/>
      </c>
      <c r="CC164" s="299" t="str">
        <f>IF(OR(AV164="Autista non presente",AV164="Dati driver non presenti"),"X","")</f>
        <v/>
      </c>
      <c r="CD164" s="299" t="str">
        <f>IF(K164="",IF(AND(CC164="",BS164&lt;(--"00:20:00")),"X",""),"")</f>
        <v/>
      </c>
      <c r="CE164" s="299" t="str">
        <f>IF(K164="",IF(BT164&gt;(--"00:15:00"),"X",""),IF(AZ164&lt;&gt;"",IF(G164-AZ164&gt;(--"00:30:00"),"X",""),""))</f>
        <v>X</v>
      </c>
      <c r="CF164" s="299" t="str">
        <f>IF(AND(CA164="",CB164="",CC164="",CD164="",CE164=""),"X","")</f>
        <v/>
      </c>
      <c r="CG164" s="301"/>
      <c r="CH164" s="299" t="str">
        <f>IF(BT164&gt;(--"00:15:00"),"X","")</f>
        <v>X</v>
      </c>
      <c r="CI164" s="302">
        <f>AY164</f>
        <v>0</v>
      </c>
      <c r="CJ164" s="299" t="str">
        <f>IF(AND(CH164&lt;&gt;"",CI164&lt;&gt;"",LEFT(B164,3)="ITD"),AP164,"")</f>
        <v/>
      </c>
      <c r="CK164" s="305" t="str">
        <f>IF(CJ164&lt;&gt;"",BT164,"")</f>
        <v/>
      </c>
      <c r="CL164" s="301"/>
      <c r="CM164" s="305" t="str">
        <f>IFERROR(VLOOKUP(Q164,'Elenco Casse'!$D$4:$F$292,3,FALSE),"")</f>
        <v/>
      </c>
      <c r="CN164" s="301"/>
      <c r="CO164" s="305" t="str">
        <f>IFERROR(VLOOKUP(E164,Outlist!$A$5:$H$120,8,FALSE),"")</f>
        <v>XB662AM</v>
      </c>
      <c r="CP164" s="305" t="str">
        <f>IFERROR(IF(VLOOKUP($E164,Outlist!$A$5:$S$120,19,FALSE)&lt;&gt;0,"Y",""),"")</f>
        <v/>
      </c>
      <c r="CQ164" s="301"/>
      <c r="CR164" s="305" t="str">
        <f>CONCATENATE($B164,$E164,$G164)</f>
        <v>ERN15398LYS X10.9375</v>
      </c>
      <c r="CS164" s="301"/>
      <c r="CT164" s="305">
        <f>VLOOKUP(Out_Table[[#This Row],[Destination             ORANGE (From Planning)]],Outlist!$A$5:$W$120,22,FALSE)</f>
        <v>0</v>
      </c>
    </row>
    <row r="165" spans="1:98" s="20" customFormat="1" ht="30.75">
      <c r="A165" s="305" t="str">
        <f>$CR165</f>
        <v>ERN16946MRS 10.791666666664241</v>
      </c>
      <c r="B165" s="351" t="str">
        <f>IFERROR(VLOOKUP(E165,Outlist!$A$5:$AC$120,2,FALSE),"")</f>
        <v>ERN16946</v>
      </c>
      <c r="C165" s="352" t="str">
        <f>IFERROR(IF(LEFT(B165,3)='STAT 77'!$X$2,_xlfn.XLOOKUP(B165,'STAT 77'!C:C,'STAT 77'!B:B),_xlfn.XLOOKUP(B165,'STAT 77'!B:B,'STAT 77'!C:C)),"NON TROVATO")</f>
        <v>ERN08625</v>
      </c>
      <c r="D165" s="4"/>
      <c r="E165" s="352" t="str">
        <f>IFERROR(IF(Outlist!$A46&lt;&gt;"",Outlist!$A46,""),"")</f>
        <v>MRS 1</v>
      </c>
      <c r="F165" s="352" t="str">
        <f>IFERROR(VLOOKUP(E165,'Cambio O2P'!C:E,2,FALSE),"")</f>
        <v/>
      </c>
      <c r="G165" s="353">
        <f>IFERROR(VLOOKUP(E165,Outlist!$A$5:$AC$120,5,FALSE)-INT(VLOOKUP(E165,Outlist!$A$5:$AC$120,5,FALSE)),"")</f>
        <v>0.79166666666424135</v>
      </c>
      <c r="H165" s="294" t="str">
        <f ca="1">IFERROR(IF(AND('INformazioni per calcoli'!$AB$3&lt;(--"14:30"),'INformazioni per calcoli'!$AB$3&gt;(--"10:00")),"",IF($B165="","",IF($X165&lt;&gt;"","Mezzo Chiuso",IF($W165="","Non al Carico",IF($K165="Safe Parking","Safe Parking", IF(OR($BF165='INformazioni per calcoli'!$AF$8,$BF165='INformazioni per calcoli'!$AC$8,$BF165='INformazioni per calcoli'!$AD$8,$BF165='INformazioni per calcoli'!$AE$8,$BF165='INformazioni per calcoli'!$AG$8,$BF165='INformazioni per calcoli'!$AH$8,$BF165='INformazioni per calcoli'!$AI$8,$BF165='INformazioni per calcoli'!$AJ$8),IF($G165-'INformazioni per calcoli'!$AB$6-'INformazioni per calcoli'!$AB$3+$J165&lt;0,"LFLS",$G165-'INformazioni per calcoli'!$AB$6-'INformazioni per calcoli'!$AB$3+$J165), IF(OR($BF165='INformazioni per calcoli'!$AF$6,$BF165='INformazioni per calcoli'!$AD$6,$BF165='INformazioni per calcoli'!$AE$6,$BF165='INformazioni per calcoli'!$AG$6),IF($G165-'INformazioni per calcoli'!$AB$8-'INformazioni per calcoli'!$AB$3+$J165&lt;0,"LFLS",$G165-'INformazioni per calcoli'!$AB$8-'INformazioni per calcoli'!$AB$3+$J165), IF($G165-'INformazioni per calcoli'!$AB$7-'INformazioni per calcoli'!$AB$3+$J165&lt;0,"LFLS",$G165-'INformazioni per calcoli'!$AB$7-'INformazioni per calcoli'!$AB$3+$J165)))))))),"")</f>
        <v>Mezzo Chiuso</v>
      </c>
      <c r="I165" s="17"/>
      <c r="J165" s="354">
        <f ca="1">IFERROR(IF($G165="","",IF(INT(VLOOKUP($E165,Outlist!$A$5:$E$120,5,FALSE))&gt;'INformazioni per calcoli'!$AB$2,INT(VLOOKUP($E165,Outlist!$A$5:$E$120,5,FALSE))-INT('INformazioni per calcoli'!$AB$2),0)),"")</f>
        <v>0</v>
      </c>
      <c r="K165" s="27">
        <f>IF(E165&lt;&gt;"",IFERROR(VLOOKUP(E165,Outlist!$A$5:$AC$120,22,FALSE),""),"")</f>
        <v>0</v>
      </c>
      <c r="L165" s="352" t="str">
        <f>IF(E165&lt;&gt;"",IFERROR(VLOOKUP(E165,Outlist!$A$5:$AC$120,3,FALSE),""),"")</f>
        <v>T&amp;ti Cargo Line Srl</v>
      </c>
      <c r="M165" s="4" t="str">
        <f>IFERROR(_xlfn.XLOOKUP($Q165,'Elenco Casse'!$D:$D,'Elenco Casse'!$E:$E),"")</f>
        <v/>
      </c>
      <c r="N165" s="4" t="str">
        <f>IFERROR(_xlfn.XLOOKUP($Q165,'Elenco Casse'!$D:$D,'Elenco Casse'!$F:$F),"")</f>
        <v/>
      </c>
      <c r="O165" s="4" t="str">
        <f>IF($L165&lt;&gt;"","TT-2/3","")</f>
        <v>TT-2/3</v>
      </c>
      <c r="P165" s="296" t="str">
        <f>IFERROR(IF(VLOOKUP(E165,Outlist!$A$5:$AC$120,21,FALSE)="YES","Linea Variata",""),"")</f>
        <v/>
      </c>
      <c r="Q165" s="355" t="s">
        <v>1036</v>
      </c>
      <c r="R165" s="23" t="s">
        <v>420</v>
      </c>
      <c r="S165" s="25" t="str">
        <f>IFERROR(IF(VLOOKUP(E165,Outlist!$A$5:$AC$120,7,FALSE)="X","SUBCO",""),"")</f>
        <v/>
      </c>
      <c r="T165" s="25"/>
      <c r="U165" s="23" t="s">
        <v>500</v>
      </c>
      <c r="V165" s="23" t="s">
        <v>500</v>
      </c>
      <c r="W165" s="26">
        <v>746</v>
      </c>
      <c r="X165" s="27">
        <v>0.76180555555555551</v>
      </c>
      <c r="Y165" s="25" t="s">
        <v>1037</v>
      </c>
      <c r="Z165" s="25"/>
      <c r="AA165" s="25" t="s">
        <v>40</v>
      </c>
      <c r="AB165" s="57">
        <v>0.7</v>
      </c>
      <c r="AC165" s="25"/>
      <c r="AD165" s="25" t="s">
        <v>487</v>
      </c>
      <c r="AE165" s="57">
        <v>0.3</v>
      </c>
      <c r="AF165" s="57"/>
      <c r="AG165" s="25"/>
      <c r="AH165" s="57"/>
      <c r="AI165" s="339">
        <v>14</v>
      </c>
      <c r="AJ165" s="339"/>
      <c r="AK165" s="297" t="str">
        <f>IF(X165&lt;&gt;"",CONCATENATE(IF(AA165&lt;&gt;"",CONCATENATE(Z165," ",AA165," ",BI165),""),IF(AD165&lt;&gt;"",CONCATENATE(","," ",AC165," ",AD165," ",BJ165),""),IF(AG165&lt;&gt;"",CONCATENATE(","," ",AF165," ",AG165," ",BK165),""),IF(AJ165&lt;&gt;"",CONCATENATE(","," ","DD"," ",BL165),"")," ",IF(AI165&lt;&gt;"",CONCATENATE(" - ",AI165," Bag"),"")),"")</f>
        <v xml:space="preserve"> LL 10,  FRT 4  - 14 Bag</v>
      </c>
      <c r="AL165" s="287" t="s">
        <v>421</v>
      </c>
      <c r="AM165" s="287"/>
      <c r="AN165" s="287"/>
      <c r="AO165" s="287"/>
      <c r="AP165" s="370">
        <f>IFERROR(VLOOKUP($E165,Outlist!$A$5:$V$120,20,FALSE),"")</f>
        <v>0</v>
      </c>
      <c r="AQ165" s="288" t="s">
        <v>1038</v>
      </c>
      <c r="AR165" s="426">
        <v>0.76249999999999996</v>
      </c>
      <c r="AS165" s="24">
        <v>0.76597222222222228</v>
      </c>
      <c r="AT165" s="24">
        <v>0.76597222222222228</v>
      </c>
      <c r="AU165" s="27"/>
      <c r="AV165" s="27"/>
      <c r="AW165" s="20" t="s">
        <v>443</v>
      </c>
      <c r="AX165" s="20" t="str">
        <f>IFERROR(IF(Out_Table[[#This Row],[Cancellazione linea]]="Cancellata","yes",""),"")</f>
        <v/>
      </c>
      <c r="AY165" s="72"/>
      <c r="AZ165" s="27">
        <v>0.77083333333333337</v>
      </c>
      <c r="BA165" s="32">
        <v>0.77847222222222223</v>
      </c>
      <c r="BB165" s="72"/>
      <c r="BC165" s="72" t="str">
        <f>IFERROR(VLOOKUP(Out_Table[[#This Row],[Aggiornamento STATUS]],'INformazioni per calcoli'!$Y$70:$AA$76,2,FALSE),"")</f>
        <v/>
      </c>
      <c r="BD165" s="289"/>
      <c r="BE165" s="289"/>
      <c r="BF165" s="47" t="str">
        <f>LEFT($E165,3)</f>
        <v>MRS</v>
      </c>
      <c r="BG165" s="298" t="str">
        <f>IF(Out_Table[[#This Row],[Ora Uscita    (GH)]]&lt;&gt;"","x","")</f>
        <v>x</v>
      </c>
      <c r="BH165" s="299">
        <f>VLOOKUP($O165,'INformazioni per calcoli'!$Y$20:$AA$23,3,FALSE)</f>
        <v>14</v>
      </c>
      <c r="BI165" s="299">
        <f>MROUND(Out_Table[[#This Row],[Mtr. Trailer]]*AB165,0.5)</f>
        <v>10</v>
      </c>
      <c r="BJ165" s="299">
        <f>MROUND(Out_Table[[#This Row],[Mtr. Trailer]]*AE165,0.5)</f>
        <v>4</v>
      </c>
      <c r="BK165" s="299">
        <f>MROUND(Out_Table[[#This Row],[Mtr. Trailer]]*AH165,0.5)</f>
        <v>0</v>
      </c>
      <c r="BL165" s="300">
        <f>Out_Table[[#This Row],[Double Deck trailer N° bumpers]]</f>
        <v>0</v>
      </c>
      <c r="BM165" s="301"/>
      <c r="BN165" s="299" t="str">
        <f>B165</f>
        <v>ERN16946</v>
      </c>
      <c r="BO165" s="299" t="str">
        <f>E165</f>
        <v>MRS 1</v>
      </c>
      <c r="BP165" s="302">
        <f>IF(AND(G165&gt;(--"00:00:01"),G165&lt;(--"15:00:00")),IF(AND(X165&gt;(--"00:00:01"),X165&lt;(--"15:00:00")),G165-X165,G165+1-X165),G165-X165)</f>
        <v>2.9861111108685834E-2</v>
      </c>
      <c r="BQ165" s="303">
        <f>AE165+AF165+AH165+AJ165</f>
        <v>0.3</v>
      </c>
      <c r="BR165" s="304" t="str">
        <f>IF(OR(BP165&lt;=(--"00:20:00"),BQ165&gt;=100%),"OK","Not OK")</f>
        <v>Not OK</v>
      </c>
      <c r="BS165" s="302">
        <f>IF(AND(G165&gt;(--"00:00:01"),G165&lt;(--"15:00:00")),IF(AND(AU165&gt;(--"00:00:01"),AU165&lt;(--"15:00:00")),G165-AU165,G165+1-AU165),G165-AU165)</f>
        <v>0.79166666666424135</v>
      </c>
      <c r="BT165" s="302">
        <f>IF(AND(AZ165&gt;(--"00:00:01"),AZ165&lt;(--"15:00:00")),IF(AND(AU165&gt;(--"00:00:01"),AU165&lt;(--"15:00:00")),AZ165-AU165,AZ165+1-AU165),AZ165-AU165)</f>
        <v>0.77083333333333337</v>
      </c>
      <c r="BU165" s="302">
        <f>IF(AND(BA165&gt;(--"00:00:01"),BA165&lt;(--"15:00:00")),IF(AND(AZ165&gt;(--"00:00:01"),AZ165&lt;(--"15:00:00")),BA165-AZ165,BA165+1-AZ165),BA165-AZ165)</f>
        <v>7.6388888888888618E-3</v>
      </c>
      <c r="BV165" s="299">
        <f>AV165</f>
        <v>0</v>
      </c>
      <c r="BW165" s="301"/>
      <c r="BX165" s="299" t="str">
        <f>IF(AV165="T Status",IF(AV165&lt;&gt;T165,"X",""),"")</f>
        <v/>
      </c>
      <c r="BY165" s="301"/>
      <c r="BZ165" s="299" t="str">
        <f>IF(X165&lt;&gt;"",IF(CC165="X","Driver Delay",IF(CA165="X","Paperwork Delay",IF(CB165="X","Late freight late sort",IF(CD165="X","Chiamare Control Room",IF(CE165="X","Chiamare Control Room",IF(CF165="X","Chiamare Control Room","")))))),"")</f>
        <v>Chiamare Control Room</v>
      </c>
      <c r="CA165" s="302" t="str">
        <f>IF(K165="",IF(IF(AND(G165&gt;(--"00:00:01"),G165&lt;(--"15:00:00")),IF(AND(AT165&gt;(--"08:00:00"),AT165&lt;(--"23:59:59")),G165+1-AT165,G165-AT165),G165-AT165)&gt;(--"00:20:00"),"","X"),"")</f>
        <v/>
      </c>
      <c r="CB165" s="299" t="str">
        <f>IF(K165="",IF(BP165&gt;=(--"00:20:00"),"","X"),"")</f>
        <v/>
      </c>
      <c r="CC165" s="299" t="str">
        <f>IF(OR(AV165="Autista non presente",AV165="Dati driver non presenti"),"X","")</f>
        <v/>
      </c>
      <c r="CD165" s="299" t="str">
        <f>IF(K165="",IF(AND(CC165="",BS165&lt;(--"00:20:00")),"X",""),"")</f>
        <v/>
      </c>
      <c r="CE165" s="299" t="str">
        <f>IF(K165="",IF(BT165&gt;(--"00:15:00"),"X",""),IF(AZ165&lt;&gt;"",IF(G165-AZ165&gt;(--"00:30:00"),"X",""),""))</f>
        <v/>
      </c>
      <c r="CF165" s="299" t="str">
        <f>IF(AND(CA165="",CB165="",CC165="",CD165="",CE165=""),"X","")</f>
        <v>X</v>
      </c>
      <c r="CG165" s="301"/>
      <c r="CH165" s="299" t="str">
        <f>IF(BT165&gt;(--"00:15:00"),"X","")</f>
        <v>X</v>
      </c>
      <c r="CI165" s="302">
        <f>AY165</f>
        <v>0</v>
      </c>
      <c r="CJ165" s="299" t="str">
        <f>IF(AND(CH165&lt;&gt;"",CI165&lt;&gt;"",LEFT(B165,3)="ITD"),AP165,"")</f>
        <v/>
      </c>
      <c r="CK165" s="305" t="str">
        <f>IF(CJ165&lt;&gt;"",BT165,"")</f>
        <v/>
      </c>
      <c r="CL165" s="301"/>
      <c r="CM165" s="305" t="str">
        <f>IFERROR(VLOOKUP(Q165,'Elenco Casse'!$D$4:$F$292,3,FALSE),"")</f>
        <v/>
      </c>
      <c r="CN165" s="301"/>
      <c r="CO165" s="305" t="str">
        <f>IFERROR(VLOOKUP(E165,Outlist!$A$5:$H$120,8,FALSE),"")</f>
        <v>enbr21209</v>
      </c>
      <c r="CP165" s="305" t="str">
        <f>IFERROR(IF(VLOOKUP($E165,Outlist!$A$5:$S$120,19,FALSE)&lt;&gt;0,"Y",""),"")</f>
        <v/>
      </c>
      <c r="CQ165" s="301"/>
      <c r="CR165" s="305" t="str">
        <f>CONCATENATE($B165,$E165,$G165)</f>
        <v>ERN16946MRS 10.791666666664241</v>
      </c>
      <c r="CS165" s="301"/>
      <c r="CT165" s="305">
        <f>VLOOKUP(Out_Table[[#This Row],[Destination             ORANGE (From Planning)]],Outlist!$A$5:$W$120,22,FALSE)</f>
        <v>0</v>
      </c>
    </row>
    <row r="166" spans="1:98" s="20" customFormat="1" ht="30.75">
      <c r="A166" s="305" t="str">
        <f>$CR166</f>
        <v>ERN1743006A0.0208333333357587</v>
      </c>
      <c r="B166" s="351" t="str">
        <f>IFERROR(VLOOKUP(E166,Outlist!$A$5:$AC$120,2,FALSE),"")</f>
        <v>ERN17430</v>
      </c>
      <c r="C166" s="352" t="str">
        <f>IFERROR(IF(LEFT(B166,3)='STAT 77'!$X$2,_xlfn.XLOOKUP(B166,'STAT 77'!C:C,'STAT 77'!B:B),_xlfn.XLOOKUP(B166,'STAT 77'!B:B,'STAT 77'!C:C)),"NON TROVATO")</f>
        <v>ERN08865</v>
      </c>
      <c r="D166" s="4"/>
      <c r="E166" s="352" t="str">
        <f>IFERROR(IF(Outlist!$A44&lt;&gt;"",Outlist!$A44,""),"")</f>
        <v>06A</v>
      </c>
      <c r="F166" s="352" t="str">
        <f>IFERROR(VLOOKUP(E166,'Cambio O2P'!C:E,2,FALSE),"")</f>
        <v>JLPA</v>
      </c>
      <c r="G166" s="353">
        <f>IFERROR(VLOOKUP(E166,Outlist!$A$5:$AC$120,5,FALSE)-INT(VLOOKUP(E166,Outlist!$A$5:$AC$120,5,FALSE)),"")</f>
        <v>2.0833333335758653E-2</v>
      </c>
      <c r="H166" s="294" t="str">
        <f ca="1">IFERROR(IF(AND('INformazioni per calcoli'!$AB$3&lt;(--"14:30"),'INformazioni per calcoli'!$AB$3&gt;(--"10:00")),"",IF($B166="","",IF($X166&lt;&gt;"","Mezzo Chiuso",IF($W166="","Non al Carico",IF($K166="Safe Parking","Safe Parking", IF(OR($BF166='INformazioni per calcoli'!$AF$8,$BF166='INformazioni per calcoli'!$AC$8,$BF166='INformazioni per calcoli'!$AD$8,$BF166='INformazioni per calcoli'!$AE$8,$BF166='INformazioni per calcoli'!$AG$8,$BF166='INformazioni per calcoli'!$AH$8,$BF166='INformazioni per calcoli'!$AI$8,$BF166='INformazioni per calcoli'!$AJ$8),IF($G166-'INformazioni per calcoli'!$AB$6-'INformazioni per calcoli'!$AB$3+$J166&lt;0,"LFLS",$G166-'INformazioni per calcoli'!$AB$6-'INformazioni per calcoli'!$AB$3+$J166), IF(OR($BF166='INformazioni per calcoli'!$AF$6,$BF166='INformazioni per calcoli'!$AD$6,$BF166='INformazioni per calcoli'!$AE$6,$BF166='INformazioni per calcoli'!$AG$6),IF($G166-'INformazioni per calcoli'!$AB$8-'INformazioni per calcoli'!$AB$3+$J166&lt;0,"LFLS",$G166-'INformazioni per calcoli'!$AB$8-'INformazioni per calcoli'!$AB$3+$J166), IF($G166-'INformazioni per calcoli'!$AB$7-'INformazioni per calcoli'!$AB$3+$J166&lt;0,"LFLS",$G166-'INformazioni per calcoli'!$AB$7-'INformazioni per calcoli'!$AB$3+$J166)))))))),"")</f>
        <v>Mezzo Chiuso</v>
      </c>
      <c r="I166" s="17"/>
      <c r="J166" s="306">
        <f ca="1">IFERROR(IF($B166&lt;&gt;"",IF(AND('INformazioni per calcoli'!$AB$3&lt;(--"15:00"),'INformazioni per calcoli'!$AB$3&gt;(--"00:00")),0,IF($G166&lt;(--"18:30"),"+1",0)),""),"")</f>
        <v>0</v>
      </c>
      <c r="K166" s="27">
        <f>IF(E166&lt;&gt;"",IFERROR(VLOOKUP(E166,Outlist!$A$5:$AC$120,22,FALSE),""),"")</f>
        <v>0</v>
      </c>
      <c r="L166" s="352" t="str">
        <f>IF(E166&lt;&gt;"",IFERROR(VLOOKUP(E166,Outlist!$A$5:$AC$120,3,FALSE),""),"")</f>
        <v>Matelda Srl</v>
      </c>
      <c r="M166" s="4" t="str">
        <f>IFERROR(_xlfn.XLOOKUP($Q166,'Elenco Casse'!$D:$D,'Elenco Casse'!$E:$E),"")</f>
        <v>Matelda Srl</v>
      </c>
      <c r="N166" s="4">
        <f>IFERROR(_xlfn.XLOOKUP($Q166,'Elenco Casse'!$D:$D,'Elenco Casse'!$F:$F),"")</f>
        <v>0</v>
      </c>
      <c r="O166" s="4" t="str">
        <f>IF($L166&lt;&gt;"","TT-2/3","")</f>
        <v>TT-2/3</v>
      </c>
      <c r="P166" s="296" t="str">
        <f>IFERROR(IF(VLOOKUP(E166,Outlist!$A$5:$AC$120,21,FALSE)="YES","Linea Variata",""),"")</f>
        <v/>
      </c>
      <c r="Q166" s="355" t="s">
        <v>1039</v>
      </c>
      <c r="R166" s="23" t="s">
        <v>420</v>
      </c>
      <c r="S166" s="25" t="str">
        <f>IFERROR(IF(VLOOKUP(E166,Outlist!$A$5:$AC$120,7,FALSE)="X","SUBCO",""),"")</f>
        <v>SUBCO</v>
      </c>
      <c r="T166" s="25"/>
      <c r="U166" s="23" t="s">
        <v>61</v>
      </c>
      <c r="V166" s="23" t="s">
        <v>61</v>
      </c>
      <c r="W166" s="26">
        <v>801</v>
      </c>
      <c r="X166" s="27">
        <v>0.97638888888888886</v>
      </c>
      <c r="Y166" s="25" t="s">
        <v>1040</v>
      </c>
      <c r="Z166" s="25"/>
      <c r="AA166" s="25" t="s">
        <v>40</v>
      </c>
      <c r="AB166" s="57">
        <v>0.3</v>
      </c>
      <c r="AC166" s="25"/>
      <c r="AD166" s="25" t="s">
        <v>487</v>
      </c>
      <c r="AE166" s="57">
        <v>0.7</v>
      </c>
      <c r="AF166" s="57"/>
      <c r="AG166" s="25"/>
      <c r="AH166" s="57"/>
      <c r="AI166" s="339">
        <v>8</v>
      </c>
      <c r="AJ166" s="339"/>
      <c r="AK166" s="297" t="str">
        <f>IF(X166&lt;&gt;"",CONCATENATE(IF(AA166&lt;&gt;"",CONCATENATE(Z166," ",AA166," ",BI166),""),IF(AD166&lt;&gt;"",CONCATENATE(","," ",AC166," ",AD166," ",BJ166),""),IF(AG166&lt;&gt;"",CONCATENATE(","," ",AF166," ",AG166," ",BK166),""),IF(AJ166&lt;&gt;"",CONCATENATE(","," ","DD"," ",BL166),"")," ",IF(AI166&lt;&gt;"",CONCATENATE(" - ",AI166," Bag"),"")),"")</f>
        <v xml:space="preserve"> LL 4,  FRT 10  - 8 Bag</v>
      </c>
      <c r="AL166" s="287" t="s">
        <v>421</v>
      </c>
      <c r="AM166" s="287"/>
      <c r="AN166" s="287"/>
      <c r="AO166" s="287"/>
      <c r="AP166" s="370">
        <f>IFERROR(VLOOKUP($E166,Outlist!$A$5:$V$120,20,FALSE),"")</f>
        <v>0</v>
      </c>
      <c r="AQ166" s="288" t="s">
        <v>1041</v>
      </c>
      <c r="AR166" s="430">
        <v>0.97777777777777775</v>
      </c>
      <c r="AS166" s="24">
        <v>0.97916666666666663</v>
      </c>
      <c r="AT166" s="24">
        <v>0.98124999999999996</v>
      </c>
      <c r="AU166" s="27"/>
      <c r="AV166" s="27"/>
      <c r="AW166" s="20" t="s">
        <v>443</v>
      </c>
      <c r="AX166" s="20" t="str">
        <f>IFERROR(IF(Out_Table[[#This Row],[Cancellazione linea]]="Cancellata","yes",""),"")</f>
        <v/>
      </c>
      <c r="AY166" s="72"/>
      <c r="AZ166" s="27"/>
      <c r="BA166" s="32">
        <v>0.9916666666666667</v>
      </c>
      <c r="BB166" s="72"/>
      <c r="BC166" s="72" t="str">
        <f>IFERROR(VLOOKUP(Out_Table[[#This Row],[Aggiornamento STATUS]],'INformazioni per calcoli'!$Y$70:$AA$76,2,FALSE),"")</f>
        <v/>
      </c>
      <c r="BD166" s="289"/>
      <c r="BE166" s="289"/>
      <c r="BF166" s="47" t="str">
        <f>LEFT($E166,3)</f>
        <v>06A</v>
      </c>
      <c r="BG166" s="298" t="str">
        <f>IF(Out_Table[[#This Row],[Ora Uscita    (GH)]]&lt;&gt;"","x","")</f>
        <v>x</v>
      </c>
      <c r="BH166" s="299">
        <f>VLOOKUP($O166,'INformazioni per calcoli'!$Y$20:$AA$23,3,FALSE)</f>
        <v>14</v>
      </c>
      <c r="BI166" s="299">
        <f>MROUND(Out_Table[[#This Row],[Mtr. Trailer]]*AB166,0.5)</f>
        <v>4</v>
      </c>
      <c r="BJ166" s="299">
        <f>MROUND(Out_Table[[#This Row],[Mtr. Trailer]]*AE166,0.5)</f>
        <v>10</v>
      </c>
      <c r="BK166" s="299">
        <f>MROUND(Out_Table[[#This Row],[Mtr. Trailer]]*AH166,0.5)</f>
        <v>0</v>
      </c>
      <c r="BL166" s="300">
        <f>Out_Table[[#This Row],[Double Deck trailer N° bumpers]]</f>
        <v>0</v>
      </c>
      <c r="BM166" s="301"/>
      <c r="BN166" s="299" t="str">
        <f>B166</f>
        <v>ERN17430</v>
      </c>
      <c r="BO166" s="299" t="str">
        <f>E166</f>
        <v>06A</v>
      </c>
      <c r="BP166" s="302">
        <f>IF(AND(G166&gt;(--"00:00:01"),G166&lt;(--"15:00:00")),IF(AND(X166&gt;(--"00:00:01"),X166&lt;(--"15:00:00")),G166-X166,G166+1-X166),G166-X166)</f>
        <v>4.4444444446869791E-2</v>
      </c>
      <c r="BQ166" s="303">
        <f>AE166+AF166+AH166+AJ166</f>
        <v>0.7</v>
      </c>
      <c r="BR166" s="304" t="str">
        <f>IF(OR(BP166&lt;=(--"00:20:00"),BQ166&gt;=100%),"OK","Not OK")</f>
        <v>Not OK</v>
      </c>
      <c r="BS166" s="302">
        <f>IF(AND(G166&gt;(--"00:00:01"),G166&lt;(--"15:00:00")),IF(AND(AU166&gt;(--"00:00:01"),AU166&lt;(--"15:00:00")),G166-AU166,G166+1-AU166),G166-AU166)</f>
        <v>1.0208333333357587</v>
      </c>
      <c r="BT166" s="302">
        <f>IF(AND(AZ166&gt;(--"00:00:01"),AZ166&lt;(--"15:00:00")),IF(AND(AU166&gt;(--"00:00:01"),AU166&lt;(--"15:00:00")),AZ166-AU166,AZ166+1-AU166),AZ166-AU166)</f>
        <v>0</v>
      </c>
      <c r="BU166" s="302">
        <f>IF(AND(BA166&gt;(--"00:00:01"),BA166&lt;(--"15:00:00")),IF(AND(AZ166&gt;(--"00:00:01"),AZ166&lt;(--"15:00:00")),BA166-AZ166,BA166+1-AZ166),BA166-AZ166)</f>
        <v>0.9916666666666667</v>
      </c>
      <c r="BV166" s="299">
        <f>AV166</f>
        <v>0</v>
      </c>
      <c r="BW166" s="301"/>
      <c r="BX166" s="299" t="str">
        <f>IF(AV166="T Status",IF(AV166&lt;&gt;T166,"X",""),"")</f>
        <v/>
      </c>
      <c r="BY166" s="301"/>
      <c r="BZ166" s="299" t="str">
        <f>IF(X166&lt;&gt;"",IF(CC166="X","Driver Delay",IF(CA166="X","Paperwork Delay",IF(CB166="X","Late freight late sort",IF(CD166="X","Chiamare Control Room",IF(CE166="X","Chiamare Control Room",IF(CF166="X","Chiamare Control Room","")))))),"")</f>
        <v>Chiamare Control Room</v>
      </c>
      <c r="CA166" s="302" t="str">
        <f>IF(K166="",IF(IF(AND(G166&gt;(--"00:00:01"),G166&lt;(--"15:00:00")),IF(AND(AT166&gt;(--"08:00:00"),AT166&lt;(--"23:59:59")),G166+1-AT166,G166-AT166),G166-AT166)&gt;(--"00:20:00"),"","X"),"")</f>
        <v/>
      </c>
      <c r="CB166" s="299" t="str">
        <f>IF(K166="",IF(BP166&gt;=(--"00:20:00"),"","X"),"")</f>
        <v/>
      </c>
      <c r="CC166" s="299" t="str">
        <f>IF(OR(AV166="Autista non presente",AV166="Dati driver non presenti"),"X","")</f>
        <v/>
      </c>
      <c r="CD166" s="299" t="str">
        <f>IF(K166="",IF(AND(CC166="",BS166&lt;(--"00:20:00")),"X",""),"")</f>
        <v/>
      </c>
      <c r="CE166" s="299" t="str">
        <f>IF(K166="",IF(BT166&gt;(--"00:15:00"),"X",""),IF(AZ166&lt;&gt;"",IF(G166-AZ166&gt;(--"00:30:00"),"X",""),""))</f>
        <v/>
      </c>
      <c r="CF166" s="299" t="str">
        <f>IF(AND(CA166="",CB166="",CC166="",CD166="",CE166=""),"X","")</f>
        <v>X</v>
      </c>
      <c r="CG166" s="301"/>
      <c r="CH166" s="299" t="str">
        <f>IF(BT166&gt;(--"00:15:00"),"X","")</f>
        <v/>
      </c>
      <c r="CI166" s="302">
        <f>AY166</f>
        <v>0</v>
      </c>
      <c r="CJ166" s="299" t="str">
        <f>IF(AND(CH166&lt;&gt;"",CI166&lt;&gt;"",LEFT(B166,3)="ITD"),AP166,"")</f>
        <v/>
      </c>
      <c r="CK166" s="305" t="str">
        <f>IF(CJ166&lt;&gt;"",BT166,"")</f>
        <v/>
      </c>
      <c r="CL166" s="301"/>
      <c r="CM166" s="305" t="str">
        <f>IFERROR(VLOOKUP(Q166,'Elenco Casse'!$D$4:$F$292,3,FALSE),"")</f>
        <v/>
      </c>
      <c r="CN166" s="301"/>
      <c r="CO166" s="305" t="str">
        <f>IFERROR(VLOOKUP(E166,Outlist!$A$5:$H$120,8,FALSE),"")</f>
        <v>XA272NH</v>
      </c>
      <c r="CP166" s="305" t="str">
        <f>IFERROR(IF(VLOOKUP($E166,Outlist!$A$5:$S$120,19,FALSE)&lt;&gt;0,"Y",""),"")</f>
        <v>Y</v>
      </c>
      <c r="CQ166" s="301"/>
      <c r="CR166" s="305" t="str">
        <f>CONCATENATE($B166,$E166,$G166)</f>
        <v>ERN1743006A0.0208333333357587</v>
      </c>
      <c r="CS166" s="301"/>
      <c r="CT166" s="305">
        <f>VLOOKUP(Out_Table[[#This Row],[Destination             ORANGE (From Planning)]],Outlist!$A$5:$W$120,22,FALSE)</f>
        <v>0</v>
      </c>
    </row>
    <row r="167" spans="1:98" s="20" customFormat="1" ht="30.75">
      <c r="A167" s="305" t="str">
        <f>$CR167</f>
        <v>ERN18917HNJ 20.0833333333357587</v>
      </c>
      <c r="B167" s="351" t="str">
        <f>IFERROR(VLOOKUP(E167,Outlist!$A$5:$AC$120,2,FALSE),"")</f>
        <v>ERN18917</v>
      </c>
      <c r="C167" s="352" t="str">
        <f>IFERROR(IF(LEFT(B167,3)='STAT 77'!$X$2,_xlfn.XLOOKUP(B167,'STAT 77'!C:C,'STAT 77'!B:B),_xlfn.XLOOKUP(B167,'STAT 77'!B:B,'STAT 77'!C:C)),"NON TROVATO")</f>
        <v>ERN09573</v>
      </c>
      <c r="D167" s="4"/>
      <c r="E167" s="352" t="str">
        <f>IFERROR(IF(Outlist!$A17&lt;&gt;"",Outlist!$A17,""),"")</f>
        <v>HNJ 2</v>
      </c>
      <c r="F167" s="352" t="str">
        <f>IFERROR(VLOOKUP(E167,'Cambio O2P'!C:E,2,FALSE),"")</f>
        <v/>
      </c>
      <c r="G167" s="353">
        <f>IFERROR(VLOOKUP(E167,Outlist!$A$5:$AC$120,5,FALSE)-INT(VLOOKUP(E167,Outlist!$A$5:$AC$120,5,FALSE)),"")</f>
        <v>8.3333333335758653E-2</v>
      </c>
      <c r="H167" s="294" t="str">
        <f ca="1">IFERROR(IF(AND('INformazioni per calcoli'!$AB$3&lt;(--"14:30"),'INformazioni per calcoli'!$AB$3&gt;(--"10:00")),"",IF($B167="","",IF($X167&lt;&gt;"","Mezzo Chiuso",IF($W167="","Non al Carico",IF($K167="Safe Parking","Safe Parking", IF(OR($BF167='INformazioni per calcoli'!$AF$8,$BF167='INformazioni per calcoli'!$AC$8,$BF167='INformazioni per calcoli'!$AD$8,$BF167='INformazioni per calcoli'!$AE$8,$BF167='INformazioni per calcoli'!$AG$8,$BF167='INformazioni per calcoli'!$AH$8,$BF167='INformazioni per calcoli'!$AI$8,$BF167='INformazioni per calcoli'!$AJ$8),IF($G167-'INformazioni per calcoli'!$AB$6-'INformazioni per calcoli'!$AB$3+$J167&lt;0,"LFLS",$G167-'INformazioni per calcoli'!$AB$6-'INformazioni per calcoli'!$AB$3+$J167), IF(OR($BF167='INformazioni per calcoli'!$AF$6,$BF167='INformazioni per calcoli'!$AD$6,$BF167='INformazioni per calcoli'!$AE$6,$BF167='INformazioni per calcoli'!$AG$6),IF($G167-'INformazioni per calcoli'!$AB$8-'INformazioni per calcoli'!$AB$3+$J167&lt;0,"LFLS",$G167-'INformazioni per calcoli'!$AB$8-'INformazioni per calcoli'!$AB$3+$J167), IF($G167-'INformazioni per calcoli'!$AB$7-'INformazioni per calcoli'!$AB$3+$J167&lt;0,"LFLS",$G167-'INformazioni per calcoli'!$AB$7-'INformazioni per calcoli'!$AB$3+$J167)))))))),"")</f>
        <v>Mezzo Chiuso</v>
      </c>
      <c r="I167" s="17" t="str">
        <f ca="1">IFERROR(IF($H167&lt;&gt;"",IF($H167="Safe Parking","",IF($W167&lt;&gt;"",IF(AND($U167="X",$V167="X"),$H167-(--"00:30"),""),IF($X167&lt;&gt;"","Mezzo Chiuso","Non al carico"))),""),"")</f>
        <v/>
      </c>
      <c r="J167" s="306">
        <f ca="1">IFERROR(IF($B167&lt;&gt;"",IF(AND('INformazioni per calcoli'!$AB$3&lt;(--"15:00"),'INformazioni per calcoli'!$AB$3&gt;(--"00:00")),0,IF($G167&lt;(--"18:30"),"+1",0)),""),"")</f>
        <v>0</v>
      </c>
      <c r="K167" s="27">
        <f>IF(E167&lt;&gt;"",IFERROR(VLOOKUP(E167,Outlist!$A$5:$AC$120,22,FALSE),""),"")</f>
        <v>0</v>
      </c>
      <c r="L167" s="352" t="str">
        <f>IF(E167&lt;&gt;"",IFERROR(VLOOKUP(E167,Outlist!$A$5:$AC$120,3,FALSE),""),"")</f>
        <v>Maracana Srl</v>
      </c>
      <c r="M167" s="4" t="str">
        <f>IFERROR(_xlfn.XLOOKUP($Q167,'Elenco Casse'!$D:$D,'Elenco Casse'!$E:$E),"")</f>
        <v/>
      </c>
      <c r="N167" s="4" t="str">
        <f>IFERROR(_xlfn.XLOOKUP($Q167,'Elenco Casse'!$D:$D,'Elenco Casse'!$F:$F),"")</f>
        <v/>
      </c>
      <c r="O167" s="4" t="str">
        <f>IF($L167&lt;&gt;"","TT-2/3","")</f>
        <v>TT-2/3</v>
      </c>
      <c r="P167" s="296" t="str">
        <f>IFERROR(IF(VLOOKUP(E167,Outlist!$A$5:$AC$120,21,FALSE)="YES","Linea Variata",""),"")</f>
        <v/>
      </c>
      <c r="Q167" s="355" t="s">
        <v>1042</v>
      </c>
      <c r="R167" s="23" t="s">
        <v>420</v>
      </c>
      <c r="S167" s="25" t="str">
        <f>IFERROR(IF(VLOOKUP(E167,Outlist!$A$5:$AC$120,7,FALSE)="X","SUBCO",""),"")</f>
        <v/>
      </c>
      <c r="T167" s="25"/>
      <c r="U167" s="23"/>
      <c r="V167" s="23" t="s">
        <v>61</v>
      </c>
      <c r="W167" s="26">
        <v>804</v>
      </c>
      <c r="X167" s="27">
        <v>2.2916666666666665E-2</v>
      </c>
      <c r="Y167" s="25" t="s">
        <v>1043</v>
      </c>
      <c r="Z167" s="25"/>
      <c r="AA167" s="25" t="s">
        <v>487</v>
      </c>
      <c r="AB167" s="57">
        <v>1</v>
      </c>
      <c r="AC167" s="25"/>
      <c r="AD167" s="25"/>
      <c r="AE167" s="57"/>
      <c r="AF167" s="57"/>
      <c r="AG167" s="25"/>
      <c r="AH167" s="57"/>
      <c r="AI167" s="339"/>
      <c r="AJ167" s="339"/>
      <c r="AK167" s="297" t="str">
        <f>IF(X167&lt;&gt;"",CONCATENATE(IF(AA167&lt;&gt;"",CONCATENATE(Z167," ",AA167," ",BI167),""),IF(AD167&lt;&gt;"",CONCATENATE(","," ",AC167," ",AD167," ",BJ167),""),IF(AG167&lt;&gt;"",CONCATENATE(","," ",AF167," ",AG167," ",BK167),""),IF(AJ167&lt;&gt;"",CONCATENATE(","," ","DD"," ",BL167),"")," ",IF(AI167&lt;&gt;"",CONCATENATE(" - ",AI167," Bag"),"")),"")</f>
        <v xml:space="preserve"> FRT 14 </v>
      </c>
      <c r="AL167" s="287" t="s">
        <v>421</v>
      </c>
      <c r="AM167" s="287"/>
      <c r="AN167" s="287"/>
      <c r="AO167" s="287"/>
      <c r="AP167" s="370">
        <f>IFERROR(VLOOKUP($E167,Outlist!$A$5:$V$120,20,FALSE),"")</f>
        <v>0</v>
      </c>
      <c r="AQ167" s="288" t="s">
        <v>1044</v>
      </c>
      <c r="AR167" s="430">
        <v>2.5000000000000001E-2</v>
      </c>
      <c r="AS167" s="24">
        <v>2.9166666666666667E-2</v>
      </c>
      <c r="AT167" s="24">
        <v>2.9166666666666667E-2</v>
      </c>
      <c r="AU167" s="27"/>
      <c r="AV167" s="27"/>
      <c r="AW167" s="20" t="s">
        <v>443</v>
      </c>
      <c r="AX167" s="20" t="str">
        <f>IFERROR(IF(Out_Table[[#This Row],[Cancellazione linea]]="Cancellata","yes",""),"")</f>
        <v/>
      </c>
      <c r="AY167" s="72"/>
      <c r="AZ167" s="27">
        <v>4.1666666666666664E-2</v>
      </c>
      <c r="BA167" s="32">
        <v>4.8611111111111112E-2</v>
      </c>
      <c r="BB167" s="72"/>
      <c r="BC167" s="72" t="str">
        <f>IFERROR(VLOOKUP(Out_Table[[#This Row],[Aggiornamento STATUS]],'INformazioni per calcoli'!$Y$70:$AA$76,2,FALSE),"")</f>
        <v/>
      </c>
      <c r="BD167" s="289"/>
      <c r="BE167" s="289"/>
      <c r="BF167" s="47" t="str">
        <f>LEFT($E167,3)</f>
        <v>HNJ</v>
      </c>
      <c r="BG167" s="298" t="str">
        <f>IF(Out_Table[[#This Row],[Ora Uscita    (GH)]]&lt;&gt;"","x","")</f>
        <v>x</v>
      </c>
      <c r="BH167" s="299">
        <f>VLOOKUP($O167,'INformazioni per calcoli'!$Y$20:$AA$23,3,FALSE)</f>
        <v>14</v>
      </c>
      <c r="BI167" s="299">
        <f>MROUND(Out_Table[[#This Row],[Mtr. Trailer]]*AB167,0.5)</f>
        <v>14</v>
      </c>
      <c r="BJ167" s="299">
        <f>MROUND(Out_Table[[#This Row],[Mtr. Trailer]]*AE167,0.5)</f>
        <v>0</v>
      </c>
      <c r="BK167" s="299">
        <f>MROUND(Out_Table[[#This Row],[Mtr. Trailer]]*AH167,0.5)</f>
        <v>0</v>
      </c>
      <c r="BL167" s="300">
        <f>Out_Table[[#This Row],[Double Deck trailer N° bumpers]]</f>
        <v>0</v>
      </c>
      <c r="BM167" s="301"/>
      <c r="BN167" s="299" t="str">
        <f>B167</f>
        <v>ERN18917</v>
      </c>
      <c r="BO167" s="299" t="str">
        <f>E167</f>
        <v>HNJ 2</v>
      </c>
      <c r="BP167" s="302">
        <f>IF(AND(G167&gt;(--"00:00:01"),G167&lt;(--"15:00:00")),IF(AND(X167&gt;(--"00:00:01"),X167&lt;(--"15:00:00")),G167-X167,G167+1-X167),G167-X167)</f>
        <v>6.0416666669091984E-2</v>
      </c>
      <c r="BQ167" s="303">
        <f>AE167+AF167+AH167+AJ167</f>
        <v>0</v>
      </c>
      <c r="BR167" s="304" t="str">
        <f>IF(OR(BP167&lt;=(--"00:20:00"),BQ167&gt;=100%),"OK","Not OK")</f>
        <v>Not OK</v>
      </c>
      <c r="BS167" s="302">
        <f>IF(AND(G167&gt;(--"00:00:01"),G167&lt;(--"15:00:00")),IF(AND(AU167&gt;(--"00:00:01"),AU167&lt;(--"15:00:00")),G167-AU167,G167+1-AU167),G167-AU167)</f>
        <v>1.0833333333357587</v>
      </c>
      <c r="BT167" s="302">
        <f>IF(AND(AZ167&gt;(--"00:00:01"),AZ167&lt;(--"15:00:00")),IF(AND(AU167&gt;(--"00:00:01"),AU167&lt;(--"15:00:00")),AZ167-AU167,AZ167+1-AU167),AZ167-AU167)</f>
        <v>1.0416666666666667</v>
      </c>
      <c r="BU167" s="302">
        <f>IF(AND(BA167&gt;(--"00:00:01"),BA167&lt;(--"15:00:00")),IF(AND(AZ167&gt;(--"00:00:01"),AZ167&lt;(--"15:00:00")),BA167-AZ167,BA167+1-AZ167),BA167-AZ167)</f>
        <v>6.9444444444444475E-3</v>
      </c>
      <c r="BV167" s="299">
        <f>AV167</f>
        <v>0</v>
      </c>
      <c r="BW167" s="301"/>
      <c r="BX167" s="299" t="str">
        <f>IF(AV167="T Status",IF(AV167&lt;&gt;T167,"X",""),"")</f>
        <v/>
      </c>
      <c r="BY167" s="301"/>
      <c r="BZ167" s="299" t="str">
        <f>IF(X167&lt;&gt;"",IF(CC167="X","Driver Delay",IF(CA167="X","Paperwork Delay",IF(CB167="X","Late freight late sort",IF(CD167="X","Chiamare Control Room",IF(CE167="X","Chiamare Control Room",IF(CF167="X","Chiamare Control Room","")))))),"")</f>
        <v>Chiamare Control Room</v>
      </c>
      <c r="CA167" s="302" t="str">
        <f>IF(K167="",IF(IF(AND(G167&gt;(--"00:00:01"),G167&lt;(--"15:00:00")),IF(AND(AT167&gt;(--"08:00:00"),AT167&lt;(--"23:59:59")),G167+1-AT167,G167-AT167),G167-AT167)&gt;(--"00:20:00"),"","X"),"")</f>
        <v/>
      </c>
      <c r="CB167" s="299" t="str">
        <f>IF(K167="",IF(BP167&gt;=(--"00:20:00"),"","X"),"")</f>
        <v/>
      </c>
      <c r="CC167" s="299" t="str">
        <f>IF(OR(AV167="Autista non presente",AV167="Dati driver non presenti"),"X","")</f>
        <v/>
      </c>
      <c r="CD167" s="299" t="str">
        <f>IF(K167="",IF(AND(CC167="",BS167&lt;(--"00:20:00")),"X",""),"")</f>
        <v/>
      </c>
      <c r="CE167" s="299" t="str">
        <f>IF(K167="",IF(BT167&gt;(--"00:15:00"),"X",""),IF(AZ167&lt;&gt;"",IF(G167-AZ167&gt;(--"00:30:00"),"X",""),""))</f>
        <v>X</v>
      </c>
      <c r="CF167" s="299" t="str">
        <f>IF(AND(CA167="",CB167="",CC167="",CD167="",CE167=""),"X","")</f>
        <v/>
      </c>
      <c r="CG167" s="301"/>
      <c r="CH167" s="299" t="str">
        <f>IF(BT167&gt;(--"00:15:00"),"X","")</f>
        <v>X</v>
      </c>
      <c r="CI167" s="302">
        <f>AY167</f>
        <v>0</v>
      </c>
      <c r="CJ167" s="299" t="str">
        <f>IF(AND(CH167&lt;&gt;"",CI167&lt;&gt;"",LEFT(B167,3)="ITD"),AP167,"")</f>
        <v/>
      </c>
      <c r="CK167" s="305" t="str">
        <f>IF(CJ167&lt;&gt;"",BT167,"")</f>
        <v/>
      </c>
      <c r="CL167" s="301"/>
      <c r="CM167" s="305" t="str">
        <f>IFERROR(VLOOKUP(Q167,'Elenco Casse'!$D$4:$F$292,3,FALSE),"")</f>
        <v/>
      </c>
      <c r="CN167" s="301"/>
      <c r="CO167" s="305" t="str">
        <f>IFERROR(VLOOKUP(E167,Outlist!$A$5:$H$120,8,FALSE),"")</f>
        <v>ENBD20238</v>
      </c>
      <c r="CP167" s="305" t="str">
        <f>IFERROR(IF(VLOOKUP($E167,Outlist!$A$5:$S$120,19,FALSE)&lt;&gt;0,"Y",""),"")</f>
        <v>Y</v>
      </c>
      <c r="CQ167" s="301"/>
      <c r="CR167" s="305" t="str">
        <f>CONCATENATE($B167,$E167,$G167)</f>
        <v>ERN18917HNJ 20.0833333333357587</v>
      </c>
      <c r="CS167" s="301"/>
      <c r="CT167" s="305">
        <f>VLOOKUP(Out_Table[[#This Row],[Destination             ORANGE (From Planning)]],Outlist!$A$5:$W$120,22,FALSE)</f>
        <v>0</v>
      </c>
    </row>
    <row r="168" spans="1:98" s="20" customFormat="1" ht="15">
      <c r="A168" s="305" t="str">
        <f>$CR168</f>
        <v>ERN16682DZ5 20.416666666664241</v>
      </c>
      <c r="B168" s="351" t="str">
        <f>IFERROR(VLOOKUP(E168,Outlist!$A$5:$AC$120,2,FALSE),"")</f>
        <v>ERN16682</v>
      </c>
      <c r="C168" s="352" t="str">
        <f>IFERROR(IF(LEFT(B168,3)='STAT 77'!$X$2,_xlfn.XLOOKUP(B168,'STAT 77'!C:C,'STAT 77'!B:B),_xlfn.XLOOKUP(B168,'STAT 77'!B:B,'STAT 77'!C:C)),"NON TROVATO")</f>
        <v>ERN08505</v>
      </c>
      <c r="D168" s="4"/>
      <c r="E168" s="352" t="str">
        <f>IFERROR(IF(Outlist!$A29&lt;&gt;"",Outlist!$A29,""),"")</f>
        <v>DZ5 2</v>
      </c>
      <c r="F168" s="352" t="str">
        <f>IFERROR(VLOOKUP(E168,'Cambio O2P'!C:E,2,FALSE),"")</f>
        <v/>
      </c>
      <c r="G168" s="353">
        <f>IFERROR(VLOOKUP(E168,Outlist!$A$5:$AC$120,5,FALSE)-INT(VLOOKUP(E168,Outlist!$A$5:$AC$120,5,FALSE)),"")</f>
        <v>0.41666666666424135</v>
      </c>
      <c r="H168" s="294">
        <f ca="1">IFERROR(IF(AND('INformazioni per calcoli'!$AB$3&lt;(--"14:30"),'INformazioni per calcoli'!$AB$3&gt;(--"10:00")),"",IF($B168="","",IF($X168&lt;&gt;"","Mezzo Chiuso",IF($W168="","Non al Carico",IF($K168="Safe Parking","Safe Parking", IF(OR($BF168='INformazioni per calcoli'!$AF$8,$BF168='INformazioni per calcoli'!$AC$8,$BF168='INformazioni per calcoli'!$AD$8,$BF168='INformazioni per calcoli'!$AE$8,$BF168='INformazioni per calcoli'!$AG$8,$BF168='INformazioni per calcoli'!$AH$8,$BF168='INformazioni per calcoli'!$AI$8,$BF168='INformazioni per calcoli'!$AJ$8),IF($G168-'INformazioni per calcoli'!$AB$6-'INformazioni per calcoli'!$AB$3+$J168&lt;0,"LFLS",$G168-'INformazioni per calcoli'!$AB$6-'INformazioni per calcoli'!$AB$3+$J168), IF(OR($BF168='INformazioni per calcoli'!$AF$6,$BF168='INformazioni per calcoli'!$AD$6,$BF168='INformazioni per calcoli'!$AE$6,$BF168='INformazioni per calcoli'!$AG$6),IF($G168-'INformazioni per calcoli'!$AB$8-'INformazioni per calcoli'!$AB$3+$J168&lt;0,"LFLS",$G168-'INformazioni per calcoli'!$AB$8-'INformazioni per calcoli'!$AB$3+$J168), IF($G168-'INformazioni per calcoli'!$AB$7-'INformazioni per calcoli'!$AB$3+$J168&lt;0,"LFLS",$G168-'INformazioni per calcoli'!$AB$7-'INformazioni per calcoli'!$AB$3+$J168)))))))),"")</f>
        <v>0.18787037036794507</v>
      </c>
      <c r="I168" s="17" t="str">
        <f ca="1">IFERROR(IF($H168&lt;&gt;"",IF($H168="Safe Parking","",IF($W168&lt;&gt;"",IF(AND($U168="X",$V168="X"),$H168-(--"00:30"),""),IF($X168&lt;&gt;"","Mezzo Chiuso","Non al carico"))),""),"")</f>
        <v/>
      </c>
      <c r="J168" s="306">
        <f ca="1">IFERROR(IF($B168&lt;&gt;"",IF(AND('INformazioni per calcoli'!$AB$3&lt;(--"15:00"),'INformazioni per calcoli'!$AB$3&gt;(--"00:00")),0,IF($G168&lt;(--"18:30"),"+1",0)),""),"")</f>
        <v>0</v>
      </c>
      <c r="K168" s="27">
        <f>IF(E168&lt;&gt;"",IFERROR(VLOOKUP(E168,Outlist!$A$5:$AC$120,22,FALSE),""),"")</f>
        <v>0</v>
      </c>
      <c r="L168" s="352" t="str">
        <f>IF(E168&lt;&gt;"",IFERROR(VLOOKUP(E168,Outlist!$A$5:$AC$120,3,FALSE),""),"")</f>
        <v>T Service Spa</v>
      </c>
      <c r="M168" s="4" t="str">
        <f>IFERROR(_xlfn.XLOOKUP($Q168,'Elenco Casse'!$D:$D,'Elenco Casse'!$E:$E),"")</f>
        <v/>
      </c>
      <c r="N168" s="4" t="str">
        <f>IFERROR(_xlfn.XLOOKUP($Q168,'Elenco Casse'!$D:$D,'Elenco Casse'!$F:$F),"")</f>
        <v/>
      </c>
      <c r="O168" s="4" t="str">
        <f>IF($L168&lt;&gt;"","TT-2/3","")</f>
        <v>TT-2/3</v>
      </c>
      <c r="P168" s="296" t="str">
        <f>IFERROR(IF(VLOOKUP(E168,Outlist!$A$5:$AC$120,21,FALSE)="YES","Linea Variata",""),"")</f>
        <v/>
      </c>
      <c r="Q168" s="355" t="s">
        <v>1045</v>
      </c>
      <c r="R168" s="23" t="s">
        <v>420</v>
      </c>
      <c r="S168" s="25" t="str">
        <f>IFERROR(IF(VLOOKUP(E168,Outlist!$A$5:$AC$120,7,FALSE)="X","SUBCO",""),"")</f>
        <v/>
      </c>
      <c r="T168" s="25"/>
      <c r="U168" s="23"/>
      <c r="V168" s="23" t="s">
        <v>61</v>
      </c>
      <c r="W168" s="26">
        <v>805</v>
      </c>
      <c r="X168" s="27"/>
      <c r="Y168" s="25"/>
      <c r="Z168" s="25"/>
      <c r="AA168" s="25" t="s">
        <v>487</v>
      </c>
      <c r="AB168" s="57"/>
      <c r="AC168" s="25"/>
      <c r="AD168" s="25"/>
      <c r="AE168" s="57"/>
      <c r="AF168" s="57"/>
      <c r="AG168" s="25"/>
      <c r="AH168" s="57"/>
      <c r="AI168" s="339"/>
      <c r="AJ168" s="339"/>
      <c r="AK168" s="297" t="str">
        <f>IF(X168&lt;&gt;"",CONCATENATE(IF(AA168&lt;&gt;"",CONCATENATE(Z168," ",AA168," ",BI168),""),IF(AD168&lt;&gt;"",CONCATENATE(","," ",AC168," ",AD168," ",BJ168),""),IF(AG168&lt;&gt;"",CONCATENATE(","," ",AF168," ",AG168," ",BK168),""),IF(AJ168&lt;&gt;"",CONCATENATE(","," ","DD"," ",BL168),"")," ",IF(AI168&lt;&gt;"",CONCATENATE(" - ",AI168," Bag"),"")),"")</f>
        <v/>
      </c>
      <c r="AL168" s="287"/>
      <c r="AM168" s="287"/>
      <c r="AN168" s="287"/>
      <c r="AO168" s="287"/>
      <c r="AP168" s="370">
        <f>IFERROR(VLOOKUP($E168,Outlist!$A$5:$V$120,20,FALSE),"")</f>
        <v>0</v>
      </c>
      <c r="AQ168" s="288" t="str">
        <f>IFERROR(IF(VLOOKUP($A168,#REF!,8,FALSE)&lt;&gt;"",VLOOKUP($A168,#REF!,8,FALSE),""),"")</f>
        <v/>
      </c>
      <c r="AS168" s="24"/>
      <c r="AT168" s="24"/>
      <c r="AU168" s="27"/>
      <c r="AV168" s="27"/>
      <c r="AX168" s="20" t="str">
        <f>IFERROR(IF(Out_Table[[#This Row],[Cancellazione linea]]="Cancellata","yes",""),"")</f>
        <v/>
      </c>
      <c r="AY168" s="72"/>
      <c r="AZ168" s="27"/>
      <c r="BA168" s="32"/>
      <c r="BB168" s="72"/>
      <c r="BC168" s="72" t="str">
        <f>IFERROR(VLOOKUP(Out_Table[[#This Row],[Aggiornamento STATUS]],'INformazioni per calcoli'!$Y$70:$AA$76,2,FALSE),"")</f>
        <v/>
      </c>
      <c r="BD168" s="289"/>
      <c r="BE168" s="289"/>
      <c r="BF168" s="47" t="str">
        <f>LEFT($E168,3)</f>
        <v>DZ5</v>
      </c>
      <c r="BG168" s="298" t="str">
        <f>IF(Out_Table[[#This Row],[Ora Uscita    (GH)]]&lt;&gt;"","x","")</f>
        <v/>
      </c>
      <c r="BH168" s="299">
        <f>VLOOKUP($O168,'INformazioni per calcoli'!$Y$20:$AA$23,3,FALSE)</f>
        <v>14</v>
      </c>
      <c r="BI168" s="299">
        <f>MROUND(Out_Table[[#This Row],[Mtr. Trailer]]*AB168,0.5)</f>
        <v>0</v>
      </c>
      <c r="BJ168" s="299">
        <f>MROUND(Out_Table[[#This Row],[Mtr. Trailer]]*AE168,0.5)</f>
        <v>0</v>
      </c>
      <c r="BK168" s="299">
        <f>MROUND(Out_Table[[#This Row],[Mtr. Trailer]]*AH168,0.5)</f>
        <v>0</v>
      </c>
      <c r="BL168" s="300">
        <f>Out_Table[[#This Row],[Double Deck trailer N° bumpers]]</f>
        <v>0</v>
      </c>
      <c r="BM168" s="301"/>
      <c r="BN168" s="299" t="str">
        <f>B168</f>
        <v>ERN16682</v>
      </c>
      <c r="BO168" s="299" t="str">
        <f>E168</f>
        <v>DZ5 2</v>
      </c>
      <c r="BP168" s="302">
        <f>IF(AND(G168&gt;(--"00:00:01"),G168&lt;(--"15:00:00")),IF(AND(X168&gt;(--"00:00:01"),X168&lt;(--"15:00:00")),G168-X168,G168+1-X168),G168-X168)</f>
        <v>1.4166666666642413</v>
      </c>
      <c r="BQ168" s="303">
        <f>AE168+AF168+AH168+AJ168</f>
        <v>0</v>
      </c>
      <c r="BR168" s="304" t="str">
        <f>IF(OR(BP168&lt;=(--"00:20:00"),BQ168&gt;=100%),"OK","Not OK")</f>
        <v>Not OK</v>
      </c>
      <c r="BS168" s="302">
        <f>IF(AND(G168&gt;(--"00:00:01"),G168&lt;(--"15:00:00")),IF(AND(AU168&gt;(--"00:00:01"),AU168&lt;(--"15:00:00")),G168-AU168,G168+1-AU168),G168-AU168)</f>
        <v>1.4166666666642413</v>
      </c>
      <c r="BT168" s="302">
        <f>IF(AND(AZ168&gt;(--"00:00:01"),AZ168&lt;(--"15:00:00")),IF(AND(AU168&gt;(--"00:00:01"),AU168&lt;(--"15:00:00")),AZ168-AU168,AZ168+1-AU168),AZ168-AU168)</f>
        <v>0</v>
      </c>
      <c r="BU168" s="302">
        <f>IF(AND(BA168&gt;(--"00:00:01"),BA168&lt;(--"15:00:00")),IF(AND(AZ168&gt;(--"00:00:01"),AZ168&lt;(--"15:00:00")),BA168-AZ168,BA168+1-AZ168),BA168-AZ168)</f>
        <v>0</v>
      </c>
      <c r="BV168" s="299">
        <f>AV168</f>
        <v>0</v>
      </c>
      <c r="BW168" s="301"/>
      <c r="BX168" s="299" t="str">
        <f>IF(AV168="T Status",IF(AV168&lt;&gt;T168,"X",""),"")</f>
        <v/>
      </c>
      <c r="BY168" s="301"/>
      <c r="BZ168" s="299" t="str">
        <f>IF(X168&lt;&gt;"",IF(CC168="X","Driver Delay",IF(CA168="X","Paperwork Delay",IF(CB168="X","Late freight late sort",IF(CD168="X","Chiamare Control Room",IF(CE168="X","Chiamare Control Room",IF(CF168="X","Chiamare Control Room","")))))),"")</f>
        <v/>
      </c>
      <c r="CA168" s="302" t="str">
        <f>IF(K168="",IF(IF(AND(G168&gt;(--"00:00:01"),G168&lt;(--"15:00:00")),IF(AND(AT168&gt;(--"08:00:00"),AT168&lt;(--"23:59:59")),G168+1-AT168,G168-AT168),G168-AT168)&gt;(--"00:20:00"),"","X"),"")</f>
        <v/>
      </c>
      <c r="CB168" s="299" t="str">
        <f>IF(K168="",IF(BP168&gt;=(--"00:20:00"),"","X"),"")</f>
        <v/>
      </c>
      <c r="CC168" s="299" t="str">
        <f>IF(OR(AV168="Autista non presente",AV168="Dati driver non presenti"),"X","")</f>
        <v/>
      </c>
      <c r="CD168" s="299" t="str">
        <f>IF(K168="",IF(AND(CC168="",BS168&lt;(--"00:20:00")),"X",""),"")</f>
        <v/>
      </c>
      <c r="CE168" s="299" t="str">
        <f>IF(K168="",IF(BT168&gt;(--"00:15:00"),"X",""),IF(AZ168&lt;&gt;"",IF(G168-AZ168&gt;(--"00:30:00"),"X",""),""))</f>
        <v/>
      </c>
      <c r="CF168" s="299" t="str">
        <f>IF(AND(CA168="",CB168="",CC168="",CD168="",CE168=""),"X","")</f>
        <v>X</v>
      </c>
      <c r="CG168" s="301"/>
      <c r="CH168" s="299" t="str">
        <f>IF(BT168&gt;(--"00:15:00"),"X","")</f>
        <v/>
      </c>
      <c r="CI168" s="302">
        <f>AY168</f>
        <v>0</v>
      </c>
      <c r="CJ168" s="299" t="str">
        <f>IF(AND(CH168&lt;&gt;"",CI168&lt;&gt;"",LEFT(B168,3)="ITD"),AP168,"")</f>
        <v/>
      </c>
      <c r="CK168" s="305" t="str">
        <f>IF(CJ168&lt;&gt;"",BT168,"")</f>
        <v/>
      </c>
      <c r="CL168" s="301"/>
      <c r="CM168" s="305" t="str">
        <f>IFERROR(VLOOKUP(Q168,'Elenco Casse'!$D$4:$F$292,3,FALSE),"")</f>
        <v/>
      </c>
      <c r="CN168" s="301"/>
      <c r="CO168" s="305" t="str">
        <f>IFERROR(VLOOKUP(E168,Outlist!$A$5:$H$120,8,FALSE),"")</f>
        <v>ENBR26535</v>
      </c>
      <c r="CP168" s="305" t="str">
        <f>IFERROR(IF(VLOOKUP($E168,Outlist!$A$5:$S$120,19,FALSE)&lt;&gt;0,"Y",""),"")</f>
        <v/>
      </c>
      <c r="CQ168" s="301"/>
      <c r="CR168" s="305" t="str">
        <f>CONCATENATE($B168,$E168,$G168)</f>
        <v>ERN16682DZ5 20.416666666664241</v>
      </c>
      <c r="CS168" s="301"/>
      <c r="CT168" s="305">
        <f>VLOOKUP(Out_Table[[#This Row],[Destination             ORANGE (From Planning)]],Outlist!$A$5:$W$120,22,FALSE)</f>
        <v>0</v>
      </c>
    </row>
    <row r="169" spans="1:98" s="20" customFormat="1" ht="30.75">
      <c r="A169" s="305" t="str">
        <f>$CR169</f>
        <v>ITD12246MZ10.25</v>
      </c>
      <c r="B169" s="284" t="s">
        <v>1046</v>
      </c>
      <c r="C169" s="290" t="str">
        <f>IFERROR(IF(LEFT(B169,3)='STAT 77'!$X$2,_xlfn.XLOOKUP(B169,'STAT 77'!C:C,'STAT 77'!B:B),_xlfn.XLOOKUP(B169,'STAT 77'!B:B,'STAT 77'!C:C)),"NON TROVATO")</f>
        <v>ITD31189</v>
      </c>
      <c r="D169" s="25" t="s">
        <v>1047</v>
      </c>
      <c r="E169" s="290" t="s">
        <v>602</v>
      </c>
      <c r="F169" s="290" t="str">
        <f>IFERROR(VLOOKUP(E169,'Cambio O2P'!C:E,2,FALSE),"")</f>
        <v>QRTA</v>
      </c>
      <c r="G169" s="285">
        <v>0.25</v>
      </c>
      <c r="H169" s="293" t="str">
        <f ca="1">IFERROR(IF(AND('INformazioni per calcoli'!$AB$3&lt;(--"14:30"),'INformazioni per calcoli'!$AB$3&gt;(--"10:00")),"",IF($B169="","",IF($X169&lt;&gt;"","Mezzo Chiuso",IF($W169="","Non al Carico",IF($G169-'INformazioni per calcoli'!$AB$5-'INformazioni per calcoli'!$AB$3+$J169&lt;0,"LFLS",IF($K169&lt;&gt;"","Safe Parking",IF($W169&lt;&gt;"",IF($E169="MXP",$G169-'INformazioni per calcoli'!$AB$6-'INformazioni per calcoli'!$AB$3+$J169,$G169-'INformazioni per calcoli'!$AB$5-'INformazioni per calcoli'!$AB$3+$J169),"Non al carico"))))))),"")</f>
        <v>Mezzo Chiuso</v>
      </c>
      <c r="I169" s="17"/>
      <c r="J169" s="306">
        <f ca="1">IFERROR(IF($B169&lt;&gt;"",IF(AND('INformazioni per calcoli'!$AB$3&lt;(--"15:00"),'INformazioni per calcoli'!$AB$3&gt;(--"00:00")),0,IF($G169&lt;(--"18:30"),"+1",0)),""),"")</f>
        <v>0</v>
      </c>
      <c r="K169" s="17"/>
      <c r="L169" s="25" t="s">
        <v>451</v>
      </c>
      <c r="M169" s="25" t="str">
        <f>IFERROR(_xlfn.XLOOKUP($Q169,'Elenco Casse'!$D:$D,'Elenco Casse'!$E:$E),"")</f>
        <v>F.M. Trasporti S.R.L.</v>
      </c>
      <c r="N169" s="25">
        <f>IFERROR(_xlfn.XLOOKUP($Q169,'Elenco Casse'!$D:$D,'Elenco Casse'!$F:$F),"")</f>
        <v>0</v>
      </c>
      <c r="O169" s="286" t="s">
        <v>418</v>
      </c>
      <c r="P169" s="295" t="str">
        <f>IFERROR(_xlfn.XLOOKUP($Q169,'Elenco Casse'!$D:$D,'Elenco Casse'!$G:$G),"")</f>
        <v>trailer 55 m3 2/3 axes</v>
      </c>
      <c r="Q169" s="355" t="s">
        <v>1048</v>
      </c>
      <c r="R169" s="23" t="s">
        <v>420</v>
      </c>
      <c r="S169" s="25" t="s">
        <v>421</v>
      </c>
      <c r="T169" s="25" t="s">
        <v>432</v>
      </c>
      <c r="U169" s="23" t="str">
        <f>IF(ISNUMBER(SEARCH("Parcel",$T169)),"X","")</f>
        <v>X</v>
      </c>
      <c r="V169" s="23" t="s">
        <v>61</v>
      </c>
      <c r="W169" s="26">
        <v>806</v>
      </c>
      <c r="X169" s="27">
        <v>8.4722222222222227E-2</v>
      </c>
      <c r="Y169" s="25" t="s">
        <v>1049</v>
      </c>
      <c r="Z169" s="25"/>
      <c r="AA169" s="25" t="s">
        <v>40</v>
      </c>
      <c r="AB169" s="57">
        <v>0.7</v>
      </c>
      <c r="AC169" s="25"/>
      <c r="AD169" s="25" t="s">
        <v>487</v>
      </c>
      <c r="AE169" s="57">
        <v>0.3</v>
      </c>
      <c r="AF169" s="57"/>
      <c r="AG169" s="25"/>
      <c r="AH169" s="57"/>
      <c r="AI169" s="339"/>
      <c r="AJ169" s="339"/>
      <c r="AK169" s="297" t="str">
        <f>IF(X169&lt;&gt;"",CONCATENATE(IF(AA169&lt;&gt;"",CONCATENATE(Z169," ",AA169," ",BI169),""),IF(AD169&lt;&gt;"",CONCATENATE(","," ",AC169," ",AD169," ",BJ169),""),IF(AG169&lt;&gt;"",CONCATENATE(","," ",AF169," ",AG169," ",BK169),""),IF(AJ169&lt;&gt;"",CONCATENATE(","," ","DD"," ",BL169),"")," ",IF(AI169&lt;&gt;"",CONCATENATE(" - ",AI169," Bag"),"")),"")</f>
        <v xml:space="preserve"> LL 10,  FRT 4 </v>
      </c>
      <c r="AL169" s="287" t="s">
        <v>870</v>
      </c>
      <c r="AM169" s="287"/>
      <c r="AN169" s="287"/>
      <c r="AO169" s="287"/>
      <c r="AP169" s="370">
        <f>IFERROR(VLOOKUP($E166,Outlist!$A$5:$V$120,20,FALSE),"")</f>
        <v>0</v>
      </c>
      <c r="AQ169" s="288" t="str">
        <f>IFERROR(IF(VLOOKUP($A169,#REF!,8,FALSE)&lt;&gt;"",VLOOKUP($A169,#REF!,8,FALSE),""),"")</f>
        <v/>
      </c>
      <c r="AS169" s="24"/>
      <c r="AT169" s="24">
        <v>0.44930555555555557</v>
      </c>
      <c r="AU169" s="27">
        <v>0.13958333333333334</v>
      </c>
      <c r="AV169" s="27"/>
      <c r="AX169" s="20" t="str">
        <f>IFERROR(IF(Out_Table[[#This Row],[Cancellazione linea]]="Cancellata","yes",""),"")</f>
        <v/>
      </c>
      <c r="AY169" s="72" t="str">
        <f>IF(BA169="",BZ169,IF(AND(BA169&lt;(--"23:59:59"),BA169&gt;(--"15:00:00"),G169&lt;(--"14:00:00"),G169&gt;(--"00:00:01")),"",IF(BA169&gt;G169,BZ169,"")))</f>
        <v>Chiamare Control Room</v>
      </c>
      <c r="AZ169" s="27"/>
      <c r="BA169" s="32"/>
      <c r="BB169" s="72"/>
      <c r="BC169" s="72" t="str">
        <f>IFERROR(VLOOKUP(Out_Table[[#This Row],[Aggiornamento STATUS]],'INformazioni per calcoli'!$Y$70:$AA$76,2,FALSE),"")</f>
        <v/>
      </c>
      <c r="BD169" s="289"/>
      <c r="BE169" s="289"/>
      <c r="BF169" s="47" t="str">
        <f>LEFT($E169,3)</f>
        <v>MZ1</v>
      </c>
      <c r="BG169" s="298" t="str">
        <f>IF(Out_Table[[#This Row],[Ora Uscita    (GH)]]&lt;&gt;"","x","")</f>
        <v/>
      </c>
      <c r="BH169" s="299">
        <f>VLOOKUP($O169,'INformazioni per calcoli'!$Y$20:$AA$23,3,FALSE)</f>
        <v>14</v>
      </c>
      <c r="BI169" s="299">
        <f>MROUND(Out_Table[[#This Row],[Mtr. Trailer]]*AB169,0.5)</f>
        <v>10</v>
      </c>
      <c r="BJ169" s="299">
        <f>MROUND(Out_Table[[#This Row],[Mtr. Trailer]]*AE169,0.5)</f>
        <v>4</v>
      </c>
      <c r="BK169" s="299">
        <f>MROUND(Out_Table[[#This Row],[Mtr. Trailer]]*AH169,0.5)</f>
        <v>0</v>
      </c>
      <c r="BL169" s="300">
        <f>Out_Table[[#This Row],[Double Deck trailer N° bumpers]]</f>
        <v>0</v>
      </c>
      <c r="BM169" s="301"/>
      <c r="BN169" s="299" t="str">
        <f>B169</f>
        <v>ITD12246</v>
      </c>
      <c r="BO169" s="299" t="str">
        <f>E169</f>
        <v>MZ1</v>
      </c>
      <c r="BP169" s="302">
        <f>IF(AND(G169&gt;(--"00:00:01"),G169&lt;(--"15:00:00")),IF(AND(X169&gt;(--"00:00:01"),X169&lt;(--"15:00:00")),G169-X169,G169+1-X169),G169-X169)</f>
        <v>0.16527777777777777</v>
      </c>
      <c r="BQ169" s="303">
        <f>AE169+AF169+AH169+AJ169</f>
        <v>0.3</v>
      </c>
      <c r="BR169" s="304" t="str">
        <f>IF(OR(BP169&lt;=(--"00:20:00"),BQ169&gt;=100%),"OK","Not OK")</f>
        <v>Not OK</v>
      </c>
      <c r="BS169" s="302">
        <f>IF(AND(G169&gt;(--"00:00:01"),G169&lt;(--"15:00:00")),IF(AND(AU169&gt;(--"00:00:01"),AU169&lt;(--"15:00:00")),G169-AU169,G169+1-AU169),G169-AU169)</f>
        <v>0.11041666666666666</v>
      </c>
      <c r="BT169" s="302">
        <f>IF(AND(AZ169&gt;(--"00:00:01"),AZ169&lt;(--"15:00:00")),IF(AND(AU169&gt;(--"00:00:01"),AU169&lt;(--"15:00:00")),AZ169-AU169,AZ169+1-AU169),AZ169-AU169)</f>
        <v>-0.13958333333333334</v>
      </c>
      <c r="BU169" s="302">
        <f>IF(AND(BA169&gt;(--"00:00:01"),BA169&lt;(--"15:00:00")),IF(AND(AZ169&gt;(--"00:00:01"),AZ169&lt;(--"15:00:00")),BA169-AZ169,BA169+1-AZ169),BA169-AZ169)</f>
        <v>0</v>
      </c>
      <c r="BV169" s="299">
        <f>AV169</f>
        <v>0</v>
      </c>
      <c r="BW169" s="301"/>
      <c r="BX169" s="299" t="str">
        <f>IF(AV169="T Status",IF(AV169&lt;&gt;T169,"X",""),"")</f>
        <v/>
      </c>
      <c r="BY169" s="301"/>
      <c r="BZ169" s="299" t="str">
        <f>IF(X169&lt;&gt;"",IF(CC169="X","Driver Delay",IF(CA169="X","Paperwork Delay",IF(CB169="X","Late freight late sort",IF(CD169="X","Chiamare Control Room",IF(CE169="X","Chiamare Control Room",IF(CF169="X","Chiamare Control Room","")))))),"")</f>
        <v>Chiamare Control Room</v>
      </c>
      <c r="CA169" s="302" t="str">
        <f>IF(K169="",IF(IF(AND(G169&gt;(--"00:00:01"),G169&lt;(--"15:00:00")),IF(AND(AT169&gt;(--"08:00:00"),AT169&lt;(--"23:59:59")),G169+1-AT169,G169-AT169),G169-AT169)&gt;(--"00:20:00"),"","X"),"")</f>
        <v/>
      </c>
      <c r="CB169" s="299" t="str">
        <f>IF(K169="",IF(BP169&gt;=(--"00:20:00"),"","X"),"")</f>
        <v/>
      </c>
      <c r="CC169" s="299" t="str">
        <f>IF(OR(AV169="Autista non presente",AV169="Dati driver non presenti"),"X","")</f>
        <v/>
      </c>
      <c r="CD169" s="299" t="str">
        <f>IF(K169="",IF(AND(CC169="",BS169&lt;(--"00:20:00")),"X",""),"")</f>
        <v/>
      </c>
      <c r="CE169" s="299" t="str">
        <f>IF(K169="",IF(BT169&gt;(--"00:15:00"),"X",""),IF(AZ169&lt;&gt;"",IF(G169-AZ169&gt;(--"00:30:00"),"X",""),""))</f>
        <v/>
      </c>
      <c r="CF169" s="299" t="str">
        <f>IF(AND(CA169="",CB169="",CC169="",CD169="",CE169=""),"X","")</f>
        <v>X</v>
      </c>
      <c r="CG169" s="301"/>
      <c r="CH169" s="299" t="str">
        <f>IF(BT169&gt;(--"00:15:00"),"X","")</f>
        <v/>
      </c>
      <c r="CI169" s="302" t="str">
        <f>AY169</f>
        <v>Chiamare Control Room</v>
      </c>
      <c r="CJ169" s="299" t="str">
        <f>IF(AND(CH169&lt;&gt;"",CI169&lt;&gt;"",LEFT(B169,3)="ITD"),AP169,"")</f>
        <v/>
      </c>
      <c r="CK169" s="305" t="str">
        <f>IF(CJ169&lt;&gt;"",BT169,"")</f>
        <v/>
      </c>
      <c r="CL169" s="301"/>
      <c r="CM169" s="305" t="str">
        <f>IFERROR(VLOOKUP(Q169,'Elenco Casse'!$D$4:$F$292,3,FALSE),"")</f>
        <v/>
      </c>
      <c r="CN169" s="301"/>
      <c r="CO169" s="305" t="str">
        <f>IFERROR(VLOOKUP(S169,'Elenco Casse'!$D$4:$F$292,3,FALSE),"")</f>
        <v/>
      </c>
      <c r="CP169" s="305" t="str">
        <f>IFERROR(IF(VLOOKUP($E169,Outlist!$A$5:$S$120,19,FALSE)&lt;&gt;0,"Y",""),"")</f>
        <v/>
      </c>
      <c r="CQ169" s="301"/>
      <c r="CR169" s="305" t="str">
        <f>CONCATENATE($B169,$E169,$G169)</f>
        <v>ITD12246MZ10.25</v>
      </c>
      <c r="CS169" s="301"/>
      <c r="CT169" s="305" t="e">
        <f>VLOOKUP(Out_Table[[#This Row],[Destination             ORANGE (From Planning)]],Outlist!$A$5:$W$120,22,FALSE)</f>
        <v>#N/A</v>
      </c>
    </row>
    <row r="170" spans="1:98" s="20" customFormat="1" ht="30.75">
      <c r="A170" s="305" t="str">
        <f>$CR170</f>
        <v>ITD12282MZ10.291666666666667</v>
      </c>
      <c r="B170" s="284" t="s">
        <v>1050</v>
      </c>
      <c r="C170" s="290" t="str">
        <f>IFERROR(IF(LEFT(B170,3)='STAT 77'!$X$2,_xlfn.XLOOKUP(B170,'STAT 77'!C:C,'STAT 77'!B:B),_xlfn.XLOOKUP(B170,'STAT 77'!B:B,'STAT 77'!C:C)),"NON TROVATO")</f>
        <v>ITD31288</v>
      </c>
      <c r="D170" s="25" t="s">
        <v>1051</v>
      </c>
      <c r="E170" s="290" t="s">
        <v>602</v>
      </c>
      <c r="F170" s="290" t="str">
        <f>IFERROR(VLOOKUP(E170,'Cambio O2P'!C:E,2,FALSE),"")</f>
        <v>QRTA</v>
      </c>
      <c r="G170" s="285">
        <v>0.29166666666666669</v>
      </c>
      <c r="H170" s="293" t="str">
        <f ca="1">IFERROR(IF(AND('INformazioni per calcoli'!$AB$3&lt;(--"14:30"),'INformazioni per calcoli'!$AB$3&gt;(--"10:00")),"",IF($B170="","",IF($X170&lt;&gt;"","Mezzo Chiuso",IF($W170="","Non al Carico",IF($G170-'INformazioni per calcoli'!$AB$5-'INformazioni per calcoli'!$AB$3+$J170&lt;0,"LFLS",IF($K170&lt;&gt;"","Safe Parking",IF($W170&lt;&gt;"",IF($E170="MXP",$G170-'INformazioni per calcoli'!$AB$6-'INformazioni per calcoli'!$AB$3+$J170,$G170-'INformazioni per calcoli'!$AB$5-'INformazioni per calcoli'!$AB$3+$J170),"Non al carico"))))))),"")</f>
        <v>Mezzo Chiuso</v>
      </c>
      <c r="I170" s="17" t="str">
        <f ca="1">IFERROR(IF($H170&lt;&gt;"",IF($H170="Safe Parking","",IF($W170&lt;&gt;"",IF(AND($U170="X",$V170="X"),$H170-(--"00:30"),""),IF($X170&lt;&gt;"","Mezzo Chiuso","Non al carico"))),""),"")</f>
        <v/>
      </c>
      <c r="J170" s="306">
        <f ca="1">IFERROR(IF($B170&lt;&gt;"",IF(AND('INformazioni per calcoli'!$AB$3&lt;(--"15:00"),'INformazioni per calcoli'!$AB$3&gt;(--"00:00")),0,IF($G170&lt;(--"18:30"),"+1",0)),""),"")</f>
        <v>0</v>
      </c>
      <c r="K170" s="17"/>
      <c r="L170" s="25" t="s">
        <v>52</v>
      </c>
      <c r="M170" s="25" t="str">
        <f>IFERROR(_xlfn.XLOOKUP($Q170,'Elenco Casse'!$D:$D,'Elenco Casse'!$E:$E),"")</f>
        <v/>
      </c>
      <c r="N170" s="25" t="str">
        <f>IFERROR(_xlfn.XLOOKUP($Q170,'Elenco Casse'!$D:$D,'Elenco Casse'!$F:$F),"")</f>
        <v/>
      </c>
      <c r="O170" s="286" t="s">
        <v>418</v>
      </c>
      <c r="P170" s="295" t="str">
        <f>IFERROR(_xlfn.XLOOKUP($Q170,'Elenco Casse'!$D:$D,'Elenco Casse'!$G:$G),"")</f>
        <v/>
      </c>
      <c r="Q170" s="355" t="s">
        <v>1052</v>
      </c>
      <c r="R170" s="23" t="s">
        <v>420</v>
      </c>
      <c r="S170" s="25" t="s">
        <v>421</v>
      </c>
      <c r="T170" s="25" t="s">
        <v>599</v>
      </c>
      <c r="U170" s="23" t="str">
        <f>IF(ISNUMBER(SEARCH("Parcel",$T170)),"X","")</f>
        <v/>
      </c>
      <c r="V170" s="23" t="str">
        <f>IF(ISNUMBER(SEARCH("Freight",$T170)),"X","")</f>
        <v>X</v>
      </c>
      <c r="W170" s="26">
        <v>806</v>
      </c>
      <c r="X170" s="27">
        <v>5.2777777777777778E-2</v>
      </c>
      <c r="Y170" s="25" t="s">
        <v>943</v>
      </c>
      <c r="Z170" s="25"/>
      <c r="AA170" s="25" t="s">
        <v>487</v>
      </c>
      <c r="AB170" s="57">
        <v>1</v>
      </c>
      <c r="AC170" s="25"/>
      <c r="AD170" s="25"/>
      <c r="AE170" s="57"/>
      <c r="AF170" s="57"/>
      <c r="AG170" s="25"/>
      <c r="AH170" s="57"/>
      <c r="AI170" s="339"/>
      <c r="AJ170" s="339"/>
      <c r="AK170" s="297" t="str">
        <f>IF(X170&lt;&gt;"",CONCATENATE(IF(AA170&lt;&gt;"",CONCATENATE(Z170," ",AA170," ",BI170),""),IF(AD170&lt;&gt;"",CONCATENATE(","," ",AC170," ",AD170," ",BJ170),""),IF(AG170&lt;&gt;"",CONCATENATE(","," ",AF170," ",AG170," ",BK170),""),IF(AJ170&lt;&gt;"",CONCATENATE(","," ","DD"," ",BL170),"")," ",IF(AI170&lt;&gt;"",CONCATENATE(" - ",AI170," Bag"),"")),"")</f>
        <v xml:space="preserve"> FRT 14 </v>
      </c>
      <c r="AL170" s="287" t="s">
        <v>421</v>
      </c>
      <c r="AM170" s="287"/>
      <c r="AN170" s="287"/>
      <c r="AO170" s="287"/>
      <c r="AP170" s="370">
        <f>IFERROR(VLOOKUP($E167,Outlist!$A$5:$V$120,20,FALSE),"")</f>
        <v>0</v>
      </c>
      <c r="AQ170" s="288" t="str">
        <f>IFERROR(IF(VLOOKUP($A170,#REF!,8,FALSE)&lt;&gt;"",VLOOKUP($A170,#REF!,8,FALSE),""),"")</f>
        <v/>
      </c>
      <c r="AS170" s="24"/>
      <c r="AT170" s="24">
        <v>2.0833333333333332E-2</v>
      </c>
      <c r="AU170" s="27"/>
      <c r="AV170" s="27"/>
      <c r="AX170" s="20" t="str">
        <f>IFERROR(IF(Out_Table[[#This Row],[Cancellazione linea]]="Cancellata","yes",""),"")</f>
        <v/>
      </c>
      <c r="AY170" s="72" t="str">
        <f>IF(BA170="",BZ170,IF(AND(BA170&lt;(--"23:59:59"),BA170&gt;(--"15:00:00"),G170&lt;(--"14:00:00"),G170&gt;(--"00:00:01")),"",IF(BA170&gt;G170,BZ170,"")))</f>
        <v>Chiamare Control Room</v>
      </c>
      <c r="AZ170" s="27"/>
      <c r="BA170" s="32"/>
      <c r="BB170" s="72"/>
      <c r="BC170" s="72" t="str">
        <f>IFERROR(VLOOKUP(Out_Table[[#This Row],[Aggiornamento STATUS]],'INformazioni per calcoli'!$Y$70:$AA$76,2,FALSE),"")</f>
        <v/>
      </c>
      <c r="BD170" s="289"/>
      <c r="BE170" s="289"/>
      <c r="BF170" s="47" t="str">
        <f>LEFT($E170,3)</f>
        <v>MZ1</v>
      </c>
      <c r="BG170" s="298" t="str">
        <f>IF(Out_Table[[#This Row],[Ora Uscita    (GH)]]&lt;&gt;"","x","")</f>
        <v/>
      </c>
      <c r="BH170" s="299">
        <f>VLOOKUP($O170,'INformazioni per calcoli'!$Y$20:$AA$23,3,FALSE)</f>
        <v>14</v>
      </c>
      <c r="BI170" s="299">
        <f>MROUND(Out_Table[[#This Row],[Mtr. Trailer]]*AB170,0.5)</f>
        <v>14</v>
      </c>
      <c r="BJ170" s="299">
        <f>MROUND(Out_Table[[#This Row],[Mtr. Trailer]]*AE170,0.5)</f>
        <v>0</v>
      </c>
      <c r="BK170" s="299">
        <f>MROUND(Out_Table[[#This Row],[Mtr. Trailer]]*AH170,0.5)</f>
        <v>0</v>
      </c>
      <c r="BL170" s="300">
        <f>Out_Table[[#This Row],[Double Deck trailer N° bumpers]]</f>
        <v>0</v>
      </c>
      <c r="BM170" s="301"/>
      <c r="BN170" s="299" t="str">
        <f>B170</f>
        <v>ITD12282</v>
      </c>
      <c r="BO170" s="299" t="str">
        <f>E170</f>
        <v>MZ1</v>
      </c>
      <c r="BP170" s="302">
        <f>IF(AND(G170&gt;(--"00:00:01"),G170&lt;(--"15:00:00")),IF(AND(X170&gt;(--"00:00:01"),X170&lt;(--"15:00:00")),G170-X170,G170+1-X170),G170-X170)</f>
        <v>0.2388888888888889</v>
      </c>
      <c r="BQ170" s="303">
        <f>AE170+AF170+AH170+AJ170</f>
        <v>0</v>
      </c>
      <c r="BR170" s="304" t="str">
        <f>IF(OR(BP170&lt;=(--"00:20:00"),BQ170&gt;=100%),"OK","Not OK")</f>
        <v>Not OK</v>
      </c>
      <c r="BS170" s="302">
        <f>IF(AND(G170&gt;(--"00:00:01"),G170&lt;(--"15:00:00")),IF(AND(AU170&gt;(--"00:00:01"),AU170&lt;(--"15:00:00")),G170-AU170,G170+1-AU170),G170-AU170)</f>
        <v>1.2916666666666667</v>
      </c>
      <c r="BT170" s="302">
        <f>IF(AND(AZ170&gt;(--"00:00:01"),AZ170&lt;(--"15:00:00")),IF(AND(AU170&gt;(--"00:00:01"),AU170&lt;(--"15:00:00")),AZ170-AU170,AZ170+1-AU170),AZ170-AU170)</f>
        <v>0</v>
      </c>
      <c r="BU170" s="302">
        <f>IF(AND(BA170&gt;(--"00:00:01"),BA170&lt;(--"15:00:00")),IF(AND(AZ170&gt;(--"00:00:01"),AZ170&lt;(--"15:00:00")),BA170-AZ170,BA170+1-AZ170),BA170-AZ170)</f>
        <v>0</v>
      </c>
      <c r="BV170" s="299">
        <f>AV170</f>
        <v>0</v>
      </c>
      <c r="BW170" s="301"/>
      <c r="BX170" s="299" t="str">
        <f>IF(AV170="T Status",IF(AV170&lt;&gt;T170,"X",""),"")</f>
        <v/>
      </c>
      <c r="BY170" s="301"/>
      <c r="BZ170" s="299" t="str">
        <f>IF(X170&lt;&gt;"",IF(CC170="X","Driver Delay",IF(CA170="X","Paperwork Delay",IF(CB170="X","Late freight late sort",IF(CD170="X","Chiamare Control Room",IF(CE170="X","Chiamare Control Room",IF(CF170="X","Chiamare Control Room","")))))),"")</f>
        <v>Chiamare Control Room</v>
      </c>
      <c r="CA170" s="302" t="str">
        <f>IF(K170="",IF(IF(AND(G170&gt;(--"00:00:01"),G170&lt;(--"15:00:00")),IF(AND(AT170&gt;(--"08:00:00"),AT170&lt;(--"23:59:59")),G170+1-AT170,G170-AT170),G170-AT170)&gt;(--"00:20:00"),"","X"),"")</f>
        <v/>
      </c>
      <c r="CB170" s="299" t="str">
        <f>IF(K170="",IF(BP170&gt;=(--"00:20:00"),"","X"),"")</f>
        <v/>
      </c>
      <c r="CC170" s="299" t="str">
        <f>IF(OR(AV170="Autista non presente",AV170="Dati driver non presenti"),"X","")</f>
        <v/>
      </c>
      <c r="CD170" s="299" t="str">
        <f>IF(K170="",IF(AND(CC170="",BS170&lt;(--"00:20:00")),"X",""),"")</f>
        <v/>
      </c>
      <c r="CE170" s="299" t="str">
        <f>IF(K170="",IF(BT170&gt;(--"00:15:00"),"X",""),IF(AZ170&lt;&gt;"",IF(G170-AZ170&gt;(--"00:30:00"),"X",""),""))</f>
        <v/>
      </c>
      <c r="CF170" s="299" t="str">
        <f>IF(AND(CA170="",CB170="",CC170="",CD170="",CE170=""),"X","")</f>
        <v>X</v>
      </c>
      <c r="CG170" s="301"/>
      <c r="CH170" s="299" t="str">
        <f>IF(BT170&gt;(--"00:15:00"),"X","")</f>
        <v/>
      </c>
      <c r="CI170" s="302" t="str">
        <f>AY170</f>
        <v>Chiamare Control Room</v>
      </c>
      <c r="CJ170" s="299" t="str">
        <f>IF(AND(CH170&lt;&gt;"",CI170&lt;&gt;"",LEFT(B170,3)="ITD"),AP170,"")</f>
        <v/>
      </c>
      <c r="CK170" s="305" t="str">
        <f>IF(CJ170&lt;&gt;"",BT170,"")</f>
        <v/>
      </c>
      <c r="CL170" s="301"/>
      <c r="CM170" s="305" t="str">
        <f>IFERROR(VLOOKUP(Q170,'Elenco Casse'!$D$4:$F$292,3,FALSE),"")</f>
        <v/>
      </c>
      <c r="CN170" s="301"/>
      <c r="CO170" s="305" t="str">
        <f>IFERROR(VLOOKUP(S170,'Elenco Casse'!$D$4:$F$292,3,FALSE),"")</f>
        <v/>
      </c>
      <c r="CP170" s="305" t="str">
        <f>IFERROR(IF(VLOOKUP($E170,Outlist!$A$5:$S$120,19,FALSE)&lt;&gt;0,"Y",""),"")</f>
        <v/>
      </c>
      <c r="CQ170" s="301"/>
      <c r="CR170" s="305" t="str">
        <f>CONCATENATE($B170,$E170,$G170)</f>
        <v>ITD12282MZ10.291666666666667</v>
      </c>
      <c r="CS170" s="301"/>
      <c r="CT170" s="305" t="e">
        <f>VLOOKUP(Out_Table[[#This Row],[Destination             ORANGE (From Planning)]],Outlist!$A$5:$W$120,22,FALSE)</f>
        <v>#N/A</v>
      </c>
    </row>
    <row r="171" spans="1:98" s="20" customFormat="1" ht="30.75">
      <c r="A171" s="305" t="str">
        <f>$CR171</f>
        <v>ITD12170MZ10.1875</v>
      </c>
      <c r="B171" s="284" t="s">
        <v>1053</v>
      </c>
      <c r="C171" s="290" t="str">
        <f>IFERROR(IF(LEFT(B171,3)='STAT 77'!$X$2,_xlfn.XLOOKUP(B171,'STAT 77'!C:C,'STAT 77'!B:B),_xlfn.XLOOKUP(B171,'STAT 77'!B:B,'STAT 77'!C:C)),"NON TROVATO")</f>
        <v>ITD32554</v>
      </c>
      <c r="D171" s="25" t="s">
        <v>1054</v>
      </c>
      <c r="E171" s="290" t="s">
        <v>602</v>
      </c>
      <c r="F171" s="290" t="str">
        <f>IFERROR(VLOOKUP(E171,'Cambio O2P'!C:E,2,FALSE),"")</f>
        <v>QRTA</v>
      </c>
      <c r="G171" s="285">
        <v>0.1875</v>
      </c>
      <c r="H171" s="293" t="str">
        <f ca="1">IFERROR(IF(AND('INformazioni per calcoli'!$AB$3&lt;(--"14:30"),'INformazioni per calcoli'!$AB$3&gt;(--"10:00")),"",IF($B171="","",IF($X171&lt;&gt;"","Mezzo Chiuso",IF($W171="","Non al Carico",IF($G171-'INformazioni per calcoli'!$AB$5-'INformazioni per calcoli'!$AB$3+$J171&lt;0,"LFLS",IF($K171&lt;&gt;"","Safe Parking",IF($W171&lt;&gt;"",IF($E171="MXP",$G171-'INformazioni per calcoli'!$AB$6-'INformazioni per calcoli'!$AB$3+$J171,$G171-'INformazioni per calcoli'!$AB$5-'INformazioni per calcoli'!$AB$3+$J171),"Non al carico"))))))),"")</f>
        <v>Mezzo Chiuso</v>
      </c>
      <c r="I171" s="17" t="str">
        <f ca="1">IFERROR(IF($H171&lt;&gt;"",IF($H171="Safe Parking","",IF($W171&lt;&gt;"",IF(AND($U171="X",$V171="X"),$H171-(--"00:30"),""),IF($X171&lt;&gt;"","Mezzo Chiuso","Non al carico"))),""),"")</f>
        <v/>
      </c>
      <c r="J171" s="306">
        <f ca="1">IFERROR(IF($B171&lt;&gt;"",IF(AND('INformazioni per calcoli'!$AB$3&lt;(--"15:00"),'INformazioni per calcoli'!$AB$3&gt;(--"00:00")),0,IF($G171&lt;(--"18:30"),"+1",0)),""),"")</f>
        <v>0</v>
      </c>
      <c r="K171" s="17"/>
      <c r="L171" s="25" t="s">
        <v>451</v>
      </c>
      <c r="M171" s="25" t="str">
        <f>IFERROR(_xlfn.XLOOKUP($Q171,'Elenco Casse'!$D:$D,'Elenco Casse'!$E:$E),"")</f>
        <v/>
      </c>
      <c r="N171" s="25" t="str">
        <f>IFERROR(_xlfn.XLOOKUP($Q171,'Elenco Casse'!$D:$D,'Elenco Casse'!$F:$F),"")</f>
        <v/>
      </c>
      <c r="O171" s="286" t="s">
        <v>418</v>
      </c>
      <c r="P171" s="295" t="str">
        <f>IFERROR(_xlfn.XLOOKUP($Q171,'Elenco Casse'!$D:$D,'Elenco Casse'!$G:$G),"")</f>
        <v/>
      </c>
      <c r="Q171" s="355" t="s">
        <v>1055</v>
      </c>
      <c r="R171" s="23" t="s">
        <v>420</v>
      </c>
      <c r="S171" s="25" t="s">
        <v>421</v>
      </c>
      <c r="T171" s="25" t="s">
        <v>599</v>
      </c>
      <c r="U171" s="23" t="str">
        <f>IF(ISNUMBER(SEARCH("Parcel",$T171)),"X","")</f>
        <v/>
      </c>
      <c r="V171" s="23" t="str">
        <f>IF(ISNUMBER(SEARCH("Freight",$T171)),"X","")</f>
        <v>X</v>
      </c>
      <c r="W171" s="26">
        <v>806</v>
      </c>
      <c r="X171" s="27">
        <v>0.80833333333333335</v>
      </c>
      <c r="Y171" s="25" t="s">
        <v>986</v>
      </c>
      <c r="Z171" s="25"/>
      <c r="AA171" s="25" t="s">
        <v>487</v>
      </c>
      <c r="AB171" s="57">
        <v>1</v>
      </c>
      <c r="AC171" s="25"/>
      <c r="AD171" s="25"/>
      <c r="AE171" s="57"/>
      <c r="AF171" s="57"/>
      <c r="AG171" s="25"/>
      <c r="AH171" s="57"/>
      <c r="AI171" s="339"/>
      <c r="AJ171" s="339"/>
      <c r="AK171" s="297" t="str">
        <f>IF(X171&lt;&gt;"",CONCATENATE(IF(AA171&lt;&gt;"",CONCATENATE(Z171," ",AA171," ",BI171),""),IF(AD171&lt;&gt;"",CONCATENATE(","," ",AC171," ",AD171," ",BJ171),""),IF(AG171&lt;&gt;"",CONCATENATE(","," ",AF171," ",AG171," ",BK171),""),IF(AJ171&lt;&gt;"",CONCATENATE(","," ","DD"," ",BL171),"")," ",IF(AI171&lt;&gt;"",CONCATENATE(" - ",AI171," Bag"),"")),"")</f>
        <v xml:space="preserve"> FRT 14 </v>
      </c>
      <c r="AL171" s="287" t="s">
        <v>421</v>
      </c>
      <c r="AM171" s="287"/>
      <c r="AN171" s="287"/>
      <c r="AO171" s="287"/>
      <c r="AP171" s="370" t="str">
        <f>IFERROR(VLOOKUP(#REF!,Outlist!$A$5:$V$120,20,FALSE),"")</f>
        <v/>
      </c>
      <c r="AQ171" s="288" t="str">
        <f>IFERROR(IF(VLOOKUP($A171,#REF!,8,FALSE)&lt;&gt;"",VLOOKUP($A171,#REF!,8,FALSE),""),"")</f>
        <v/>
      </c>
      <c r="AS171" s="24"/>
      <c r="AT171" s="24">
        <v>0.44930555555555557</v>
      </c>
      <c r="AU171" s="27">
        <v>6.9444444444444448E-2</v>
      </c>
      <c r="AV171" s="27"/>
      <c r="AX171" s="20" t="str">
        <f>IFERROR(IF(Out_Table[[#This Row],[Cancellazione linea]]="Cancellata","yes",""),"")</f>
        <v/>
      </c>
      <c r="AY171" s="72" t="str">
        <f>IF(BA171="",BZ171,IF(AND(BA171&lt;(--"23:59:59"),BA171&gt;(--"15:00:00"),G171&lt;(--"14:00:00"),G171&gt;(--"00:00:01")),"",IF(BA171&gt;G171,BZ171,"")))</f>
        <v>Chiamare Control Room</v>
      </c>
      <c r="AZ171" s="27"/>
      <c r="BA171" s="32"/>
      <c r="BB171" s="72"/>
      <c r="BC171" s="72" t="str">
        <f>IFERROR(VLOOKUP(Out_Table[[#This Row],[Aggiornamento STATUS]],'INformazioni per calcoli'!$Y$70:$AA$76,2,FALSE),"")</f>
        <v/>
      </c>
      <c r="BD171" s="289"/>
      <c r="BE171" s="289"/>
      <c r="BF171" s="47" t="str">
        <f>LEFT($E171,3)</f>
        <v>MZ1</v>
      </c>
      <c r="BG171" s="298" t="str">
        <f>IF(Out_Table[[#This Row],[Ora Uscita    (GH)]]&lt;&gt;"","x","")</f>
        <v/>
      </c>
      <c r="BH171" s="299">
        <f>VLOOKUP($O171,'INformazioni per calcoli'!$Y$20:$AA$23,3,FALSE)</f>
        <v>14</v>
      </c>
      <c r="BI171" s="299">
        <f>MROUND(Out_Table[[#This Row],[Mtr. Trailer]]*AB171,0.5)</f>
        <v>14</v>
      </c>
      <c r="BJ171" s="299">
        <f>MROUND(Out_Table[[#This Row],[Mtr. Trailer]]*AE171,0.5)</f>
        <v>0</v>
      </c>
      <c r="BK171" s="299">
        <f>MROUND(Out_Table[[#This Row],[Mtr. Trailer]]*AH171,0.5)</f>
        <v>0</v>
      </c>
      <c r="BL171" s="300">
        <f>Out_Table[[#This Row],[Double Deck trailer N° bumpers]]</f>
        <v>0</v>
      </c>
      <c r="BM171" s="301"/>
      <c r="BN171" s="299" t="str">
        <f>B171</f>
        <v>ITD12170</v>
      </c>
      <c r="BO171" s="299" t="str">
        <f>E171</f>
        <v>MZ1</v>
      </c>
      <c r="BP171" s="302">
        <f>IF(AND(G171&gt;(--"00:00:01"),G171&lt;(--"15:00:00")),IF(AND(X171&gt;(--"00:00:01"),X171&lt;(--"15:00:00")),G171-X171,G171+1-X171),G171-X171)</f>
        <v>0.37916666666666665</v>
      </c>
      <c r="BQ171" s="303">
        <f>AE171+AF171+AH171+AJ171</f>
        <v>0</v>
      </c>
      <c r="BR171" s="304" t="str">
        <f>IF(OR(BP171&lt;=(--"00:20:00"),BQ171&gt;=100%),"OK","Not OK")</f>
        <v>Not OK</v>
      </c>
      <c r="BS171" s="302">
        <f>IF(AND(G171&gt;(--"00:00:01"),G171&lt;(--"15:00:00")),IF(AND(AU171&gt;(--"00:00:01"),AU171&lt;(--"15:00:00")),G171-AU171,G171+1-AU171),G171-AU171)</f>
        <v>0.11805555555555555</v>
      </c>
      <c r="BT171" s="302">
        <f>IF(AND(AZ171&gt;(--"00:00:01"),AZ171&lt;(--"15:00:00")),IF(AND(AU171&gt;(--"00:00:01"),AU171&lt;(--"15:00:00")),AZ171-AU171,AZ171+1-AU171),AZ171-AU171)</f>
        <v>-6.9444444444444448E-2</v>
      </c>
      <c r="BU171" s="302">
        <f>IF(AND(BA171&gt;(--"00:00:01"),BA171&lt;(--"15:00:00")),IF(AND(AZ171&gt;(--"00:00:01"),AZ171&lt;(--"15:00:00")),BA171-AZ171,BA171+1-AZ171),BA171-AZ171)</f>
        <v>0</v>
      </c>
      <c r="BV171" s="299">
        <f>AV171</f>
        <v>0</v>
      </c>
      <c r="BW171" s="301"/>
      <c r="BX171" s="299" t="str">
        <f>IF(AV171="T Status",IF(AV171&lt;&gt;T171,"X",""),"")</f>
        <v/>
      </c>
      <c r="BY171" s="301"/>
      <c r="BZ171" s="299" t="str">
        <f>IF(X171&lt;&gt;"",IF(CC171="X","Driver Delay",IF(CA171="X","Paperwork Delay",IF(CB171="X","Late freight late sort",IF(CD171="X","Chiamare Control Room",IF(CE171="X","Chiamare Control Room",IF(CF171="X","Chiamare Control Room","")))))),"")</f>
        <v>Chiamare Control Room</v>
      </c>
      <c r="CA171" s="302" t="str">
        <f>IF(K171="",IF(IF(AND(G171&gt;(--"00:00:01"),G171&lt;(--"15:00:00")),IF(AND(AT171&gt;(--"08:00:00"),AT171&lt;(--"23:59:59")),G171+1-AT171,G171-AT171),G171-AT171)&gt;(--"00:20:00"),"","X"),"")</f>
        <v/>
      </c>
      <c r="CB171" s="299" t="str">
        <f>IF(K171="",IF(BP171&gt;=(--"00:20:00"),"","X"),"")</f>
        <v/>
      </c>
      <c r="CC171" s="299" t="str">
        <f>IF(OR(AV171="Autista non presente",AV171="Dati driver non presenti"),"X","")</f>
        <v/>
      </c>
      <c r="CD171" s="299" t="str">
        <f>IF(K171="",IF(AND(CC171="",BS171&lt;(--"00:20:00")),"X",""),"")</f>
        <v/>
      </c>
      <c r="CE171" s="299" t="str">
        <f>IF(K171="",IF(BT171&gt;(--"00:15:00"),"X",""),IF(AZ171&lt;&gt;"",IF(G171-AZ171&gt;(--"00:30:00"),"X",""),""))</f>
        <v/>
      </c>
      <c r="CF171" s="299" t="str">
        <f>IF(AND(CA171="",CB171="",CC171="",CD171="",CE171=""),"X","")</f>
        <v>X</v>
      </c>
      <c r="CG171" s="301"/>
      <c r="CH171" s="299" t="str">
        <f>IF(BT171&gt;(--"00:15:00"),"X","")</f>
        <v/>
      </c>
      <c r="CI171" s="302" t="str">
        <f>AY171</f>
        <v>Chiamare Control Room</v>
      </c>
      <c r="CJ171" s="299" t="str">
        <f>IF(AND(CH171&lt;&gt;"",CI171&lt;&gt;"",LEFT(B171,3)="ITD"),AP171,"")</f>
        <v/>
      </c>
      <c r="CK171" s="305" t="str">
        <f>IF(CJ171&lt;&gt;"",BT171,"")</f>
        <v/>
      </c>
      <c r="CL171" s="301"/>
      <c r="CM171" s="305" t="str">
        <f>IFERROR(VLOOKUP(Q171,'Elenco Casse'!$D$4:$F$292,3,FALSE),"")</f>
        <v/>
      </c>
      <c r="CN171" s="301"/>
      <c r="CO171" s="305" t="str">
        <f>IFERROR(VLOOKUP(S171,'Elenco Casse'!$D$4:$F$292,3,FALSE),"")</f>
        <v/>
      </c>
      <c r="CP171" s="305" t="str">
        <f>IFERROR(IF(VLOOKUP($E171,Outlist!$A$5:$S$120,19,FALSE)&lt;&gt;0,"Y",""),"")</f>
        <v/>
      </c>
      <c r="CQ171" s="301"/>
      <c r="CR171" s="305" t="str">
        <f>CONCATENATE($B171,$E171,$G171)</f>
        <v>ITD12170MZ10.1875</v>
      </c>
      <c r="CS171" s="301"/>
      <c r="CT171" s="305" t="e">
        <f>VLOOKUP(Out_Table[[#This Row],[Destination             ORANGE (From Planning)]],Outlist!$A$5:$W$120,22,FALSE)</f>
        <v>#N/A</v>
      </c>
    </row>
    <row r="172" spans="1:98" s="20" customFormat="1" ht="30.75">
      <c r="A172" s="305" t="str">
        <f>$CR172</f>
        <v>ITD12240MZ10.25</v>
      </c>
      <c r="B172" s="284" t="s">
        <v>1056</v>
      </c>
      <c r="C172" s="290" t="str">
        <f>IFERROR(IF(LEFT(B172,3)='STAT 77'!$X$2,_xlfn.XLOOKUP(B172,'STAT 77'!C:C,'STAT 77'!B:B),_xlfn.XLOOKUP(B172,'STAT 77'!B:B,'STAT 77'!C:C)),"NON TROVATO")</f>
        <v>ITD31171</v>
      </c>
      <c r="D172" s="25" t="s">
        <v>1047</v>
      </c>
      <c r="E172" s="290" t="s">
        <v>602</v>
      </c>
      <c r="F172" s="290" t="str">
        <f>IFERROR(VLOOKUP(E172,'Cambio O2P'!C:E,2,FALSE),"")</f>
        <v>QRTA</v>
      </c>
      <c r="G172" s="285">
        <v>0.25</v>
      </c>
      <c r="H172" s="293" t="str">
        <f ca="1">IFERROR(IF(AND('INformazioni per calcoli'!$AB$3&lt;(--"14:30"),'INformazioni per calcoli'!$AB$3&gt;(--"10:00")),"",IF($B172="","",IF($X172&lt;&gt;"","Mezzo Chiuso",IF($W172="","Non al Carico",IF($G172-'INformazioni per calcoli'!$AB$5-'INformazioni per calcoli'!$AB$3+$J172&lt;0,"LFLS",IF($K172&lt;&gt;"","Safe Parking",IF($W172&lt;&gt;"",IF($E172="MXP",$G172-'INformazioni per calcoli'!$AB$6-'INformazioni per calcoli'!$AB$3+$J172,$G172-'INformazioni per calcoli'!$AB$5-'INformazioni per calcoli'!$AB$3+$J172),"Non al carico"))))))),"")</f>
        <v>Mezzo Chiuso</v>
      </c>
      <c r="I172" s="17" t="str">
        <f ca="1">IFERROR(IF($H172&lt;&gt;"",IF($H172="Safe Parking","",IF($W172&lt;&gt;"",IF(AND($U172="X",$V172="X"),$H172-(--"00:30"),""),IF($X172&lt;&gt;"","Mezzo Chiuso","Non al carico"))),""),"")</f>
        <v/>
      </c>
      <c r="J172" s="306">
        <f ca="1">IFERROR(IF($B172&lt;&gt;"",IF(AND('INformazioni per calcoli'!$AB$3&lt;(--"15:00"),'INformazioni per calcoli'!$AB$3&gt;(--"00:00")),0,IF($G172&lt;(--"18:30"),"+1",0)),""),"")</f>
        <v>0</v>
      </c>
      <c r="K172" s="17"/>
      <c r="L172" s="25" t="s">
        <v>451</v>
      </c>
      <c r="M172" s="25" t="str">
        <f>IFERROR(_xlfn.XLOOKUP($Q172,'Elenco Casse'!$D:$D,'Elenco Casse'!$E:$E),"")</f>
        <v>F.M. Trasporti S.R.L.</v>
      </c>
      <c r="N172" s="25">
        <f>IFERROR(_xlfn.XLOOKUP($Q172,'Elenco Casse'!$D:$D,'Elenco Casse'!$F:$F),"")</f>
        <v>0</v>
      </c>
      <c r="O172" s="286" t="s">
        <v>418</v>
      </c>
      <c r="P172" s="295" t="str">
        <f>IFERROR(_xlfn.XLOOKUP($Q172,'Elenco Casse'!$D:$D,'Elenco Casse'!$G:$G),"")</f>
        <v>trailer 80 m3 2/3 axes</v>
      </c>
      <c r="Q172" s="355" t="s">
        <v>1057</v>
      </c>
      <c r="R172" s="23" t="s">
        <v>420</v>
      </c>
      <c r="S172" s="25" t="s">
        <v>421</v>
      </c>
      <c r="T172" s="25" t="s">
        <v>599</v>
      </c>
      <c r="U172" s="23" t="str">
        <f>IF(ISNUMBER(SEARCH("Parcel",$T172)),"X","")</f>
        <v/>
      </c>
      <c r="V172" s="23" t="str">
        <f>IF(ISNUMBER(SEARCH("Freight",$T172)),"X","")</f>
        <v>X</v>
      </c>
      <c r="W172" s="26">
        <v>806</v>
      </c>
      <c r="X172" s="27">
        <v>0.95208333333333328</v>
      </c>
      <c r="Y172" s="25" t="s">
        <v>841</v>
      </c>
      <c r="Z172" s="25"/>
      <c r="AA172" s="25" t="s">
        <v>487</v>
      </c>
      <c r="AB172" s="57">
        <v>1</v>
      </c>
      <c r="AC172" s="25"/>
      <c r="AD172" s="25"/>
      <c r="AE172" s="57"/>
      <c r="AF172" s="57"/>
      <c r="AG172" s="25"/>
      <c r="AH172" s="57"/>
      <c r="AI172" s="339"/>
      <c r="AJ172" s="339"/>
      <c r="AK172" s="297" t="str">
        <f>IF(X172&lt;&gt;"",CONCATENATE(IF(AA172&lt;&gt;"",CONCATENATE(Z172," ",AA172," ",BI172),""),IF(AD172&lt;&gt;"",CONCATENATE(","," ",AC172," ",AD172," ",BJ172),""),IF(AG172&lt;&gt;"",CONCATENATE(","," ",AF172," ",AG172," ",BK172),""),IF(AJ172&lt;&gt;"",CONCATENATE(","," ","DD"," ",BL172),"")," ",IF(AI172&lt;&gt;"",CONCATENATE(" - ",AI172," Bag"),"")),"")</f>
        <v xml:space="preserve"> FRT 14 </v>
      </c>
      <c r="AL172" s="287" t="s">
        <v>421</v>
      </c>
      <c r="AM172" s="287"/>
      <c r="AN172" s="287"/>
      <c r="AO172" s="287"/>
      <c r="AP172" s="370" t="str">
        <f>IFERROR(VLOOKUP(#REF!,Outlist!$A$5:$V$120,20,FALSE),"")</f>
        <v/>
      </c>
      <c r="AQ172" s="288" t="str">
        <f>IFERROR(IF(VLOOKUP($A172,#REF!,8,FALSE)&lt;&gt;"",VLOOKUP($A172,#REF!,8,FALSE),""),"")</f>
        <v/>
      </c>
      <c r="AS172" s="24"/>
      <c r="AT172" s="24">
        <v>1.0416666666666666E-2</v>
      </c>
      <c r="AU172" s="27"/>
      <c r="AV172" s="27"/>
      <c r="AX172" s="20" t="str">
        <f>IFERROR(IF(Out_Table[[#This Row],[Cancellazione linea]]="Cancellata","yes",""),"")</f>
        <v/>
      </c>
      <c r="AY172" s="72" t="str">
        <f>IF(BA172="",BZ172,IF(AND(BA172&lt;(--"23:59:59"),BA172&gt;(--"15:00:00"),G172&lt;(--"14:00:00"),G172&gt;(--"00:00:01")),"",IF(BA172&gt;G172,BZ172,"")))</f>
        <v>Chiamare Control Room</v>
      </c>
      <c r="AZ172" s="27"/>
      <c r="BA172" s="32"/>
      <c r="BB172" s="72"/>
      <c r="BC172" s="72" t="str">
        <f>IFERROR(VLOOKUP(Out_Table[[#This Row],[Aggiornamento STATUS]],'INformazioni per calcoli'!$Y$70:$AA$76,2,FALSE),"")</f>
        <v/>
      </c>
      <c r="BD172" s="289"/>
      <c r="BE172" s="289"/>
      <c r="BF172" s="47" t="str">
        <f>LEFT($E172,3)</f>
        <v>MZ1</v>
      </c>
      <c r="BG172" s="298" t="str">
        <f>IF(Out_Table[[#This Row],[Ora Uscita    (GH)]]&lt;&gt;"","x","")</f>
        <v/>
      </c>
      <c r="BH172" s="299">
        <f>VLOOKUP($O172,'INformazioni per calcoli'!$Y$20:$AA$23,3,FALSE)</f>
        <v>14</v>
      </c>
      <c r="BI172" s="299">
        <f>MROUND(Out_Table[[#This Row],[Mtr. Trailer]]*AB172,0.5)</f>
        <v>14</v>
      </c>
      <c r="BJ172" s="299">
        <f>MROUND(Out_Table[[#This Row],[Mtr. Trailer]]*AE172,0.5)</f>
        <v>0</v>
      </c>
      <c r="BK172" s="299">
        <f>MROUND(Out_Table[[#This Row],[Mtr. Trailer]]*AH172,0.5)</f>
        <v>0</v>
      </c>
      <c r="BL172" s="300">
        <f>Out_Table[[#This Row],[Double Deck trailer N° bumpers]]</f>
        <v>0</v>
      </c>
      <c r="BM172" s="301"/>
      <c r="BN172" s="299" t="str">
        <f>B172</f>
        <v>ITD12240</v>
      </c>
      <c r="BO172" s="299" t="str">
        <f>E172</f>
        <v>MZ1</v>
      </c>
      <c r="BP172" s="302">
        <f>IF(AND(G172&gt;(--"00:00:01"),G172&lt;(--"15:00:00")),IF(AND(X172&gt;(--"00:00:01"),X172&lt;(--"15:00:00")),G172-X172,G172+1-X172),G172-X172)</f>
        <v>0.29791666666666672</v>
      </c>
      <c r="BQ172" s="303">
        <f>AE172+AF172+AH172+AJ172</f>
        <v>0</v>
      </c>
      <c r="BR172" s="304" t="str">
        <f>IF(OR(BP172&lt;=(--"00:20:00"),BQ172&gt;=100%),"OK","Not OK")</f>
        <v>Not OK</v>
      </c>
      <c r="BS172" s="302">
        <f>IF(AND(G172&gt;(--"00:00:01"),G172&lt;(--"15:00:00")),IF(AND(AU172&gt;(--"00:00:01"),AU172&lt;(--"15:00:00")),G172-AU172,G172+1-AU172),G172-AU172)</f>
        <v>1.25</v>
      </c>
      <c r="BT172" s="302">
        <f>IF(AND(AZ172&gt;(--"00:00:01"),AZ172&lt;(--"15:00:00")),IF(AND(AU172&gt;(--"00:00:01"),AU172&lt;(--"15:00:00")),AZ172-AU172,AZ172+1-AU172),AZ172-AU172)</f>
        <v>0</v>
      </c>
      <c r="BU172" s="302">
        <f>IF(AND(BA172&gt;(--"00:00:01"),BA172&lt;(--"15:00:00")),IF(AND(AZ172&gt;(--"00:00:01"),AZ172&lt;(--"15:00:00")),BA172-AZ172,BA172+1-AZ172),BA172-AZ172)</f>
        <v>0</v>
      </c>
      <c r="BV172" s="299">
        <f>AV172</f>
        <v>0</v>
      </c>
      <c r="BW172" s="301"/>
      <c r="BX172" s="299" t="str">
        <f>IF(AV172="T Status",IF(AV172&lt;&gt;T172,"X",""),"")</f>
        <v/>
      </c>
      <c r="BY172" s="301"/>
      <c r="BZ172" s="299" t="str">
        <f>IF(X172&lt;&gt;"",IF(CC172="X","Driver Delay",IF(CA172="X","Paperwork Delay",IF(CB172="X","Late freight late sort",IF(CD172="X","Chiamare Control Room",IF(CE172="X","Chiamare Control Room",IF(CF172="X","Chiamare Control Room","")))))),"")</f>
        <v>Chiamare Control Room</v>
      </c>
      <c r="CA172" s="302" t="str">
        <f>IF(K172="",IF(IF(AND(G172&gt;(--"00:00:01"),G172&lt;(--"15:00:00")),IF(AND(AT172&gt;(--"08:00:00"),AT172&lt;(--"23:59:59")),G172+1-AT172,G172-AT172),G172-AT172)&gt;(--"00:20:00"),"","X"),"")</f>
        <v/>
      </c>
      <c r="CB172" s="299" t="str">
        <f>IF(K172="",IF(BP172&gt;=(--"00:20:00"),"","X"),"")</f>
        <v/>
      </c>
      <c r="CC172" s="299" t="str">
        <f>IF(OR(AV172="Autista non presente",AV172="Dati driver non presenti"),"X","")</f>
        <v/>
      </c>
      <c r="CD172" s="299" t="str">
        <f>IF(K172="",IF(AND(CC172="",BS172&lt;(--"00:20:00")),"X",""),"")</f>
        <v/>
      </c>
      <c r="CE172" s="299" t="str">
        <f>IF(K172="",IF(BT172&gt;(--"00:15:00"),"X",""),IF(AZ172&lt;&gt;"",IF(G172-AZ172&gt;(--"00:30:00"),"X",""),""))</f>
        <v/>
      </c>
      <c r="CF172" s="299" t="str">
        <f>IF(AND(CA172="",CB172="",CC172="",CD172="",CE172=""),"X","")</f>
        <v>X</v>
      </c>
      <c r="CG172" s="301"/>
      <c r="CH172" s="299" t="str">
        <f>IF(BT172&gt;(--"00:15:00"),"X","")</f>
        <v/>
      </c>
      <c r="CI172" s="302" t="str">
        <f>AY172</f>
        <v>Chiamare Control Room</v>
      </c>
      <c r="CJ172" s="299" t="str">
        <f>IF(AND(CH172&lt;&gt;"",CI172&lt;&gt;"",LEFT(B172,3)="ITD"),AP172,"")</f>
        <v/>
      </c>
      <c r="CK172" s="305" t="str">
        <f>IF(CJ172&lt;&gt;"",BT172,"")</f>
        <v/>
      </c>
      <c r="CL172" s="301"/>
      <c r="CM172" s="305" t="str">
        <f>IFERROR(VLOOKUP(Q172,'Elenco Casse'!$D$4:$F$292,3,FALSE),"")</f>
        <v/>
      </c>
      <c r="CN172" s="301"/>
      <c r="CO172" s="305" t="str">
        <f>IFERROR(VLOOKUP(S172,'Elenco Casse'!$D$4:$F$292,3,FALSE),"")</f>
        <v/>
      </c>
      <c r="CP172" s="305" t="str">
        <f>IFERROR(IF(VLOOKUP($E172,Outlist!$A$5:$S$120,19,FALSE)&lt;&gt;0,"Y",""),"")</f>
        <v/>
      </c>
      <c r="CQ172" s="301"/>
      <c r="CR172" s="305" t="str">
        <f>CONCATENATE($B172,$E172,$G172)</f>
        <v>ITD12240MZ10.25</v>
      </c>
      <c r="CS172" s="301"/>
      <c r="CT172" s="305" t="e">
        <f>VLOOKUP(Out_Table[[#This Row],[Destination             ORANGE (From Planning)]],Outlist!$A$5:$W$120,22,FALSE)</f>
        <v>#N/A</v>
      </c>
    </row>
    <row r="173" spans="1:98" s="20" customFormat="1" ht="30.75">
      <c r="A173" s="305" t="str">
        <f>$CR173</f>
        <v>ITD12217IPO0.197916666666667</v>
      </c>
      <c r="B173" s="284" t="s">
        <v>1058</v>
      </c>
      <c r="C173" s="290" t="str">
        <f>IFERROR(IF(LEFT(B173,3)='STAT 77'!$X$2,_xlfn.XLOOKUP(B173,'STAT 77'!C:C,'STAT 77'!B:B),_xlfn.XLOOKUP(B173,'STAT 77'!B:B,'STAT 77'!C:C)),"NON TROVATO")</f>
        <v>ITD32557</v>
      </c>
      <c r="D173" s="25" t="s">
        <v>652</v>
      </c>
      <c r="E173" s="290" t="s">
        <v>649</v>
      </c>
      <c r="F173" s="290" t="str">
        <f>IFERROR(VLOOKUP(E173,'Cambio O2P'!C:E,2,FALSE),"")</f>
        <v>ISRA</v>
      </c>
      <c r="G173" s="285">
        <v>0.19791666666666666</v>
      </c>
      <c r="H173" s="293" t="str">
        <f ca="1">IFERROR(IF(AND('INformazioni per calcoli'!$AB$3&lt;(--"14:30"),'INformazioni per calcoli'!$AB$3&gt;(--"10:00")),"",IF($B173="","",IF($X173&lt;&gt;"","Mezzo Chiuso",IF($W173="","Non al Carico",IF($G173-'INformazioni per calcoli'!$AB$5-'INformazioni per calcoli'!$AB$3+$J173&lt;0,"LFLS",IF($K173&lt;&gt;"","Safe Parking",IF($W173&lt;&gt;"",IF($E173="MXP",$G173-'INformazioni per calcoli'!$AB$6-'INformazioni per calcoli'!$AB$3+$J173,$G173-'INformazioni per calcoli'!$AB$5-'INformazioni per calcoli'!$AB$3+$J173),"Non al carico"))))))),"")</f>
        <v>Mezzo Chiuso</v>
      </c>
      <c r="I173" s="17" t="str">
        <f ca="1">IFERROR(IF($H173&lt;&gt;"",IF($H173="Safe Parking","",IF($W173&lt;&gt;"",IF(AND($U173="X",$V173="X"),$H173-(--"00:30"),""),IF($X173&lt;&gt;"","Mezzo Chiuso","Non al carico"))),""),"")</f>
        <v/>
      </c>
      <c r="J173" s="306">
        <f ca="1">IFERROR(IF($B173&lt;&gt;"",IF(AND('INformazioni per calcoli'!$AB$3&lt;(--"15:00"),'INformazioni per calcoli'!$AB$3&gt;(--"00:00")),0,IF($G173&lt;(--"18:30"),"+1",0)),""),"")</f>
        <v>0</v>
      </c>
      <c r="K173" s="17"/>
      <c r="L173" s="25" t="s">
        <v>606</v>
      </c>
      <c r="M173" s="25" t="str">
        <f>IFERROR(_xlfn.XLOOKUP($Q173,'Elenco Casse'!$D:$D,'Elenco Casse'!$E:$E),"")</f>
        <v/>
      </c>
      <c r="N173" s="25" t="str">
        <f>IFERROR(_xlfn.XLOOKUP($Q173,'Elenco Casse'!$D:$D,'Elenco Casse'!$F:$F),"")</f>
        <v/>
      </c>
      <c r="O173" s="286" t="s">
        <v>418</v>
      </c>
      <c r="P173" s="295" t="str">
        <f>IFERROR(_xlfn.XLOOKUP($Q173,'Elenco Casse'!$D:$D,'Elenco Casse'!$G:$G),"")</f>
        <v/>
      </c>
      <c r="Q173" s="355" t="s">
        <v>1059</v>
      </c>
      <c r="R173" s="23" t="s">
        <v>420</v>
      </c>
      <c r="S173" s="25" t="s">
        <v>421</v>
      </c>
      <c r="T173" s="25" t="s">
        <v>599</v>
      </c>
      <c r="U173" s="23" t="str">
        <f>IF(ISNUMBER(SEARCH("Parcel",$T173)),"X","")</f>
        <v/>
      </c>
      <c r="V173" s="23" t="str">
        <f>IF(ISNUMBER(SEARCH("Freight",$T173)),"X","")</f>
        <v>X</v>
      </c>
      <c r="W173" s="26">
        <v>808</v>
      </c>
      <c r="X173" s="27">
        <v>2.6388888888888889E-2</v>
      </c>
      <c r="Y173" s="25" t="s">
        <v>1060</v>
      </c>
      <c r="Z173" s="25"/>
      <c r="AA173" s="25" t="s">
        <v>487</v>
      </c>
      <c r="AB173" s="57">
        <v>1</v>
      </c>
      <c r="AC173" s="25"/>
      <c r="AD173" s="25"/>
      <c r="AE173" s="57"/>
      <c r="AF173" s="57"/>
      <c r="AG173" s="25"/>
      <c r="AH173" s="57"/>
      <c r="AI173" s="339"/>
      <c r="AJ173" s="339"/>
      <c r="AK173" s="297" t="str">
        <f>IF(X173&lt;&gt;"",CONCATENATE(IF(AA173&lt;&gt;"",CONCATENATE(Z173," ",AA173," ",BI173),""),IF(AD173&lt;&gt;"",CONCATENATE(","," ",AC173," ",AD173," ",BJ173),""),IF(AG173&lt;&gt;"",CONCATENATE(","," ",AF173," ",AG173," ",BK173),""),IF(AJ173&lt;&gt;"",CONCATENATE(","," ","DD"," ",BL173),"")," ",IF(AI173&lt;&gt;"",CONCATENATE(" - ",AI173," Bag"),"")),"")</f>
        <v xml:space="preserve"> FRT 14 </v>
      </c>
      <c r="AL173" s="287" t="s">
        <v>421</v>
      </c>
      <c r="AM173" s="287"/>
      <c r="AN173" s="287"/>
      <c r="AO173" s="287"/>
      <c r="AP173" s="370" t="str">
        <f>IFERROR(VLOOKUP(#REF!,Outlist!$A$5:$V$120,20,FALSE),"")</f>
        <v/>
      </c>
      <c r="AQ173" s="288" t="s">
        <v>1061</v>
      </c>
      <c r="AS173" s="24"/>
      <c r="AT173" s="24">
        <v>0.83125000000000004</v>
      </c>
      <c r="AU173" s="27">
        <v>8.6805555555555552E-2</v>
      </c>
      <c r="AV173" s="27"/>
      <c r="AW173" s="20" t="s">
        <v>443</v>
      </c>
      <c r="AX173" s="20" t="str">
        <f>IFERROR(IF(Out_Table[[#This Row],[Cancellazione linea]]="Cancellata","yes",""),"")</f>
        <v/>
      </c>
      <c r="AY173" s="72" t="str">
        <f>IF(BA173="",BZ173,IF(AND(BA173&lt;(--"23:59:59"),BA173&gt;(--"15:00:00"),G173&lt;(--"14:00:00"),G173&gt;(--"00:00:01")),"",IF(BA173&gt;G173,BZ173,"")))</f>
        <v/>
      </c>
      <c r="AZ173" s="27"/>
      <c r="BA173" s="32">
        <v>0.12569444444444444</v>
      </c>
      <c r="BB173" s="72"/>
      <c r="BC173" s="72" t="str">
        <f>IFERROR(VLOOKUP(Out_Table[[#This Row],[Aggiornamento STATUS]],'INformazioni per calcoli'!$Y$70:$AA$76,2,FALSE),"")</f>
        <v/>
      </c>
      <c r="BD173" s="289"/>
      <c r="BE173" s="289"/>
      <c r="BF173" s="47" t="str">
        <f>LEFT($E173,3)</f>
        <v>IPO</v>
      </c>
      <c r="BG173" s="298" t="str">
        <f>IF(Out_Table[[#This Row],[Ora Uscita    (GH)]]&lt;&gt;"","x","")</f>
        <v>x</v>
      </c>
      <c r="BH173" s="299">
        <f>VLOOKUP($O173,'INformazioni per calcoli'!$Y$20:$AA$23,3,FALSE)</f>
        <v>14</v>
      </c>
      <c r="BI173" s="299">
        <f>MROUND(Out_Table[[#This Row],[Mtr. Trailer]]*AB173,0.5)</f>
        <v>14</v>
      </c>
      <c r="BJ173" s="299">
        <f>MROUND(Out_Table[[#This Row],[Mtr. Trailer]]*AE173,0.5)</f>
        <v>0</v>
      </c>
      <c r="BK173" s="299">
        <f>MROUND(Out_Table[[#This Row],[Mtr. Trailer]]*AH173,0.5)</f>
        <v>0</v>
      </c>
      <c r="BL173" s="300">
        <f>Out_Table[[#This Row],[Double Deck trailer N° bumpers]]</f>
        <v>0</v>
      </c>
      <c r="BM173" s="301"/>
      <c r="BN173" s="299" t="str">
        <f>B173</f>
        <v>ITD12217</v>
      </c>
      <c r="BO173" s="299" t="str">
        <f>E173</f>
        <v>IPO</v>
      </c>
      <c r="BP173" s="302">
        <f>IF(AND(G173&gt;(--"00:00:01"),G173&lt;(--"15:00:00")),IF(AND(X173&gt;(--"00:00:01"),X173&lt;(--"15:00:00")),G173-X173,G173+1-X173),G173-X173)</f>
        <v>0.17152777777777778</v>
      </c>
      <c r="BQ173" s="303">
        <f>AE173+AF173+AH173+AJ173</f>
        <v>0</v>
      </c>
      <c r="BR173" s="304" t="str">
        <f>IF(OR(BP173&lt;=(--"00:20:00"),BQ173&gt;=100%),"OK","Not OK")</f>
        <v>Not OK</v>
      </c>
      <c r="BS173" s="302">
        <f>IF(AND(G173&gt;(--"00:00:01"),G173&lt;(--"15:00:00")),IF(AND(AU173&gt;(--"00:00:01"),AU173&lt;(--"15:00:00")),G173-AU173,G173+1-AU173),G173-AU173)</f>
        <v>0.1111111111111111</v>
      </c>
      <c r="BT173" s="302">
        <f>IF(AND(AZ173&gt;(--"00:00:01"),AZ173&lt;(--"15:00:00")),IF(AND(AU173&gt;(--"00:00:01"),AU173&lt;(--"15:00:00")),AZ173-AU173,AZ173+1-AU173),AZ173-AU173)</f>
        <v>-8.6805555555555552E-2</v>
      </c>
      <c r="BU173" s="302">
        <f>IF(AND(BA173&gt;(--"00:00:01"),BA173&lt;(--"15:00:00")),IF(AND(AZ173&gt;(--"00:00:01"),AZ173&lt;(--"15:00:00")),BA173-AZ173,BA173+1-AZ173),BA173-AZ173)</f>
        <v>1.1256944444444446</v>
      </c>
      <c r="BV173" s="299">
        <f>AV173</f>
        <v>0</v>
      </c>
      <c r="BW173" s="301"/>
      <c r="BX173" s="299" t="str">
        <f>IF(AV173="T Status",IF(AV173&lt;&gt;T173,"X",""),"")</f>
        <v/>
      </c>
      <c r="BY173" s="301"/>
      <c r="BZ173" s="299" t="str">
        <f>IF(X173&lt;&gt;"",IF(CC173="X","Driver Delay",IF(CA173="X","Paperwork Delay",IF(CB173="X","Late freight late sort",IF(CD173="X","Chiamare Control Room",IF(CE173="X","Chiamare Control Room",IF(CF173="X","Chiamare Control Room","")))))),"")</f>
        <v>Chiamare Control Room</v>
      </c>
      <c r="CA173" s="302" t="str">
        <f>IF(K173="",IF(IF(AND(G173&gt;(--"00:00:01"),G173&lt;(--"15:00:00")),IF(AND(AT173&gt;(--"08:00:00"),AT173&lt;(--"23:59:59")),G173+1-AT173,G173-AT173),G173-AT173)&gt;(--"00:20:00"),"","X"),"")</f>
        <v/>
      </c>
      <c r="CB173" s="299" t="str">
        <f>IF(K173="",IF(BP173&gt;=(--"00:20:00"),"","X"),"")</f>
        <v/>
      </c>
      <c r="CC173" s="299" t="str">
        <f>IF(OR(AV173="Autista non presente",AV173="Dati driver non presenti"),"X","")</f>
        <v/>
      </c>
      <c r="CD173" s="299" t="str">
        <f>IF(K173="",IF(AND(CC173="",BS173&lt;(--"00:20:00")),"X",""),"")</f>
        <v/>
      </c>
      <c r="CE173" s="299" t="str">
        <f>IF(K173="",IF(BT173&gt;(--"00:15:00"),"X",""),IF(AZ173&lt;&gt;"",IF(G173-AZ173&gt;(--"00:30:00"),"X",""),""))</f>
        <v/>
      </c>
      <c r="CF173" s="299" t="str">
        <f>IF(AND(CA173="",CB173="",CC173="",CD173="",CE173=""),"X","")</f>
        <v>X</v>
      </c>
      <c r="CG173" s="301"/>
      <c r="CH173" s="299" t="str">
        <f>IF(BT173&gt;(--"00:15:00"),"X","")</f>
        <v/>
      </c>
      <c r="CI173" s="302" t="str">
        <f>AY173</f>
        <v/>
      </c>
      <c r="CJ173" s="299" t="str">
        <f>IF(AND(CH173&lt;&gt;"",CI173&lt;&gt;"",LEFT(B173,3)="ITD"),AP173,"")</f>
        <v/>
      </c>
      <c r="CK173" s="305" t="str">
        <f>IF(CJ173&lt;&gt;"",BT173,"")</f>
        <v/>
      </c>
      <c r="CL173" s="301"/>
      <c r="CM173" s="305" t="str">
        <f>IFERROR(VLOOKUP(Q173,'Elenco Casse'!$D$4:$F$292,3,FALSE),"")</f>
        <v/>
      </c>
      <c r="CN173" s="301"/>
      <c r="CO173" s="305" t="str">
        <f>IFERROR(VLOOKUP(S173,'Elenco Casse'!$D$4:$F$292,3,FALSE),"")</f>
        <v/>
      </c>
      <c r="CP173" s="305" t="str">
        <f>IFERROR(IF(VLOOKUP($E173,Outlist!$A$5:$S$120,19,FALSE)&lt;&gt;0,"Y",""),"")</f>
        <v/>
      </c>
      <c r="CQ173" s="301"/>
      <c r="CR173" s="305" t="str">
        <f>CONCATENATE($B173,$E173,$G173)</f>
        <v>ITD12217IPO0.197916666666667</v>
      </c>
      <c r="CS173" s="301"/>
      <c r="CT173" s="305" t="e">
        <f>VLOOKUP(Out_Table[[#This Row],[Destination             ORANGE (From Planning)]],Outlist!$A$5:$W$120,22,FALSE)</f>
        <v>#N/A</v>
      </c>
    </row>
    <row r="174" spans="1:98" s="20" customFormat="1" ht="15">
      <c r="A174" s="305" t="str">
        <f>$CR174</f>
        <v>ITD12737IPO0.21875</v>
      </c>
      <c r="B174" s="284" t="s">
        <v>1062</v>
      </c>
      <c r="C174" s="290" t="str">
        <f>IFERROR(IF(LEFT(B174,3)='STAT 77'!$X$2,_xlfn.XLOOKUP(B174,'STAT 77'!C:C,'STAT 77'!B:B),_xlfn.XLOOKUP(B174,'STAT 77'!B:B,'STAT 77'!C:C)),"NON TROVATO")</f>
        <v>ITD32190</v>
      </c>
      <c r="D174" s="25" t="s">
        <v>1063</v>
      </c>
      <c r="E174" s="290" t="s">
        <v>649</v>
      </c>
      <c r="F174" s="290" t="str">
        <f>IFERROR(VLOOKUP(E174,'Cambio O2P'!C:E,2,FALSE),"")</f>
        <v>ISRA</v>
      </c>
      <c r="G174" s="285">
        <v>0.21875</v>
      </c>
      <c r="H174" s="293">
        <f ca="1">IFERROR(IF(AND('INformazioni per calcoli'!$AB$3&lt;(--"14:30"),'INformazioni per calcoli'!$AB$3&gt;(--"10:00")),"",IF($B174="","",IF($X174&lt;&gt;"","Mezzo Chiuso",IF($W174="","Non al Carico",IF($G174-'INformazioni per calcoli'!$AB$5-'INformazioni per calcoli'!$AB$3+$J174&lt;0,"LFLS",IF($K174&lt;&gt;"","Safe Parking",IF($W174&lt;&gt;"",IF($E174="MXP",$G174-'INformazioni per calcoli'!$AB$6-'INformazioni per calcoli'!$AB$3+$J174,$G174-'INformazioni per calcoli'!$AB$5-'INformazioni per calcoli'!$AB$3+$J174),"Non al carico"))))))),"")</f>
        <v>5.9398148148148144E-2</v>
      </c>
      <c r="I174" s="17" t="str">
        <f ca="1">IFERROR(IF($H174&lt;&gt;"",IF($H174="Safe Parking","",IF($W174&lt;&gt;"",IF(AND($U174="X",$V174="X"),$H174-(--"00:30"),""),IF($X174&lt;&gt;"","Mezzo Chiuso","Non al carico"))),""),"")</f>
        <v/>
      </c>
      <c r="J174" s="306">
        <f ca="1">IFERROR(IF($B174&lt;&gt;"",IF(AND('INformazioni per calcoli'!$AB$3&lt;(--"15:00"),'INformazioni per calcoli'!$AB$3&gt;(--"00:00")),0,IF($G174&lt;(--"18:30"),"+1",0)),""),"")</f>
        <v>0</v>
      </c>
      <c r="K174" s="17"/>
      <c r="L174" s="25" t="s">
        <v>720</v>
      </c>
      <c r="M174" s="25" t="str">
        <f>IFERROR(_xlfn.XLOOKUP($Q174,'Elenco Casse'!$D:$D,'Elenco Casse'!$E:$E),"")</f>
        <v>Eurologistica Spa</v>
      </c>
      <c r="N174" s="25">
        <f>IFERROR(_xlfn.XLOOKUP($Q174,'Elenco Casse'!$D:$D,'Elenco Casse'!$F:$F),"")</f>
        <v>0</v>
      </c>
      <c r="O174" s="286" t="s">
        <v>418</v>
      </c>
      <c r="P174" s="295" t="str">
        <f>IFERROR(_xlfn.XLOOKUP($Q174,'Elenco Casse'!$D:$D,'Elenco Casse'!$G:$G),"")</f>
        <v>trailer 80 m3 2/3 axes</v>
      </c>
      <c r="Q174" s="355" t="s">
        <v>1064</v>
      </c>
      <c r="R174" s="23" t="s">
        <v>420</v>
      </c>
      <c r="S174" s="25" t="s">
        <v>421</v>
      </c>
      <c r="T174" s="25" t="s">
        <v>432</v>
      </c>
      <c r="U174" s="23"/>
      <c r="V174" s="23" t="s">
        <v>500</v>
      </c>
      <c r="W174" s="26">
        <v>808</v>
      </c>
      <c r="X174" s="27"/>
      <c r="Y174" s="25"/>
      <c r="Z174" s="25"/>
      <c r="AA174" s="25" t="s">
        <v>487</v>
      </c>
      <c r="AB174" s="57"/>
      <c r="AC174" s="25"/>
      <c r="AD174" s="25"/>
      <c r="AE174" s="57"/>
      <c r="AF174" s="57"/>
      <c r="AG174" s="25" t="s">
        <v>488</v>
      </c>
      <c r="AH174" s="57"/>
      <c r="AI174" s="339"/>
      <c r="AJ174" s="339"/>
      <c r="AK174" s="297" t="str">
        <f>IF(X174&lt;&gt;"",CONCATENATE(IF(AA174&lt;&gt;"",CONCATENATE(Z174," ",AA174," ",BI174),""),IF(AD174&lt;&gt;"",CONCATENATE(","," ",AC174," ",AD174," ",BJ174),""),IF(AG174&lt;&gt;"",CONCATENATE(","," ",AF174," ",AG174," ",BK174),""),IF(AJ174&lt;&gt;"",CONCATENATE(","," ","DD"," ",BL174),"")," ",IF(AI174&lt;&gt;"",CONCATENATE(" - ",AI174," Bag"),"")),"")</f>
        <v/>
      </c>
      <c r="AL174" s="287"/>
      <c r="AM174" s="287"/>
      <c r="AN174" s="287"/>
      <c r="AO174" s="287"/>
      <c r="AP174" s="370" t="str">
        <f>IFERROR(VLOOKUP(#REF!,Outlist!$A$5:$V$120,20,FALSE),"")</f>
        <v/>
      </c>
      <c r="AQ174" s="288" t="str">
        <f>IFERROR(IF(VLOOKUP($A174,#REF!,8,FALSE)&lt;&gt;"",VLOOKUP($A174,#REF!,8,FALSE),""),"")</f>
        <v/>
      </c>
      <c r="AS174" s="24"/>
      <c r="AT174" s="24">
        <v>6.1805555555555558E-2</v>
      </c>
      <c r="AU174" s="27"/>
      <c r="AV174" s="27"/>
      <c r="AX174" s="20" t="str">
        <f>IFERROR(IF(Out_Table[[#This Row],[Cancellazione linea]]="Cancellata","yes",""),"")</f>
        <v/>
      </c>
      <c r="AY174" s="72" t="str">
        <f>IF(BA174="",BZ174,IF(AND(BA174&lt;(--"23:59:59"),BA174&gt;(--"15:00:00"),G174&lt;(--"14:00:00"),G174&gt;(--"00:00:01")),"",IF(BA174&gt;G174,BZ174,"")))</f>
        <v/>
      </c>
      <c r="AZ174" s="27"/>
      <c r="BA174" s="32"/>
      <c r="BB174" s="72"/>
      <c r="BC174" s="72" t="str">
        <f>IFERROR(VLOOKUP(Out_Table[[#This Row],[Aggiornamento STATUS]],'INformazioni per calcoli'!$Y$70:$AA$76,2,FALSE),"")</f>
        <v/>
      </c>
      <c r="BD174" s="289"/>
      <c r="BE174" s="289"/>
      <c r="BF174" s="47" t="str">
        <f>LEFT($E174,3)</f>
        <v>IPO</v>
      </c>
      <c r="BG174" s="298" t="str">
        <f>IF(Out_Table[[#This Row],[Ora Uscita    (GH)]]&lt;&gt;"","x","")</f>
        <v/>
      </c>
      <c r="BH174" s="299">
        <f>VLOOKUP($O174,'INformazioni per calcoli'!$Y$20:$AA$23,3,FALSE)</f>
        <v>14</v>
      </c>
      <c r="BI174" s="299">
        <f>MROUND(Out_Table[[#This Row],[Mtr. Trailer]]*AB174,0.5)</f>
        <v>0</v>
      </c>
      <c r="BJ174" s="299">
        <f>MROUND(Out_Table[[#This Row],[Mtr. Trailer]]*AE174,0.5)</f>
        <v>0</v>
      </c>
      <c r="BK174" s="299">
        <f>MROUND(Out_Table[[#This Row],[Mtr. Trailer]]*AH174,0.5)</f>
        <v>0</v>
      </c>
      <c r="BL174" s="300">
        <f>Out_Table[[#This Row],[Double Deck trailer N° bumpers]]</f>
        <v>0</v>
      </c>
      <c r="BM174" s="301"/>
      <c r="BN174" s="299" t="str">
        <f>B174</f>
        <v>ITD12737</v>
      </c>
      <c r="BO174" s="299" t="str">
        <f>E174</f>
        <v>IPO</v>
      </c>
      <c r="BP174" s="302">
        <f>IF(AND(G174&gt;(--"00:00:01"),G174&lt;(--"15:00:00")),IF(AND(X174&gt;(--"00:00:01"),X174&lt;(--"15:00:00")),G174-X174,G174+1-X174),G174-X174)</f>
        <v>1.21875</v>
      </c>
      <c r="BQ174" s="303">
        <f>AE174+AF174+AH174+AJ174</f>
        <v>0</v>
      </c>
      <c r="BR174" s="304" t="str">
        <f>IF(OR(BP174&lt;=(--"00:20:00"),BQ174&gt;=100%),"OK","Not OK")</f>
        <v>Not OK</v>
      </c>
      <c r="BS174" s="302">
        <f>IF(AND(G174&gt;(--"00:00:01"),G174&lt;(--"15:00:00")),IF(AND(AU174&gt;(--"00:00:01"),AU174&lt;(--"15:00:00")),G174-AU174,G174+1-AU174),G174-AU174)</f>
        <v>1.21875</v>
      </c>
      <c r="BT174" s="302">
        <f>IF(AND(AZ174&gt;(--"00:00:01"),AZ174&lt;(--"15:00:00")),IF(AND(AU174&gt;(--"00:00:01"),AU174&lt;(--"15:00:00")),AZ174-AU174,AZ174+1-AU174),AZ174-AU174)</f>
        <v>0</v>
      </c>
      <c r="BU174" s="302">
        <f>IF(AND(BA174&gt;(--"00:00:01"),BA174&lt;(--"15:00:00")),IF(AND(AZ174&gt;(--"00:00:01"),AZ174&lt;(--"15:00:00")),BA174-AZ174,BA174+1-AZ174),BA174-AZ174)</f>
        <v>0</v>
      </c>
      <c r="BV174" s="299">
        <f>AV174</f>
        <v>0</v>
      </c>
      <c r="BW174" s="301"/>
      <c r="BX174" s="299" t="str">
        <f>IF(AV174="T Status",IF(AV174&lt;&gt;T174,"X",""),"")</f>
        <v/>
      </c>
      <c r="BY174" s="301"/>
      <c r="BZ174" s="299" t="str">
        <f>IF(X174&lt;&gt;"",IF(CC174="X","Driver Delay",IF(CA174="X","Paperwork Delay",IF(CB174="X","Late freight late sort",IF(CD174="X","Chiamare Control Room",IF(CE174="X","Chiamare Control Room",IF(CF174="X","Chiamare Control Room","")))))),"")</f>
        <v/>
      </c>
      <c r="CA174" s="302" t="str">
        <f>IF(K174="",IF(IF(AND(G174&gt;(--"00:00:01"),G174&lt;(--"15:00:00")),IF(AND(AT174&gt;(--"08:00:00"),AT174&lt;(--"23:59:59")),G174+1-AT174,G174-AT174),G174-AT174)&gt;(--"00:20:00"),"","X"),"")</f>
        <v/>
      </c>
      <c r="CB174" s="299" t="str">
        <f>IF(K174="",IF(BP174&gt;=(--"00:20:00"),"","X"),"")</f>
        <v/>
      </c>
      <c r="CC174" s="299" t="str">
        <f>IF(OR(AV174="Autista non presente",AV174="Dati driver non presenti"),"X","")</f>
        <v/>
      </c>
      <c r="CD174" s="299" t="str">
        <f>IF(K174="",IF(AND(CC174="",BS174&lt;(--"00:20:00")),"X",""),"")</f>
        <v/>
      </c>
      <c r="CE174" s="299" t="str">
        <f>IF(K174="",IF(BT174&gt;(--"00:15:00"),"X",""),IF(AZ174&lt;&gt;"",IF(G174-AZ174&gt;(--"00:30:00"),"X",""),""))</f>
        <v/>
      </c>
      <c r="CF174" s="299" t="str">
        <f>IF(AND(CA174="",CB174="",CC174="",CD174="",CE174=""),"X","")</f>
        <v>X</v>
      </c>
      <c r="CG174" s="301"/>
      <c r="CH174" s="299" t="str">
        <f>IF(BT174&gt;(--"00:15:00"),"X","")</f>
        <v/>
      </c>
      <c r="CI174" s="302" t="str">
        <f>AY174</f>
        <v/>
      </c>
      <c r="CJ174" s="299" t="str">
        <f>IF(AND(CH174&lt;&gt;"",CI174&lt;&gt;"",LEFT(B174,3)="ITD"),AP174,"")</f>
        <v/>
      </c>
      <c r="CK174" s="305" t="str">
        <f>IF(CJ174&lt;&gt;"",BT174,"")</f>
        <v/>
      </c>
      <c r="CL174" s="301"/>
      <c r="CM174" s="305" t="str">
        <f>IFERROR(VLOOKUP(Q174,'Elenco Casse'!$D$4:$F$292,3,FALSE),"")</f>
        <v/>
      </c>
      <c r="CN174" s="301"/>
      <c r="CO174" s="305" t="str">
        <f>IFERROR(VLOOKUP(S174,'Elenco Casse'!$D$4:$F$292,3,FALSE),"")</f>
        <v/>
      </c>
      <c r="CP174" s="305" t="str">
        <f>IFERROR(IF(VLOOKUP($E174,Outlist!$A$5:$S$120,19,FALSE)&lt;&gt;0,"Y",""),"")</f>
        <v/>
      </c>
      <c r="CQ174" s="301"/>
      <c r="CR174" s="305" t="str">
        <f>CONCATENATE($B174,$E174,$G174)</f>
        <v>ITD12737IPO0.21875</v>
      </c>
      <c r="CS174" s="301"/>
      <c r="CT174" s="305" t="e">
        <f>VLOOKUP(Out_Table[[#This Row],[Destination             ORANGE (From Planning)]],Outlist!$A$5:$W$120,22,FALSE)</f>
        <v>#N/A</v>
      </c>
    </row>
    <row r="175" spans="1:98" s="20" customFormat="1" ht="30.75">
      <c r="A175" s="305" t="str">
        <f>$CR175</f>
        <v>ERN14458DNG 40.104166666664241</v>
      </c>
      <c r="B175" s="351" t="str">
        <f>IFERROR(VLOOKUP(E175,Outlist!$A$5:$AC$120,2,FALSE),"")</f>
        <v>ERN14458</v>
      </c>
      <c r="C175" s="352" t="str">
        <f>IFERROR(IF(LEFT(B175,3)='STAT 77'!$X$2,_xlfn.XLOOKUP(B175,'STAT 77'!C:C,'STAT 77'!B:B),_xlfn.XLOOKUP(B175,'STAT 77'!B:B,'STAT 77'!C:C)),"NON TROVATO")</f>
        <v>ERN07152</v>
      </c>
      <c r="D175" s="4"/>
      <c r="E175" s="352" t="str">
        <f>IFERROR(IF(Outlist!$A8&lt;&gt;"",Outlist!$A8,""),"")</f>
        <v>DNG 4</v>
      </c>
      <c r="F175" s="352" t="str">
        <f>IFERROR(VLOOKUP(E175,'Cambio O2P'!C:E,2,FALSE),"")</f>
        <v/>
      </c>
      <c r="G175" s="353">
        <f>IFERROR(VLOOKUP(E175,Outlist!$A$5:$AC$120,5,FALSE)-INT(VLOOKUP(E175,Outlist!$A$5:$AC$120,5,FALSE)),"")</f>
        <v>0.10416666666424135</v>
      </c>
      <c r="H175" s="294" t="str">
        <f ca="1">IFERROR(IF(AND('INformazioni per calcoli'!$AB$3&lt;(--"14:30"),'INformazioni per calcoli'!$AB$3&gt;(--"10:00")),"",IF($B175="","",IF($X175&lt;&gt;"","Mezzo Chiuso",IF($W175="","Non al Carico",IF($K175="Safe Parking","Safe Parking", IF(OR($BF175='INformazioni per calcoli'!$AF$8,$BF175='INformazioni per calcoli'!$AC$8,$BF175='INformazioni per calcoli'!$AD$8,$BF175='INformazioni per calcoli'!$AE$8,$BF175='INformazioni per calcoli'!$AG$8,$BF175='INformazioni per calcoli'!$AH$8,$BF175='INformazioni per calcoli'!$AI$8,$BF175='INformazioni per calcoli'!$AJ$8),IF($G175-'INformazioni per calcoli'!$AB$6-'INformazioni per calcoli'!$AB$3+$J175&lt;0,"LFLS",$G175-'INformazioni per calcoli'!$AB$6-'INformazioni per calcoli'!$AB$3+$J175), IF(OR($BF175='INformazioni per calcoli'!$AF$6,$BF175='INformazioni per calcoli'!$AD$6,$BF175='INformazioni per calcoli'!$AE$6,$BF175='INformazioni per calcoli'!$AG$6),IF($G175-'INformazioni per calcoli'!$AB$8-'INformazioni per calcoli'!$AB$3+$J175&lt;0,"LFLS",$G175-'INformazioni per calcoli'!$AB$8-'INformazioni per calcoli'!$AB$3+$J175), IF($G175-'INformazioni per calcoli'!$AB$7-'INformazioni per calcoli'!$AB$3+$J175&lt;0,"LFLS",$G175-'INformazioni per calcoli'!$AB$7-'INformazioni per calcoli'!$AB$3+$J175)))))))),"")</f>
        <v>Mezzo Chiuso</v>
      </c>
      <c r="I175" s="17" t="str">
        <f ca="1">IFERROR(IF($H175&lt;&gt;"",IF($H175="Safe Parking","",IF($W175&lt;&gt;"",IF(AND($U175="X",$V175="X"),$H175-(--"00:30"),""),IF($X175&lt;&gt;"","Mezzo Chiuso","Non al carico"))),""),"")</f>
        <v/>
      </c>
      <c r="J175" s="306">
        <f ca="1">IFERROR(IF($B175&lt;&gt;"",IF(AND('INformazioni per calcoli'!$AB$3&lt;(--"15:00"),'INformazioni per calcoli'!$AB$3&gt;(--"00:00")),0,IF($G175&lt;(--"18:30"),"+1",0)),""),"")</f>
        <v>0</v>
      </c>
      <c r="K175" s="27">
        <f>IF(E175&lt;&gt;"",IFERROR(VLOOKUP(E175,Outlist!$A$5:$AC$120,22,FALSE),""),"")</f>
        <v>0</v>
      </c>
      <c r="L175" s="352" t="str">
        <f>IF(E175&lt;&gt;"",IFERROR(VLOOKUP(E175,Outlist!$A$5:$AC$120,3,FALSE),""),"")</f>
        <v>Cornali Autotrasporti Srl</v>
      </c>
      <c r="M175" s="4" t="str">
        <f>IFERROR(_xlfn.XLOOKUP($Q175,'Elenco Casse'!$D:$D,'Elenco Casse'!$E:$E),"")</f>
        <v/>
      </c>
      <c r="N175" s="4" t="str">
        <f>IFERROR(_xlfn.XLOOKUP($Q175,'Elenco Casse'!$D:$D,'Elenco Casse'!$F:$F),"")</f>
        <v/>
      </c>
      <c r="O175" s="4" t="str">
        <f>IF($L175&lt;&gt;"","TT-2/3","")</f>
        <v>TT-2/3</v>
      </c>
      <c r="P175" s="296" t="str">
        <f>IFERROR(IF(VLOOKUP(E175,Outlist!$A$5:$AC$120,21,FALSE)="YES","Linea Variata",""),"")</f>
        <v/>
      </c>
      <c r="Q175" s="355" t="s">
        <v>1065</v>
      </c>
      <c r="R175" s="23" t="s">
        <v>420</v>
      </c>
      <c r="S175" s="25" t="str">
        <f>IFERROR(IF(VLOOKUP(E175,Outlist!$A$5:$AC$120,7,FALSE)="X","SUBCO",""),"")</f>
        <v/>
      </c>
      <c r="T175" s="25"/>
      <c r="U175" s="23" t="s">
        <v>500</v>
      </c>
      <c r="V175" s="23"/>
      <c r="W175" s="26">
        <v>809</v>
      </c>
      <c r="X175" s="27">
        <v>0.95</v>
      </c>
      <c r="Y175" s="25" t="s">
        <v>521</v>
      </c>
      <c r="Z175" s="25"/>
      <c r="AA175" s="25" t="s">
        <v>487</v>
      </c>
      <c r="AB175" s="57">
        <v>1</v>
      </c>
      <c r="AC175" s="25"/>
      <c r="AD175" s="25"/>
      <c r="AE175" s="57"/>
      <c r="AF175" s="57"/>
      <c r="AG175" s="25"/>
      <c r="AH175" s="57"/>
      <c r="AI175" s="339"/>
      <c r="AJ175" s="339"/>
      <c r="AK175" s="297" t="str">
        <f>IF(X175&lt;&gt;"",CONCATENATE(IF(AA175&lt;&gt;"",CONCATENATE(Z175," ",AA175," ",BI175),""),IF(AD175&lt;&gt;"",CONCATENATE(","," ",AC175," ",AD175," ",BJ175),""),IF(AG175&lt;&gt;"",CONCATENATE(","," ",AF175," ",AG175," ",BK175),""),IF(AJ175&lt;&gt;"",CONCATENATE(","," ","DD"," ",BL175),"")," ",IF(AI175&lt;&gt;"",CONCATENATE(" - ",AI175," Bag"),"")),"")</f>
        <v xml:space="preserve"> FRT 14 </v>
      </c>
      <c r="AL175" s="287" t="s">
        <v>421</v>
      </c>
      <c r="AM175" s="287"/>
      <c r="AN175" s="287"/>
      <c r="AO175" s="287"/>
      <c r="AP175" s="370">
        <f>IFERROR(VLOOKUP($E175,Outlist!$A$5:$V$120,20,FALSE),"")</f>
        <v>0</v>
      </c>
      <c r="AQ175" s="288" t="s">
        <v>1066</v>
      </c>
      <c r="AR175" s="430">
        <v>0.9555555555555556</v>
      </c>
      <c r="AS175" s="24">
        <v>0.96458333333333335</v>
      </c>
      <c r="AT175" s="24">
        <v>0.96458333333333335</v>
      </c>
      <c r="AU175" s="27"/>
      <c r="AV175" s="27"/>
      <c r="AW175" s="20" t="s">
        <v>443</v>
      </c>
      <c r="AX175" s="20" t="str">
        <f>IFERROR(IF(Out_Table[[#This Row],[Cancellazione linea]]="Cancellata","yes",""),"")</f>
        <v/>
      </c>
      <c r="AY175" s="72"/>
      <c r="AZ175" s="27"/>
      <c r="BA175" s="32">
        <v>2.8472222222222222E-2</v>
      </c>
      <c r="BB175" s="72"/>
      <c r="BC175" s="72" t="str">
        <f>IFERROR(VLOOKUP(Out_Table[[#This Row],[Aggiornamento STATUS]],'INformazioni per calcoli'!$Y$70:$AA$76,2,FALSE),"")</f>
        <v/>
      </c>
      <c r="BD175" s="289"/>
      <c r="BE175" s="289"/>
      <c r="BF175" s="47" t="str">
        <f>LEFT($E175,3)</f>
        <v>DNG</v>
      </c>
      <c r="BG175" s="298" t="str">
        <f>IF(Out_Table[[#This Row],[Ora Uscita    (GH)]]&lt;&gt;"","x","")</f>
        <v>x</v>
      </c>
      <c r="BH175" s="299">
        <f>VLOOKUP($O175,'INformazioni per calcoli'!$Y$20:$AA$23,3,FALSE)</f>
        <v>14</v>
      </c>
      <c r="BI175" s="299">
        <f>MROUND(Out_Table[[#This Row],[Mtr. Trailer]]*AB175,0.5)</f>
        <v>14</v>
      </c>
      <c r="BJ175" s="299">
        <f>MROUND(Out_Table[[#This Row],[Mtr. Trailer]]*AE175,0.5)</f>
        <v>0</v>
      </c>
      <c r="BK175" s="299">
        <f>MROUND(Out_Table[[#This Row],[Mtr. Trailer]]*AH175,0.5)</f>
        <v>0</v>
      </c>
      <c r="BL175" s="300">
        <f>Out_Table[[#This Row],[Double Deck trailer N° bumpers]]</f>
        <v>0</v>
      </c>
      <c r="BM175" s="301"/>
      <c r="BN175" s="299" t="str">
        <f>B175</f>
        <v>ERN14458</v>
      </c>
      <c r="BO175" s="299" t="str">
        <f>E175</f>
        <v>DNG 4</v>
      </c>
      <c r="BP175" s="302">
        <f>IF(AND(G175&gt;(--"00:00:01"),G175&lt;(--"15:00:00")),IF(AND(X175&gt;(--"00:00:01"),X175&lt;(--"15:00:00")),G175-X175,G175+1-X175),G175-X175)</f>
        <v>0.15416666666424139</v>
      </c>
      <c r="BQ175" s="303">
        <f>AE175+AF175+AH175+AJ175</f>
        <v>0</v>
      </c>
      <c r="BR175" s="304" t="str">
        <f>IF(OR(BP175&lt;=(--"00:20:00"),BQ175&gt;=100%),"OK","Not OK")</f>
        <v>Not OK</v>
      </c>
      <c r="BS175" s="302">
        <f>IF(AND(G175&gt;(--"00:00:01"),G175&lt;(--"15:00:00")),IF(AND(AU175&gt;(--"00:00:01"),AU175&lt;(--"15:00:00")),G175-AU175,G175+1-AU175),G175-AU175)</f>
        <v>1.1041666666642413</v>
      </c>
      <c r="BT175" s="302">
        <f>IF(AND(AZ175&gt;(--"00:00:01"),AZ175&lt;(--"15:00:00")),IF(AND(AU175&gt;(--"00:00:01"),AU175&lt;(--"15:00:00")),AZ175-AU175,AZ175+1-AU175),AZ175-AU175)</f>
        <v>0</v>
      </c>
      <c r="BU175" s="302">
        <f>IF(AND(BA175&gt;(--"00:00:01"),BA175&lt;(--"15:00:00")),IF(AND(AZ175&gt;(--"00:00:01"),AZ175&lt;(--"15:00:00")),BA175-AZ175,BA175+1-AZ175),BA175-AZ175)</f>
        <v>1.0284722222222222</v>
      </c>
      <c r="BV175" s="299">
        <f>AV175</f>
        <v>0</v>
      </c>
      <c r="BW175" s="301"/>
      <c r="BX175" s="299" t="str">
        <f>IF(AV175="T Status",IF(AV175&lt;&gt;T175,"X",""),"")</f>
        <v/>
      </c>
      <c r="BY175" s="301"/>
      <c r="BZ175" s="299" t="str">
        <f>IF(X175&lt;&gt;"",IF(CC175="X","Driver Delay",IF(CA175="X","Paperwork Delay",IF(CB175="X","Late freight late sort",IF(CD175="X","Chiamare Control Room",IF(CE175="X","Chiamare Control Room",IF(CF175="X","Chiamare Control Room","")))))),"")</f>
        <v>Chiamare Control Room</v>
      </c>
      <c r="CA175" s="302" t="str">
        <f>IF(K175="",IF(IF(AND(G175&gt;(--"00:00:01"),G175&lt;(--"15:00:00")),IF(AND(AT175&gt;(--"08:00:00"),AT175&lt;(--"23:59:59")),G175+1-AT175,G175-AT175),G175-AT175)&gt;(--"00:20:00"),"","X"),"")</f>
        <v/>
      </c>
      <c r="CB175" s="299" t="str">
        <f>IF(K175="",IF(BP175&gt;=(--"00:20:00"),"","X"),"")</f>
        <v/>
      </c>
      <c r="CC175" s="299" t="str">
        <f>IF(OR(AV175="Autista non presente",AV175="Dati driver non presenti"),"X","")</f>
        <v/>
      </c>
      <c r="CD175" s="299" t="str">
        <f>IF(K175="",IF(AND(CC175="",BS175&lt;(--"00:20:00")),"X",""),"")</f>
        <v/>
      </c>
      <c r="CE175" s="299" t="str">
        <f>IF(K175="",IF(BT175&gt;(--"00:15:00"),"X",""),IF(AZ175&lt;&gt;"",IF(G175-AZ175&gt;(--"00:30:00"),"X",""),""))</f>
        <v/>
      </c>
      <c r="CF175" s="299" t="str">
        <f>IF(AND(CA175="",CB175="",CC175="",CD175="",CE175=""),"X","")</f>
        <v>X</v>
      </c>
      <c r="CG175" s="301"/>
      <c r="CH175" s="299" t="str">
        <f>IF(BT175&gt;(--"00:15:00"),"X","")</f>
        <v/>
      </c>
      <c r="CI175" s="302">
        <f>AY175</f>
        <v>0</v>
      </c>
      <c r="CJ175" s="299" t="str">
        <f>IF(AND(CH175&lt;&gt;"",CI175&lt;&gt;"",LEFT(B175,3)="ITD"),AP175,"")</f>
        <v/>
      </c>
      <c r="CK175" s="305" t="str">
        <f>IF(CJ175&lt;&gt;"",BT175,"")</f>
        <v/>
      </c>
      <c r="CL175" s="301"/>
      <c r="CM175" s="305" t="str">
        <f>IFERROR(VLOOKUP(Q175,'Elenco Casse'!$D$4:$F$292,3,FALSE),"")</f>
        <v/>
      </c>
      <c r="CN175" s="301"/>
      <c r="CO175" s="305" t="str">
        <f>IFERROR(VLOOKUP(E175,Outlist!$A$5:$H$120,8,FALSE),"")</f>
        <v>enbr26446</v>
      </c>
      <c r="CP175" s="305" t="str">
        <f>IFERROR(IF(VLOOKUP($E175,Outlist!$A$5:$S$120,19,FALSE)&lt;&gt;0,"Y",""),"")</f>
        <v>Y</v>
      </c>
      <c r="CQ175" s="301"/>
      <c r="CR175" s="305" t="str">
        <f>CONCATENATE($B175,$E175,$G175)</f>
        <v>ERN14458DNG 40.104166666664241</v>
      </c>
      <c r="CS175" s="301"/>
      <c r="CT175" s="305">
        <f>VLOOKUP(Out_Table[[#This Row],[Destination             ORANGE (From Planning)]],Outlist!$A$5:$W$120,22,FALSE)</f>
        <v>0</v>
      </c>
    </row>
    <row r="176" spans="1:98" s="20" customFormat="1" ht="15">
      <c r="A176" s="305" t="str">
        <f>$CR176</f>
        <v>ERN02712SKG 20.270833333335759</v>
      </c>
      <c r="B176" s="351" t="str">
        <f>IFERROR(VLOOKUP(E176,Outlist!$A$5:$AC$120,2,FALSE),"")</f>
        <v>ERN02712</v>
      </c>
      <c r="C176" s="352" t="str">
        <f>IFERROR(IF(LEFT(B176,3)='STAT 77'!$X$2,_xlfn.XLOOKUP(B176,'STAT 77'!C:C,'STAT 77'!B:B),_xlfn.XLOOKUP(B176,'STAT 77'!B:B,'STAT 77'!C:C)),"NON TROVATO")</f>
        <v>ERN01363</v>
      </c>
      <c r="D176" s="4"/>
      <c r="E176" s="352" t="str">
        <f>IFERROR(IF(Outlist!$A75&lt;&gt;"",Outlist!$A75,""),"")</f>
        <v>SKG 2</v>
      </c>
      <c r="F176" s="352" t="str">
        <f>IFERROR(VLOOKUP(E176,'Cambio O2P'!C:E,2,FALSE),"")</f>
        <v/>
      </c>
      <c r="G176" s="353">
        <f>IFERROR(VLOOKUP(E176,Outlist!$A$5:$AC$120,5,FALSE)-INT(VLOOKUP(E176,Outlist!$A$5:$AC$120,5,FALSE)),"")</f>
        <v>0.27083333333575865</v>
      </c>
      <c r="H176" s="294">
        <f ca="1">IFERROR(IF(AND('INformazioni per calcoli'!$AB$3&lt;(--"14:30"),'INformazioni per calcoli'!$AB$3&gt;(--"10:00")),"",IF($B176="","",IF($X176&lt;&gt;"","Mezzo Chiuso",IF($W176="","Non al Carico",IF($K176="Safe Parking","Safe Parking", IF(OR($BF176='INformazioni per calcoli'!$AF$8,$BF176='INformazioni per calcoli'!$AC$8,$BF176='INformazioni per calcoli'!$AD$8,$BF176='INformazioni per calcoli'!$AE$8,$BF176='INformazioni per calcoli'!$AG$8,$BF176='INformazioni per calcoli'!$AH$8,$BF176='INformazioni per calcoli'!$AI$8,$BF176='INformazioni per calcoli'!$AJ$8),IF($G176-'INformazioni per calcoli'!$AB$6-'INformazioni per calcoli'!$AB$3+$J176&lt;0,"LFLS",$G176-'INformazioni per calcoli'!$AB$6-'INformazioni per calcoli'!$AB$3+$J176), IF(OR($BF176='INformazioni per calcoli'!$AF$6,$BF176='INformazioni per calcoli'!$AD$6,$BF176='INformazioni per calcoli'!$AE$6,$BF176='INformazioni per calcoli'!$AG$6),IF($G176-'INformazioni per calcoli'!$AB$8-'INformazioni per calcoli'!$AB$3+$J176&lt;0,"LFLS",$G176-'INformazioni per calcoli'!$AB$8-'INformazioni per calcoli'!$AB$3+$J176), IF($G176-'INformazioni per calcoli'!$AB$7-'INformazioni per calcoli'!$AB$3+$J176&lt;0,"LFLS",$G176-'INformazioni per calcoli'!$AB$7-'INformazioni per calcoli'!$AB$3+$J176)))))))),"")</f>
        <v>8.3703703706129035E-2</v>
      </c>
      <c r="I176" s="17" t="str">
        <f ca="1">IFERROR(IF($H176&lt;&gt;"",IF($H176="Safe Parking","",IF($W176&lt;&gt;"",IF(AND($U176="X",$V176="X"),$H176-(--"00:30"),""),IF($X176&lt;&gt;"","Mezzo Chiuso","Non al carico"))),""),"")</f>
        <v/>
      </c>
      <c r="J176" s="306">
        <f ca="1">IFERROR(IF($B176&lt;&gt;"",IF(AND('INformazioni per calcoli'!$AB$3&lt;(--"15:00"),'INformazioni per calcoli'!$AB$3&gt;(--"00:00")),0,IF($G176&lt;(--"18:30"),"+1",0)),""),"")</f>
        <v>0</v>
      </c>
      <c r="K176" s="27">
        <f>IF(E176&lt;&gt;"",IFERROR(VLOOKUP(E176,Outlist!$A$5:$AC$120,22,FALSE),""),"")</f>
        <v>0</v>
      </c>
      <c r="L176" s="352" t="str">
        <f>IF(E176&lt;&gt;"",IFERROR(VLOOKUP(E176,Outlist!$A$5:$AC$120,3,FALSE),""),"")</f>
        <v>Eurofast International Transports Srl</v>
      </c>
      <c r="M176" s="4" t="str">
        <f>IFERROR(_xlfn.XLOOKUP($Q176,'Elenco Casse'!$D:$D,'Elenco Casse'!$E:$E),"")</f>
        <v>Eurofast International Transports Srl</v>
      </c>
      <c r="N176" s="4">
        <f>IFERROR(_xlfn.XLOOKUP($Q176,'Elenco Casse'!$D:$D,'Elenco Casse'!$F:$F),"")</f>
        <v>0</v>
      </c>
      <c r="O176" s="4" t="str">
        <f>IF($L176&lt;&gt;"","TT-2/3","")</f>
        <v>TT-2/3</v>
      </c>
      <c r="P176" s="296" t="str">
        <f>IFERROR(IF(VLOOKUP(E176,Outlist!$A$5:$AC$120,21,FALSE)="YES","Linea Variata",""),"")</f>
        <v/>
      </c>
      <c r="Q176" s="355" t="s">
        <v>1067</v>
      </c>
      <c r="R176" s="23" t="s">
        <v>420</v>
      </c>
      <c r="S176" s="25" t="str">
        <f>IFERROR(IF(VLOOKUP(E176,Outlist!$A$5:$AC$120,7,FALSE)="X","SUBCO",""),"")</f>
        <v>SUBCO</v>
      </c>
      <c r="T176" s="25"/>
      <c r="U176" s="23"/>
      <c r="V176" s="23" t="s">
        <v>61</v>
      </c>
      <c r="W176" s="26">
        <v>809</v>
      </c>
      <c r="X176" s="27"/>
      <c r="Y176" s="25"/>
      <c r="Z176" s="25"/>
      <c r="AA176" s="25" t="s">
        <v>487</v>
      </c>
      <c r="AB176" s="57"/>
      <c r="AC176" s="25"/>
      <c r="AD176" s="25"/>
      <c r="AE176" s="57"/>
      <c r="AF176" s="57"/>
      <c r="AG176" s="25"/>
      <c r="AH176" s="57"/>
      <c r="AI176" s="339"/>
      <c r="AJ176" s="339"/>
      <c r="AK176" s="297" t="str">
        <f>IF(X176&lt;&gt;"",CONCATENATE(IF(AA176&lt;&gt;"",CONCATENATE(Z176," ",AA176," ",BI176),""),IF(AD176&lt;&gt;"",CONCATENATE(","," ",AC176," ",AD176," ",BJ176),""),IF(AG176&lt;&gt;"",CONCATENATE(","," ",AF176," ",AG176," ",BK176),""),IF(AJ176&lt;&gt;"",CONCATENATE(","," ","DD"," ",BL176),"")," ",IF(AI176&lt;&gt;"",CONCATENATE(" - ",AI176," Bag"),"")),"")</f>
        <v/>
      </c>
      <c r="AL176" s="287"/>
      <c r="AM176" s="287"/>
      <c r="AN176" s="287"/>
      <c r="AO176" s="287"/>
      <c r="AP176" s="370">
        <f>IFERROR(VLOOKUP($E176,Outlist!$A$5:$V$120,20,FALSE),"")</f>
        <v>0</v>
      </c>
      <c r="AQ176" s="288" t="str">
        <f>IFERROR(IF(VLOOKUP($A176,#REF!,8,FALSE)&lt;&gt;"",VLOOKUP($A176,#REF!,8,FALSE),""),"")</f>
        <v/>
      </c>
      <c r="AS176" s="24"/>
      <c r="AT176" s="24"/>
      <c r="AU176" s="27"/>
      <c r="AV176" s="27"/>
      <c r="AX176" s="20" t="str">
        <f>IFERROR(IF(Out_Table[[#This Row],[Cancellazione linea]]="Cancellata","yes",""),"")</f>
        <v/>
      </c>
      <c r="AY176" s="72"/>
      <c r="AZ176" s="27"/>
      <c r="BA176" s="32"/>
      <c r="BB176" s="72"/>
      <c r="BC176" s="72" t="str">
        <f>IFERROR(VLOOKUP(Out_Table[[#This Row],[Aggiornamento STATUS]],'INformazioni per calcoli'!$Y$70:$AA$76,2,FALSE),"")</f>
        <v/>
      </c>
      <c r="BD176" s="289"/>
      <c r="BE176" s="289"/>
      <c r="BF176" s="47" t="str">
        <f>LEFT($E176,3)</f>
        <v>SKG</v>
      </c>
      <c r="BG176" s="298" t="str">
        <f>IF(Out_Table[[#This Row],[Ora Uscita    (GH)]]&lt;&gt;"","x","")</f>
        <v/>
      </c>
      <c r="BH176" s="299">
        <f>VLOOKUP($O176,'INformazioni per calcoli'!$Y$20:$AA$23,3,FALSE)</f>
        <v>14</v>
      </c>
      <c r="BI176" s="299">
        <f>MROUND(Out_Table[[#This Row],[Mtr. Trailer]]*AB176,0.5)</f>
        <v>0</v>
      </c>
      <c r="BJ176" s="299">
        <f>MROUND(Out_Table[[#This Row],[Mtr. Trailer]]*AE176,0.5)</f>
        <v>0</v>
      </c>
      <c r="BK176" s="299">
        <f>MROUND(Out_Table[[#This Row],[Mtr. Trailer]]*AH176,0.5)</f>
        <v>0</v>
      </c>
      <c r="BL176" s="300">
        <f>Out_Table[[#This Row],[Double Deck trailer N° bumpers]]</f>
        <v>0</v>
      </c>
      <c r="BM176" s="301"/>
      <c r="BN176" s="299" t="str">
        <f>B176</f>
        <v>ERN02712</v>
      </c>
      <c r="BO176" s="299" t="str">
        <f>E176</f>
        <v>SKG 2</v>
      </c>
      <c r="BP176" s="302">
        <f>IF(AND(G176&gt;(--"00:00:01"),G176&lt;(--"15:00:00")),IF(AND(X176&gt;(--"00:00:01"),X176&lt;(--"15:00:00")),G176-X176,G176+1-X176),G176-X176)</f>
        <v>1.2708333333357587</v>
      </c>
      <c r="BQ176" s="303">
        <f>AE176+AF176+AH176+AJ176</f>
        <v>0</v>
      </c>
      <c r="BR176" s="304" t="str">
        <f>IF(OR(BP176&lt;=(--"00:20:00"),BQ176&gt;=100%),"OK","Not OK")</f>
        <v>Not OK</v>
      </c>
      <c r="BS176" s="302">
        <f>IF(AND(G176&gt;(--"00:00:01"),G176&lt;(--"15:00:00")),IF(AND(AU176&gt;(--"00:00:01"),AU176&lt;(--"15:00:00")),G176-AU176,G176+1-AU176),G176-AU176)</f>
        <v>1.2708333333357587</v>
      </c>
      <c r="BT176" s="302">
        <f>IF(AND(AZ176&gt;(--"00:00:01"),AZ176&lt;(--"15:00:00")),IF(AND(AU176&gt;(--"00:00:01"),AU176&lt;(--"15:00:00")),AZ176-AU176,AZ176+1-AU176),AZ176-AU176)</f>
        <v>0</v>
      </c>
      <c r="BU176" s="302">
        <f>IF(AND(BA176&gt;(--"00:00:01"),BA176&lt;(--"15:00:00")),IF(AND(AZ176&gt;(--"00:00:01"),AZ176&lt;(--"15:00:00")),BA176-AZ176,BA176+1-AZ176),BA176-AZ176)</f>
        <v>0</v>
      </c>
      <c r="BV176" s="299">
        <f>AV176</f>
        <v>0</v>
      </c>
      <c r="BW176" s="301"/>
      <c r="BX176" s="299" t="str">
        <f>IF(AV176="T Status",IF(AV176&lt;&gt;T176,"X",""),"")</f>
        <v/>
      </c>
      <c r="BY176" s="301"/>
      <c r="BZ176" s="299" t="str">
        <f>IF(X176&lt;&gt;"",IF(CC176="X","Driver Delay",IF(CA176="X","Paperwork Delay",IF(CB176="X","Late freight late sort",IF(CD176="X","Chiamare Control Room",IF(CE176="X","Chiamare Control Room",IF(CF176="X","Chiamare Control Room","")))))),"")</f>
        <v/>
      </c>
      <c r="CA176" s="302" t="str">
        <f>IF(K176="",IF(IF(AND(G176&gt;(--"00:00:01"),G176&lt;(--"15:00:00")),IF(AND(AT176&gt;(--"08:00:00"),AT176&lt;(--"23:59:59")),G176+1-AT176,G176-AT176),G176-AT176)&gt;(--"00:20:00"),"","X"),"")</f>
        <v/>
      </c>
      <c r="CB176" s="299" t="str">
        <f>IF(K176="",IF(BP176&gt;=(--"00:20:00"),"","X"),"")</f>
        <v/>
      </c>
      <c r="CC176" s="299" t="str">
        <f>IF(OR(AV176="Autista non presente",AV176="Dati driver non presenti"),"X","")</f>
        <v/>
      </c>
      <c r="CD176" s="299" t="str">
        <f>IF(K176="",IF(AND(CC176="",BS176&lt;(--"00:20:00")),"X",""),"")</f>
        <v/>
      </c>
      <c r="CE176" s="299" t="str">
        <f>IF(K176="",IF(BT176&gt;(--"00:15:00"),"X",""),IF(AZ176&lt;&gt;"",IF(G176-AZ176&gt;(--"00:30:00"),"X",""),""))</f>
        <v/>
      </c>
      <c r="CF176" s="299" t="str">
        <f>IF(AND(CA176="",CB176="",CC176="",CD176="",CE176=""),"X","")</f>
        <v>X</v>
      </c>
      <c r="CG176" s="301"/>
      <c r="CH176" s="299" t="str">
        <f>IF(BT176&gt;(--"00:15:00"),"X","")</f>
        <v/>
      </c>
      <c r="CI176" s="302">
        <f>AY176</f>
        <v>0</v>
      </c>
      <c r="CJ176" s="299" t="str">
        <f>IF(AND(CH176&lt;&gt;"",CI176&lt;&gt;"",LEFT(B176,3)="ITD"),AP176,"")</f>
        <v/>
      </c>
      <c r="CK176" s="305" t="str">
        <f>IF(CJ176&lt;&gt;"",BT176,"")</f>
        <v/>
      </c>
      <c r="CL176" s="301"/>
      <c r="CM176" s="305" t="str">
        <f>IFERROR(VLOOKUP(Q176,'Elenco Casse'!$D$4:$F$292,3,FALSE),"")</f>
        <v/>
      </c>
      <c r="CN176" s="301"/>
      <c r="CO176" s="305" t="str">
        <f>IFERROR(VLOOKUP(E176,Outlist!$A$5:$H$120,8,FALSE),"")</f>
        <v>P58807</v>
      </c>
      <c r="CP176" s="305" t="str">
        <f>IFERROR(IF(VLOOKUP($E176,Outlist!$A$5:$S$120,19,FALSE)&lt;&gt;0,"Y",""),"")</f>
        <v/>
      </c>
      <c r="CQ176" s="301"/>
      <c r="CR176" s="305" t="str">
        <f>CONCATENATE($B176,$E176,$G176)</f>
        <v>ERN02712SKG 20.270833333335759</v>
      </c>
      <c r="CS176" s="301"/>
      <c r="CT176" s="305">
        <f>VLOOKUP(Out_Table[[#This Row],[Destination             ORANGE (From Planning)]],Outlist!$A$5:$W$120,22,FALSE)</f>
        <v>0</v>
      </c>
    </row>
    <row r="177" spans="1:98" s="20" customFormat="1" ht="30.75">
      <c r="A177" s="305" t="str">
        <f>$CR177</f>
        <v>ERN18810DNG 50.104166666664241</v>
      </c>
      <c r="B177" s="351" t="str">
        <f>IFERROR(VLOOKUP(E177,Outlist!$A$5:$AC$120,2,FALSE),"")</f>
        <v>ERN18810</v>
      </c>
      <c r="C177" s="352" t="str">
        <f>IFERROR(IF(LEFT(B177,3)='STAT 77'!$X$2,_xlfn.XLOOKUP(B177,'STAT 77'!C:C,'STAT 77'!B:B),_xlfn.XLOOKUP(B177,'STAT 77'!B:B,'STAT 77'!C:C)),"NON TROVATO")</f>
        <v>ERN09521</v>
      </c>
      <c r="D177" s="4"/>
      <c r="E177" s="352" t="str">
        <f>IFERROR(IF(Outlist!$A9&lt;&gt;"",Outlist!$A9,""),"")</f>
        <v>DNG 5</v>
      </c>
      <c r="F177" s="352" t="str">
        <f>IFERROR(VLOOKUP(E177,'Cambio O2P'!C:E,2,FALSE),"")</f>
        <v/>
      </c>
      <c r="G177" s="353">
        <f>IFERROR(VLOOKUP(E177,Outlist!$A$5:$AC$120,5,FALSE)-INT(VLOOKUP(E177,Outlist!$A$5:$AC$120,5,FALSE)),"")</f>
        <v>0.10416666666424135</v>
      </c>
      <c r="H177" s="294" t="str">
        <f ca="1">IFERROR(IF(AND('INformazioni per calcoli'!$AB$3&lt;(--"14:30"),'INformazioni per calcoli'!$AB$3&gt;(--"10:00")),"",IF($B177="","",IF($X177&lt;&gt;"","Mezzo Chiuso",IF($W177="","Non al Carico",IF($K177="Safe Parking","Safe Parking", IF(OR($BF177='INformazioni per calcoli'!$AF$8,$BF177='INformazioni per calcoli'!$AC$8,$BF177='INformazioni per calcoli'!$AD$8,$BF177='INformazioni per calcoli'!$AE$8,$BF177='INformazioni per calcoli'!$AG$8,$BF177='INformazioni per calcoli'!$AH$8,$BF177='INformazioni per calcoli'!$AI$8,$BF177='INformazioni per calcoli'!$AJ$8),IF($G177-'INformazioni per calcoli'!$AB$6-'INformazioni per calcoli'!$AB$3+$J177&lt;0,"LFLS",$G177-'INformazioni per calcoli'!$AB$6-'INformazioni per calcoli'!$AB$3+$J177), IF(OR($BF177='INformazioni per calcoli'!$AF$6,$BF177='INformazioni per calcoli'!$AD$6,$BF177='INformazioni per calcoli'!$AE$6,$BF177='INformazioni per calcoli'!$AG$6),IF($G177-'INformazioni per calcoli'!$AB$8-'INformazioni per calcoli'!$AB$3+$J177&lt;0,"LFLS",$G177-'INformazioni per calcoli'!$AB$8-'INformazioni per calcoli'!$AB$3+$J177), IF($G177-'INformazioni per calcoli'!$AB$7-'INformazioni per calcoli'!$AB$3+$J177&lt;0,"LFLS",$G177-'INformazioni per calcoli'!$AB$7-'INformazioni per calcoli'!$AB$3+$J177)))))))),"")</f>
        <v>Mezzo Chiuso</v>
      </c>
      <c r="I177" s="17" t="str">
        <f ca="1">IFERROR(IF($H177&lt;&gt;"",IF($H177="Safe Parking","",IF($W177&lt;&gt;"",IF(AND($U177="X",$V177="X"),$H177-(--"00:30"),""),IF($X177&lt;&gt;"","Mezzo Chiuso","Non al carico"))),""),"")</f>
        <v/>
      </c>
      <c r="J177" s="306">
        <f ca="1">IFERROR(IF($B177&lt;&gt;"",IF(AND('INformazioni per calcoli'!$AB$3&lt;(--"15:00"),'INformazioni per calcoli'!$AB$3&gt;(--"00:00")),0,IF($G177&lt;(--"18:30"),"+1",0)),""),"")</f>
        <v>0</v>
      </c>
      <c r="K177" s="27">
        <f>IF(E177&lt;&gt;"",IFERROR(VLOOKUP(E177,Outlist!$A$5:$AC$120,22,FALSE),""),"")</f>
        <v>0</v>
      </c>
      <c r="L177" s="352" t="str">
        <f>IF(E177&lt;&gt;"",IFERROR(VLOOKUP(E177,Outlist!$A$5:$AC$120,3,FALSE),""),"")</f>
        <v>Maracana Srl</v>
      </c>
      <c r="M177" s="4" t="str">
        <f>IFERROR(_xlfn.XLOOKUP($Q177,'Elenco Casse'!$D:$D,'Elenco Casse'!$E:$E),"")</f>
        <v/>
      </c>
      <c r="N177" s="4" t="str">
        <f>IFERROR(_xlfn.XLOOKUP($Q177,'Elenco Casse'!$D:$D,'Elenco Casse'!$F:$F),"")</f>
        <v/>
      </c>
      <c r="O177" s="4" t="str">
        <f>IF($L177&lt;&gt;"","TT-2/3","")</f>
        <v>TT-2/3</v>
      </c>
      <c r="P177" s="296" t="str">
        <f>IFERROR(IF(VLOOKUP(E177,Outlist!$A$5:$AC$120,21,FALSE)="YES","Linea Variata",""),"")</f>
        <v/>
      </c>
      <c r="Q177" s="355" t="s">
        <v>1068</v>
      </c>
      <c r="R177" s="23" t="s">
        <v>420</v>
      </c>
      <c r="S177" s="25" t="str">
        <f>IFERROR(IF(VLOOKUP(E177,Outlist!$A$5:$AC$120,7,FALSE)="X","SUBCO",""),"")</f>
        <v/>
      </c>
      <c r="T177" s="25"/>
      <c r="U177" s="23"/>
      <c r="V177" s="23" t="s">
        <v>61</v>
      </c>
      <c r="W177" s="26">
        <v>810</v>
      </c>
      <c r="X177" s="27">
        <v>5.5555555555555552E-2</v>
      </c>
      <c r="Y177" s="25" t="s">
        <v>1069</v>
      </c>
      <c r="Z177" s="25"/>
      <c r="AA177" s="25" t="s">
        <v>487</v>
      </c>
      <c r="AB177" s="57">
        <v>1</v>
      </c>
      <c r="AC177" s="25"/>
      <c r="AD177" s="25"/>
      <c r="AE177" s="57"/>
      <c r="AF177" s="57"/>
      <c r="AG177" s="25"/>
      <c r="AH177" s="57"/>
      <c r="AI177" s="339"/>
      <c r="AJ177" s="339"/>
      <c r="AK177" s="297" t="str">
        <f>IF(X177&lt;&gt;"",CONCATENATE(IF(AA177&lt;&gt;"",CONCATENATE(Z177," ",AA177," ",BI177),""),IF(AD177&lt;&gt;"",CONCATENATE(","," ",AC177," ",AD177," ",BJ177),""),IF(AG177&lt;&gt;"",CONCATENATE(","," ",AF177," ",AG177," ",BK177),""),IF(AJ177&lt;&gt;"",CONCATENATE(","," ","DD"," ",BL177),"")," ",IF(AI177&lt;&gt;"",CONCATENATE(" - ",AI177," Bag"),"")),"")</f>
        <v xml:space="preserve"> FRT 14 </v>
      </c>
      <c r="AL177" s="287" t="s">
        <v>421</v>
      </c>
      <c r="AM177" s="287"/>
      <c r="AN177" s="287"/>
      <c r="AO177" s="287"/>
      <c r="AP177" s="370" t="str">
        <f>IFERROR(VLOOKUP($E177,Outlist!$A$5:$V$120,20,FALSE),"")</f>
        <v>OBBLIGATORIO</v>
      </c>
      <c r="AQ177" s="288" t="s">
        <v>1070</v>
      </c>
      <c r="AR177" s="430">
        <v>6.0416666666666667E-2</v>
      </c>
      <c r="AS177" s="24">
        <v>6.5972222222222224E-2</v>
      </c>
      <c r="AT177" s="24">
        <v>6.5972222222222224E-2</v>
      </c>
      <c r="AU177" s="27"/>
      <c r="AV177" s="27"/>
      <c r="AW177" s="20" t="s">
        <v>443</v>
      </c>
      <c r="AX177" s="20" t="str">
        <f>IFERROR(IF(Out_Table[[#This Row],[Cancellazione linea]]="Cancellata","yes",""),"")</f>
        <v/>
      </c>
      <c r="AY177" s="72"/>
      <c r="AZ177" s="27">
        <v>7.3611111111111113E-2</v>
      </c>
      <c r="BA177" s="32">
        <v>7.9861111111111105E-2</v>
      </c>
      <c r="BB177" s="72"/>
      <c r="BC177" s="72" t="str">
        <f>IFERROR(VLOOKUP(Out_Table[[#This Row],[Aggiornamento STATUS]],'INformazioni per calcoli'!$Y$70:$AA$76,2,FALSE),"")</f>
        <v/>
      </c>
      <c r="BD177" s="289"/>
      <c r="BE177" s="289"/>
      <c r="BF177" s="47" t="str">
        <f>LEFT($E177,3)</f>
        <v>DNG</v>
      </c>
      <c r="BG177" s="298" t="str">
        <f>IF(Out_Table[[#This Row],[Ora Uscita    (GH)]]&lt;&gt;"","x","")</f>
        <v>x</v>
      </c>
      <c r="BH177" s="299">
        <f>VLOOKUP($O177,'INformazioni per calcoli'!$Y$20:$AA$23,3,FALSE)</f>
        <v>14</v>
      </c>
      <c r="BI177" s="299">
        <f>MROUND(Out_Table[[#This Row],[Mtr. Trailer]]*AB177,0.5)</f>
        <v>14</v>
      </c>
      <c r="BJ177" s="299">
        <f>MROUND(Out_Table[[#This Row],[Mtr. Trailer]]*AE177,0.5)</f>
        <v>0</v>
      </c>
      <c r="BK177" s="299">
        <f>MROUND(Out_Table[[#This Row],[Mtr. Trailer]]*AH177,0.5)</f>
        <v>0</v>
      </c>
      <c r="BL177" s="300">
        <f>Out_Table[[#This Row],[Double Deck trailer N° bumpers]]</f>
        <v>0</v>
      </c>
      <c r="BM177" s="301"/>
      <c r="BN177" s="299" t="str">
        <f>B177</f>
        <v>ERN18810</v>
      </c>
      <c r="BO177" s="299" t="str">
        <f>E177</f>
        <v>DNG 5</v>
      </c>
      <c r="BP177" s="302">
        <f>IF(AND(G177&gt;(--"00:00:01"),G177&lt;(--"15:00:00")),IF(AND(X177&gt;(--"00:00:01"),X177&lt;(--"15:00:00")),G177-X177,G177+1-X177),G177-X177)</f>
        <v>4.8611111108685795E-2</v>
      </c>
      <c r="BQ177" s="303">
        <f>AE177+AF177+AH177+AJ177</f>
        <v>0</v>
      </c>
      <c r="BR177" s="304" t="str">
        <f>IF(OR(BP177&lt;=(--"00:20:00"),BQ177&gt;=100%),"OK","Not OK")</f>
        <v>Not OK</v>
      </c>
      <c r="BS177" s="302">
        <f>IF(AND(G177&gt;(--"00:00:01"),G177&lt;(--"15:00:00")),IF(AND(AU177&gt;(--"00:00:01"),AU177&lt;(--"15:00:00")),G177-AU177,G177+1-AU177),G177-AU177)</f>
        <v>1.1041666666642413</v>
      </c>
      <c r="BT177" s="302">
        <f>IF(AND(AZ177&gt;(--"00:00:01"),AZ177&lt;(--"15:00:00")),IF(AND(AU177&gt;(--"00:00:01"),AU177&lt;(--"15:00:00")),AZ177-AU177,AZ177+1-AU177),AZ177-AU177)</f>
        <v>1.0736111111111111</v>
      </c>
      <c r="BU177" s="302">
        <f>IF(AND(BA177&gt;(--"00:00:01"),BA177&lt;(--"15:00:00")),IF(AND(AZ177&gt;(--"00:00:01"),AZ177&lt;(--"15:00:00")),BA177-AZ177,BA177+1-AZ177),BA177-AZ177)</f>
        <v>6.2499999999999917E-3</v>
      </c>
      <c r="BV177" s="299">
        <f>AV177</f>
        <v>0</v>
      </c>
      <c r="BW177" s="301"/>
      <c r="BX177" s="299" t="str">
        <f>IF(AV177="T Status",IF(AV177&lt;&gt;T177,"X",""),"")</f>
        <v/>
      </c>
      <c r="BY177" s="301"/>
      <c r="BZ177" s="299" t="str">
        <f>IF(X177&lt;&gt;"",IF(CC177="X","Driver Delay",IF(CA177="X","Paperwork Delay",IF(CB177="X","Late freight late sort",IF(CD177="X","Chiamare Control Room",IF(CE177="X","Chiamare Control Room",IF(CF177="X","Chiamare Control Room","")))))),"")</f>
        <v>Chiamare Control Room</v>
      </c>
      <c r="CA177" s="302" t="str">
        <f>IF(K177="",IF(IF(AND(G177&gt;(--"00:00:01"),G177&lt;(--"15:00:00")),IF(AND(AT177&gt;(--"08:00:00"),AT177&lt;(--"23:59:59")),G177+1-AT177,G177-AT177),G177-AT177)&gt;(--"00:20:00"),"","X"),"")</f>
        <v/>
      </c>
      <c r="CB177" s="299" t="str">
        <f>IF(K177="",IF(BP177&gt;=(--"00:20:00"),"","X"),"")</f>
        <v/>
      </c>
      <c r="CC177" s="299" t="str">
        <f>IF(OR(AV177="Autista non presente",AV177="Dati driver non presenti"),"X","")</f>
        <v/>
      </c>
      <c r="CD177" s="299" t="str">
        <f>IF(K177="",IF(AND(CC177="",BS177&lt;(--"00:20:00")),"X",""),"")</f>
        <v/>
      </c>
      <c r="CE177" s="299" t="str">
        <f>IF(K177="",IF(BT177&gt;(--"00:15:00"),"X",""),IF(AZ177&lt;&gt;"",IF(G177-AZ177&gt;(--"00:30:00"),"X",""),""))</f>
        <v>X</v>
      </c>
      <c r="CF177" s="299" t="str">
        <f>IF(AND(CA177="",CB177="",CC177="",CD177="",CE177=""),"X","")</f>
        <v/>
      </c>
      <c r="CG177" s="301"/>
      <c r="CH177" s="299" t="str">
        <f>IF(BT177&gt;(--"00:15:00"),"X","")</f>
        <v>X</v>
      </c>
      <c r="CI177" s="302">
        <f>AY177</f>
        <v>0</v>
      </c>
      <c r="CJ177" s="299" t="str">
        <f>IF(AND(CH177&lt;&gt;"",CI177&lt;&gt;"",LEFT(B177,3)="ITD"),AP177,"")</f>
        <v/>
      </c>
      <c r="CK177" s="305" t="str">
        <f>IF(CJ177&lt;&gt;"",BT177,"")</f>
        <v/>
      </c>
      <c r="CL177" s="301"/>
      <c r="CM177" s="305" t="str">
        <f>IFERROR(VLOOKUP(Q177,'Elenco Casse'!$D$4:$F$292,3,FALSE),"")</f>
        <v/>
      </c>
      <c r="CN177" s="301"/>
      <c r="CO177" s="305" t="str">
        <f>IFERROR(VLOOKUP(E177,Outlist!$A$5:$H$120,8,FALSE),"")</f>
        <v>ENBR21296</v>
      </c>
      <c r="CP177" s="305" t="str">
        <f>IFERROR(IF(VLOOKUP($E177,Outlist!$A$5:$S$120,19,FALSE)&lt;&gt;0,"Y",""),"")</f>
        <v>Y</v>
      </c>
      <c r="CQ177" s="301"/>
      <c r="CR177" s="305" t="str">
        <f>CONCATENATE($B177,$E177,$G177)</f>
        <v>ERN18810DNG 50.104166666664241</v>
      </c>
      <c r="CS177" s="301"/>
      <c r="CT177" s="305">
        <f>VLOOKUP(Out_Table[[#This Row],[Destination             ORANGE (From Planning)]],Outlist!$A$5:$W$120,22,FALSE)</f>
        <v>0</v>
      </c>
    </row>
    <row r="178" spans="1:98" s="20" customFormat="1" ht="30.75">
      <c r="A178" s="305" t="str">
        <f>$CR178</f>
        <v>ERN16731DNG 10.0833333333357587</v>
      </c>
      <c r="B178" s="351" t="str">
        <f>IFERROR(VLOOKUP(E178,Outlist!$A$5:$AC$120,2,FALSE),"")</f>
        <v>ERN16731</v>
      </c>
      <c r="C178" s="352" t="str">
        <f>IFERROR(IF(LEFT(B178,3)='STAT 77'!$X$2,_xlfn.XLOOKUP(B178,'STAT 77'!C:C,'STAT 77'!B:B),_xlfn.XLOOKUP(B178,'STAT 77'!B:B,'STAT 77'!C:C)),"NON TROVATO")</f>
        <v>ERN08528</v>
      </c>
      <c r="D178" s="4"/>
      <c r="E178" s="352" t="str">
        <f>IFERROR(IF(Outlist!$A5&lt;&gt;"",Outlist!$A5,""),"")</f>
        <v>DNG 1</v>
      </c>
      <c r="F178" s="352" t="str">
        <f>IFERROR(VLOOKUP(E178,'Cambio O2P'!C:E,2,FALSE),"")</f>
        <v/>
      </c>
      <c r="G178" s="353">
        <f>IFERROR(VLOOKUP(E178,Outlist!$A$5:$AC$120,5,FALSE)-INT(VLOOKUP(E178,Outlist!$A$5:$AC$120,5,FALSE)),"")</f>
        <v>8.3333333335758653E-2</v>
      </c>
      <c r="H178" s="294" t="str">
        <f ca="1">IFERROR(IF(AND('INformazioni per calcoli'!$AB$3&lt;(--"14:30"),'INformazioni per calcoli'!$AB$3&gt;(--"10:00")),"",IF($B178="","",IF($X178&lt;&gt;"","Mezzo Chiuso",IF($W178="","Non al Carico",IF($K178="Safe Parking","Safe Parking", IF(OR($BF178='INformazioni per calcoli'!$AF$8,$BF178='INformazioni per calcoli'!$AC$8,$BF178='INformazioni per calcoli'!$AD$8,$BF178='INformazioni per calcoli'!$AE$8,$BF178='INformazioni per calcoli'!$AG$8,$BF178='INformazioni per calcoli'!$AH$8,$BF178='INformazioni per calcoli'!$AI$8,$BF178='INformazioni per calcoli'!$AJ$8),IF($G178-'INformazioni per calcoli'!$AB$6-'INformazioni per calcoli'!$AB$3+$J178&lt;0,"LFLS",$G178-'INformazioni per calcoli'!$AB$6-'INformazioni per calcoli'!$AB$3+$J178), IF(OR($BF178='INformazioni per calcoli'!$AF$6,$BF178='INformazioni per calcoli'!$AD$6,$BF178='INformazioni per calcoli'!$AE$6,$BF178='INformazioni per calcoli'!$AG$6),IF($G178-'INformazioni per calcoli'!$AB$8-'INformazioni per calcoli'!$AB$3+$J178&lt;0,"LFLS",$G178-'INformazioni per calcoli'!$AB$8-'INformazioni per calcoli'!$AB$3+$J178), IF($G178-'INformazioni per calcoli'!$AB$7-'INformazioni per calcoli'!$AB$3+$J178&lt;0,"LFLS",$G178-'INformazioni per calcoli'!$AB$7-'INformazioni per calcoli'!$AB$3+$J178)))))))),"")</f>
        <v>Mezzo Chiuso</v>
      </c>
      <c r="I178" s="17" t="str">
        <f ca="1">IFERROR(IF($H178&lt;&gt;"",IF($H178="Safe Parking","",IF($W178&lt;&gt;"",IF(AND($U178="X",$V178="X"),$H178-(--"00:30"),""),IF($X178&lt;&gt;"","Mezzo Chiuso","Non al carico"))),""),"")</f>
        <v/>
      </c>
      <c r="J178" s="306">
        <f ca="1">IFERROR(IF($B178&lt;&gt;"",IF(AND('INformazioni per calcoli'!$AB$3&lt;(--"15:00"),'INformazioni per calcoli'!$AB$3&gt;(--"00:00")),0,IF($G178&lt;(--"18:30"),"+1",0)),""),"")</f>
        <v>0</v>
      </c>
      <c r="K178" s="27">
        <f>IF(E178&lt;&gt;"",IFERROR(VLOOKUP(E178,Outlist!$A$5:$AC$120,22,FALSE),""),"")</f>
        <v>0</v>
      </c>
      <c r="L178" s="352" t="str">
        <f>IF(E178&lt;&gt;"",IFERROR(VLOOKUP(E178,Outlist!$A$5:$AC$120,3,FALSE),""),"")</f>
        <v>T Service Spa</v>
      </c>
      <c r="M178" s="4" t="str">
        <f>IFERROR(_xlfn.XLOOKUP($Q178,'Elenco Casse'!$D:$D,'Elenco Casse'!$E:$E),"")</f>
        <v/>
      </c>
      <c r="N178" s="4" t="str">
        <f>IFERROR(_xlfn.XLOOKUP($Q178,'Elenco Casse'!$D:$D,'Elenco Casse'!$F:$F),"")</f>
        <v/>
      </c>
      <c r="O178" s="4" t="str">
        <f>IF($L178&lt;&gt;"","TT-2/3","")</f>
        <v>TT-2/3</v>
      </c>
      <c r="P178" s="296" t="str">
        <f>IFERROR(IF(VLOOKUP(E178,Outlist!$A$5:$AC$120,21,FALSE)="YES","Linea Variata",""),"")</f>
        <v/>
      </c>
      <c r="Q178" s="355" t="s">
        <v>1071</v>
      </c>
      <c r="R178" s="23" t="s">
        <v>420</v>
      </c>
      <c r="S178" s="25" t="str">
        <f>IFERROR(IF(VLOOKUP(E178,Outlist!$A$5:$AC$120,7,FALSE)="X","SUBCO",""),"")</f>
        <v/>
      </c>
      <c r="T178" s="25"/>
      <c r="U178" s="23"/>
      <c r="V178" s="23" t="s">
        <v>61</v>
      </c>
      <c r="W178" s="26">
        <v>810</v>
      </c>
      <c r="X178" s="27">
        <v>0.90902777777777777</v>
      </c>
      <c r="Y178" s="25" t="s">
        <v>894</v>
      </c>
      <c r="Z178" s="25"/>
      <c r="AA178" s="25" t="s">
        <v>487</v>
      </c>
      <c r="AB178" s="57">
        <v>1</v>
      </c>
      <c r="AC178" s="25"/>
      <c r="AD178" s="25"/>
      <c r="AE178" s="57"/>
      <c r="AF178" s="57"/>
      <c r="AG178" s="25" t="s">
        <v>488</v>
      </c>
      <c r="AH178" s="57"/>
      <c r="AI178" s="339"/>
      <c r="AJ178" s="339"/>
      <c r="AK178" s="297" t="str">
        <f>IF(X178&lt;&gt;"",CONCATENATE(IF(AA178&lt;&gt;"",CONCATENATE(Z178," ",AA178," ",BI178),""),IF(AD178&lt;&gt;"",CONCATENATE(","," ",AC178," ",AD178," ",BJ178),""),IF(AG178&lt;&gt;"",CONCATENATE(","," ",AF178," ",AG178," ",BK178),""),IF(AJ178&lt;&gt;"",CONCATENATE(","," ","DD"," ",BL178),"")," ",IF(AI178&lt;&gt;"",CONCATENATE(" - ",AI178," Bag"),"")),"")</f>
        <v xml:space="preserve"> FRT 14,  DG 0 </v>
      </c>
      <c r="AL178" s="287" t="s">
        <v>421</v>
      </c>
      <c r="AM178" s="287"/>
      <c r="AN178" s="287"/>
      <c r="AO178" s="287"/>
      <c r="AP178" s="370">
        <f>IFERROR(VLOOKUP($E178,Outlist!$A$5:$V$120,20,FALSE),"")</f>
        <v>0</v>
      </c>
      <c r="AQ178" s="288" t="s">
        <v>1072</v>
      </c>
      <c r="AR178" s="430">
        <v>0.91041666666666665</v>
      </c>
      <c r="AS178" s="24">
        <v>0.91527777777777775</v>
      </c>
      <c r="AT178" s="24">
        <v>0.91597222222222219</v>
      </c>
      <c r="AU178" s="27"/>
      <c r="AV178" s="27"/>
      <c r="AW178" s="20" t="s">
        <v>443</v>
      </c>
      <c r="AX178" s="20" t="str">
        <f>IFERROR(IF(Out_Table[[#This Row],[Cancellazione linea]]="Cancellata","yes",""),"")</f>
        <v/>
      </c>
      <c r="AY178" s="72"/>
      <c r="AZ178" s="27"/>
      <c r="BA178" s="32">
        <v>3.3333333333333333E-2</v>
      </c>
      <c r="BB178" s="72"/>
      <c r="BC178" s="72" t="str">
        <f>IFERROR(VLOOKUP(Out_Table[[#This Row],[Aggiornamento STATUS]],'INformazioni per calcoli'!$Y$70:$AA$76,2,FALSE),"")</f>
        <v/>
      </c>
      <c r="BD178" s="289"/>
      <c r="BE178" s="289"/>
      <c r="BF178" s="47" t="str">
        <f>LEFT($E178,3)</f>
        <v>DNG</v>
      </c>
      <c r="BG178" s="298" t="str">
        <f>IF(Out_Table[[#This Row],[Ora Uscita    (GH)]]&lt;&gt;"","x","")</f>
        <v>x</v>
      </c>
      <c r="BH178" s="299">
        <f>VLOOKUP($O178,'INformazioni per calcoli'!$Y$20:$AA$23,3,FALSE)</f>
        <v>14</v>
      </c>
      <c r="BI178" s="299">
        <f>MROUND(Out_Table[[#This Row],[Mtr. Trailer]]*AB178,0.5)</f>
        <v>14</v>
      </c>
      <c r="BJ178" s="299">
        <f>MROUND(Out_Table[[#This Row],[Mtr. Trailer]]*AE178,0.5)</f>
        <v>0</v>
      </c>
      <c r="BK178" s="299">
        <f>MROUND(Out_Table[[#This Row],[Mtr. Trailer]]*AH178,0.5)</f>
        <v>0</v>
      </c>
      <c r="BL178" s="300">
        <f>Out_Table[[#This Row],[Double Deck trailer N° bumpers]]</f>
        <v>0</v>
      </c>
      <c r="BM178" s="301"/>
      <c r="BN178" s="299" t="str">
        <f>B178</f>
        <v>ERN16731</v>
      </c>
      <c r="BO178" s="299" t="str">
        <f>E178</f>
        <v>DNG 1</v>
      </c>
      <c r="BP178" s="302">
        <f>IF(AND(G178&gt;(--"00:00:01"),G178&lt;(--"15:00:00")),IF(AND(X178&gt;(--"00:00:01"),X178&lt;(--"15:00:00")),G178-X178,G178+1-X178),G178-X178)</f>
        <v>0.17430555555798088</v>
      </c>
      <c r="BQ178" s="303">
        <f>AE178+AF178+AH178+AJ178</f>
        <v>0</v>
      </c>
      <c r="BR178" s="304" t="str">
        <f>IF(OR(BP178&lt;=(--"00:20:00"),BQ178&gt;=100%),"OK","Not OK")</f>
        <v>Not OK</v>
      </c>
      <c r="BS178" s="302">
        <f>IF(AND(G178&gt;(--"00:00:01"),G178&lt;(--"15:00:00")),IF(AND(AU178&gt;(--"00:00:01"),AU178&lt;(--"15:00:00")),G178-AU178,G178+1-AU178),G178-AU178)</f>
        <v>1.0833333333357587</v>
      </c>
      <c r="BT178" s="302">
        <f>IF(AND(AZ178&gt;(--"00:00:01"),AZ178&lt;(--"15:00:00")),IF(AND(AU178&gt;(--"00:00:01"),AU178&lt;(--"15:00:00")),AZ178-AU178,AZ178+1-AU178),AZ178-AU178)</f>
        <v>0</v>
      </c>
      <c r="BU178" s="302">
        <f>IF(AND(BA178&gt;(--"00:00:01"),BA178&lt;(--"15:00:00")),IF(AND(AZ178&gt;(--"00:00:01"),AZ178&lt;(--"15:00:00")),BA178-AZ178,BA178+1-AZ178),BA178-AZ178)</f>
        <v>1.0333333333333334</v>
      </c>
      <c r="BV178" s="299">
        <f>AV178</f>
        <v>0</v>
      </c>
      <c r="BW178" s="301"/>
      <c r="BX178" s="299" t="str">
        <f>IF(AV178="T Status",IF(AV178&lt;&gt;T178,"X",""),"")</f>
        <v/>
      </c>
      <c r="BY178" s="301"/>
      <c r="BZ178" s="299" t="str">
        <f>IF(X178&lt;&gt;"",IF(CC178="X","Driver Delay",IF(CA178="X","Paperwork Delay",IF(CB178="X","Late freight late sort",IF(CD178="X","Chiamare Control Room",IF(CE178="X","Chiamare Control Room",IF(CF178="X","Chiamare Control Room","")))))),"")</f>
        <v>Chiamare Control Room</v>
      </c>
      <c r="CA178" s="302" t="str">
        <f>IF(K178="",IF(IF(AND(G178&gt;(--"00:00:01"),G178&lt;(--"15:00:00")),IF(AND(AT178&gt;(--"08:00:00"),AT178&lt;(--"23:59:59")),G178+1-AT178,G178-AT178),G178-AT178)&gt;(--"00:20:00"),"","X"),"")</f>
        <v/>
      </c>
      <c r="CB178" s="299" t="str">
        <f>IF(K178="",IF(BP178&gt;=(--"00:20:00"),"","X"),"")</f>
        <v/>
      </c>
      <c r="CC178" s="299" t="str">
        <f>IF(OR(AV178="Autista non presente",AV178="Dati driver non presenti"),"X","")</f>
        <v/>
      </c>
      <c r="CD178" s="299" t="str">
        <f>IF(K178="",IF(AND(CC178="",BS178&lt;(--"00:20:00")),"X",""),"")</f>
        <v/>
      </c>
      <c r="CE178" s="299" t="str">
        <f>IF(K178="",IF(BT178&gt;(--"00:15:00"),"X",""),IF(AZ178&lt;&gt;"",IF(G178-AZ178&gt;(--"00:30:00"),"X",""),""))</f>
        <v/>
      </c>
      <c r="CF178" s="299" t="str">
        <f>IF(AND(CA178="",CB178="",CC178="",CD178="",CE178=""),"X","")</f>
        <v>X</v>
      </c>
      <c r="CG178" s="301"/>
      <c r="CH178" s="299" t="str">
        <f>IF(BT178&gt;(--"00:15:00"),"X","")</f>
        <v/>
      </c>
      <c r="CI178" s="302">
        <f>AY178</f>
        <v>0</v>
      </c>
      <c r="CJ178" s="299" t="str">
        <f>IF(AND(CH178&lt;&gt;"",CI178&lt;&gt;"",LEFT(B178,3)="ITD"),AP178,"")</f>
        <v/>
      </c>
      <c r="CK178" s="305" t="str">
        <f>IF(CJ178&lt;&gt;"",BT178,"")</f>
        <v/>
      </c>
      <c r="CL178" s="301"/>
      <c r="CM178" s="305" t="str">
        <f>IFERROR(VLOOKUP(Q178,'Elenco Casse'!$D$4:$F$292,3,FALSE),"")</f>
        <v/>
      </c>
      <c r="CN178" s="301"/>
      <c r="CO178" s="305" t="str">
        <f>IFERROR(VLOOKUP(E178,Outlist!$A$5:$H$120,8,FALSE),"")</f>
        <v>ENBD20297</v>
      </c>
      <c r="CP178" s="305" t="str">
        <f>IFERROR(IF(VLOOKUP($E178,Outlist!$A$5:$S$120,19,FALSE)&lt;&gt;0,"Y",""),"")</f>
        <v/>
      </c>
      <c r="CQ178" s="301"/>
      <c r="CR178" s="305" t="str">
        <f>CONCATENATE($B178,$E178,$G178)</f>
        <v>ERN16731DNG 10.0833333333357587</v>
      </c>
      <c r="CS178" s="301"/>
      <c r="CT178" s="305">
        <f>VLOOKUP(Out_Table[[#This Row],[Destination             ORANGE (From Planning)]],Outlist!$A$5:$W$120,22,FALSE)</f>
        <v>0</v>
      </c>
    </row>
    <row r="179" spans="1:98" s="20" customFormat="1" ht="15">
      <c r="A179" s="305" t="str">
        <f>$CR179</f>
        <v>ITD12416ILJ0.260416666666667</v>
      </c>
      <c r="B179" s="284" t="s">
        <v>1073</v>
      </c>
      <c r="C179" s="290" t="str">
        <f>IFERROR(IF(LEFT(B179,3)='STAT 77'!$X$2,_xlfn.XLOOKUP(B179,'STAT 77'!C:C,'STAT 77'!B:B),_xlfn.XLOOKUP(B179,'STAT 77'!B:B,'STAT 77'!C:C)),"NON TROVATO")</f>
        <v>ITD31586</v>
      </c>
      <c r="D179" s="25" t="s">
        <v>1074</v>
      </c>
      <c r="E179" s="290" t="s">
        <v>855</v>
      </c>
      <c r="F179" s="290" t="str">
        <f>IFERROR(VLOOKUP(E179,'Cambio O2P'!C:E,2,FALSE),"")</f>
        <v>IPRA</v>
      </c>
      <c r="G179" s="285">
        <v>0.26041666666666669</v>
      </c>
      <c r="H179" s="293">
        <f ca="1">IFERROR(IF(AND('INformazioni per calcoli'!$AB$3&lt;(--"14:30"),'INformazioni per calcoli'!$AB$3&gt;(--"10:00")),"",IF($B179="","",IF($X179&lt;&gt;"","Mezzo Chiuso",IF($W179="","Non al Carico",IF($G179-'INformazioni per calcoli'!$AB$5-'INformazioni per calcoli'!$AB$3+$J179&lt;0,"LFLS",IF($K179&lt;&gt;"","Safe Parking",IF($W179&lt;&gt;"",IF($E179="MXP",$G179-'INformazioni per calcoli'!$AB$6-'INformazioni per calcoli'!$AB$3+$J179,$G179-'INformazioni per calcoli'!$AB$5-'INformazioni per calcoli'!$AB$3+$J179),"Non al carico"))))))),"")</f>
        <v>0.10106481481481483</v>
      </c>
      <c r="I179" s="17" t="str">
        <f ca="1">IFERROR(IF($H179&lt;&gt;"",IF($H179="Safe Parking","",IF($W179&lt;&gt;"",IF(AND($U179="X",$V179="X"),$H179-(--"00:30"),""),IF($X179&lt;&gt;"","Mezzo Chiuso","Non al carico"))),""),"")</f>
        <v/>
      </c>
      <c r="J179" s="306">
        <f ca="1">IFERROR(IF($B179&lt;&gt;"",IF(AND('INformazioni per calcoli'!$AB$3&lt;(--"15:00"),'INformazioni per calcoli'!$AB$3&gt;(--"00:00")),0,IF($G179&lt;(--"18:30"),"+1",0)),""),"")</f>
        <v>0</v>
      </c>
      <c r="K179" s="17"/>
      <c r="L179" s="25" t="s">
        <v>430</v>
      </c>
      <c r="M179" s="25" t="str">
        <f>IFERROR(_xlfn.XLOOKUP($Q179,'Elenco Casse'!$D:$D,'Elenco Casse'!$E:$E),"")</f>
        <v>Trans Speedy S.R.L</v>
      </c>
      <c r="N179" s="25">
        <f>IFERROR(_xlfn.XLOOKUP($Q179,'Elenco Casse'!$D:$D,'Elenco Casse'!$F:$F),"")</f>
        <v>0</v>
      </c>
      <c r="O179" s="286" t="s">
        <v>418</v>
      </c>
      <c r="P179" s="295" t="str">
        <f>IFERROR(_xlfn.XLOOKUP($Q179,'Elenco Casse'!$D:$D,'Elenco Casse'!$G:$G),"")</f>
        <v>trailer 80 m3 2/3 axes</v>
      </c>
      <c r="Q179" s="355" t="s">
        <v>1075</v>
      </c>
      <c r="R179" s="23" t="s">
        <v>420</v>
      </c>
      <c r="S179" s="25" t="s">
        <v>421</v>
      </c>
      <c r="T179" s="25" t="s">
        <v>599</v>
      </c>
      <c r="U179" s="23" t="str">
        <f>IF(ISNUMBER(SEARCH("Parcel",$T179)),"X","")</f>
        <v/>
      </c>
      <c r="V179" s="23" t="str">
        <f>IF(ISNUMBER(SEARCH("Freight",$T179)),"X","")</f>
        <v>X</v>
      </c>
      <c r="W179" s="26">
        <v>813</v>
      </c>
      <c r="X179" s="27"/>
      <c r="Y179" s="25"/>
      <c r="Z179" s="25"/>
      <c r="AA179" s="25" t="s">
        <v>487</v>
      </c>
      <c r="AB179" s="57"/>
      <c r="AC179" s="25"/>
      <c r="AD179" s="25"/>
      <c r="AE179" s="57"/>
      <c r="AF179" s="57"/>
      <c r="AG179" s="25" t="s">
        <v>488</v>
      </c>
      <c r="AH179" s="57"/>
      <c r="AI179" s="339"/>
      <c r="AJ179" s="339"/>
      <c r="AK179" s="297" t="str">
        <f>IF(X179&lt;&gt;"",CONCATENATE(IF(AA179&lt;&gt;"",CONCATENATE(Z179," ",AA179," ",BI179),""),IF(AD179&lt;&gt;"",CONCATENATE(","," ",AC179," ",AD179," ",BJ179),""),IF(AG179&lt;&gt;"",CONCATENATE(","," ",AF179," ",AG179," ",BK179),""),IF(AJ179&lt;&gt;"",CONCATENATE(","," ","DD"," ",BL179),"")," ",IF(AI179&lt;&gt;"",CONCATENATE(" - ",AI179," Bag"),"")),"")</f>
        <v/>
      </c>
      <c r="AL179" s="287"/>
      <c r="AM179" s="287"/>
      <c r="AN179" s="287"/>
      <c r="AO179" s="287"/>
      <c r="AP179" s="370" t="str">
        <f>IFERROR(VLOOKUP(#REF!,Outlist!$A$5:$V$120,20,FALSE),"")</f>
        <v/>
      </c>
      <c r="AQ179" s="288" t="str">
        <f>IFERROR(IF(VLOOKUP($A179,#REF!,8,FALSE)&lt;&gt;"",VLOOKUP($A179,#REF!,8,FALSE),""),"")</f>
        <v/>
      </c>
      <c r="AS179" s="24"/>
      <c r="AT179" s="24">
        <v>1.2500000000000001E-2</v>
      </c>
      <c r="AU179" s="27"/>
      <c r="AV179" s="27"/>
      <c r="AX179" s="20" t="str">
        <f>IFERROR(IF(Out_Table[[#This Row],[Cancellazione linea]]="Cancellata","yes",""),"")</f>
        <v/>
      </c>
      <c r="AY179" s="72" t="str">
        <f>IF(BA179="",BZ179,IF(AND(BA179&lt;(--"23:59:59"),BA179&gt;(--"15:00:00"),G179&lt;(--"14:00:00"),G179&gt;(--"00:00:01")),"",IF(BA179&gt;G179,BZ179,"")))</f>
        <v/>
      </c>
      <c r="AZ179" s="27"/>
      <c r="BA179" s="32"/>
      <c r="BB179" s="72"/>
      <c r="BC179" s="72" t="str">
        <f>IFERROR(VLOOKUP(Out_Table[[#This Row],[Aggiornamento STATUS]],'INformazioni per calcoli'!$Y$70:$AA$76,2,FALSE),"")</f>
        <v/>
      </c>
      <c r="BD179" s="289"/>
      <c r="BE179" s="289"/>
      <c r="BF179" s="47" t="str">
        <f>LEFT($E179,3)</f>
        <v>ILJ</v>
      </c>
      <c r="BG179" s="298" t="str">
        <f>IF(Out_Table[[#This Row],[Ora Uscita    (GH)]]&lt;&gt;"","x","")</f>
        <v/>
      </c>
      <c r="BH179" s="299">
        <f>VLOOKUP($O179,'INformazioni per calcoli'!$Y$20:$AA$23,3,FALSE)</f>
        <v>14</v>
      </c>
      <c r="BI179" s="299">
        <f>MROUND(Out_Table[[#This Row],[Mtr. Trailer]]*AB179,0.5)</f>
        <v>0</v>
      </c>
      <c r="BJ179" s="299">
        <f>MROUND(Out_Table[[#This Row],[Mtr. Trailer]]*AE179,0.5)</f>
        <v>0</v>
      </c>
      <c r="BK179" s="299">
        <f>MROUND(Out_Table[[#This Row],[Mtr. Trailer]]*AH179,0.5)</f>
        <v>0</v>
      </c>
      <c r="BL179" s="300">
        <f>Out_Table[[#This Row],[Double Deck trailer N° bumpers]]</f>
        <v>0</v>
      </c>
      <c r="BM179" s="301"/>
      <c r="BN179" s="299" t="str">
        <f>B179</f>
        <v>ITD12416</v>
      </c>
      <c r="BO179" s="299" t="str">
        <f>E179</f>
        <v>ILJ</v>
      </c>
      <c r="BP179" s="302">
        <f>IF(AND(G179&gt;(--"00:00:01"),G179&lt;(--"15:00:00")),IF(AND(X179&gt;(--"00:00:01"),X179&lt;(--"15:00:00")),G179-X179,G179+1-X179),G179-X179)</f>
        <v>1.2604166666666667</v>
      </c>
      <c r="BQ179" s="303">
        <f>AE179+AF179+AH179+AJ179</f>
        <v>0</v>
      </c>
      <c r="BR179" s="304" t="str">
        <f>IF(OR(BP179&lt;=(--"00:20:00"),BQ179&gt;=100%),"OK","Not OK")</f>
        <v>Not OK</v>
      </c>
      <c r="BS179" s="302">
        <f>IF(AND(G179&gt;(--"00:00:01"),G179&lt;(--"15:00:00")),IF(AND(AU179&gt;(--"00:00:01"),AU179&lt;(--"15:00:00")),G179-AU179,G179+1-AU179),G179-AU179)</f>
        <v>1.2604166666666667</v>
      </c>
      <c r="BT179" s="302">
        <f>IF(AND(AZ179&gt;(--"00:00:01"),AZ179&lt;(--"15:00:00")),IF(AND(AU179&gt;(--"00:00:01"),AU179&lt;(--"15:00:00")),AZ179-AU179,AZ179+1-AU179),AZ179-AU179)</f>
        <v>0</v>
      </c>
      <c r="BU179" s="302">
        <f>IF(AND(BA179&gt;(--"00:00:01"),BA179&lt;(--"15:00:00")),IF(AND(AZ179&gt;(--"00:00:01"),AZ179&lt;(--"15:00:00")),BA179-AZ179,BA179+1-AZ179),BA179-AZ179)</f>
        <v>0</v>
      </c>
      <c r="BV179" s="299">
        <f>AV179</f>
        <v>0</v>
      </c>
      <c r="BW179" s="301"/>
      <c r="BX179" s="299" t="str">
        <f>IF(AV179="T Status",IF(AV179&lt;&gt;T179,"X",""),"")</f>
        <v/>
      </c>
      <c r="BY179" s="301"/>
      <c r="BZ179" s="299" t="str">
        <f>IF(X179&lt;&gt;"",IF(CC179="X","Driver Delay",IF(CA179="X","Paperwork Delay",IF(CB179="X","Late freight late sort",IF(CD179="X","Chiamare Control Room",IF(CE179="X","Chiamare Control Room",IF(CF179="X","Chiamare Control Room","")))))),"")</f>
        <v/>
      </c>
      <c r="CA179" s="302" t="str">
        <f>IF(K179="",IF(IF(AND(G179&gt;(--"00:00:01"),G179&lt;(--"15:00:00")),IF(AND(AT179&gt;(--"08:00:00"),AT179&lt;(--"23:59:59")),G179+1-AT179,G179-AT179),G179-AT179)&gt;(--"00:20:00"),"","X"),"")</f>
        <v/>
      </c>
      <c r="CB179" s="299" t="str">
        <f>IF(K179="",IF(BP179&gt;=(--"00:20:00"),"","X"),"")</f>
        <v/>
      </c>
      <c r="CC179" s="299" t="str">
        <f>IF(OR(AV179="Autista non presente",AV179="Dati driver non presenti"),"X","")</f>
        <v/>
      </c>
      <c r="CD179" s="299" t="str">
        <f>IF(K179="",IF(AND(CC179="",BS179&lt;(--"00:20:00")),"X",""),"")</f>
        <v/>
      </c>
      <c r="CE179" s="299" t="str">
        <f>IF(K179="",IF(BT179&gt;(--"00:15:00"),"X",""),IF(AZ179&lt;&gt;"",IF(G179-AZ179&gt;(--"00:30:00"),"X",""),""))</f>
        <v/>
      </c>
      <c r="CF179" s="299" t="str">
        <f>IF(AND(CA179="",CB179="",CC179="",CD179="",CE179=""),"X","")</f>
        <v>X</v>
      </c>
      <c r="CG179" s="301"/>
      <c r="CH179" s="299" t="str">
        <f>IF(BT179&gt;(--"00:15:00"),"X","")</f>
        <v/>
      </c>
      <c r="CI179" s="302" t="str">
        <f>AY179</f>
        <v/>
      </c>
      <c r="CJ179" s="299" t="str">
        <f>IF(AND(CH179&lt;&gt;"",CI179&lt;&gt;"",LEFT(B179,3)="ITD"),AP179,"")</f>
        <v/>
      </c>
      <c r="CK179" s="305" t="str">
        <f>IF(CJ179&lt;&gt;"",BT179,"")</f>
        <v/>
      </c>
      <c r="CL179" s="301"/>
      <c r="CM179" s="305" t="str">
        <f>IFERROR(VLOOKUP(Q179,'Elenco Casse'!$D$4:$F$292,3,FALSE),"")</f>
        <v/>
      </c>
      <c r="CN179" s="301"/>
      <c r="CO179" s="305" t="str">
        <f>IFERROR(VLOOKUP(S179,'Elenco Casse'!$D$4:$F$292,3,FALSE),"")</f>
        <v/>
      </c>
      <c r="CP179" s="305" t="str">
        <f>IFERROR(IF(VLOOKUP($E179,Outlist!$A$5:$S$120,19,FALSE)&lt;&gt;0,"Y",""),"")</f>
        <v/>
      </c>
      <c r="CQ179" s="301"/>
      <c r="CR179" s="305" t="str">
        <f>CONCATENATE($B179,$E179,$G179)</f>
        <v>ITD12416ILJ0.260416666666667</v>
      </c>
      <c r="CS179" s="301"/>
      <c r="CT179" s="305" t="e">
        <f>VLOOKUP(Out_Table[[#This Row],[Destination             ORANGE (From Planning)]],Outlist!$A$5:$W$120,22,FALSE)</f>
        <v>#N/A</v>
      </c>
    </row>
    <row r="180" spans="1:98" s="20" customFormat="1" ht="30.75">
      <c r="A180" s="305" t="str">
        <f>$CR180</f>
        <v>ITD12003BA50.00694444444444444</v>
      </c>
      <c r="B180" s="284" t="s">
        <v>1076</v>
      </c>
      <c r="C180" s="290" t="str">
        <f>IFERROR(IF(LEFT(B180,3)='STAT 77'!$X$2,_xlfn.XLOOKUP(B180,'STAT 77'!C:C,'STAT 77'!B:B),_xlfn.XLOOKUP(B180,'STAT 77'!B:B,'STAT 77'!C:C)),"NON TROVATO")</f>
        <v>ITD30718</v>
      </c>
      <c r="D180" s="25" t="s">
        <v>707</v>
      </c>
      <c r="E180" s="290" t="s">
        <v>708</v>
      </c>
      <c r="F180" s="290" t="str">
        <f>IFERROR(VLOOKUP(E180,'Cambio O2P'!C:E,2,FALSE),"")</f>
        <v>BRIP</v>
      </c>
      <c r="G180" s="285">
        <v>6.9444444444444441E-3</v>
      </c>
      <c r="H180" s="293" t="str">
        <f ca="1">IFERROR(IF(AND('INformazioni per calcoli'!$AB$3&lt;(--"14:30"),'INformazioni per calcoli'!$AB$3&gt;(--"10:00")),"",IF($B180="","",IF($X180&lt;&gt;"","Mezzo Chiuso",IF($W180="","Non al Carico",IF($G180-'INformazioni per calcoli'!$AB$5-'INformazioni per calcoli'!$AB$3+$J180&lt;0,"LFLS",IF($K180&lt;&gt;"","Safe Parking",IF($W180&lt;&gt;"",IF($E180="MXP",$G180-'INformazioni per calcoli'!$AB$6-'INformazioni per calcoli'!$AB$3+$J180,$G180-'INformazioni per calcoli'!$AB$5-'INformazioni per calcoli'!$AB$3+$J180),"Non al carico"))))))),"")</f>
        <v>Mezzo Chiuso</v>
      </c>
      <c r="I180" s="17" t="str">
        <f ca="1">IFERROR(IF($H180&lt;&gt;"",IF($H180="Safe Parking","",IF($W180&lt;&gt;"",IF(AND($U180="X",$V180="X"),$H180-(--"00:30"),""),IF($X180&lt;&gt;"","Mezzo Chiuso","Non al carico"))),""),"")</f>
        <v/>
      </c>
      <c r="J180" s="306">
        <f ca="1">IFERROR(IF($B180&lt;&gt;"",IF(AND('INformazioni per calcoli'!$AB$3&lt;(--"15:00"),'INformazioni per calcoli'!$AB$3&gt;(--"00:00")),0,IF($G180&lt;(--"18:30"),"+1",0)),""),"")</f>
        <v>0</v>
      </c>
      <c r="K180" s="17"/>
      <c r="L180" s="25" t="s">
        <v>812</v>
      </c>
      <c r="M180" s="25" t="str">
        <f>IFERROR(_xlfn.XLOOKUP($Q180,'Elenco Casse'!$D:$D,'Elenco Casse'!$E:$E),"")</f>
        <v>Nuova Express line</v>
      </c>
      <c r="N180" s="25">
        <f>IFERROR(_xlfn.XLOOKUP($Q180,'Elenco Casse'!$D:$D,'Elenco Casse'!$F:$F),"")</f>
        <v>0</v>
      </c>
      <c r="O180" s="286" t="s">
        <v>418</v>
      </c>
      <c r="P180" s="295" t="str">
        <f>IFERROR(_xlfn.XLOOKUP($Q180,'Elenco Casse'!$D:$D,'Elenco Casse'!$G:$G),"")</f>
        <v>trailer 80 m3 2/3 axes</v>
      </c>
      <c r="Q180" s="355" t="s">
        <v>1077</v>
      </c>
      <c r="R180" s="23" t="s">
        <v>420</v>
      </c>
      <c r="S180" s="25" t="s">
        <v>421</v>
      </c>
      <c r="T180" s="25" t="s">
        <v>1078</v>
      </c>
      <c r="U180" s="23" t="str">
        <f>IF(ISNUMBER(SEARCH("Parcel",$T180)),"X","")</f>
        <v/>
      </c>
      <c r="V180" s="23" t="str">
        <f>IF(ISNUMBER(SEARCH("Freight",$T180)),"X","")</f>
        <v>X</v>
      </c>
      <c r="W180" s="26">
        <v>819</v>
      </c>
      <c r="X180" s="27">
        <v>0.98888888888888893</v>
      </c>
      <c r="Y180" s="25" t="s">
        <v>624</v>
      </c>
      <c r="Z180" s="25"/>
      <c r="AA180" s="25" t="s">
        <v>487</v>
      </c>
      <c r="AB180" s="57">
        <v>1</v>
      </c>
      <c r="AC180" s="25"/>
      <c r="AD180" s="25"/>
      <c r="AE180" s="57"/>
      <c r="AF180" s="57"/>
      <c r="AG180" s="25" t="s">
        <v>488</v>
      </c>
      <c r="AH180" s="57"/>
      <c r="AI180" s="339"/>
      <c r="AJ180" s="339"/>
      <c r="AK180" s="297" t="str">
        <f>IF(X180&lt;&gt;"",CONCATENATE(IF(AA180&lt;&gt;"",CONCATENATE(Z180," ",AA180," ",BI180),""),IF(AD180&lt;&gt;"",CONCATENATE(","," ",AC180," ",AD180," ",BJ180),""),IF(AG180&lt;&gt;"",CONCATENATE(","," ",AF180," ",AG180," ",BK180),""),IF(AJ180&lt;&gt;"",CONCATENATE(","," ","DD"," ",BL180),"")," ",IF(AI180&lt;&gt;"",CONCATENATE(" - ",AI180," Bag"),"")),"")</f>
        <v xml:space="preserve"> FRT 14,  DG 0 </v>
      </c>
      <c r="AL180" s="287" t="s">
        <v>421</v>
      </c>
      <c r="AM180" s="287"/>
      <c r="AN180" s="287"/>
      <c r="AO180" s="287"/>
      <c r="AP180" s="370" t="str">
        <f>IFERROR(VLOOKUP(#REF!,Outlist!$A$5:$V$120,20,FALSE),"")</f>
        <v/>
      </c>
      <c r="AQ180" s="288" t="s">
        <v>1079</v>
      </c>
      <c r="AS180" s="24"/>
      <c r="AT180" s="24">
        <v>0.83263888888888893</v>
      </c>
      <c r="AU180" s="27">
        <v>0.9868055555555556</v>
      </c>
      <c r="AV180" s="27"/>
      <c r="AW180" s="20" t="s">
        <v>443</v>
      </c>
      <c r="AX180" s="20" t="str">
        <f>IFERROR(IF(Out_Table[[#This Row],[Cancellazione linea]]="Cancellata","yes",""),"")</f>
        <v/>
      </c>
      <c r="AY180" s="72" t="str">
        <f>IF(BA180="",BZ180,IF(AND(BA180&lt;(--"23:59:59"),BA180&gt;(--"15:00:00"),G180&lt;(--"14:00:00"),G180&gt;(--"00:00:01")),"",IF(BA180&gt;G180,BZ180,"")))</f>
        <v>Chiamare Control Room</v>
      </c>
      <c r="AZ180" s="27"/>
      <c r="BA180" s="32">
        <v>1.5277777777777777E-2</v>
      </c>
      <c r="BB180" s="72"/>
      <c r="BC180" s="72" t="str">
        <f>IFERROR(VLOOKUP(Out_Table[[#This Row],[Aggiornamento STATUS]],'INformazioni per calcoli'!$Y$70:$AA$76,2,FALSE),"")</f>
        <v/>
      </c>
      <c r="BD180" s="289"/>
      <c r="BE180" s="289"/>
      <c r="BF180" s="47" t="str">
        <f>LEFT($E180,3)</f>
        <v>BA5</v>
      </c>
      <c r="BG180" s="298" t="str">
        <f>IF(Out_Table[[#This Row],[Ora Uscita    (GH)]]&lt;&gt;"","x","")</f>
        <v>x</v>
      </c>
      <c r="BH180" s="299">
        <f>VLOOKUP($O180,'INformazioni per calcoli'!$Y$20:$AA$23,3,FALSE)</f>
        <v>14</v>
      </c>
      <c r="BI180" s="299">
        <f>MROUND(Out_Table[[#This Row],[Mtr. Trailer]]*AB180,0.5)</f>
        <v>14</v>
      </c>
      <c r="BJ180" s="299">
        <f>MROUND(Out_Table[[#This Row],[Mtr. Trailer]]*AE180,0.5)</f>
        <v>0</v>
      </c>
      <c r="BK180" s="299">
        <f>MROUND(Out_Table[[#This Row],[Mtr. Trailer]]*AH180,0.5)</f>
        <v>0</v>
      </c>
      <c r="BL180" s="300">
        <f>Out_Table[[#This Row],[Double Deck trailer N° bumpers]]</f>
        <v>0</v>
      </c>
      <c r="BM180" s="301"/>
      <c r="BN180" s="299" t="str">
        <f>B180</f>
        <v>ITD12003</v>
      </c>
      <c r="BO180" s="299" t="str">
        <f>E180</f>
        <v>BA5</v>
      </c>
      <c r="BP180" s="302">
        <f>IF(AND(G180&gt;(--"00:00:01"),G180&lt;(--"15:00:00")),IF(AND(X180&gt;(--"00:00:01"),X180&lt;(--"15:00:00")),G180-X180,G180+1-X180),G180-X180)</f>
        <v>1.8055555555555491E-2</v>
      </c>
      <c r="BQ180" s="303">
        <f>AE180+AF180+AH180+AJ180</f>
        <v>0</v>
      </c>
      <c r="BR180" s="304" t="str">
        <f>IF(OR(BP180&lt;=(--"00:20:00"),BQ180&gt;=100%),"OK","Not OK")</f>
        <v>Not OK</v>
      </c>
      <c r="BS180" s="302">
        <f>IF(AND(G180&gt;(--"00:00:01"),G180&lt;(--"15:00:00")),IF(AND(AU180&gt;(--"00:00:01"),AU180&lt;(--"15:00:00")),G180-AU180,G180+1-AU180),G180-AU180)</f>
        <v>2.0138888888888817E-2</v>
      </c>
      <c r="BT180" s="302">
        <f>IF(AND(AZ180&gt;(--"00:00:01"),AZ180&lt;(--"15:00:00")),IF(AND(AU180&gt;(--"00:00:01"),AU180&lt;(--"15:00:00")),AZ180-AU180,AZ180+1-AU180),AZ180-AU180)</f>
        <v>-0.9868055555555556</v>
      </c>
      <c r="BU180" s="302">
        <f>IF(AND(BA180&gt;(--"00:00:01"),BA180&lt;(--"15:00:00")),IF(AND(AZ180&gt;(--"00:00:01"),AZ180&lt;(--"15:00:00")),BA180-AZ180,BA180+1-AZ180),BA180-AZ180)</f>
        <v>1.0152777777777777</v>
      </c>
      <c r="BV180" s="299">
        <f>AV180</f>
        <v>0</v>
      </c>
      <c r="BW180" s="301"/>
      <c r="BX180" s="299" t="str">
        <f>IF(AV180="T Status",IF(AV180&lt;&gt;T180,"X",""),"")</f>
        <v/>
      </c>
      <c r="BY180" s="301"/>
      <c r="BZ180" s="299" t="str">
        <f>IF(X180&lt;&gt;"",IF(CC180="X","Driver Delay",IF(CA180="X","Paperwork Delay",IF(CB180="X","Late freight late sort",IF(CD180="X","Chiamare Control Room",IF(CE180="X","Chiamare Control Room",IF(CF180="X","Chiamare Control Room","")))))),"")</f>
        <v>Chiamare Control Room</v>
      </c>
      <c r="CA180" s="302" t="str">
        <f>IF(K180="",IF(IF(AND(G180&gt;(--"00:00:01"),G180&lt;(--"15:00:00")),IF(AND(AT180&gt;(--"08:00:00"),AT180&lt;(--"23:59:59")),G180+1-AT180,G180-AT180),G180-AT180)&gt;(--"00:20:00"),"","X"),"")</f>
        <v/>
      </c>
      <c r="CB180" s="299" t="str">
        <f>IF(K180="",IF(BP180&gt;=(--"00:20:00"),"","X"),"")</f>
        <v/>
      </c>
      <c r="CC180" s="299" t="str">
        <f>IF(OR(AV180="Autista non presente",AV180="Dati driver non presenti"),"X","")</f>
        <v/>
      </c>
      <c r="CD180" s="299" t="str">
        <f>IF(K180="",IF(AND(CC180="",BS180&lt;(--"00:20:00")),"X",""),"")</f>
        <v/>
      </c>
      <c r="CE180" s="299" t="str">
        <f>IF(K180="",IF(BT180&gt;(--"00:15:00"),"X",""),IF(AZ180&lt;&gt;"",IF(G180-AZ180&gt;(--"00:30:00"),"X",""),""))</f>
        <v/>
      </c>
      <c r="CF180" s="299" t="str">
        <f>IF(AND(CA180="",CB180="",CC180="",CD180="",CE180=""),"X","")</f>
        <v>X</v>
      </c>
      <c r="CG180" s="301"/>
      <c r="CH180" s="299" t="str">
        <f>IF(BT180&gt;(--"00:15:00"),"X","")</f>
        <v/>
      </c>
      <c r="CI180" s="302" t="str">
        <f>AY180</f>
        <v>Chiamare Control Room</v>
      </c>
      <c r="CJ180" s="299" t="str">
        <f>IF(AND(CH180&lt;&gt;"",CI180&lt;&gt;"",LEFT(B180,3)="ITD"),AP180,"")</f>
        <v/>
      </c>
      <c r="CK180" s="305" t="str">
        <f>IF(CJ180&lt;&gt;"",BT180,"")</f>
        <v/>
      </c>
      <c r="CL180" s="301"/>
      <c r="CM180" s="305" t="str">
        <f>IFERROR(VLOOKUP(Q180,'Elenco Casse'!$D$4:$F$292,3,FALSE),"")</f>
        <v/>
      </c>
      <c r="CN180" s="301"/>
      <c r="CO180" s="305" t="str">
        <f>IFERROR(VLOOKUP(S180,'Elenco Casse'!$D$4:$F$292,3,FALSE),"")</f>
        <v/>
      </c>
      <c r="CP180" s="305" t="str">
        <f>IFERROR(IF(VLOOKUP($E180,Outlist!$A$5:$S$120,19,FALSE)&lt;&gt;0,"Y",""),"")</f>
        <v/>
      </c>
      <c r="CQ180" s="301"/>
      <c r="CR180" s="305" t="str">
        <f>CONCATENATE($B180,$E180,$G180)</f>
        <v>ITD12003BA50.00694444444444444</v>
      </c>
      <c r="CS180" s="301"/>
      <c r="CT180" s="305" t="e">
        <f>VLOOKUP(Out_Table[[#This Row],[Destination             ORANGE (From Planning)]],Outlist!$A$5:$W$120,22,FALSE)</f>
        <v>#N/A</v>
      </c>
    </row>
    <row r="181" spans="1:98" s="20" customFormat="1" ht="30.75">
      <c r="A181" s="305" t="str">
        <f>$CR181</f>
        <v>ITD12024NC30.940972222222222</v>
      </c>
      <c r="B181" s="284" t="s">
        <v>1080</v>
      </c>
      <c r="C181" s="290" t="str">
        <f>IFERROR(IF(LEFT(B181,3)='STAT 77'!$X$2,_xlfn.XLOOKUP(B181,'STAT 77'!C:C,'STAT 77'!B:B),_xlfn.XLOOKUP(B181,'STAT 77'!B:B,'STAT 77'!C:C)),"NON TROVATO")</f>
        <v>ITD30746</v>
      </c>
      <c r="D181" s="25" t="s">
        <v>804</v>
      </c>
      <c r="E181" s="290" t="s">
        <v>805</v>
      </c>
      <c r="F181" s="290" t="str">
        <f>IFERROR(VLOOKUP(E181,'Cambio O2P'!C:E,2,FALSE),"")</f>
        <v>SAYA</v>
      </c>
      <c r="G181" s="285">
        <v>0.94097222222222221</v>
      </c>
      <c r="H181" s="293" t="str">
        <f ca="1">IFERROR(IF(AND('INformazioni per calcoli'!$AB$3&lt;(--"14:30"),'INformazioni per calcoli'!$AB$3&gt;(--"10:00")),"",IF($B181="","",IF($X181&lt;&gt;"","Mezzo Chiuso",IF($W181="","Non al Carico",IF($G181-'INformazioni per calcoli'!$AB$5-'INformazioni per calcoli'!$AB$3+$J181&lt;0,"LFLS",IF($K181&lt;&gt;"","Safe Parking",IF($W181&lt;&gt;"",IF($E181="MXP",$G181-'INformazioni per calcoli'!$AB$6-'INformazioni per calcoli'!$AB$3+$J181,$G181-'INformazioni per calcoli'!$AB$5-'INformazioni per calcoli'!$AB$3+$J181),"Non al carico"))))))),"")</f>
        <v>Mezzo Chiuso</v>
      </c>
      <c r="I181" s="17" t="str">
        <f ca="1">IFERROR(IF($H181&lt;&gt;"",IF($H181="Safe Parking","",IF($W181&lt;&gt;"",IF(AND($U181="X",$V181="X"),$H181-(--"00:30"),""),IF($X181&lt;&gt;"","Mezzo Chiuso","Non al carico"))),""),"")</f>
        <v/>
      </c>
      <c r="J181" s="306">
        <f ca="1">IFERROR(IF($B181&lt;&gt;"",IF(AND('INformazioni per calcoli'!$AB$3&lt;(--"15:00"),'INformazioni per calcoli'!$AB$3&gt;(--"00:00")),0,IF($G181&lt;(--"18:30"),"+1",0)),""),"")</f>
        <v>0</v>
      </c>
      <c r="K181" s="17"/>
      <c r="L181" s="25" t="s">
        <v>692</v>
      </c>
      <c r="M181" s="25" t="str">
        <f>IFERROR(_xlfn.XLOOKUP($Q181,'Elenco Casse'!$D:$D,'Elenco Casse'!$E:$E),"")</f>
        <v/>
      </c>
      <c r="N181" s="25" t="str">
        <f>IFERROR(_xlfn.XLOOKUP($Q181,'Elenco Casse'!$D:$D,'Elenco Casse'!$F:$F),"")</f>
        <v/>
      </c>
      <c r="O181" s="286" t="s">
        <v>418</v>
      </c>
      <c r="P181" s="295" t="str">
        <f>IFERROR(_xlfn.XLOOKUP($Q181,'Elenco Casse'!$D:$D,'Elenco Casse'!$G:$G),"")</f>
        <v/>
      </c>
      <c r="Q181" s="355" t="s">
        <v>1081</v>
      </c>
      <c r="R181" s="23" t="s">
        <v>420</v>
      </c>
      <c r="S181" s="25" t="s">
        <v>421</v>
      </c>
      <c r="T181" s="25" t="s">
        <v>900</v>
      </c>
      <c r="U181" s="23" t="str">
        <f>IF(ISNUMBER(SEARCH("Parcel",$T181)),"X","")</f>
        <v/>
      </c>
      <c r="V181" s="23" t="str">
        <f>IF(ISNUMBER(SEARCH("Freight",$T181)),"X","")</f>
        <v>X</v>
      </c>
      <c r="W181" s="26">
        <v>820</v>
      </c>
      <c r="X181" s="27">
        <v>0.8833333333333333</v>
      </c>
      <c r="Y181" s="25" t="str">
        <f>IF(Out_Table[[#This Row],[DOC Del. hr. (RTH)]]&lt;&gt;"","XXX","")</f>
        <v>XXX</v>
      </c>
      <c r="Z181" s="25"/>
      <c r="AA181" s="25" t="s">
        <v>487</v>
      </c>
      <c r="AB181" s="57">
        <v>1</v>
      </c>
      <c r="AC181" s="25"/>
      <c r="AD181" s="25"/>
      <c r="AE181" s="57"/>
      <c r="AF181" s="57"/>
      <c r="AG181" s="25" t="s">
        <v>488</v>
      </c>
      <c r="AH181" s="57"/>
      <c r="AI181" s="339"/>
      <c r="AJ181" s="339"/>
      <c r="AK181" s="297" t="str">
        <f>IF(X181&lt;&gt;"",CONCATENATE(IF(AA181&lt;&gt;"",CONCATENATE(Z181," ",AA181," ",BI181),""),IF(AD181&lt;&gt;"",CONCATENATE(","," ",AC181," ",AD181," ",BJ181),""),IF(AG181&lt;&gt;"",CONCATENATE(","," ",AF181," ",AG181," ",BK181),""),IF(AJ181&lt;&gt;"",CONCATENATE(","," ","DD"," ",BL181),"")," ",IF(AI181&lt;&gt;"",CONCATENATE(" - ",AI181," Bag"),"")),"")</f>
        <v xml:space="preserve"> FRT 14,  DG 0 </v>
      </c>
      <c r="AL181" s="287" t="s">
        <v>421</v>
      </c>
      <c r="AM181" s="287"/>
      <c r="AN181" s="287"/>
      <c r="AO181" s="287"/>
      <c r="AP181" s="370">
        <f>IFERROR(VLOOKUP($E178,Outlist!$A$5:$V$120,20,FALSE),"")</f>
        <v>0</v>
      </c>
      <c r="AQ181" s="288" t="s">
        <v>1082</v>
      </c>
      <c r="AS181" s="24"/>
      <c r="AT181" s="24">
        <v>0.46319444444444446</v>
      </c>
      <c r="AU181" s="27">
        <v>0.92013888888888884</v>
      </c>
      <c r="AV181" s="27" t="s">
        <v>736</v>
      </c>
      <c r="AW181" s="20" t="s">
        <v>1083</v>
      </c>
      <c r="AX181" s="20" t="str">
        <f>IFERROR(IF(Out_Table[[#This Row],[Cancellazione linea]]="Cancellata","yes",""),"")</f>
        <v/>
      </c>
      <c r="AY181" s="72" t="str">
        <f>IF(BA181="",BZ181,IF(AND(BA181&lt;(--"23:59:59"),BA181&gt;(--"15:00:00"),G181&lt;(--"14:00:00"),G181&gt;(--"00:00:01")),"",IF(BA181&gt;G181,BZ181,"")))</f>
        <v/>
      </c>
      <c r="AZ181" s="27">
        <v>0.92291666666666672</v>
      </c>
      <c r="BA181" s="32">
        <v>0.93055555555555558</v>
      </c>
      <c r="BB181" s="72"/>
      <c r="BC181" s="72" t="str">
        <f>IFERROR(VLOOKUP(Out_Table[[#This Row],[Aggiornamento STATUS]],'INformazioni per calcoli'!$Y$70:$AA$76,2,FALSE),"")</f>
        <v/>
      </c>
      <c r="BD181" s="289"/>
      <c r="BE181" s="289"/>
      <c r="BF181" s="47" t="str">
        <f>LEFT($E181,3)</f>
        <v>NC3</v>
      </c>
      <c r="BG181" s="298" t="str">
        <f>IF(Out_Table[[#This Row],[Ora Uscita    (GH)]]&lt;&gt;"","x","")</f>
        <v>x</v>
      </c>
      <c r="BH181" s="299">
        <f>VLOOKUP($O181,'INformazioni per calcoli'!$Y$20:$AA$23,3,FALSE)</f>
        <v>14</v>
      </c>
      <c r="BI181" s="299">
        <f>MROUND(Out_Table[[#This Row],[Mtr. Trailer]]*AB181,0.5)</f>
        <v>14</v>
      </c>
      <c r="BJ181" s="299">
        <f>MROUND(Out_Table[[#This Row],[Mtr. Trailer]]*AE181,0.5)</f>
        <v>0</v>
      </c>
      <c r="BK181" s="299">
        <f>MROUND(Out_Table[[#This Row],[Mtr. Trailer]]*AH181,0.5)</f>
        <v>0</v>
      </c>
      <c r="BL181" s="300">
        <f>Out_Table[[#This Row],[Double Deck trailer N° bumpers]]</f>
        <v>0</v>
      </c>
      <c r="BM181" s="301"/>
      <c r="BN181" s="299" t="str">
        <f>B181</f>
        <v>ITD12024</v>
      </c>
      <c r="BO181" s="299" t="str">
        <f>E181</f>
        <v>NC3</v>
      </c>
      <c r="BP181" s="302">
        <f>IF(AND(G181&gt;(--"00:00:01"),G181&lt;(--"15:00:00")),IF(AND(X181&gt;(--"00:00:01"),X181&lt;(--"15:00:00")),G181-X181,G181+1-X181),G181-X181)</f>
        <v>5.7638888888888906E-2</v>
      </c>
      <c r="BQ181" s="303">
        <f>AE181+AF181+AH181+AJ181</f>
        <v>0</v>
      </c>
      <c r="BR181" s="304" t="str">
        <f>IF(OR(BP181&lt;=(--"00:20:00"),BQ181&gt;=100%),"OK","Not OK")</f>
        <v>Not OK</v>
      </c>
      <c r="BS181" s="302">
        <f>IF(AND(G181&gt;(--"00:00:01"),G181&lt;(--"15:00:00")),IF(AND(AU181&gt;(--"00:00:01"),AU181&lt;(--"15:00:00")),G181-AU181,G181+1-AU181),G181-AU181)</f>
        <v>2.083333333333337E-2</v>
      </c>
      <c r="BT181" s="302">
        <f>IF(AND(AZ181&gt;(--"00:00:01"),AZ181&lt;(--"15:00:00")),IF(AND(AU181&gt;(--"00:00:01"),AU181&lt;(--"15:00:00")),AZ181-AU181,AZ181+1-AU181),AZ181-AU181)</f>
        <v>2.7777777777778789E-3</v>
      </c>
      <c r="BU181" s="302">
        <f>IF(AND(BA181&gt;(--"00:00:01"),BA181&lt;(--"15:00:00")),IF(AND(AZ181&gt;(--"00:00:01"),AZ181&lt;(--"15:00:00")),BA181-AZ181,BA181+1-AZ181),BA181-AZ181)</f>
        <v>7.6388888888888618E-3</v>
      </c>
      <c r="BV181" s="299" t="str">
        <f>AV181</f>
        <v>Autista non presente</v>
      </c>
      <c r="BW181" s="301"/>
      <c r="BX181" s="299" t="str">
        <f>IF(AV181="T Status",IF(AV181&lt;&gt;T181,"X",""),"")</f>
        <v/>
      </c>
      <c r="BY181" s="301"/>
      <c r="BZ181" s="299" t="str">
        <f>IF(X181&lt;&gt;"",IF(CC181="X","Driver Delay",IF(CA181="X","Paperwork Delay",IF(CB181="X","Late freight late sort",IF(CD181="X","Chiamare Control Room",IF(CE181="X","Chiamare Control Room",IF(CF181="X","Chiamare Control Room","")))))),"")</f>
        <v>Driver Delay</v>
      </c>
      <c r="CA181" s="302" t="str">
        <f>IF(K181="",IF(IF(AND(G181&gt;(--"00:00:01"),G181&lt;(--"15:00:00")),IF(AND(AT181&gt;(--"08:00:00"),AT181&lt;(--"23:59:59")),G181+1-AT181,G181-AT181),G181-AT181)&gt;(--"00:20:00"),"","X"),"")</f>
        <v/>
      </c>
      <c r="CB181" s="299" t="str">
        <f>IF(K181="",IF(BP181&gt;=(--"00:20:00"),"","X"),"")</f>
        <v/>
      </c>
      <c r="CC181" s="299" t="str">
        <f>IF(OR(AV181="Autista non presente",AV181="Dati driver non presenti"),"X","")</f>
        <v>X</v>
      </c>
      <c r="CD181" s="299" t="str">
        <f>IF(K181="",IF(AND(CC181="",BS181&lt;(--"00:20:00")),"X",""),"")</f>
        <v/>
      </c>
      <c r="CE181" s="299" t="str">
        <f>IF(K181="",IF(BT181&gt;(--"00:15:00"),"X",""),IF(AZ181&lt;&gt;"",IF(G181-AZ181&gt;(--"00:30:00"),"X",""),""))</f>
        <v/>
      </c>
      <c r="CF181" s="299" t="str">
        <f>IF(AND(CA181="",CB181="",CC181="",CD181="",CE181=""),"X","")</f>
        <v/>
      </c>
      <c r="CG181" s="301"/>
      <c r="CH181" s="299" t="str">
        <f>IF(BT181&gt;(--"00:15:00"),"X","")</f>
        <v/>
      </c>
      <c r="CI181" s="302" t="str">
        <f>AY181</f>
        <v/>
      </c>
      <c r="CJ181" s="299" t="str">
        <f>IF(AND(CH181&lt;&gt;"",CI181&lt;&gt;"",LEFT(B181,3)="ITD"),AP181,"")</f>
        <v/>
      </c>
      <c r="CK181" s="305" t="str">
        <f>IF(CJ181&lt;&gt;"",BT181,"")</f>
        <v/>
      </c>
      <c r="CL181" s="301"/>
      <c r="CM181" s="305" t="str">
        <f>IFERROR(VLOOKUP(Q181,'Elenco Casse'!$D$4:$F$292,3,FALSE),"")</f>
        <v/>
      </c>
      <c r="CN181" s="301"/>
      <c r="CO181" s="305" t="str">
        <f>IFERROR(VLOOKUP(S181,'Elenco Casse'!$D$4:$F$292,3,FALSE),"")</f>
        <v/>
      </c>
      <c r="CP181" s="305" t="str">
        <f>IFERROR(IF(VLOOKUP($E181,Outlist!$A$5:$S$120,19,FALSE)&lt;&gt;0,"Y",""),"")</f>
        <v/>
      </c>
      <c r="CQ181" s="301"/>
      <c r="CR181" s="305" t="str">
        <f>CONCATENATE($B181,$E181,$G181)</f>
        <v>ITD12024NC30.940972222222222</v>
      </c>
      <c r="CS181" s="301"/>
      <c r="CT181" s="305" t="e">
        <f>VLOOKUP(Out_Table[[#This Row],[Destination             ORANGE (From Planning)]],Outlist!$A$5:$W$120,22,FALSE)</f>
        <v>#N/A</v>
      </c>
    </row>
    <row r="182" spans="1:98" s="20" customFormat="1" ht="30.75">
      <c r="A182" s="305" t="str">
        <f>$CR182</f>
        <v>ITD12013NC30.940972222222222</v>
      </c>
      <c r="B182" s="284" t="s">
        <v>1084</v>
      </c>
      <c r="C182" s="290" t="str">
        <f>IFERROR(IF(LEFT(B182,3)='STAT 77'!$X$2,_xlfn.XLOOKUP(B182,'STAT 77'!C:C,'STAT 77'!B:B),_xlfn.XLOOKUP(B182,'STAT 77'!B:B,'STAT 77'!C:C)),"NON TROVATO")</f>
        <v>ITD30734</v>
      </c>
      <c r="D182" s="25" t="s">
        <v>804</v>
      </c>
      <c r="E182" s="290" t="s">
        <v>805</v>
      </c>
      <c r="F182" s="290" t="str">
        <f>IFERROR(VLOOKUP(E182,'Cambio O2P'!C:E,2,FALSE),"")</f>
        <v>SAYA</v>
      </c>
      <c r="G182" s="285">
        <v>0.94097222222222221</v>
      </c>
      <c r="H182" s="293" t="str">
        <f ca="1">IFERROR(IF(AND('INformazioni per calcoli'!$AB$3&lt;(--"14:30"),'INformazioni per calcoli'!$AB$3&gt;(--"10:00")),"",IF($B182="","",IF($X182&lt;&gt;"","Mezzo Chiuso",IF($W182="","Non al Carico",IF($G182-'INformazioni per calcoli'!$AB$5-'INformazioni per calcoli'!$AB$3+$J182&lt;0,"LFLS",IF($K182&lt;&gt;"","Safe Parking",IF($W182&lt;&gt;"",IF($E182="MXP",$G182-'INformazioni per calcoli'!$AB$6-'INformazioni per calcoli'!$AB$3+$J182,$G182-'INformazioni per calcoli'!$AB$5-'INformazioni per calcoli'!$AB$3+$J182),"Non al carico"))))))),"")</f>
        <v>Mezzo Chiuso</v>
      </c>
      <c r="I182" s="17"/>
      <c r="J182" s="306">
        <f ca="1">IFERROR(IF($B182&lt;&gt;"",IF(AND('INformazioni per calcoli'!$AB$3&lt;(--"15:00"),'INformazioni per calcoli'!$AB$3&gt;(--"00:00")),0,IF($G182&lt;(--"18:30"),"+1",0)),""),"")</f>
        <v>0</v>
      </c>
      <c r="K182" s="17"/>
      <c r="L182" s="25" t="s">
        <v>692</v>
      </c>
      <c r="M182" s="25" t="str">
        <f>IFERROR(_xlfn.XLOOKUP($Q182,'Elenco Casse'!$D:$D,'Elenco Casse'!$E:$E),"")</f>
        <v>Canguro S.P.A.</v>
      </c>
      <c r="N182" s="25">
        <f>IFERROR(_xlfn.XLOOKUP($Q182,'Elenco Casse'!$D:$D,'Elenco Casse'!$F:$F),"")</f>
        <v>0</v>
      </c>
      <c r="O182" s="286" t="s">
        <v>418</v>
      </c>
      <c r="P182" s="295" t="str">
        <f>IFERROR(_xlfn.XLOOKUP($Q182,'Elenco Casse'!$D:$D,'Elenco Casse'!$G:$G),"")</f>
        <v>trailer 80 m3 2/3 axes</v>
      </c>
      <c r="Q182" s="355" t="s">
        <v>1085</v>
      </c>
      <c r="R182" s="23" t="s">
        <v>420</v>
      </c>
      <c r="S182" s="25" t="s">
        <v>421</v>
      </c>
      <c r="T182" s="25" t="s">
        <v>482</v>
      </c>
      <c r="U182" s="23" t="str">
        <f>IF(ISNUMBER(SEARCH("Parcel",$T182)),"X","")</f>
        <v>X</v>
      </c>
      <c r="V182" s="23" t="s">
        <v>500</v>
      </c>
      <c r="W182" s="26">
        <v>820</v>
      </c>
      <c r="X182" s="27">
        <v>0.91527777777777775</v>
      </c>
      <c r="Y182" s="25" t="str">
        <f>IF(Out_Table[[#This Row],[DOC Del. hr. (RTH)]]&lt;&gt;"","XXX","")</f>
        <v>XXX</v>
      </c>
      <c r="Z182" s="25"/>
      <c r="AA182" s="25" t="s">
        <v>40</v>
      </c>
      <c r="AB182" s="57">
        <v>0.6</v>
      </c>
      <c r="AC182" s="25"/>
      <c r="AD182" s="25" t="s">
        <v>487</v>
      </c>
      <c r="AE182" s="57">
        <v>0.2</v>
      </c>
      <c r="AF182" s="57"/>
      <c r="AG182" s="25"/>
      <c r="AH182" s="57"/>
      <c r="AI182" s="339">
        <v>8</v>
      </c>
      <c r="AJ182" s="339"/>
      <c r="AK182" s="297" t="str">
        <f>IF(X182&lt;&gt;"",CONCATENATE(IF(AA182&lt;&gt;"",CONCATENATE(Z182," ",AA182," ",BI182),""),IF(AD182&lt;&gt;"",CONCATENATE(","," ",AC182," ",AD182," ",BJ182),""),IF(AG182&lt;&gt;"",CONCATENATE(","," ",AF182," ",AG182," ",BK182),""),IF(AJ182&lt;&gt;"",CONCATENATE(","," ","DD"," ",BL182),"")," ",IF(AI182&lt;&gt;"",CONCATENATE(" - ",AI182," Bag"),"")),"")</f>
        <v xml:space="preserve"> LL 8.5,  FRT 3  - 8 Bag</v>
      </c>
      <c r="AL182" s="287" t="s">
        <v>421</v>
      </c>
      <c r="AM182" s="287"/>
      <c r="AN182" s="287"/>
      <c r="AO182" s="287"/>
      <c r="AP182" s="370" t="str">
        <f>IFERROR(VLOOKUP($E179,Outlist!$A$5:$V$120,20,FALSE),"")</f>
        <v/>
      </c>
      <c r="AQ182" s="288" t="s">
        <v>1086</v>
      </c>
      <c r="AS182" s="24"/>
      <c r="AT182" s="24">
        <v>0.7944444444444444</v>
      </c>
      <c r="AU182" s="27">
        <v>0.91597222222222219</v>
      </c>
      <c r="AV182" s="27"/>
      <c r="AW182" s="20" t="s">
        <v>443</v>
      </c>
      <c r="AX182" s="20" t="str">
        <f>IFERROR(IF(Out_Table[[#This Row],[Cancellazione linea]]="Cancellata","yes",""),"")</f>
        <v/>
      </c>
      <c r="AY182" s="72" t="str">
        <f>IF(BA182="",BZ182,IF(AND(BA182&lt;(--"23:59:59"),BA182&gt;(--"15:00:00"),G182&lt;(--"14:00:00"),G182&gt;(--"00:00:01")),"",IF(BA182&gt;G182,BZ182,"")))</f>
        <v/>
      </c>
      <c r="AZ182" s="27">
        <v>0.91805555555555551</v>
      </c>
      <c r="BA182" s="32">
        <v>0.92291666666666672</v>
      </c>
      <c r="BB182" s="72"/>
      <c r="BC182" s="72" t="str">
        <f>IFERROR(VLOOKUP(Out_Table[[#This Row],[Aggiornamento STATUS]],'INformazioni per calcoli'!$Y$70:$AA$76,2,FALSE),"")</f>
        <v/>
      </c>
      <c r="BD182" s="289"/>
      <c r="BE182" s="289"/>
      <c r="BF182" s="47" t="str">
        <f>LEFT($E182,3)</f>
        <v>NC3</v>
      </c>
      <c r="BG182" s="298" t="str">
        <f>IF(Out_Table[[#This Row],[Ora Uscita    (GH)]]&lt;&gt;"","x","")</f>
        <v>x</v>
      </c>
      <c r="BH182" s="299">
        <f>VLOOKUP($O182,'INformazioni per calcoli'!$Y$20:$AA$23,3,FALSE)</f>
        <v>14</v>
      </c>
      <c r="BI182" s="299">
        <f>MROUND(Out_Table[[#This Row],[Mtr. Trailer]]*AB182,0.5)</f>
        <v>8.5</v>
      </c>
      <c r="BJ182" s="299">
        <f>MROUND(Out_Table[[#This Row],[Mtr. Trailer]]*AE182,0.5)</f>
        <v>3</v>
      </c>
      <c r="BK182" s="299">
        <f>MROUND(Out_Table[[#This Row],[Mtr. Trailer]]*AH182,0.5)</f>
        <v>0</v>
      </c>
      <c r="BL182" s="300">
        <f>Out_Table[[#This Row],[Double Deck trailer N° bumpers]]</f>
        <v>0</v>
      </c>
      <c r="BM182" s="301"/>
      <c r="BN182" s="299" t="str">
        <f>B182</f>
        <v>ITD12013</v>
      </c>
      <c r="BO182" s="299" t="str">
        <f>E182</f>
        <v>NC3</v>
      </c>
      <c r="BP182" s="302">
        <f>IF(AND(G182&gt;(--"00:00:01"),G182&lt;(--"15:00:00")),IF(AND(X182&gt;(--"00:00:01"),X182&lt;(--"15:00:00")),G182-X182,G182+1-X182),G182-X182)</f>
        <v>2.5694444444444464E-2</v>
      </c>
      <c r="BQ182" s="303">
        <f>AE182+AF182+AH182+AJ182</f>
        <v>0.2</v>
      </c>
      <c r="BR182" s="304" t="str">
        <f>IF(OR(BP182&lt;=(--"00:20:00"),BQ182&gt;=100%),"OK","Not OK")</f>
        <v>Not OK</v>
      </c>
      <c r="BS182" s="302">
        <f>IF(AND(G182&gt;(--"00:00:01"),G182&lt;(--"15:00:00")),IF(AND(AU182&gt;(--"00:00:01"),AU182&lt;(--"15:00:00")),G182-AU182,G182+1-AU182),G182-AU182)</f>
        <v>2.5000000000000022E-2</v>
      </c>
      <c r="BT182" s="302">
        <f>IF(AND(AZ182&gt;(--"00:00:01"),AZ182&lt;(--"15:00:00")),IF(AND(AU182&gt;(--"00:00:01"),AU182&lt;(--"15:00:00")),AZ182-AU182,AZ182+1-AU182),AZ182-AU182)</f>
        <v>2.0833333333333259E-3</v>
      </c>
      <c r="BU182" s="302">
        <f>IF(AND(BA182&gt;(--"00:00:01"),BA182&lt;(--"15:00:00")),IF(AND(AZ182&gt;(--"00:00:01"),AZ182&lt;(--"15:00:00")),BA182-AZ182,BA182+1-AZ182),BA182-AZ182)</f>
        <v>4.8611111111112049E-3</v>
      </c>
      <c r="BV182" s="299">
        <f>AV182</f>
        <v>0</v>
      </c>
      <c r="BW182" s="301"/>
      <c r="BX182" s="299" t="str">
        <f>IF(AV182="T Status",IF(AV182&lt;&gt;T182,"X",""),"")</f>
        <v/>
      </c>
      <c r="BY182" s="301"/>
      <c r="BZ182" s="299" t="str">
        <f>IF(X182&lt;&gt;"",IF(CC182="X","Driver Delay",IF(CA182="X","Paperwork Delay",IF(CB182="X","Late freight late sort",IF(CD182="X","Chiamare Control Room",IF(CE182="X","Chiamare Control Room",IF(CF182="X","Chiamare Control Room","")))))),"")</f>
        <v>Chiamare Control Room</v>
      </c>
      <c r="CA182" s="302" t="str">
        <f>IF(K182="",IF(IF(AND(G182&gt;(--"00:00:01"),G182&lt;(--"15:00:00")),IF(AND(AT182&gt;(--"08:00:00"),AT182&lt;(--"23:59:59")),G182+1-AT182,G182-AT182),G182-AT182)&gt;(--"00:20:00"),"","X"),"")</f>
        <v/>
      </c>
      <c r="CB182" s="299" t="str">
        <f>IF(K182="",IF(BP182&gt;=(--"00:20:00"),"","X"),"")</f>
        <v/>
      </c>
      <c r="CC182" s="299" t="str">
        <f>IF(OR(AV182="Autista non presente",AV182="Dati driver non presenti"),"X","")</f>
        <v/>
      </c>
      <c r="CD182" s="299" t="str">
        <f>IF(K182="",IF(AND(CC182="",BS182&lt;(--"00:20:00")),"X",""),"")</f>
        <v/>
      </c>
      <c r="CE182" s="299" t="str">
        <f>IF(K182="",IF(BT182&gt;(--"00:15:00"),"X",""),IF(AZ182&lt;&gt;"",IF(G182-AZ182&gt;(--"00:30:00"),"X",""),""))</f>
        <v/>
      </c>
      <c r="CF182" s="299" t="str">
        <f>IF(AND(CA182="",CB182="",CC182="",CD182="",CE182=""),"X","")</f>
        <v>X</v>
      </c>
      <c r="CG182" s="301"/>
      <c r="CH182" s="299" t="str">
        <f>IF(BT182&gt;(--"00:15:00"),"X","")</f>
        <v/>
      </c>
      <c r="CI182" s="302" t="str">
        <f>AY182</f>
        <v/>
      </c>
      <c r="CJ182" s="299" t="str">
        <f>IF(AND(CH182&lt;&gt;"",CI182&lt;&gt;"",LEFT(B182,3)="ITD"),AP182,"")</f>
        <v/>
      </c>
      <c r="CK182" s="305" t="str">
        <f>IF(CJ182&lt;&gt;"",BT182,"")</f>
        <v/>
      </c>
      <c r="CL182" s="301"/>
      <c r="CM182" s="305" t="str">
        <f>IFERROR(VLOOKUP(Q182,'Elenco Casse'!$D$4:$F$292,3,FALSE),"")</f>
        <v/>
      </c>
      <c r="CN182" s="301"/>
      <c r="CO182" s="305" t="str">
        <f>IFERROR(VLOOKUP(S182,'Elenco Casse'!$D$4:$F$292,3,FALSE),"")</f>
        <v/>
      </c>
      <c r="CP182" s="305" t="str">
        <f>IFERROR(IF(VLOOKUP($E182,Outlist!$A$5:$S$120,19,FALSE)&lt;&gt;0,"Y",""),"")</f>
        <v/>
      </c>
      <c r="CQ182" s="301"/>
      <c r="CR182" s="305" t="str">
        <f>CONCATENATE($B182,$E182,$G182)</f>
        <v>ITD12013NC30.940972222222222</v>
      </c>
      <c r="CS182" s="301"/>
      <c r="CT182" s="305" t="e">
        <f>VLOOKUP(Out_Table[[#This Row],[Destination             ORANGE (From Planning)]],Outlist!$A$5:$W$120,22,FALSE)</f>
        <v>#N/A</v>
      </c>
    </row>
    <row r="183" spans="1:98" s="20" customFormat="1" ht="30.75">
      <c r="A183" s="305" t="str">
        <f>$CR183</f>
        <v>ITD12072RMZ0.00694444444444444</v>
      </c>
      <c r="B183" s="284" t="s">
        <v>1087</v>
      </c>
      <c r="C183" s="290" t="str">
        <f>IFERROR(IF(LEFT(B183,3)='STAT 77'!$X$2,_xlfn.XLOOKUP(B183,'STAT 77'!C:C,'STAT 77'!B:B),_xlfn.XLOOKUP(B183,'STAT 77'!B:B,'STAT 77'!C:C)),"NON TROVATO")</f>
        <v>ITD30810</v>
      </c>
      <c r="D183" s="25" t="s">
        <v>1088</v>
      </c>
      <c r="E183" s="290" t="s">
        <v>825</v>
      </c>
      <c r="F183" s="290" t="str">
        <f>IFERROR(VLOOKUP(E183,'Cambio O2P'!C:E,2,FALSE),"")</f>
        <v>QCZA</v>
      </c>
      <c r="G183" s="285">
        <v>6.9444444444444441E-3</v>
      </c>
      <c r="H183" s="293" t="str">
        <f ca="1">IFERROR(IF(AND('INformazioni per calcoli'!$AB$3&lt;(--"14:30"),'INformazioni per calcoli'!$AB$3&gt;(--"10:00")),"",IF($B183="","",IF($X183&lt;&gt;"","Mezzo Chiuso",IF($W183="","Non al Carico",IF($G183-'INformazioni per calcoli'!$AB$5-'INformazioni per calcoli'!$AB$3+$J183&lt;0,"LFLS",IF($K183&lt;&gt;"","Safe Parking",IF($W183&lt;&gt;"",IF($E183="MXP",$G183-'INformazioni per calcoli'!$AB$6-'INformazioni per calcoli'!$AB$3+$J183,$G183-'INformazioni per calcoli'!$AB$5-'INformazioni per calcoli'!$AB$3+$J183),"Non al carico"))))))),"")</f>
        <v>Mezzo Chiuso</v>
      </c>
      <c r="I183" s="17"/>
      <c r="J183" s="306">
        <f ca="1">IFERROR(IF($B183&lt;&gt;"",IF(AND('INformazioni per calcoli'!$AB$3&lt;(--"15:00"),'INformazioni per calcoli'!$AB$3&gt;(--"00:00")),0,IF($G183&lt;(--"18:30"),"+1",0)),""),"")</f>
        <v>0</v>
      </c>
      <c r="K183" s="17"/>
      <c r="L183" s="25" t="s">
        <v>800</v>
      </c>
      <c r="M183" s="25" t="str">
        <f>IFERROR(_xlfn.XLOOKUP($Q183,'Elenco Casse'!$D:$D,'Elenco Casse'!$E:$E),"")</f>
        <v/>
      </c>
      <c r="N183" s="25" t="str">
        <f>IFERROR(_xlfn.XLOOKUP($Q183,'Elenco Casse'!$D:$D,'Elenco Casse'!$F:$F),"")</f>
        <v/>
      </c>
      <c r="O183" s="286" t="s">
        <v>418</v>
      </c>
      <c r="P183" s="295" t="str">
        <f>IFERROR(_xlfn.XLOOKUP($Q183,'Elenco Casse'!$D:$D,'Elenco Casse'!$G:$G),"")</f>
        <v/>
      </c>
      <c r="Q183" s="355" t="s">
        <v>1089</v>
      </c>
      <c r="R183" s="23" t="s">
        <v>420</v>
      </c>
      <c r="S183" s="25" t="s">
        <v>421</v>
      </c>
      <c r="T183" s="25" t="s">
        <v>432</v>
      </c>
      <c r="U183" s="23" t="str">
        <f>IF(ISNUMBER(SEARCH("Parcel",$T183)),"X","")</f>
        <v>X</v>
      </c>
      <c r="V183" s="23" t="s">
        <v>61</v>
      </c>
      <c r="W183" s="26">
        <v>821</v>
      </c>
      <c r="X183" s="27">
        <v>0.97986111111111107</v>
      </c>
      <c r="Y183" s="25" t="s">
        <v>624</v>
      </c>
      <c r="Z183" s="25"/>
      <c r="AA183" s="25" t="s">
        <v>40</v>
      </c>
      <c r="AB183" s="57">
        <v>0.7</v>
      </c>
      <c r="AC183" s="25"/>
      <c r="AD183" s="25" t="s">
        <v>487</v>
      </c>
      <c r="AE183" s="57">
        <v>0.3</v>
      </c>
      <c r="AF183" s="57"/>
      <c r="AG183" s="25" t="s">
        <v>488</v>
      </c>
      <c r="AH183" s="57"/>
      <c r="AI183" s="339">
        <v>14</v>
      </c>
      <c r="AJ183" s="339"/>
      <c r="AK183" s="297" t="str">
        <f>IF(X183&lt;&gt;"",CONCATENATE(IF(AA183&lt;&gt;"",CONCATENATE(Z183," ",AA183," ",BI183),""),IF(AD183&lt;&gt;"",CONCATENATE(","," ",AC183," ",AD183," ",BJ183),""),IF(AG183&lt;&gt;"",CONCATENATE(","," ",AF183," ",AG183," ",BK183),""),IF(AJ183&lt;&gt;"",CONCATENATE(","," ","DD"," ",BL183),"")," ",IF(AI183&lt;&gt;"",CONCATENATE(" - ",AI183," Bag"),"")),"")</f>
        <v xml:space="preserve"> LL 10,  FRT 4,  DG 0  - 14 Bag</v>
      </c>
      <c r="AL183" s="287" t="s">
        <v>421</v>
      </c>
      <c r="AM183" s="287"/>
      <c r="AN183" s="287"/>
      <c r="AO183" s="287"/>
      <c r="AP183" s="370" t="str">
        <f>IFERROR(VLOOKUP($E180,Outlist!$A$5:$V$120,20,FALSE),"")</f>
        <v/>
      </c>
      <c r="AQ183" s="288" t="s">
        <v>1090</v>
      </c>
      <c r="AS183" s="24"/>
      <c r="AT183" s="24">
        <v>0.82916666666666672</v>
      </c>
      <c r="AU183" s="27">
        <v>0.98263888888888884</v>
      </c>
      <c r="AV183" s="27"/>
      <c r="AW183" s="20" t="s">
        <v>443</v>
      </c>
      <c r="AX183" s="20" t="str">
        <f>IFERROR(IF(Out_Table[[#This Row],[Cancellazione linea]]="Cancellata","yes",""),"")</f>
        <v/>
      </c>
      <c r="AY183" s="72" t="str">
        <f>IF(BA183="",BZ183,IF(AND(BA183&lt;(--"23:59:59"),BA183&gt;(--"15:00:00"),G183&lt;(--"14:00:00"),G183&gt;(--"00:00:01")),"",IF(BA183&gt;G183,BZ183,"")))</f>
        <v/>
      </c>
      <c r="AZ183" s="27">
        <v>0.98472222222222228</v>
      </c>
      <c r="BA183" s="32">
        <v>0.99236111111111114</v>
      </c>
      <c r="BB183" s="72"/>
      <c r="BC183" s="72" t="str">
        <f>IFERROR(VLOOKUP(Out_Table[[#This Row],[Aggiornamento STATUS]],'INformazioni per calcoli'!$Y$70:$AA$76,2,FALSE),"")</f>
        <v/>
      </c>
      <c r="BD183" s="289"/>
      <c r="BE183" s="289"/>
      <c r="BF183" s="47" t="str">
        <f>LEFT($E183,3)</f>
        <v>RMZ</v>
      </c>
      <c r="BG183" s="298" t="str">
        <f>IF(Out_Table[[#This Row],[Ora Uscita    (GH)]]&lt;&gt;"","x","")</f>
        <v>x</v>
      </c>
      <c r="BH183" s="299">
        <f>VLOOKUP($O183,'INformazioni per calcoli'!$Y$20:$AA$23,3,FALSE)</f>
        <v>14</v>
      </c>
      <c r="BI183" s="299">
        <f>MROUND(Out_Table[[#This Row],[Mtr. Trailer]]*AB183,0.5)</f>
        <v>10</v>
      </c>
      <c r="BJ183" s="299">
        <f>MROUND(Out_Table[[#This Row],[Mtr. Trailer]]*AE183,0.5)</f>
        <v>4</v>
      </c>
      <c r="BK183" s="299">
        <f>MROUND(Out_Table[[#This Row],[Mtr. Trailer]]*AH183,0.5)</f>
        <v>0</v>
      </c>
      <c r="BL183" s="300">
        <f>Out_Table[[#This Row],[Double Deck trailer N° bumpers]]</f>
        <v>0</v>
      </c>
      <c r="BM183" s="301"/>
      <c r="BN183" s="299" t="str">
        <f>B183</f>
        <v>ITD12072</v>
      </c>
      <c r="BO183" s="299" t="str">
        <f>E183</f>
        <v>RMZ</v>
      </c>
      <c r="BP183" s="302">
        <f>IF(AND(G183&gt;(--"00:00:01"),G183&lt;(--"15:00:00")),IF(AND(X183&gt;(--"00:00:01"),X183&lt;(--"15:00:00")),G183-X183,G183+1-X183),G183-X183)</f>
        <v>2.7083333333333348E-2</v>
      </c>
      <c r="BQ183" s="303">
        <f>AE183+AF183+AH183+AJ183</f>
        <v>0.3</v>
      </c>
      <c r="BR183" s="304" t="str">
        <f>IF(OR(BP183&lt;=(--"00:20:00"),BQ183&gt;=100%),"OK","Not OK")</f>
        <v>Not OK</v>
      </c>
      <c r="BS183" s="302">
        <f>IF(AND(G183&gt;(--"00:00:01"),G183&lt;(--"15:00:00")),IF(AND(AU183&gt;(--"00:00:01"),AU183&lt;(--"15:00:00")),G183-AU183,G183+1-AU183),G183-AU183)</f>
        <v>2.430555555555558E-2</v>
      </c>
      <c r="BT183" s="302">
        <f>IF(AND(AZ183&gt;(--"00:00:01"),AZ183&lt;(--"15:00:00")),IF(AND(AU183&gt;(--"00:00:01"),AU183&lt;(--"15:00:00")),AZ183-AU183,AZ183+1-AU183),AZ183-AU183)</f>
        <v>2.083333333333437E-3</v>
      </c>
      <c r="BU183" s="302">
        <f>IF(AND(BA183&gt;(--"00:00:01"),BA183&lt;(--"15:00:00")),IF(AND(AZ183&gt;(--"00:00:01"),AZ183&lt;(--"15:00:00")),BA183-AZ183,BA183+1-AZ183),BA183-AZ183)</f>
        <v>7.6388888888888618E-3</v>
      </c>
      <c r="BV183" s="299">
        <f>AV183</f>
        <v>0</v>
      </c>
      <c r="BW183" s="301"/>
      <c r="BX183" s="299" t="str">
        <f>IF(AV183="T Status",IF(AV183&lt;&gt;T183,"X",""),"")</f>
        <v/>
      </c>
      <c r="BY183" s="301"/>
      <c r="BZ183" s="299" t="str">
        <f>IF(X183&lt;&gt;"",IF(CC183="X","Driver Delay",IF(CA183="X","Paperwork Delay",IF(CB183="X","Late freight late sort",IF(CD183="X","Chiamare Control Room",IF(CE183="X","Chiamare Control Room",IF(CF183="X","Chiamare Control Room","")))))),"")</f>
        <v>Chiamare Control Room</v>
      </c>
      <c r="CA183" s="302" t="str">
        <f>IF(K183="",IF(IF(AND(G183&gt;(--"00:00:01"),G183&lt;(--"15:00:00")),IF(AND(AT183&gt;(--"08:00:00"),AT183&lt;(--"23:59:59")),G183+1-AT183,G183-AT183),G183-AT183)&gt;(--"00:20:00"),"","X"),"")</f>
        <v/>
      </c>
      <c r="CB183" s="299" t="str">
        <f>IF(K183="",IF(BP183&gt;=(--"00:20:00"),"","X"),"")</f>
        <v/>
      </c>
      <c r="CC183" s="299" t="str">
        <f>IF(OR(AV183="Autista non presente",AV183="Dati driver non presenti"),"X","")</f>
        <v/>
      </c>
      <c r="CD183" s="299" t="str">
        <f>IF(K183="",IF(AND(CC183="",BS183&lt;(--"00:20:00")),"X",""),"")</f>
        <v/>
      </c>
      <c r="CE183" s="299" t="str">
        <f>IF(K183="",IF(BT183&gt;(--"00:15:00"),"X",""),IF(AZ183&lt;&gt;"",IF(G183-AZ183&gt;(--"00:30:00"),"X",""),""))</f>
        <v/>
      </c>
      <c r="CF183" s="299" t="str">
        <f>IF(AND(CA183="",CB183="",CC183="",CD183="",CE183=""),"X","")</f>
        <v>X</v>
      </c>
      <c r="CG183" s="301"/>
      <c r="CH183" s="299" t="str">
        <f>IF(BT183&gt;(--"00:15:00"),"X","")</f>
        <v/>
      </c>
      <c r="CI183" s="302" t="str">
        <f>AY183</f>
        <v/>
      </c>
      <c r="CJ183" s="299" t="str">
        <f>IF(AND(CH183&lt;&gt;"",CI183&lt;&gt;"",LEFT(B183,3)="ITD"),AP183,"")</f>
        <v/>
      </c>
      <c r="CK183" s="305" t="str">
        <f>IF(CJ183&lt;&gt;"",BT183,"")</f>
        <v/>
      </c>
      <c r="CL183" s="301"/>
      <c r="CM183" s="305" t="str">
        <f>IFERROR(VLOOKUP(Q183,'Elenco Casse'!$D$4:$F$292,3,FALSE),"")</f>
        <v/>
      </c>
      <c r="CN183" s="301"/>
      <c r="CO183" s="305" t="str">
        <f>IFERROR(VLOOKUP(S183,'Elenco Casse'!$D$4:$F$292,3,FALSE),"")</f>
        <v/>
      </c>
      <c r="CP183" s="305" t="str">
        <f>IFERROR(IF(VLOOKUP($E183,Outlist!$A$5:$S$120,19,FALSE)&lt;&gt;0,"Y",""),"")</f>
        <v/>
      </c>
      <c r="CQ183" s="301"/>
      <c r="CR183" s="305" t="str">
        <f>CONCATENATE($B183,$E183,$G183)</f>
        <v>ITD12072RMZ0.00694444444444444</v>
      </c>
      <c r="CS183" s="301"/>
      <c r="CT183" s="305" t="e">
        <f>VLOOKUP(Out_Table[[#This Row],[Destination             ORANGE (From Planning)]],Outlist!$A$5:$W$120,22,FALSE)</f>
        <v>#N/A</v>
      </c>
    </row>
    <row r="184" spans="1:98" s="20" customFormat="1" ht="30.75">
      <c r="A184" s="305" t="str">
        <f>$CR184</f>
        <v>ITD12074RMZ0.00694444444444444</v>
      </c>
      <c r="B184" s="284" t="s">
        <v>1091</v>
      </c>
      <c r="C184" s="290" t="str">
        <f>IFERROR(IF(LEFT(B184,3)='STAT 77'!$X$2,_xlfn.XLOOKUP(B184,'STAT 77'!C:C,'STAT 77'!B:B),_xlfn.XLOOKUP(B184,'STAT 77'!B:B,'STAT 77'!C:C)),"NON TROVATO")</f>
        <v>ITD30814</v>
      </c>
      <c r="D184" s="25" t="s">
        <v>1092</v>
      </c>
      <c r="E184" s="290" t="s">
        <v>825</v>
      </c>
      <c r="F184" s="290" t="str">
        <f>IFERROR(VLOOKUP(E184,'Cambio O2P'!C:E,2,FALSE),"")</f>
        <v>QCZA</v>
      </c>
      <c r="G184" s="285">
        <v>6.9444444444444441E-3</v>
      </c>
      <c r="H184" s="293" t="str">
        <f ca="1">IFERROR(IF(AND('INformazioni per calcoli'!$AB$3&lt;(--"14:30"),'INformazioni per calcoli'!$AB$3&gt;(--"10:00")),"",IF($B184="","",IF($X184&lt;&gt;"","Mezzo Chiuso",IF($W184="","Non al Carico",IF($G184-'INformazioni per calcoli'!$AB$5-'INformazioni per calcoli'!$AB$3+$J184&lt;0,"LFLS",IF($K184&lt;&gt;"","Safe Parking",IF($W184&lt;&gt;"",IF($E184="MXP",$G184-'INformazioni per calcoli'!$AB$6-'INformazioni per calcoli'!$AB$3+$J184,$G184-'INformazioni per calcoli'!$AB$5-'INformazioni per calcoli'!$AB$3+$J184),"Non al carico"))))))),"")</f>
        <v>Mezzo Chiuso</v>
      </c>
      <c r="I184" s="17" t="str">
        <f ca="1">IFERROR(IF($H184&lt;&gt;"",IF($H184="Safe Parking","",IF($W184&lt;&gt;"",IF(AND($U184="X",$V184="X"),$H184-(--"00:30"),""),IF($X184&lt;&gt;"","Mezzo Chiuso","Non al carico"))),""),"")</f>
        <v/>
      </c>
      <c r="J184" s="306">
        <f ca="1">IFERROR(IF($B184&lt;&gt;"",IF(AND('INformazioni per calcoli'!$AB$3&lt;(--"15:00"),'INformazioni per calcoli'!$AB$3&gt;(--"00:00")),0,IF($G184&lt;(--"18:30"),"+1",0)),""),"")</f>
        <v>0</v>
      </c>
      <c r="K184" s="17"/>
      <c r="L184" s="25" t="s">
        <v>826</v>
      </c>
      <c r="M184" s="25" t="str">
        <f>IFERROR(_xlfn.XLOOKUP($Q184,'Elenco Casse'!$D:$D,'Elenco Casse'!$E:$E),"")</f>
        <v>Ste.Ma Trasporti S.R.L.</v>
      </c>
      <c r="N184" s="25">
        <f>IFERROR(_xlfn.XLOOKUP($Q184,'Elenco Casse'!$D:$D,'Elenco Casse'!$F:$F),"")</f>
        <v>0</v>
      </c>
      <c r="O184" s="286" t="s">
        <v>418</v>
      </c>
      <c r="P184" s="295" t="str">
        <f>IFERROR(_xlfn.XLOOKUP($Q184,'Elenco Casse'!$D:$D,'Elenco Casse'!$G:$G),"")</f>
        <v>trailer 80 m3 2/3 axes</v>
      </c>
      <c r="Q184" s="355" t="s">
        <v>1093</v>
      </c>
      <c r="R184" s="23" t="s">
        <v>420</v>
      </c>
      <c r="S184" s="25" t="s">
        <v>421</v>
      </c>
      <c r="T184" s="25" t="s">
        <v>599</v>
      </c>
      <c r="U184" s="23" t="str">
        <f>IF(ISNUMBER(SEARCH("Parcel",$T184)),"X","")</f>
        <v/>
      </c>
      <c r="V184" s="23" t="str">
        <f>IF(ISNUMBER(SEARCH("Freight",$T184)),"X","")</f>
        <v>X</v>
      </c>
      <c r="W184" s="26">
        <v>821</v>
      </c>
      <c r="X184" s="27">
        <v>0.71944444444444444</v>
      </c>
      <c r="Y184" s="25" t="s">
        <v>1094</v>
      </c>
      <c r="Z184" s="25"/>
      <c r="AA184" s="25" t="s">
        <v>487</v>
      </c>
      <c r="AB184" s="57">
        <v>1</v>
      </c>
      <c r="AC184" s="25"/>
      <c r="AD184" s="25"/>
      <c r="AE184" s="57"/>
      <c r="AF184" s="57"/>
      <c r="AG184" s="25"/>
      <c r="AH184" s="57"/>
      <c r="AI184" s="339"/>
      <c r="AJ184" s="339"/>
      <c r="AK184" s="297" t="str">
        <f>IF(X184&lt;&gt;"",CONCATENATE(IF(AA184&lt;&gt;"",CONCATENATE(Z184," ",AA184," ",BI184),""),IF(AD184&lt;&gt;"",CONCATENATE(","," ",AC184," ",AD184," ",BJ184),""),IF(AG184&lt;&gt;"",CONCATENATE(","," ",AF184," ",AG184," ",BK184),""),IF(AJ184&lt;&gt;"",CONCATENATE(","," ","DD"," ",BL184),"")," ",IF(AI184&lt;&gt;"",CONCATENATE(" - ",AI184," Bag"),"")),"")</f>
        <v xml:space="preserve"> FRT 14 </v>
      </c>
      <c r="AL184" s="287" t="s">
        <v>421</v>
      </c>
      <c r="AM184" s="287"/>
      <c r="AN184" s="287"/>
      <c r="AO184" s="287"/>
      <c r="AP184" s="370" t="str">
        <f>IFERROR(VLOOKUP($E181,Outlist!$A$5:$V$120,20,FALSE),"")</f>
        <v/>
      </c>
      <c r="AQ184" s="288" t="s">
        <v>1095</v>
      </c>
      <c r="AS184" s="24"/>
      <c r="AT184" s="24">
        <v>0.48680555555555555</v>
      </c>
      <c r="AU184" s="27">
        <v>0.97499999999999998</v>
      </c>
      <c r="AV184" s="27"/>
      <c r="AW184" s="20" t="s">
        <v>443</v>
      </c>
      <c r="AX184" s="20" t="str">
        <f>IFERROR(IF(Out_Table[[#This Row],[Cancellazione linea]]="Cancellata","yes",""),"")</f>
        <v/>
      </c>
      <c r="AY184" s="72" t="str">
        <f>IF(BA184="",BZ184,IF(AND(BA184&lt;(--"23:59:59"),BA184&gt;(--"15:00:00"),G184&lt;(--"14:00:00"),G184&gt;(--"00:00:01")),"",IF(BA184&gt;G184,BZ184,"")))</f>
        <v/>
      </c>
      <c r="AZ184" s="27">
        <v>0.97361111111111109</v>
      </c>
      <c r="BA184" s="32">
        <v>0.98958333333333337</v>
      </c>
      <c r="BB184" s="72"/>
      <c r="BC184" s="72" t="str">
        <f>IFERROR(VLOOKUP(Out_Table[[#This Row],[Aggiornamento STATUS]],'INformazioni per calcoli'!$Y$70:$AA$76,2,FALSE),"")</f>
        <v/>
      </c>
      <c r="BD184" s="289"/>
      <c r="BE184" s="289"/>
      <c r="BF184" s="47" t="str">
        <f>LEFT($E184,3)</f>
        <v>RMZ</v>
      </c>
      <c r="BG184" s="298" t="str">
        <f>IF(Out_Table[[#This Row],[Ora Uscita    (GH)]]&lt;&gt;"","x","")</f>
        <v>x</v>
      </c>
      <c r="BH184" s="299">
        <f>VLOOKUP($O184,'INformazioni per calcoli'!$Y$20:$AA$23,3,FALSE)</f>
        <v>14</v>
      </c>
      <c r="BI184" s="299">
        <f>MROUND(Out_Table[[#This Row],[Mtr. Trailer]]*AB184,0.5)</f>
        <v>14</v>
      </c>
      <c r="BJ184" s="299">
        <f>MROUND(Out_Table[[#This Row],[Mtr. Trailer]]*AE184,0.5)</f>
        <v>0</v>
      </c>
      <c r="BK184" s="299">
        <f>MROUND(Out_Table[[#This Row],[Mtr. Trailer]]*AH184,0.5)</f>
        <v>0</v>
      </c>
      <c r="BL184" s="300">
        <f>Out_Table[[#This Row],[Double Deck trailer N° bumpers]]</f>
        <v>0</v>
      </c>
      <c r="BM184" s="301"/>
      <c r="BN184" s="299" t="str">
        <f>B184</f>
        <v>ITD12074</v>
      </c>
      <c r="BO184" s="299" t="str">
        <f>E184</f>
        <v>RMZ</v>
      </c>
      <c r="BP184" s="302">
        <f>IF(AND(G184&gt;(--"00:00:01"),G184&lt;(--"15:00:00")),IF(AND(X184&gt;(--"00:00:01"),X184&lt;(--"15:00:00")),G184-X184,G184+1-X184),G184-X184)</f>
        <v>0.28749999999999998</v>
      </c>
      <c r="BQ184" s="303">
        <f>AE184+AF184+AH184+AJ184</f>
        <v>0</v>
      </c>
      <c r="BR184" s="304" t="str">
        <f>IF(OR(BP184&lt;=(--"00:20:00"),BQ184&gt;=100%),"OK","Not OK")</f>
        <v>Not OK</v>
      </c>
      <c r="BS184" s="302">
        <f>IF(AND(G184&gt;(--"00:00:01"),G184&lt;(--"15:00:00")),IF(AND(AU184&gt;(--"00:00:01"),AU184&lt;(--"15:00:00")),G184-AU184,G184+1-AU184),G184-AU184)</f>
        <v>3.1944444444444442E-2</v>
      </c>
      <c r="BT184" s="302">
        <f>IF(AND(AZ184&gt;(--"00:00:01"),AZ184&lt;(--"15:00:00")),IF(AND(AU184&gt;(--"00:00:01"),AU184&lt;(--"15:00:00")),AZ184-AU184,AZ184+1-AU184),AZ184-AU184)</f>
        <v>-1.388888888888884E-3</v>
      </c>
      <c r="BU184" s="302">
        <f>IF(AND(BA184&gt;(--"00:00:01"),BA184&lt;(--"15:00:00")),IF(AND(AZ184&gt;(--"00:00:01"),AZ184&lt;(--"15:00:00")),BA184-AZ184,BA184+1-AZ184),BA184-AZ184)</f>
        <v>1.5972222222222276E-2</v>
      </c>
      <c r="BV184" s="299">
        <f>AV184</f>
        <v>0</v>
      </c>
      <c r="BW184" s="301"/>
      <c r="BX184" s="299" t="str">
        <f>IF(AV184="T Status",IF(AV184&lt;&gt;T184,"X",""),"")</f>
        <v/>
      </c>
      <c r="BY184" s="301"/>
      <c r="BZ184" s="299" t="str">
        <f>IF(X184&lt;&gt;"",IF(CC184="X","Driver Delay",IF(CA184="X","Paperwork Delay",IF(CB184="X","Late freight late sort",IF(CD184="X","Chiamare Control Room",IF(CE184="X","Chiamare Control Room",IF(CF184="X","Chiamare Control Room","")))))),"")</f>
        <v>Chiamare Control Room</v>
      </c>
      <c r="CA184" s="302" t="str">
        <f>IF(K184="",IF(IF(AND(G184&gt;(--"00:00:01"),G184&lt;(--"15:00:00")),IF(AND(AT184&gt;(--"08:00:00"),AT184&lt;(--"23:59:59")),G184+1-AT184,G184-AT184),G184-AT184)&gt;(--"00:20:00"),"","X"),"")</f>
        <v/>
      </c>
      <c r="CB184" s="299" t="str">
        <f>IF(K184="",IF(BP184&gt;=(--"00:20:00"),"","X"),"")</f>
        <v/>
      </c>
      <c r="CC184" s="299" t="str">
        <f>IF(OR(AV184="Autista non presente",AV184="Dati driver non presenti"),"X","")</f>
        <v/>
      </c>
      <c r="CD184" s="299" t="str">
        <f>IF(K184="",IF(AND(CC184="",BS184&lt;(--"00:20:00")),"X",""),"")</f>
        <v/>
      </c>
      <c r="CE184" s="299" t="str">
        <f>IF(K184="",IF(BT184&gt;(--"00:15:00"),"X",""),IF(AZ184&lt;&gt;"",IF(G184-AZ184&gt;(--"00:30:00"),"X",""),""))</f>
        <v/>
      </c>
      <c r="CF184" s="299" t="str">
        <f>IF(AND(CA184="",CB184="",CC184="",CD184="",CE184=""),"X","")</f>
        <v>X</v>
      </c>
      <c r="CG184" s="301"/>
      <c r="CH184" s="299" t="str">
        <f>IF(BT184&gt;(--"00:15:00"),"X","")</f>
        <v/>
      </c>
      <c r="CI184" s="302" t="str">
        <f>AY184</f>
        <v/>
      </c>
      <c r="CJ184" s="299" t="str">
        <f>IF(AND(CH184&lt;&gt;"",CI184&lt;&gt;"",LEFT(B184,3)="ITD"),AP184,"")</f>
        <v/>
      </c>
      <c r="CK184" s="305" t="str">
        <f>IF(CJ184&lt;&gt;"",BT184,"")</f>
        <v/>
      </c>
      <c r="CL184" s="301"/>
      <c r="CM184" s="305" t="str">
        <f>IFERROR(VLOOKUP(Q184,'Elenco Casse'!$D$4:$F$292,3,FALSE),"")</f>
        <v/>
      </c>
      <c r="CN184" s="301"/>
      <c r="CO184" s="305" t="str">
        <f>IFERROR(VLOOKUP(S184,'Elenco Casse'!$D$4:$F$292,3,FALSE),"")</f>
        <v/>
      </c>
      <c r="CP184" s="305" t="str">
        <f>IFERROR(IF(VLOOKUP($E184,Outlist!$A$5:$S$120,19,FALSE)&lt;&gt;0,"Y",""),"")</f>
        <v/>
      </c>
      <c r="CQ184" s="301"/>
      <c r="CR184" s="305" t="str">
        <f>CONCATENATE($B184,$E184,$G184)</f>
        <v>ITD12074RMZ0.00694444444444444</v>
      </c>
      <c r="CS184" s="301"/>
      <c r="CT184" s="305" t="e">
        <f>VLOOKUP(Out_Table[[#This Row],[Destination             ORANGE (From Planning)]],Outlist!$A$5:$W$120,22,FALSE)</f>
        <v>#N/A</v>
      </c>
    </row>
    <row r="185" spans="1:98" s="20" customFormat="1" ht="30.75">
      <c r="A185" s="305" t="str">
        <f>$CR185</f>
        <v>ITD12338VRN0.125</v>
      </c>
      <c r="B185" s="284" t="s">
        <v>1096</v>
      </c>
      <c r="C185" s="290" t="str">
        <f>IFERROR(IF(LEFT(B185,3)='STAT 77'!$X$2,_xlfn.XLOOKUP(B185,'STAT 77'!C:C,'STAT 77'!B:B),_xlfn.XLOOKUP(B185,'STAT 77'!B:B,'STAT 77'!C:C)),"NON TROVATO")</f>
        <v>ITD31428</v>
      </c>
      <c r="D185" s="25" t="s">
        <v>1097</v>
      </c>
      <c r="E185" s="290" t="s">
        <v>471</v>
      </c>
      <c r="F185" s="290" t="str">
        <f>IFERROR(VLOOKUP(E185,'Cambio O2P'!C:E,2,FALSE),"")</f>
        <v>VRNT8</v>
      </c>
      <c r="G185" s="285">
        <v>0.125</v>
      </c>
      <c r="H185" s="293" t="str">
        <f ca="1">IFERROR(IF(AND('INformazioni per calcoli'!$AB$3&lt;(--"14:30"),'INformazioni per calcoli'!$AB$3&gt;(--"10:00")),"",IF($B185="","",IF($X185&lt;&gt;"","Mezzo Chiuso",IF($W185="","Non al Carico",IF($G185-'INformazioni per calcoli'!$AB$5-'INformazioni per calcoli'!$AB$3+$J185&lt;0,"LFLS",IF($K185&lt;&gt;"","Safe Parking",IF($W185&lt;&gt;"",IF($E185="MXP",$G185-'INformazioni per calcoli'!$AB$6-'INformazioni per calcoli'!$AB$3+$J185,$G185-'INformazioni per calcoli'!$AB$5-'INformazioni per calcoli'!$AB$3+$J185),"Non al carico"))))))),"")</f>
        <v>Mezzo Chiuso</v>
      </c>
      <c r="I185" s="17" t="str">
        <f ca="1">IFERROR(IF($H185&lt;&gt;"",IF($H185="Safe Parking","",IF($W185&lt;&gt;"",IF(AND($U185="X",$V185="X"),$H185-(--"00:30"),""),IF($X185&lt;&gt;"","Mezzo Chiuso","Non al carico"))),""),"")</f>
        <v/>
      </c>
      <c r="J185" s="306">
        <f ca="1">IFERROR(IF($B185&lt;&gt;"",IF(AND('INformazioni per calcoli'!$AB$3&lt;(--"15:00"),'INformazioni per calcoli'!$AB$3&gt;(--"00:00")),0,IF($G185&lt;(--"18:30"),"+1",0)),""),"")</f>
        <v>0</v>
      </c>
      <c r="K185" s="27"/>
      <c r="L185" s="25" t="s">
        <v>430</v>
      </c>
      <c r="M185" s="25" t="str">
        <f>IFERROR(_xlfn.XLOOKUP($Q185,'Elenco Casse'!$D:$D,'Elenco Casse'!$E:$E),"")</f>
        <v>Trans Speedy S.R.L</v>
      </c>
      <c r="N185" s="25">
        <f>IFERROR(_xlfn.XLOOKUP($Q185,'Elenco Casse'!$D:$D,'Elenco Casse'!$F:$F),"")</f>
        <v>0</v>
      </c>
      <c r="O185" s="286" t="s">
        <v>418</v>
      </c>
      <c r="P185" s="295" t="str">
        <f>IFERROR(_xlfn.XLOOKUP($Q185,'Elenco Casse'!$D:$D,'Elenco Casse'!$G:$G),"")</f>
        <v>trailer 80 m3 2/3 axes</v>
      </c>
      <c r="Q185" s="355" t="s">
        <v>1098</v>
      </c>
      <c r="R185" s="23" t="s">
        <v>420</v>
      </c>
      <c r="S185" s="25" t="s">
        <v>421</v>
      </c>
      <c r="T185" s="25" t="s">
        <v>599</v>
      </c>
      <c r="U185" s="23" t="str">
        <f>IF(ISNUMBER(SEARCH("Parcel",$T185)),"X","")</f>
        <v/>
      </c>
      <c r="V185" s="23" t="str">
        <f>IF(ISNUMBER(SEARCH("Freight",$T185)),"X","")</f>
        <v>X</v>
      </c>
      <c r="W185" s="26">
        <v>824</v>
      </c>
      <c r="X185" s="27">
        <v>6.7361111111111108E-2</v>
      </c>
      <c r="Y185" s="25" t="s">
        <v>936</v>
      </c>
      <c r="Z185" s="25"/>
      <c r="AA185" s="25" t="s">
        <v>487</v>
      </c>
      <c r="AB185" s="57">
        <v>1</v>
      </c>
      <c r="AC185" s="25"/>
      <c r="AD185" s="25"/>
      <c r="AE185" s="57"/>
      <c r="AF185" s="57"/>
      <c r="AG185" s="25"/>
      <c r="AH185" s="57"/>
      <c r="AI185" s="339"/>
      <c r="AJ185" s="339"/>
      <c r="AK185" s="297" t="str">
        <f>IF(X185&lt;&gt;"",CONCATENATE(IF(AA185&lt;&gt;"",CONCATENATE(Z185," ",AA185," ",BI185),""),IF(AD185&lt;&gt;"",CONCATENATE(","," ",AC185," ",AD185," ",BJ185),""),IF(AG185&lt;&gt;"",CONCATENATE(","," ",AF185," ",AG185," ",BK185),""),IF(AJ185&lt;&gt;"",CONCATENATE(","," ","DD"," ",BL185),"")," ",IF(AI185&lt;&gt;"",CONCATENATE(" - ",AI185," Bag"),"")),"")</f>
        <v xml:space="preserve"> FRT 14 </v>
      </c>
      <c r="AL185" s="287" t="s">
        <v>421</v>
      </c>
      <c r="AM185" s="287"/>
      <c r="AN185" s="287"/>
      <c r="AO185" s="287"/>
      <c r="AP185" s="370" t="str">
        <f>IFERROR(VLOOKUP($E182,Outlist!$A$5:$V$120,20,FALSE),"")</f>
        <v/>
      </c>
      <c r="AQ185" s="288" t="s">
        <v>1099</v>
      </c>
      <c r="AS185" s="24"/>
      <c r="AT185" s="24">
        <v>0.93680555555555556</v>
      </c>
      <c r="AU185" s="27">
        <v>9.0277777777777776E-2</v>
      </c>
      <c r="AV185" s="27"/>
      <c r="AW185" s="20" t="s">
        <v>443</v>
      </c>
      <c r="AX185" s="20" t="str">
        <f>IFERROR(IF(Out_Table[[#This Row],[Cancellazione linea]]="Cancellata","yes",""),"")</f>
        <v/>
      </c>
      <c r="AY185" s="72" t="str">
        <f>IF(BA185="",BZ185,IF(AND(BA185&lt;(--"23:59:59"),BA185&gt;(--"15:00:00"),G185&lt;(--"14:00:00"),G185&gt;(--"00:00:01")),"",IF(BA185&gt;G185,BZ185,"")))</f>
        <v/>
      </c>
      <c r="AZ185" s="27"/>
      <c r="BA185" s="32">
        <v>0.10277777777777777</v>
      </c>
      <c r="BB185" s="72"/>
      <c r="BC185" s="72" t="str">
        <f>IFERROR(VLOOKUP(Out_Table[[#This Row],[Aggiornamento STATUS]],'INformazioni per calcoli'!$Y$70:$AA$76,2,FALSE),"")</f>
        <v/>
      </c>
      <c r="BD185" s="289"/>
      <c r="BE185" s="289"/>
      <c r="BF185" s="47" t="str">
        <f>LEFT($E185,3)</f>
        <v>VRN</v>
      </c>
      <c r="BG185" s="298" t="str">
        <f>IF(Out_Table[[#This Row],[Ora Uscita    (GH)]]&lt;&gt;"","x","")</f>
        <v>x</v>
      </c>
      <c r="BH185" s="299">
        <f>VLOOKUP($O185,'INformazioni per calcoli'!$Y$20:$AA$23,3,FALSE)</f>
        <v>14</v>
      </c>
      <c r="BI185" s="299">
        <f>MROUND(Out_Table[[#This Row],[Mtr. Trailer]]*AB185,0.5)</f>
        <v>14</v>
      </c>
      <c r="BJ185" s="299">
        <f>MROUND(Out_Table[[#This Row],[Mtr. Trailer]]*AE185,0.5)</f>
        <v>0</v>
      </c>
      <c r="BK185" s="299">
        <f>MROUND(Out_Table[[#This Row],[Mtr. Trailer]]*AH185,0.5)</f>
        <v>0</v>
      </c>
      <c r="BL185" s="300">
        <f>Out_Table[[#This Row],[Double Deck trailer N° bumpers]]</f>
        <v>0</v>
      </c>
      <c r="BM185" s="301"/>
      <c r="BN185" s="299" t="str">
        <f>B185</f>
        <v>ITD12338</v>
      </c>
      <c r="BO185" s="299" t="str">
        <f>E185</f>
        <v>VRN</v>
      </c>
      <c r="BP185" s="302">
        <f>IF(AND(G185&gt;(--"00:00:01"),G185&lt;(--"15:00:00")),IF(AND(X185&gt;(--"00:00:01"),X185&lt;(--"15:00:00")),G185-X185,G185+1-X185),G185-X185)</f>
        <v>5.7638888888888892E-2</v>
      </c>
      <c r="BQ185" s="303">
        <f>AE185+AF185+AH185+AJ185</f>
        <v>0</v>
      </c>
      <c r="BR185" s="304" t="str">
        <f>IF(OR(BP185&lt;=(--"00:20:00"),BQ185&gt;=100%),"OK","Not OK")</f>
        <v>Not OK</v>
      </c>
      <c r="BS185" s="302">
        <f>IF(AND(G185&gt;(--"00:00:01"),G185&lt;(--"15:00:00")),IF(AND(AU185&gt;(--"00:00:01"),AU185&lt;(--"15:00:00")),G185-AU185,G185+1-AU185),G185-AU185)</f>
        <v>3.4722222222222224E-2</v>
      </c>
      <c r="BT185" s="302">
        <f>IF(AND(AZ185&gt;(--"00:00:01"),AZ185&lt;(--"15:00:00")),IF(AND(AU185&gt;(--"00:00:01"),AU185&lt;(--"15:00:00")),AZ185-AU185,AZ185+1-AU185),AZ185-AU185)</f>
        <v>-9.0277777777777776E-2</v>
      </c>
      <c r="BU185" s="302">
        <f>IF(AND(BA185&gt;(--"00:00:01"),BA185&lt;(--"15:00:00")),IF(AND(AZ185&gt;(--"00:00:01"),AZ185&lt;(--"15:00:00")),BA185-AZ185,BA185+1-AZ185),BA185-AZ185)</f>
        <v>1.1027777777777779</v>
      </c>
      <c r="BV185" s="299">
        <f>AV185</f>
        <v>0</v>
      </c>
      <c r="BW185" s="301"/>
      <c r="BX185" s="299" t="str">
        <f>IF(AV185="T Status",IF(AV185&lt;&gt;T185,"X",""),"")</f>
        <v/>
      </c>
      <c r="BY185" s="301"/>
      <c r="BZ185" s="299" t="str">
        <f>IF(X185&lt;&gt;"",IF(CC185="X","Driver Delay",IF(CA185="X","Paperwork Delay",IF(CB185="X","Late freight late sort",IF(CD185="X","Chiamare Control Room",IF(CE185="X","Chiamare Control Room",IF(CF185="X","Chiamare Control Room","")))))),"")</f>
        <v>Chiamare Control Room</v>
      </c>
      <c r="CA185" s="302" t="str">
        <f>IF(K185="",IF(IF(AND(G185&gt;(--"00:00:01"),G185&lt;(--"15:00:00")),IF(AND(AT185&gt;(--"08:00:00"),AT185&lt;(--"23:59:59")),G185+1-AT185,G185-AT185),G185-AT185)&gt;(--"00:20:00"),"","X"),"")</f>
        <v/>
      </c>
      <c r="CB185" s="299" t="str">
        <f>IF(K185="",IF(BP185&gt;=(--"00:20:00"),"","X"),"")</f>
        <v/>
      </c>
      <c r="CC185" s="299" t="str">
        <f>IF(OR(AV185="Autista non presente",AV185="Dati driver non presenti"),"X","")</f>
        <v/>
      </c>
      <c r="CD185" s="299" t="str">
        <f>IF(K185="",IF(AND(CC185="",BS185&lt;(--"00:20:00")),"X",""),"")</f>
        <v/>
      </c>
      <c r="CE185" s="299" t="str">
        <f>IF(K185="",IF(BT185&gt;(--"00:15:00"),"X",""),IF(AZ185&lt;&gt;"",IF(G185-AZ185&gt;(--"00:30:00"),"X",""),""))</f>
        <v/>
      </c>
      <c r="CF185" s="299" t="str">
        <f>IF(AND(CA185="",CB185="",CC185="",CD185="",CE185=""),"X","")</f>
        <v>X</v>
      </c>
      <c r="CG185" s="301"/>
      <c r="CH185" s="299" t="str">
        <f>IF(BT185&gt;(--"00:15:00"),"X","")</f>
        <v/>
      </c>
      <c r="CI185" s="302" t="str">
        <f>AY185</f>
        <v/>
      </c>
      <c r="CJ185" s="299" t="str">
        <f>IF(AND(CH185&lt;&gt;"",CI185&lt;&gt;"",LEFT(B185,3)="ITD"),AP185,"")</f>
        <v/>
      </c>
      <c r="CK185" s="305" t="str">
        <f>IF(CJ185&lt;&gt;"",BT185,"")</f>
        <v/>
      </c>
      <c r="CL185" s="301"/>
      <c r="CM185" s="305" t="str">
        <f>IFERROR(VLOOKUP(Q185,'Elenco Casse'!$D$4:$F$292,3,FALSE),"")</f>
        <v/>
      </c>
      <c r="CN185" s="301"/>
      <c r="CO185" s="305" t="str">
        <f>IFERROR(VLOOKUP(S185,'Elenco Casse'!$D$4:$F$292,3,FALSE),"")</f>
        <v/>
      </c>
      <c r="CP185" s="305" t="str">
        <f>IFERROR(IF(VLOOKUP($E185,Outlist!$A$5:$S$120,19,FALSE)&lt;&gt;0,"Y",""),"")</f>
        <v/>
      </c>
      <c r="CQ185" s="301"/>
      <c r="CR185" s="305" t="str">
        <f>CONCATENATE($B185,$E185,$G185)</f>
        <v>ITD12338VRN0.125</v>
      </c>
      <c r="CS185" s="301"/>
      <c r="CT185" s="305" t="e">
        <f>VLOOKUP(Out_Table[[#This Row],[Destination             ORANGE (From Planning)]],Outlist!$A$5:$W$120,22,FALSE)</f>
        <v>#N/A</v>
      </c>
    </row>
    <row r="186" spans="1:98" s="20" customFormat="1" ht="15">
      <c r="A186" s="305" t="str">
        <f>$CR186</f>
        <v>ITD12336VRN0.190972222222222</v>
      </c>
      <c r="B186" s="284" t="s">
        <v>1100</v>
      </c>
      <c r="C186" s="290" t="str">
        <f>IFERROR(IF(LEFT(B186,3)='STAT 77'!$X$2,_xlfn.XLOOKUP(B186,'STAT 77'!C:C,'STAT 77'!B:B),_xlfn.XLOOKUP(B186,'STAT 77'!B:B,'STAT 77'!C:C)),"NON TROVATO")</f>
        <v>ITD31424</v>
      </c>
      <c r="D186" s="25" t="s">
        <v>470</v>
      </c>
      <c r="E186" s="290" t="s">
        <v>471</v>
      </c>
      <c r="F186" s="290" t="str">
        <f>IFERROR(VLOOKUP(E186,'Cambio O2P'!C:E,2,FALSE),"")</f>
        <v>VRNT8</v>
      </c>
      <c r="G186" s="285">
        <v>0.19097222222222221</v>
      </c>
      <c r="H186" s="293">
        <f ca="1">IFERROR(IF(AND('INformazioni per calcoli'!$AB$3&lt;(--"14:30"),'INformazioni per calcoli'!$AB$3&gt;(--"10:00")),"",IF($B186="","",IF($X186&lt;&gt;"","Mezzo Chiuso",IF($W186="","Non al Carico",IF($G186-'INformazioni per calcoli'!$AB$5-'INformazioni per calcoli'!$AB$3+$J186&lt;0,"LFLS",IF($K186&lt;&gt;"","Safe Parking",IF($W186&lt;&gt;"",IF($E186="MXP",$G186-'INformazioni per calcoli'!$AB$6-'INformazioni per calcoli'!$AB$3+$J186,$G186-'INformazioni per calcoli'!$AB$5-'INformazioni per calcoli'!$AB$3+$J186),"Non al carico"))))))),"")</f>
        <v>3.1620370370370354E-2</v>
      </c>
      <c r="I186" s="17" t="str">
        <f ca="1">IFERROR(IF($H186&lt;&gt;"",IF($H186="Safe Parking","",IF($W186&lt;&gt;"",IF(AND($U186="X",$V186="X"),$H186-(--"00:30"),""),IF($X186&lt;&gt;"","Mezzo Chiuso","Non al carico"))),""),"")</f>
        <v/>
      </c>
      <c r="J186" s="306">
        <f ca="1">IFERROR(IF($B186&lt;&gt;"",IF(AND('INformazioni per calcoli'!$AB$3&lt;(--"15:00"),'INformazioni per calcoli'!$AB$3&gt;(--"00:00")),0,IF($G186&lt;(--"18:30"),"+1",0)),""),"")</f>
        <v>0</v>
      </c>
      <c r="K186" s="27"/>
      <c r="L186" s="25" t="s">
        <v>592</v>
      </c>
      <c r="M186" s="25" t="str">
        <f>IFERROR(_xlfn.XLOOKUP($Q186,'Elenco Casse'!$D:$D,'Elenco Casse'!$E:$E),"")</f>
        <v/>
      </c>
      <c r="N186" s="25" t="str">
        <f>IFERROR(_xlfn.XLOOKUP($Q186,'Elenco Casse'!$D:$D,'Elenco Casse'!$F:$F),"")</f>
        <v/>
      </c>
      <c r="O186" s="286" t="s">
        <v>418</v>
      </c>
      <c r="P186" s="295" t="str">
        <f>IFERROR(_xlfn.XLOOKUP($Q186,'Elenco Casse'!$D:$D,'Elenco Casse'!$G:$G),"")</f>
        <v/>
      </c>
      <c r="Q186" s="355" t="s">
        <v>1101</v>
      </c>
      <c r="R186" s="23" t="s">
        <v>420</v>
      </c>
      <c r="S186" s="25" t="s">
        <v>421</v>
      </c>
      <c r="T186" s="25" t="s">
        <v>688</v>
      </c>
      <c r="U186" s="23"/>
      <c r="V186" s="23" t="s">
        <v>500</v>
      </c>
      <c r="W186" s="26">
        <v>824</v>
      </c>
      <c r="X186" s="27"/>
      <c r="Y186" s="25"/>
      <c r="Z186" s="25"/>
      <c r="AA186" s="25" t="s">
        <v>487</v>
      </c>
      <c r="AB186" s="57"/>
      <c r="AC186" s="25"/>
      <c r="AD186" s="25"/>
      <c r="AE186" s="57"/>
      <c r="AF186" s="57"/>
      <c r="AG186" s="25" t="s">
        <v>488</v>
      </c>
      <c r="AH186" s="57"/>
      <c r="AI186" s="339"/>
      <c r="AJ186" s="339"/>
      <c r="AK186" s="297" t="str">
        <f>IF(X186&lt;&gt;"",CONCATENATE(IF(AA186&lt;&gt;"",CONCATENATE(Z186," ",AA186," ",BI186),""),IF(AD186&lt;&gt;"",CONCATENATE(","," ",AC186," ",AD186," ",BJ186),""),IF(AG186&lt;&gt;"",CONCATENATE(","," ",AF186," ",AG186," ",BK186),""),IF(AJ186&lt;&gt;"",CONCATENATE(","," ","DD"," ",BL186),"")," ",IF(AI186&lt;&gt;"",CONCATENATE(" - ",AI186," Bag"),"")),"")</f>
        <v/>
      </c>
      <c r="AL186" s="287"/>
      <c r="AM186" s="287"/>
      <c r="AN186" s="287"/>
      <c r="AO186" s="287"/>
      <c r="AP186" s="370" t="str">
        <f>IFERROR(VLOOKUP($E183,Outlist!$A$5:$V$120,20,FALSE),"")</f>
        <v/>
      </c>
      <c r="AQ186" s="288" t="str">
        <f>IFERROR(IF(VLOOKUP($A186,#REF!,8,FALSE)&lt;&gt;"",VLOOKUP($A186,#REF!,8,FALSE),""),"")</f>
        <v/>
      </c>
      <c r="AS186" s="24"/>
      <c r="AT186" s="24">
        <v>1.4583333333333334E-2</v>
      </c>
      <c r="AU186" s="27"/>
      <c r="AV186" s="27"/>
      <c r="AX186" s="20" t="str">
        <f>IFERROR(IF(Out_Table[[#This Row],[Cancellazione linea]]="Cancellata","yes",""),"")</f>
        <v/>
      </c>
      <c r="AY186" s="72" t="str">
        <f>IF(BA186="",BZ186,IF(AND(BA186&lt;(--"23:59:59"),BA186&gt;(--"15:00:00"),G186&lt;(--"14:00:00"),G186&gt;(--"00:00:01")),"",IF(BA186&gt;G186,BZ186,"")))</f>
        <v/>
      </c>
      <c r="AZ186" s="27"/>
      <c r="BA186" s="32"/>
      <c r="BB186" s="72"/>
      <c r="BC186" s="72" t="str">
        <f>IFERROR(VLOOKUP(Out_Table[[#This Row],[Aggiornamento STATUS]],'INformazioni per calcoli'!$Y$70:$AA$76,2,FALSE),"")</f>
        <v/>
      </c>
      <c r="BD186" s="289"/>
      <c r="BE186" s="289"/>
      <c r="BF186" s="47" t="str">
        <f>LEFT($E186,3)</f>
        <v>VRN</v>
      </c>
      <c r="BG186" s="298" t="str">
        <f>IF(Out_Table[[#This Row],[Ora Uscita    (GH)]]&lt;&gt;"","x","")</f>
        <v/>
      </c>
      <c r="BH186" s="299">
        <f>VLOOKUP($O186,'INformazioni per calcoli'!$Y$20:$AA$23,3,FALSE)</f>
        <v>14</v>
      </c>
      <c r="BI186" s="299">
        <f>MROUND(Out_Table[[#This Row],[Mtr. Trailer]]*AB186,0.5)</f>
        <v>0</v>
      </c>
      <c r="BJ186" s="299">
        <f>MROUND(Out_Table[[#This Row],[Mtr. Trailer]]*AE186,0.5)</f>
        <v>0</v>
      </c>
      <c r="BK186" s="299">
        <f>MROUND(Out_Table[[#This Row],[Mtr. Trailer]]*AH186,0.5)</f>
        <v>0</v>
      </c>
      <c r="BL186" s="300">
        <f>Out_Table[[#This Row],[Double Deck trailer N° bumpers]]</f>
        <v>0</v>
      </c>
      <c r="BM186" s="301"/>
      <c r="BN186" s="299" t="str">
        <f>B186</f>
        <v>ITD12336</v>
      </c>
      <c r="BO186" s="299" t="str">
        <f>E186</f>
        <v>VRN</v>
      </c>
      <c r="BP186" s="302">
        <f>IF(AND(G186&gt;(--"00:00:01"),G186&lt;(--"15:00:00")),IF(AND(X186&gt;(--"00:00:01"),X186&lt;(--"15:00:00")),G186-X186,G186+1-X186),G186-X186)</f>
        <v>1.1909722222222223</v>
      </c>
      <c r="BQ186" s="303">
        <f>AE186+AF186+AH186+AJ186</f>
        <v>0</v>
      </c>
      <c r="BR186" s="304" t="str">
        <f>IF(OR(BP186&lt;=(--"00:20:00"),BQ186&gt;=100%),"OK","Not OK")</f>
        <v>Not OK</v>
      </c>
      <c r="BS186" s="302">
        <f>IF(AND(G186&gt;(--"00:00:01"),G186&lt;(--"15:00:00")),IF(AND(AU186&gt;(--"00:00:01"),AU186&lt;(--"15:00:00")),G186-AU186,G186+1-AU186),G186-AU186)</f>
        <v>1.1909722222222223</v>
      </c>
      <c r="BT186" s="302">
        <f>IF(AND(AZ186&gt;(--"00:00:01"),AZ186&lt;(--"15:00:00")),IF(AND(AU186&gt;(--"00:00:01"),AU186&lt;(--"15:00:00")),AZ186-AU186,AZ186+1-AU186),AZ186-AU186)</f>
        <v>0</v>
      </c>
      <c r="BU186" s="302">
        <f>IF(AND(BA186&gt;(--"00:00:01"),BA186&lt;(--"15:00:00")),IF(AND(AZ186&gt;(--"00:00:01"),AZ186&lt;(--"15:00:00")),BA186-AZ186,BA186+1-AZ186),BA186-AZ186)</f>
        <v>0</v>
      </c>
      <c r="BV186" s="299">
        <f>AV186</f>
        <v>0</v>
      </c>
      <c r="BW186" s="301"/>
      <c r="BX186" s="299" t="str">
        <f>IF(AV186="T Status",IF(AV186&lt;&gt;T186,"X",""),"")</f>
        <v/>
      </c>
      <c r="BY186" s="301"/>
      <c r="BZ186" s="299" t="str">
        <f>IF(X186&lt;&gt;"",IF(CC186="X","Driver Delay",IF(CA186="X","Paperwork Delay",IF(CB186="X","Late freight late sort",IF(CD186="X","Chiamare Control Room",IF(CE186="X","Chiamare Control Room",IF(CF186="X","Chiamare Control Room","")))))),"")</f>
        <v/>
      </c>
      <c r="CA186" s="302" t="str">
        <f>IF(K186="",IF(IF(AND(G186&gt;(--"00:00:01"),G186&lt;(--"15:00:00")),IF(AND(AT186&gt;(--"08:00:00"),AT186&lt;(--"23:59:59")),G186+1-AT186,G186-AT186),G186-AT186)&gt;(--"00:20:00"),"","X"),"")</f>
        <v/>
      </c>
      <c r="CB186" s="299" t="str">
        <f>IF(K186="",IF(BP186&gt;=(--"00:20:00"),"","X"),"")</f>
        <v/>
      </c>
      <c r="CC186" s="299" t="str">
        <f>IF(OR(AV186="Autista non presente",AV186="Dati driver non presenti"),"X","")</f>
        <v/>
      </c>
      <c r="CD186" s="299" t="str">
        <f>IF(K186="",IF(AND(CC186="",BS186&lt;(--"00:20:00")),"X",""),"")</f>
        <v/>
      </c>
      <c r="CE186" s="299" t="str">
        <f>IF(K186="",IF(BT186&gt;(--"00:15:00"),"X",""),IF(AZ186&lt;&gt;"",IF(G186-AZ186&gt;(--"00:30:00"),"X",""),""))</f>
        <v/>
      </c>
      <c r="CF186" s="299" t="str">
        <f>IF(AND(CA186="",CB186="",CC186="",CD186="",CE186=""),"X","")</f>
        <v>X</v>
      </c>
      <c r="CG186" s="301"/>
      <c r="CH186" s="299" t="str">
        <f>IF(BT186&gt;(--"00:15:00"),"X","")</f>
        <v/>
      </c>
      <c r="CI186" s="302" t="str">
        <f>AY186</f>
        <v/>
      </c>
      <c r="CJ186" s="299" t="str">
        <f>IF(AND(CH186&lt;&gt;"",CI186&lt;&gt;"",LEFT(B186,3)="ITD"),AP186,"")</f>
        <v/>
      </c>
      <c r="CK186" s="305" t="str">
        <f>IF(CJ186&lt;&gt;"",BT186,"")</f>
        <v/>
      </c>
      <c r="CL186" s="301"/>
      <c r="CM186" s="305" t="str">
        <f>IFERROR(VLOOKUP(Q186,'Elenco Casse'!$D$4:$F$292,3,FALSE),"")</f>
        <v/>
      </c>
      <c r="CN186" s="301"/>
      <c r="CO186" s="305" t="str">
        <f>IFERROR(VLOOKUP(S186,'Elenco Casse'!$D$4:$F$292,3,FALSE),"")</f>
        <v/>
      </c>
      <c r="CP186" s="305" t="str">
        <f>IFERROR(IF(VLOOKUP($E186,Outlist!$A$5:$S$120,19,FALSE)&lt;&gt;0,"Y",""),"")</f>
        <v/>
      </c>
      <c r="CQ186" s="301"/>
      <c r="CR186" s="305" t="str">
        <f>CONCATENATE($B186,$E186,$G186)</f>
        <v>ITD12336VRN0.190972222222222</v>
      </c>
      <c r="CS186" s="301"/>
      <c r="CT186" s="305" t="e">
        <f>VLOOKUP(Out_Table[[#This Row],[Destination             ORANGE (From Planning)]],Outlist!$A$5:$W$120,22,FALSE)</f>
        <v>#N/A</v>
      </c>
    </row>
    <row r="187" spans="1:98" s="20" customFormat="1" ht="15">
      <c r="A187" s="305" t="str">
        <f>$CR187</f>
        <v>ITD12177GOA0.25</v>
      </c>
      <c r="B187" s="284" t="s">
        <v>1102</v>
      </c>
      <c r="C187" s="290" t="str">
        <f>IFERROR(IF(LEFT(B187,3)='STAT 77'!$X$2,_xlfn.XLOOKUP(B187,'STAT 77'!C:C,'STAT 77'!B:B),_xlfn.XLOOKUP(B187,'STAT 77'!B:B,'STAT 77'!C:C)),"NON TROVATO")</f>
        <v>ITD30997</v>
      </c>
      <c r="D187" s="25" t="s">
        <v>1103</v>
      </c>
      <c r="E187" s="290" t="s">
        <v>591</v>
      </c>
      <c r="F187" s="290" t="str">
        <f>IFERROR(VLOOKUP(E187,'Cambio O2P'!C:E,2,FALSE),"")</f>
        <v>GOAT8</v>
      </c>
      <c r="G187" s="285">
        <v>0.25</v>
      </c>
      <c r="H187" s="293">
        <f ca="1">IFERROR(IF(AND('INformazioni per calcoli'!$AB$3&lt;(--"14:30"),'INformazioni per calcoli'!$AB$3&gt;(--"10:00")),"",IF($B187="","",IF($X187&lt;&gt;"","Mezzo Chiuso",IF($W187="","Non al Carico",IF($G187-'INformazioni per calcoli'!$AB$5-'INformazioni per calcoli'!$AB$3+$J187&lt;0,"LFLS",IF($K187&lt;&gt;"","Safe Parking",IF($W187&lt;&gt;"",IF($E187="MXP",$G187-'INformazioni per calcoli'!$AB$6-'INformazioni per calcoli'!$AB$3+$J187,$G187-'INformazioni per calcoli'!$AB$5-'INformazioni per calcoli'!$AB$3+$J187),"Non al carico"))))))),"")</f>
        <v>9.0648148148148144E-2</v>
      </c>
      <c r="I187" s="17" t="str">
        <f ca="1">IFERROR(IF($H187&lt;&gt;"",IF($H187="Safe Parking","",IF($W187&lt;&gt;"",IF(AND($U187="X",$V187="X"),$H187-(--"00:30"),""),IF($X187&lt;&gt;"","Mezzo Chiuso","Non al carico"))),""),"")</f>
        <v/>
      </c>
      <c r="J187" s="306">
        <f ca="1">IFERROR(IF($B187&lt;&gt;"",IF(AND('INformazioni per calcoli'!$AB$3&lt;(--"15:00"),'INformazioni per calcoli'!$AB$3&gt;(--"00:00")),0,IF($G187&lt;(--"18:30"),"+1",0)),""),"")</f>
        <v>0</v>
      </c>
      <c r="K187" s="17"/>
      <c r="L187" s="25" t="s">
        <v>752</v>
      </c>
      <c r="M187" s="25" t="str">
        <f>IFERROR(_xlfn.XLOOKUP($Q187,'Elenco Casse'!$D:$D,'Elenco Casse'!$E:$E),"")</f>
        <v>T&amp;ti Cargo Line S.R.L.</v>
      </c>
      <c r="N187" s="25">
        <f>IFERROR(_xlfn.XLOOKUP($Q187,'Elenco Casse'!$D:$D,'Elenco Casse'!$F:$F),"")</f>
        <v>0</v>
      </c>
      <c r="O187" s="286" t="s">
        <v>418</v>
      </c>
      <c r="P187" s="295" t="str">
        <f>IFERROR(_xlfn.XLOOKUP($Q187,'Elenco Casse'!$D:$D,'Elenco Casse'!$G:$G),"")</f>
        <v>trailer 80 m3 2/3 axles</v>
      </c>
      <c r="Q187" s="355" t="s">
        <v>1104</v>
      </c>
      <c r="R187" s="23" t="s">
        <v>420</v>
      </c>
      <c r="S187" s="25" t="s">
        <v>421</v>
      </c>
      <c r="T187" s="25" t="s">
        <v>599</v>
      </c>
      <c r="U187" s="23" t="str">
        <f>IF(ISNUMBER(SEARCH("Parcel",$T187)),"X","")</f>
        <v/>
      </c>
      <c r="V187" s="23" t="str">
        <f>IF(ISNUMBER(SEARCH("Freight",$T187)),"X","")</f>
        <v>X</v>
      </c>
      <c r="W187" s="26">
        <v>825</v>
      </c>
      <c r="X187" s="27"/>
      <c r="Y187" s="25"/>
      <c r="Z187" s="25"/>
      <c r="AA187" s="25" t="s">
        <v>487</v>
      </c>
      <c r="AB187" s="57"/>
      <c r="AC187" s="25"/>
      <c r="AD187" s="25"/>
      <c r="AE187" s="57"/>
      <c r="AF187" s="57"/>
      <c r="AG187" s="25" t="s">
        <v>488</v>
      </c>
      <c r="AH187" s="57"/>
      <c r="AI187" s="339"/>
      <c r="AJ187" s="339"/>
      <c r="AK187" s="297" t="str">
        <f>IF(X187&lt;&gt;"",CONCATENATE(IF(AA187&lt;&gt;"",CONCATENATE(Z187," ",AA187," ",BI187),""),IF(AD187&lt;&gt;"",CONCATENATE(","," ",AC187," ",AD187," ",BJ187),""),IF(AG187&lt;&gt;"",CONCATENATE(","," ",AF187," ",AG187," ",BK187),""),IF(AJ187&lt;&gt;"",CONCATENATE(","," ","DD"," ",BL187),"")," ",IF(AI187&lt;&gt;"",CONCATENATE(" - ",AI187," Bag"),"")),"")</f>
        <v/>
      </c>
      <c r="AL187" s="287"/>
      <c r="AM187" s="287"/>
      <c r="AN187" s="287"/>
      <c r="AO187" s="287"/>
      <c r="AP187" s="370" t="str">
        <f>IFERROR(VLOOKUP(#REF!,Outlist!$A$5:$V$120,20,FALSE),"")</f>
        <v/>
      </c>
      <c r="AQ187" s="288" t="str">
        <f>IFERROR(IF(VLOOKUP($A187,#REF!,8,FALSE)&lt;&gt;"",VLOOKUP($A187,#REF!,8,FALSE),""),"")</f>
        <v/>
      </c>
      <c r="AS187" s="24"/>
      <c r="AT187" s="24">
        <v>9.7222222222222224E-3</v>
      </c>
      <c r="AU187" s="27"/>
      <c r="AV187" s="27"/>
      <c r="AX187" s="20" t="str">
        <f>IFERROR(IF(Out_Table[[#This Row],[Cancellazione linea]]="Cancellata","yes",""),"")</f>
        <v/>
      </c>
      <c r="AY187" s="72" t="str">
        <f>IF(BA187="",BZ187,IF(AND(BA187&lt;(--"23:59:59"),BA187&gt;(--"15:00:00"),G187&lt;(--"14:00:00"),G187&gt;(--"00:00:01")),"",IF(BA187&gt;G187,BZ187,"")))</f>
        <v/>
      </c>
      <c r="AZ187" s="27"/>
      <c r="BA187" s="32"/>
      <c r="BB187" s="72"/>
      <c r="BC187" s="72" t="str">
        <f>IFERROR(VLOOKUP(Out_Table[[#This Row],[Aggiornamento STATUS]],'INformazioni per calcoli'!$Y$70:$AA$76,2,FALSE),"")</f>
        <v/>
      </c>
      <c r="BD187" s="289"/>
      <c r="BE187" s="289"/>
      <c r="BF187" s="47" t="str">
        <f>LEFT($E187,3)</f>
        <v>GOA</v>
      </c>
      <c r="BG187" s="298" t="str">
        <f>IF(Out_Table[[#This Row],[Ora Uscita    (GH)]]&lt;&gt;"","x","")</f>
        <v/>
      </c>
      <c r="BH187" s="299">
        <f>VLOOKUP($O187,'INformazioni per calcoli'!$Y$20:$AA$23,3,FALSE)</f>
        <v>14</v>
      </c>
      <c r="BI187" s="299">
        <f>MROUND(Out_Table[[#This Row],[Mtr. Trailer]]*AB187,0.5)</f>
        <v>0</v>
      </c>
      <c r="BJ187" s="299">
        <f>MROUND(Out_Table[[#This Row],[Mtr. Trailer]]*AE187,0.5)</f>
        <v>0</v>
      </c>
      <c r="BK187" s="299">
        <f>MROUND(Out_Table[[#This Row],[Mtr. Trailer]]*AH187,0.5)</f>
        <v>0</v>
      </c>
      <c r="BL187" s="300">
        <f>Out_Table[[#This Row],[Double Deck trailer N° bumpers]]</f>
        <v>0</v>
      </c>
      <c r="BM187" s="301"/>
      <c r="BN187" s="299" t="str">
        <f>B187</f>
        <v>ITD12177</v>
      </c>
      <c r="BO187" s="299" t="str">
        <f>E187</f>
        <v>GOA</v>
      </c>
      <c r="BP187" s="302">
        <f>IF(AND(G187&gt;(--"00:00:01"),G187&lt;(--"15:00:00")),IF(AND(X187&gt;(--"00:00:01"),X187&lt;(--"15:00:00")),G187-X187,G187+1-X187),G187-X187)</f>
        <v>1.25</v>
      </c>
      <c r="BQ187" s="303">
        <f>AE187+AF187+AH187+AJ187</f>
        <v>0</v>
      </c>
      <c r="BR187" s="304" t="str">
        <f>IF(OR(BP187&lt;=(--"00:20:00"),BQ187&gt;=100%),"OK","Not OK")</f>
        <v>Not OK</v>
      </c>
      <c r="BS187" s="302">
        <f>IF(AND(G187&gt;(--"00:00:01"),G187&lt;(--"15:00:00")),IF(AND(AU187&gt;(--"00:00:01"),AU187&lt;(--"15:00:00")),G187-AU187,G187+1-AU187),G187-AU187)</f>
        <v>1.25</v>
      </c>
      <c r="BT187" s="302">
        <f>IF(AND(AZ187&gt;(--"00:00:01"),AZ187&lt;(--"15:00:00")),IF(AND(AU187&gt;(--"00:00:01"),AU187&lt;(--"15:00:00")),AZ187-AU187,AZ187+1-AU187),AZ187-AU187)</f>
        <v>0</v>
      </c>
      <c r="BU187" s="302">
        <f>IF(AND(BA187&gt;(--"00:00:01"),BA187&lt;(--"15:00:00")),IF(AND(AZ187&gt;(--"00:00:01"),AZ187&lt;(--"15:00:00")),BA187-AZ187,BA187+1-AZ187),BA187-AZ187)</f>
        <v>0</v>
      </c>
      <c r="BV187" s="299">
        <f>AV187</f>
        <v>0</v>
      </c>
      <c r="BW187" s="301"/>
      <c r="BX187" s="299" t="str">
        <f>IF(AV187="T Status",IF(AV187&lt;&gt;T187,"X",""),"")</f>
        <v/>
      </c>
      <c r="BY187" s="301"/>
      <c r="BZ187" s="299" t="str">
        <f>IF(X187&lt;&gt;"",IF(CC187="X","Driver Delay",IF(CA187="X","Paperwork Delay",IF(CB187="X","Late freight late sort",IF(CD187="X","Chiamare Control Room",IF(CE187="X","Chiamare Control Room",IF(CF187="X","Chiamare Control Room","")))))),"")</f>
        <v/>
      </c>
      <c r="CA187" s="302" t="str">
        <f>IF(K187="",IF(IF(AND(G187&gt;(--"00:00:01"),G187&lt;(--"15:00:00")),IF(AND(AT187&gt;(--"08:00:00"),AT187&lt;(--"23:59:59")),G187+1-AT187,G187-AT187),G187-AT187)&gt;(--"00:20:00"),"","X"),"")</f>
        <v/>
      </c>
      <c r="CB187" s="299" t="str">
        <f>IF(K187="",IF(BP187&gt;=(--"00:20:00"),"","X"),"")</f>
        <v/>
      </c>
      <c r="CC187" s="299" t="str">
        <f>IF(OR(AV187="Autista non presente",AV187="Dati driver non presenti"),"X","")</f>
        <v/>
      </c>
      <c r="CD187" s="299" t="str">
        <f>IF(K187="",IF(AND(CC187="",BS187&lt;(--"00:20:00")),"X",""),"")</f>
        <v/>
      </c>
      <c r="CE187" s="299" t="str">
        <f>IF(K187="",IF(BT187&gt;(--"00:15:00"),"X",""),IF(AZ187&lt;&gt;"",IF(G187-AZ187&gt;(--"00:30:00"),"X",""),""))</f>
        <v/>
      </c>
      <c r="CF187" s="299" t="str">
        <f>IF(AND(CA187="",CB187="",CC187="",CD187="",CE187=""),"X","")</f>
        <v>X</v>
      </c>
      <c r="CG187" s="301"/>
      <c r="CH187" s="299" t="str">
        <f>IF(BT187&gt;(--"00:15:00"),"X","")</f>
        <v/>
      </c>
      <c r="CI187" s="302" t="str">
        <f>AY187</f>
        <v/>
      </c>
      <c r="CJ187" s="299" t="str">
        <f>IF(AND(CH187&lt;&gt;"",CI187&lt;&gt;"",LEFT(B187,3)="ITD"),AP187,"")</f>
        <v/>
      </c>
      <c r="CK187" s="305" t="str">
        <f>IF(CJ187&lt;&gt;"",BT187,"")</f>
        <v/>
      </c>
      <c r="CL187" s="301"/>
      <c r="CM187" s="305">
        <f>IFERROR(VLOOKUP(Q187,'Elenco Casse'!$D$4:$F$292,3,FALSE),"")</f>
        <v>0</v>
      </c>
      <c r="CN187" s="301"/>
      <c r="CO187" s="305" t="str">
        <f>IFERROR(VLOOKUP(S187,'Elenco Casse'!$D$4:$F$292,3,FALSE),"")</f>
        <v/>
      </c>
      <c r="CP187" s="305" t="str">
        <f>IFERROR(IF(VLOOKUP($E187,Outlist!$A$5:$S$120,19,FALSE)&lt;&gt;0,"Y",""),"")</f>
        <v/>
      </c>
      <c r="CQ187" s="301"/>
      <c r="CR187" s="305" t="str">
        <f>CONCATENATE($B187,$E187,$G187)</f>
        <v>ITD12177GOA0.25</v>
      </c>
      <c r="CS187" s="301"/>
      <c r="CT187" s="305" t="e">
        <f>VLOOKUP(Out_Table[[#This Row],[Destination             ORANGE (From Planning)]],Outlist!$A$5:$W$120,22,FALSE)</f>
        <v>#N/A</v>
      </c>
    </row>
    <row r="188" spans="1:98" s="20" customFormat="1" ht="30.75">
      <c r="A188" s="305" t="str">
        <f>$CR188</f>
        <v>ITD12884GOA0.166666666666667</v>
      </c>
      <c r="B188" s="284" t="s">
        <v>1105</v>
      </c>
      <c r="C188" s="290" t="str">
        <f>IFERROR(IF(LEFT(B188,3)='STAT 77'!$X$2,_xlfn.XLOOKUP(B188,'STAT 77'!C:C,'STAT 77'!B:B),_xlfn.XLOOKUP(B188,'STAT 77'!B:B,'STAT 77'!C:C)),"NON TROVATO")</f>
        <v>ITD32508</v>
      </c>
      <c r="D188" s="25" t="s">
        <v>1106</v>
      </c>
      <c r="E188" s="290" t="s">
        <v>591</v>
      </c>
      <c r="F188" s="290" t="str">
        <f>IFERROR(VLOOKUP(E188,'Cambio O2P'!C:E,2,FALSE),"")</f>
        <v>GOAT8</v>
      </c>
      <c r="G188" s="285">
        <v>0.16666666666666666</v>
      </c>
      <c r="H188" s="293" t="str">
        <f ca="1">IFERROR(IF(AND('INformazioni per calcoli'!$AB$3&lt;(--"14:30"),'INformazioni per calcoli'!$AB$3&gt;(--"10:00")),"",IF($B188="","",IF($X188&lt;&gt;"","Mezzo Chiuso",IF($W188="","Non al Carico",IF($G188-'INformazioni per calcoli'!$AB$5-'INformazioni per calcoli'!$AB$3+$J188&lt;0,"LFLS",IF($K188&lt;&gt;"","Safe Parking",IF($W188&lt;&gt;"",IF($E188="MXP",$G188-'INformazioni per calcoli'!$AB$6-'INformazioni per calcoli'!$AB$3+$J188,$G188-'INformazioni per calcoli'!$AB$5-'INformazioni per calcoli'!$AB$3+$J188),"Non al carico"))))))),"")</f>
        <v>Mezzo Chiuso</v>
      </c>
      <c r="I188" s="17" t="str">
        <f ca="1">IFERROR(IF($H188&lt;&gt;"",IF($H188="Safe Parking","",IF($W188&lt;&gt;"",IF(AND($U188="X",$V188="X"),$H188-(--"00:30"),""),IF($X188&lt;&gt;"","Mezzo Chiuso","Non al carico"))),""),"")</f>
        <v/>
      </c>
      <c r="J188" s="306">
        <f ca="1">IFERROR(IF($B188&lt;&gt;"",IF(AND('INformazioni per calcoli'!$AB$3&lt;(--"15:00"),'INformazioni per calcoli'!$AB$3&gt;(--"00:00")),0,IF($G188&lt;(--"18:30"),"+1",0)),""),"")</f>
        <v>0</v>
      </c>
      <c r="K188" s="17"/>
      <c r="L188" s="25" t="s">
        <v>430</v>
      </c>
      <c r="M188" s="25" t="str">
        <f>IFERROR(_xlfn.XLOOKUP($Q188,'Elenco Casse'!$D:$D,'Elenco Casse'!$E:$E),"")</f>
        <v>Trans Speedy S.R.L</v>
      </c>
      <c r="N188" s="25">
        <f>IFERROR(_xlfn.XLOOKUP($Q188,'Elenco Casse'!$D:$D,'Elenco Casse'!$F:$F),"")</f>
        <v>0</v>
      </c>
      <c r="O188" s="286" t="s">
        <v>418</v>
      </c>
      <c r="P188" s="295" t="str">
        <f>IFERROR(_xlfn.XLOOKUP($Q188,'Elenco Casse'!$D:$D,'Elenco Casse'!$G:$G),"")</f>
        <v>trailer 80 m3 2/3 axles</v>
      </c>
      <c r="Q188" s="355" t="s">
        <v>1107</v>
      </c>
      <c r="R188" s="23" t="s">
        <v>420</v>
      </c>
      <c r="S188" s="25" t="s">
        <v>421</v>
      </c>
      <c r="T188" s="25" t="s">
        <v>599</v>
      </c>
      <c r="U188" s="23" t="str">
        <f>IF(ISNUMBER(SEARCH("Parcel",$T188)),"X","")</f>
        <v/>
      </c>
      <c r="V188" s="23" t="str">
        <f>IF(ISNUMBER(SEARCH("Freight",$T188)),"X","")</f>
        <v>X</v>
      </c>
      <c r="W188" s="26">
        <v>825</v>
      </c>
      <c r="X188" s="27">
        <v>0.91666666666666663</v>
      </c>
      <c r="Y188" s="25" t="s">
        <v>1108</v>
      </c>
      <c r="Z188" s="25"/>
      <c r="AA188" s="25" t="s">
        <v>487</v>
      </c>
      <c r="AB188" s="57">
        <v>1</v>
      </c>
      <c r="AC188" s="25"/>
      <c r="AD188" s="25"/>
      <c r="AE188" s="57"/>
      <c r="AF188" s="57"/>
      <c r="AG188" s="25"/>
      <c r="AH188" s="57"/>
      <c r="AI188" s="339"/>
      <c r="AJ188" s="339"/>
      <c r="AK188" s="297" t="str">
        <f>IF(X188&lt;&gt;"",CONCATENATE(IF(AA188&lt;&gt;"",CONCATENATE(Z188," ",AA188," ",BI188),""),IF(AD188&lt;&gt;"",CONCATENATE(","," ",AC188," ",AD188," ",BJ188),""),IF(AG188&lt;&gt;"",CONCATENATE(","," ",AF188," ",AG188," ",BK188),""),IF(AJ188&lt;&gt;"",CONCATENATE(","," ","DD"," ",BL188),"")," ",IF(AI188&lt;&gt;"",CONCATENATE(" - ",AI188," Bag"),"")),"")</f>
        <v xml:space="preserve"> FRT 14 </v>
      </c>
      <c r="AL188" s="287" t="s">
        <v>421</v>
      </c>
      <c r="AM188" s="287"/>
      <c r="AN188" s="287"/>
      <c r="AO188" s="287"/>
      <c r="AP188" s="370" t="str">
        <f>IFERROR(VLOOKUP(#REF!,Outlist!$A$5:$V$120,20,FALSE),"")</f>
        <v/>
      </c>
      <c r="AQ188" s="288" t="str">
        <f>IFERROR(IF(VLOOKUP($A188,#REF!,8,FALSE)&lt;&gt;"",VLOOKUP($A188,#REF!,8,FALSE),""),"")</f>
        <v/>
      </c>
      <c r="AS188" s="24"/>
      <c r="AT188" s="24">
        <v>0.93888888888888888</v>
      </c>
      <c r="AU188" s="27">
        <v>0.14097222222222222</v>
      </c>
      <c r="AV188" s="27"/>
      <c r="AX188" s="20" t="str">
        <f>IFERROR(IF(Out_Table[[#This Row],[Cancellazione linea]]="Cancellata","yes",""),"")</f>
        <v/>
      </c>
      <c r="AY188" s="72" t="str">
        <f>IF(BA188="",BZ188,IF(AND(BA188&lt;(--"23:59:59"),BA188&gt;(--"15:00:00"),G188&lt;(--"14:00:00"),G188&gt;(--"00:00:01")),"",IF(BA188&gt;G188,BZ188,"")))</f>
        <v>Chiamare Control Room</v>
      </c>
      <c r="AZ188" s="27"/>
      <c r="BA188" s="32"/>
      <c r="BB188" s="72"/>
      <c r="BC188" s="72" t="str">
        <f>IFERROR(VLOOKUP(Out_Table[[#This Row],[Aggiornamento STATUS]],'INformazioni per calcoli'!$Y$70:$AA$76,2,FALSE),"")</f>
        <v/>
      </c>
      <c r="BD188" s="289"/>
      <c r="BE188" s="289"/>
      <c r="BF188" s="47" t="str">
        <f>LEFT($E188,3)</f>
        <v>GOA</v>
      </c>
      <c r="BG188" s="298" t="str">
        <f>IF(Out_Table[[#This Row],[Ora Uscita    (GH)]]&lt;&gt;"","x","")</f>
        <v/>
      </c>
      <c r="BH188" s="299">
        <f>VLOOKUP($O188,'INformazioni per calcoli'!$Y$20:$AA$23,3,FALSE)</f>
        <v>14</v>
      </c>
      <c r="BI188" s="299">
        <f>MROUND(Out_Table[[#This Row],[Mtr. Trailer]]*AB188,0.5)</f>
        <v>14</v>
      </c>
      <c r="BJ188" s="299">
        <f>MROUND(Out_Table[[#This Row],[Mtr. Trailer]]*AE188,0.5)</f>
        <v>0</v>
      </c>
      <c r="BK188" s="299">
        <f>MROUND(Out_Table[[#This Row],[Mtr. Trailer]]*AH188,0.5)</f>
        <v>0</v>
      </c>
      <c r="BL188" s="300">
        <f>Out_Table[[#This Row],[Double Deck trailer N° bumpers]]</f>
        <v>0</v>
      </c>
      <c r="BM188" s="301"/>
      <c r="BN188" s="299" t="str">
        <f>B188</f>
        <v>ITD12884</v>
      </c>
      <c r="BO188" s="299" t="str">
        <f>E188</f>
        <v>GOA</v>
      </c>
      <c r="BP188" s="302">
        <f>IF(AND(G188&gt;(--"00:00:01"),G188&lt;(--"15:00:00")),IF(AND(X188&gt;(--"00:00:01"),X188&lt;(--"15:00:00")),G188-X188,G188+1-X188),G188-X188)</f>
        <v>0.25000000000000011</v>
      </c>
      <c r="BQ188" s="303">
        <f>AE188+AF188+AH188+AJ188</f>
        <v>0</v>
      </c>
      <c r="BR188" s="304" t="str">
        <f>IF(OR(BP188&lt;=(--"00:20:00"),BQ188&gt;=100%),"OK","Not OK")</f>
        <v>Not OK</v>
      </c>
      <c r="BS188" s="302">
        <f>IF(AND(G188&gt;(--"00:00:01"),G188&lt;(--"15:00:00")),IF(AND(AU188&gt;(--"00:00:01"),AU188&lt;(--"15:00:00")),G188-AU188,G188+1-AU188),G188-AU188)</f>
        <v>2.5694444444444436E-2</v>
      </c>
      <c r="BT188" s="302">
        <f>IF(AND(AZ188&gt;(--"00:00:01"),AZ188&lt;(--"15:00:00")),IF(AND(AU188&gt;(--"00:00:01"),AU188&lt;(--"15:00:00")),AZ188-AU188,AZ188+1-AU188),AZ188-AU188)</f>
        <v>-0.14097222222222222</v>
      </c>
      <c r="BU188" s="302">
        <f>IF(AND(BA188&gt;(--"00:00:01"),BA188&lt;(--"15:00:00")),IF(AND(AZ188&gt;(--"00:00:01"),AZ188&lt;(--"15:00:00")),BA188-AZ188,BA188+1-AZ188),BA188-AZ188)</f>
        <v>0</v>
      </c>
      <c r="BV188" s="299">
        <f>AV188</f>
        <v>0</v>
      </c>
      <c r="BW188" s="301"/>
      <c r="BX188" s="299" t="str">
        <f>IF(AV188="T Status",IF(AV188&lt;&gt;T188,"X",""),"")</f>
        <v/>
      </c>
      <c r="BY188" s="301"/>
      <c r="BZ188" s="299" t="str">
        <f>IF(X188&lt;&gt;"",IF(CC188="X","Driver Delay",IF(CA188="X","Paperwork Delay",IF(CB188="X","Late freight late sort",IF(CD188="X","Chiamare Control Room",IF(CE188="X","Chiamare Control Room",IF(CF188="X","Chiamare Control Room","")))))),"")</f>
        <v>Chiamare Control Room</v>
      </c>
      <c r="CA188" s="302" t="str">
        <f>IF(K188="",IF(IF(AND(G188&gt;(--"00:00:01"),G188&lt;(--"15:00:00")),IF(AND(AT188&gt;(--"08:00:00"),AT188&lt;(--"23:59:59")),G188+1-AT188,G188-AT188),G188-AT188)&gt;(--"00:20:00"),"","X"),"")</f>
        <v/>
      </c>
      <c r="CB188" s="299" t="str">
        <f>IF(K188="",IF(BP188&gt;=(--"00:20:00"),"","X"),"")</f>
        <v/>
      </c>
      <c r="CC188" s="299" t="str">
        <f>IF(OR(AV188="Autista non presente",AV188="Dati driver non presenti"),"X","")</f>
        <v/>
      </c>
      <c r="CD188" s="299" t="str">
        <f>IF(K188="",IF(AND(CC188="",BS188&lt;(--"00:20:00")),"X",""),"")</f>
        <v/>
      </c>
      <c r="CE188" s="299" t="str">
        <f>IF(K188="",IF(BT188&gt;(--"00:15:00"),"X",""),IF(AZ188&lt;&gt;"",IF(G188-AZ188&gt;(--"00:30:00"),"X",""),""))</f>
        <v/>
      </c>
      <c r="CF188" s="299" t="str">
        <f>IF(AND(CA188="",CB188="",CC188="",CD188="",CE188=""),"X","")</f>
        <v>X</v>
      </c>
      <c r="CG188" s="301"/>
      <c r="CH188" s="299" t="str">
        <f>IF(BT188&gt;(--"00:15:00"),"X","")</f>
        <v/>
      </c>
      <c r="CI188" s="302" t="str">
        <f>AY188</f>
        <v>Chiamare Control Room</v>
      </c>
      <c r="CJ188" s="299" t="str">
        <f>IF(AND(CH188&lt;&gt;"",CI188&lt;&gt;"",LEFT(B188,3)="ITD"),AP188,"")</f>
        <v/>
      </c>
      <c r="CK188" s="305" t="str">
        <f>IF(CJ188&lt;&gt;"",BT188,"")</f>
        <v/>
      </c>
      <c r="CL188" s="301"/>
      <c r="CM188" s="305" t="str">
        <f>IFERROR(VLOOKUP(Q188,'Elenco Casse'!$D$4:$F$292,3,FALSE),"")</f>
        <v/>
      </c>
      <c r="CN188" s="301"/>
      <c r="CO188" s="305" t="str">
        <f>IFERROR(VLOOKUP(S188,'Elenco Casse'!$D$4:$F$292,3,FALSE),"")</f>
        <v/>
      </c>
      <c r="CP188" s="305" t="str">
        <f>IFERROR(IF(VLOOKUP($E188,Outlist!$A$5:$S$120,19,FALSE)&lt;&gt;0,"Y",""),"")</f>
        <v/>
      </c>
      <c r="CQ188" s="301"/>
      <c r="CR188" s="305" t="str">
        <f>CONCATENATE($B188,$E188,$G188)</f>
        <v>ITD12884GOA0.166666666666667</v>
      </c>
      <c r="CS188" s="301"/>
      <c r="CT188" s="305" t="e">
        <f>VLOOKUP(Out_Table[[#This Row],[Destination             ORANGE (From Planning)]],Outlist!$A$5:$W$120,22,FALSE)</f>
        <v>#N/A</v>
      </c>
    </row>
    <row r="189" spans="1:98" s="20" customFormat="1" ht="15">
      <c r="A189" s="305" t="str">
        <f>$CR189</f>
        <v>ITD12417QVA0.270833333333333</v>
      </c>
      <c r="B189" s="284" t="s">
        <v>1109</v>
      </c>
      <c r="C189" s="290" t="str">
        <f>IFERROR(IF(LEFT(B189,3)='STAT 77'!$X$2,_xlfn.XLOOKUP(B189,'STAT 77'!C:C,'STAT 77'!B:B),_xlfn.XLOOKUP(B189,'STAT 77'!B:B,'STAT 77'!C:C)),"NON TROVATO")</f>
        <v>ITD31588</v>
      </c>
      <c r="D189" s="25" t="s">
        <v>1110</v>
      </c>
      <c r="E189" s="290" t="s">
        <v>586</v>
      </c>
      <c r="F189" s="290" t="str">
        <f>IFERROR(VLOOKUP(E189,'Cambio O2P'!C:E,2,FALSE),"")</f>
        <v>QVAT8</v>
      </c>
      <c r="G189" s="285">
        <v>0.27083333333333331</v>
      </c>
      <c r="H189" s="293">
        <f ca="1">IFERROR(IF(AND('INformazioni per calcoli'!$AB$3&lt;(--"14:30"),'INformazioni per calcoli'!$AB$3&gt;(--"10:00")),"",IF($B189="","",IF($X189&lt;&gt;"","Mezzo Chiuso",IF($W189="","Non al Carico",IF($G189-'INformazioni per calcoli'!$AB$5-'INformazioni per calcoli'!$AB$3+$J189&lt;0,"LFLS",IF($K189&lt;&gt;"","Safe Parking",IF($W189&lt;&gt;"",IF($E189="MXP",$G189-'INformazioni per calcoli'!$AB$6-'INformazioni per calcoli'!$AB$3+$J189,$G189-'INformazioni per calcoli'!$AB$5-'INformazioni per calcoli'!$AB$3+$J189),"Non al carico"))))))),"")</f>
        <v>0.11148148148148146</v>
      </c>
      <c r="I189" s="17">
        <f ca="1">IFERROR(IF($H189&lt;&gt;"",IF($H189="Safe Parking","",IF($W189&lt;&gt;"",IF(AND($U189="X",$V189="X"),$H189-(--"00:30"),""),IF($X189&lt;&gt;"","Mezzo Chiuso","Non al carico"))),""),"")</f>
        <v>9.064814814814813E-2</v>
      </c>
      <c r="J189" s="306">
        <f ca="1">IFERROR(IF($B189&lt;&gt;"",IF(AND('INformazioni per calcoli'!$AB$3&lt;(--"15:00"),'INformazioni per calcoli'!$AB$3&gt;(--"00:00")),0,IF($G189&lt;(--"18:30"),"+1",0)),""),"")</f>
        <v>0</v>
      </c>
      <c r="K189" s="17"/>
      <c r="L189" s="25" t="s">
        <v>592</v>
      </c>
      <c r="M189" s="25" t="str">
        <f>IFERROR(_xlfn.XLOOKUP($Q189,'Elenco Casse'!$D:$D,'Elenco Casse'!$E:$E),"")</f>
        <v/>
      </c>
      <c r="N189" s="25" t="str">
        <f>IFERROR(_xlfn.XLOOKUP($Q189,'Elenco Casse'!$D:$D,'Elenco Casse'!$F:$F),"")</f>
        <v/>
      </c>
      <c r="O189" s="286" t="s">
        <v>418</v>
      </c>
      <c r="P189" s="295" t="str">
        <f>IFERROR(_xlfn.XLOOKUP($Q189,'Elenco Casse'!$D:$D,'Elenco Casse'!$G:$G),"")</f>
        <v/>
      </c>
      <c r="Q189" s="355" t="s">
        <v>1111</v>
      </c>
      <c r="R189" s="23" t="s">
        <v>420</v>
      </c>
      <c r="S189" s="25" t="s">
        <v>421</v>
      </c>
      <c r="T189" s="25" t="s">
        <v>1112</v>
      </c>
      <c r="U189" s="23" t="s">
        <v>61</v>
      </c>
      <c r="V189" s="23" t="str">
        <f>IF(ISNUMBER(SEARCH("Freight",$T189)),"X","")</f>
        <v>X</v>
      </c>
      <c r="W189" s="26">
        <v>826</v>
      </c>
      <c r="X189" s="27"/>
      <c r="Y189" s="25"/>
      <c r="Z189" s="25"/>
      <c r="AA189" s="25" t="s">
        <v>487</v>
      </c>
      <c r="AB189" s="57"/>
      <c r="AC189" s="25"/>
      <c r="AD189" s="25"/>
      <c r="AE189" s="57"/>
      <c r="AF189" s="57"/>
      <c r="AG189" s="25" t="s">
        <v>488</v>
      </c>
      <c r="AH189" s="57"/>
      <c r="AI189" s="339"/>
      <c r="AJ189" s="339"/>
      <c r="AK189" s="297" t="str">
        <f>IF(X189&lt;&gt;"",CONCATENATE(IF(AA189&lt;&gt;"",CONCATENATE(Z189," ",AA189," ",BI189),""),IF(AD189&lt;&gt;"",CONCATENATE(","," ",AC189," ",AD189," ",BJ189),""),IF(AG189&lt;&gt;"",CONCATENATE(","," ",AF189," ",AG189," ",BK189),""),IF(AJ189&lt;&gt;"",CONCATENATE(","," ","DD"," ",BL189),"")," ",IF(AI189&lt;&gt;"",CONCATENATE(" - ",AI189," Bag"),"")),"")</f>
        <v/>
      </c>
      <c r="AL189" s="287"/>
      <c r="AM189" s="287"/>
      <c r="AN189" s="287"/>
      <c r="AO189" s="287"/>
      <c r="AP189" s="370" t="str">
        <f>IFERROR(VLOOKUP($E186,Outlist!$A$5:$V$120,20,FALSE),"")</f>
        <v/>
      </c>
      <c r="AQ189" s="288" t="str">
        <f>IFERROR(IF(VLOOKUP($A189,#REF!,8,FALSE)&lt;&gt;"",VLOOKUP($A189,#REF!,8,FALSE),""),"")</f>
        <v/>
      </c>
      <c r="AS189" s="24"/>
      <c r="AT189" s="24">
        <v>0.45624999999999999</v>
      </c>
      <c r="AU189" s="27"/>
      <c r="AV189" s="27"/>
      <c r="AX189" s="20" t="str">
        <f>IFERROR(IF(Out_Table[[#This Row],[Cancellazione linea]]="Cancellata","yes",""),"")</f>
        <v/>
      </c>
      <c r="AY189" s="72" t="str">
        <f>IF(BA189="",BZ189,IF(AND(BA189&lt;(--"23:59:59"),BA189&gt;(--"15:00:00"),G189&lt;(--"14:00:00"),G189&gt;(--"00:00:01")),"",IF(BA189&gt;G189,BZ189,"")))</f>
        <v/>
      </c>
      <c r="AZ189" s="27"/>
      <c r="BA189" s="32"/>
      <c r="BB189" s="72"/>
      <c r="BC189" s="72" t="str">
        <f>IFERROR(VLOOKUP(Out_Table[[#This Row],[Aggiornamento STATUS]],'INformazioni per calcoli'!$Y$70:$AA$76,2,FALSE),"")</f>
        <v/>
      </c>
      <c r="BD189" s="289"/>
      <c r="BE189" s="289"/>
      <c r="BF189" s="47" t="str">
        <f>LEFT($E189,3)</f>
        <v>QVA</v>
      </c>
      <c r="BG189" s="298" t="str">
        <f>IF(Out_Table[[#This Row],[Ora Uscita    (GH)]]&lt;&gt;"","x","")</f>
        <v/>
      </c>
      <c r="BH189" s="299">
        <f>VLOOKUP($O189,'INformazioni per calcoli'!$Y$20:$AA$23,3,FALSE)</f>
        <v>14</v>
      </c>
      <c r="BI189" s="299">
        <f>MROUND(Out_Table[[#This Row],[Mtr. Trailer]]*AB189,0.5)</f>
        <v>0</v>
      </c>
      <c r="BJ189" s="299">
        <f>MROUND(Out_Table[[#This Row],[Mtr. Trailer]]*AE189,0.5)</f>
        <v>0</v>
      </c>
      <c r="BK189" s="299">
        <f>MROUND(Out_Table[[#This Row],[Mtr. Trailer]]*AH189,0.5)</f>
        <v>0</v>
      </c>
      <c r="BL189" s="300">
        <f>Out_Table[[#This Row],[Double Deck trailer N° bumpers]]</f>
        <v>0</v>
      </c>
      <c r="BM189" s="301"/>
      <c r="BN189" s="299" t="str">
        <f>B189</f>
        <v>ITD12417</v>
      </c>
      <c r="BO189" s="299" t="str">
        <f>E189</f>
        <v>QVA</v>
      </c>
      <c r="BP189" s="302">
        <f>IF(AND(G189&gt;(--"00:00:01"),G189&lt;(--"15:00:00")),IF(AND(X189&gt;(--"00:00:01"),X189&lt;(--"15:00:00")),G189-X189,G189+1-X189),G189-X189)</f>
        <v>1.2708333333333333</v>
      </c>
      <c r="BQ189" s="303">
        <f>AE189+AF189+AH189+AJ189</f>
        <v>0</v>
      </c>
      <c r="BR189" s="304" t="str">
        <f>IF(OR(BP189&lt;=(--"00:20:00"),BQ189&gt;=100%),"OK","Not OK")</f>
        <v>Not OK</v>
      </c>
      <c r="BS189" s="302">
        <f>IF(AND(G189&gt;(--"00:00:01"),G189&lt;(--"15:00:00")),IF(AND(AU189&gt;(--"00:00:01"),AU189&lt;(--"15:00:00")),G189-AU189,G189+1-AU189),G189-AU189)</f>
        <v>1.2708333333333333</v>
      </c>
      <c r="BT189" s="302">
        <f>IF(AND(AZ189&gt;(--"00:00:01"),AZ189&lt;(--"15:00:00")),IF(AND(AU189&gt;(--"00:00:01"),AU189&lt;(--"15:00:00")),AZ189-AU189,AZ189+1-AU189),AZ189-AU189)</f>
        <v>0</v>
      </c>
      <c r="BU189" s="302">
        <f>IF(AND(BA189&gt;(--"00:00:01"),BA189&lt;(--"15:00:00")),IF(AND(AZ189&gt;(--"00:00:01"),AZ189&lt;(--"15:00:00")),BA189-AZ189,BA189+1-AZ189),BA189-AZ189)</f>
        <v>0</v>
      </c>
      <c r="BV189" s="299">
        <f>AV189</f>
        <v>0</v>
      </c>
      <c r="BW189" s="301"/>
      <c r="BX189" s="299" t="str">
        <f>IF(AV189="T Status",IF(AV189&lt;&gt;T189,"X",""),"")</f>
        <v/>
      </c>
      <c r="BY189" s="301"/>
      <c r="BZ189" s="299" t="str">
        <f>IF(X189&lt;&gt;"",IF(CC189="X","Driver Delay",IF(CA189="X","Paperwork Delay",IF(CB189="X","Late freight late sort",IF(CD189="X","Chiamare Control Room",IF(CE189="X","Chiamare Control Room",IF(CF189="X","Chiamare Control Room","")))))),"")</f>
        <v/>
      </c>
      <c r="CA189" s="302" t="str">
        <f>IF(K189="",IF(IF(AND(G189&gt;(--"00:00:01"),G189&lt;(--"15:00:00")),IF(AND(AT189&gt;(--"08:00:00"),AT189&lt;(--"23:59:59")),G189+1-AT189,G189-AT189),G189-AT189)&gt;(--"00:20:00"),"","X"),"")</f>
        <v/>
      </c>
      <c r="CB189" s="299" t="str">
        <f>IF(K189="",IF(BP189&gt;=(--"00:20:00"),"","X"),"")</f>
        <v/>
      </c>
      <c r="CC189" s="299" t="str">
        <f>IF(OR(AV189="Autista non presente",AV189="Dati driver non presenti"),"X","")</f>
        <v/>
      </c>
      <c r="CD189" s="299" t="str">
        <f>IF(K189="",IF(AND(CC189="",BS189&lt;(--"00:20:00")),"X",""),"")</f>
        <v/>
      </c>
      <c r="CE189" s="299" t="str">
        <f>IF(K189="",IF(BT189&gt;(--"00:15:00"),"X",""),IF(AZ189&lt;&gt;"",IF(G189-AZ189&gt;(--"00:30:00"),"X",""),""))</f>
        <v/>
      </c>
      <c r="CF189" s="299" t="str">
        <f>IF(AND(CA189="",CB189="",CC189="",CD189="",CE189=""),"X","")</f>
        <v>X</v>
      </c>
      <c r="CG189" s="301"/>
      <c r="CH189" s="299" t="str">
        <f>IF(BT189&gt;(--"00:15:00"),"X","")</f>
        <v/>
      </c>
      <c r="CI189" s="302" t="str">
        <f>AY189</f>
        <v/>
      </c>
      <c r="CJ189" s="299" t="str">
        <f>IF(AND(CH189&lt;&gt;"",CI189&lt;&gt;"",LEFT(B189,3)="ITD"),AP189,"")</f>
        <v/>
      </c>
      <c r="CK189" s="305" t="str">
        <f>IF(CJ189&lt;&gt;"",BT189,"")</f>
        <v/>
      </c>
      <c r="CL189" s="301"/>
      <c r="CM189" s="305" t="str">
        <f>IFERROR(VLOOKUP(Q189,'Elenco Casse'!$D$4:$F$292,3,FALSE),"")</f>
        <v/>
      </c>
      <c r="CN189" s="301"/>
      <c r="CO189" s="305" t="str">
        <f>IFERROR(VLOOKUP(S189,'Elenco Casse'!$D$4:$F$292,3,FALSE),"")</f>
        <v/>
      </c>
      <c r="CP189" s="305" t="str">
        <f>IFERROR(IF(VLOOKUP($E189,Outlist!$A$5:$S$120,19,FALSE)&lt;&gt;0,"Y",""),"")</f>
        <v/>
      </c>
      <c r="CQ189" s="301"/>
      <c r="CR189" s="305" t="str">
        <f>CONCATENATE($B189,$E189,$G189)</f>
        <v>ITD12417QVA0.270833333333333</v>
      </c>
      <c r="CS189" s="301"/>
      <c r="CT189" s="305" t="e">
        <f>VLOOKUP(Out_Table[[#This Row],[Destination             ORANGE (From Planning)]],Outlist!$A$5:$W$120,22,FALSE)</f>
        <v>#N/A</v>
      </c>
    </row>
    <row r="190" spans="1:98" s="20" customFormat="1" ht="15">
      <c r="A190" s="305" t="str">
        <f>$CR190</f>
        <v>ITD12353MXP0.357638888888889</v>
      </c>
      <c r="B190" s="284" t="s">
        <v>1113</v>
      </c>
      <c r="C190" s="290" t="str">
        <f>IFERROR(IF(LEFT(B190,3)='STAT 77'!$X$2,_xlfn.XLOOKUP(B190,'STAT 77'!C:C,'STAT 77'!B:B),_xlfn.XLOOKUP(B190,'STAT 77'!B:B,'STAT 77'!C:C)),"NON TROVATO")</f>
        <v>ITD32688</v>
      </c>
      <c r="D190" s="25" t="s">
        <v>1114</v>
      </c>
      <c r="E190" s="290" t="s">
        <v>238</v>
      </c>
      <c r="F190" s="290" t="str">
        <f>IFERROR(VLOOKUP(E190,'Cambio O2P'!C:E,2,FALSE),"")</f>
        <v>MXPC</v>
      </c>
      <c r="G190" s="285">
        <v>0.3576388888888889</v>
      </c>
      <c r="H190" s="293">
        <f ca="1">IFERROR(IF(AND('INformazioni per calcoli'!$AB$3&lt;(--"14:30"),'INformazioni per calcoli'!$AB$3&gt;(--"10:00")),"",IF($B190="","",IF($X190&lt;&gt;"","Mezzo Chiuso",IF($W190="","Non al Carico",IF($G190-'INformazioni per calcoli'!$AB$5-'INformazioni per calcoli'!$AB$3+$J190&lt;0,"LFLS",IF($K190&lt;&gt;"","Safe Parking",IF($W190&lt;&gt;"",IF($E190="MXP",$G190-'INformazioni per calcoli'!$AB$6-'INformazioni per calcoli'!$AB$3+$J190,$G190-'INformazioni per calcoli'!$AB$5-'INformazioni per calcoli'!$AB$3+$J190),"Non al carico"))))))),"")</f>
        <v>0.18439814814814814</v>
      </c>
      <c r="I190" s="17" t="str">
        <f ca="1">IFERROR(IF($H190&lt;&gt;"",IF($H190="Safe Parking","",IF($W190&lt;&gt;"",IF(AND($U190="X",$V190="X"),$H190-(--"00:30"),""),IF($X190&lt;&gt;"","Mezzo Chiuso","Non al carico"))),""),"")</f>
        <v/>
      </c>
      <c r="J190" s="306">
        <f ca="1">IFERROR(IF($B190&lt;&gt;"",IF(AND('INformazioni per calcoli'!$AB$3&lt;(--"15:00"),'INformazioni per calcoli'!$AB$3&gt;(--"00:00")),0,IF($G190&lt;(--"18:30"),"+1",0)),""),"")</f>
        <v>0</v>
      </c>
      <c r="K190" s="17"/>
      <c r="L190" s="25" t="s">
        <v>1115</v>
      </c>
      <c r="M190" s="25" t="str">
        <f>IFERROR(_xlfn.XLOOKUP($Q190,'Elenco Casse'!$D:$D,'Elenco Casse'!$E:$E),"")</f>
        <v/>
      </c>
      <c r="N190" s="25" t="str">
        <f>IFERROR(_xlfn.XLOOKUP($Q190,'Elenco Casse'!$D:$D,'Elenco Casse'!$F:$F),"")</f>
        <v/>
      </c>
      <c r="O190" s="286" t="s">
        <v>418</v>
      </c>
      <c r="P190" s="295" t="str">
        <f>IFERROR(_xlfn.XLOOKUP($Q190,'Elenco Casse'!$D:$D,'Elenco Casse'!$G:$G),"")</f>
        <v/>
      </c>
      <c r="Q190" s="355" t="s">
        <v>1116</v>
      </c>
      <c r="R190" s="23" t="s">
        <v>420</v>
      </c>
      <c r="S190" s="25" t="s">
        <v>421</v>
      </c>
      <c r="T190" s="25" t="s">
        <v>1117</v>
      </c>
      <c r="U190" s="23" t="str">
        <f>IF(ISNUMBER(SEARCH("Parcel",$T190)),"X","")</f>
        <v/>
      </c>
      <c r="V190" s="23" t="str">
        <f>IF(ISNUMBER(SEARCH("Freight",$T190)),"X","")</f>
        <v>X</v>
      </c>
      <c r="W190" s="26">
        <v>827</v>
      </c>
      <c r="X190" s="27"/>
      <c r="Y190" s="25"/>
      <c r="Z190" s="25"/>
      <c r="AA190" s="25" t="s">
        <v>487</v>
      </c>
      <c r="AB190" s="57"/>
      <c r="AC190" s="25"/>
      <c r="AD190" s="25"/>
      <c r="AE190" s="57"/>
      <c r="AF190" s="57"/>
      <c r="AG190" s="25"/>
      <c r="AH190" s="57"/>
      <c r="AI190" s="339"/>
      <c r="AJ190" s="339"/>
      <c r="AK190" s="297" t="str">
        <f>IF(X190&lt;&gt;"",CONCATENATE(IF(AA190&lt;&gt;"",CONCATENATE(Z190," ",AA190," ",BI190),""),IF(AD190&lt;&gt;"",CONCATENATE(","," ",AC190," ",AD190," ",BJ190),""),IF(AG190&lt;&gt;"",CONCATENATE(","," ",AF190," ",AG190," ",BK190),""),IF(AJ190&lt;&gt;"",CONCATENATE(","," ","DD"," ",BL190),"")," ",IF(AI190&lt;&gt;"",CONCATENATE(" - ",AI190," Bag"),"")),"")</f>
        <v/>
      </c>
      <c r="AL190" s="287"/>
      <c r="AM190" s="287"/>
      <c r="AN190" s="287"/>
      <c r="AO190" s="287"/>
      <c r="AP190" s="370" t="str">
        <f>IFERROR(VLOOKUP(#REF!,Outlist!$A$5:$V$120,20,FALSE),"")</f>
        <v/>
      </c>
      <c r="AQ190" s="288" t="str">
        <f>IFERROR(IF(VLOOKUP($A190,#REF!,8,FALSE)&lt;&gt;"",VLOOKUP($A190,#REF!,8,FALSE),""),"")</f>
        <v/>
      </c>
      <c r="AS190" s="24"/>
      <c r="AT190" s="24">
        <v>2.4305555555555556E-2</v>
      </c>
      <c r="AU190" s="27"/>
      <c r="AV190" s="27"/>
      <c r="AX190" s="20" t="str">
        <f>IFERROR(IF(Out_Table[[#This Row],[Cancellazione linea]]="Cancellata","yes",""),"")</f>
        <v/>
      </c>
      <c r="AY190" s="72" t="str">
        <f>IF(BA190="",BZ190,IF(AND(BA190&lt;(--"23:59:59"),BA190&gt;(--"15:00:00"),G190&lt;(--"14:00:00"),G190&gt;(--"00:00:01")),"",IF(BA190&gt;G190,BZ190,"")))</f>
        <v/>
      </c>
      <c r="AZ190" s="27"/>
      <c r="BA190" s="32"/>
      <c r="BB190" s="72"/>
      <c r="BC190" s="72" t="str">
        <f>IFERROR(VLOOKUP(Out_Table[[#This Row],[Aggiornamento STATUS]],'INformazioni per calcoli'!$Y$70:$AA$76,2,FALSE),"")</f>
        <v/>
      </c>
      <c r="BD190" s="289"/>
      <c r="BE190" s="289"/>
      <c r="BF190" s="47" t="str">
        <f>LEFT($E190,3)</f>
        <v>MXP</v>
      </c>
      <c r="BG190" s="298" t="str">
        <f>IF(Out_Table[[#This Row],[Ora Uscita    (GH)]]&lt;&gt;"","x","")</f>
        <v/>
      </c>
      <c r="BH190" s="299">
        <f>VLOOKUP($O190,'INformazioni per calcoli'!$Y$20:$AA$23,3,FALSE)</f>
        <v>14</v>
      </c>
      <c r="BI190" s="299">
        <f>MROUND(Out_Table[[#This Row],[Mtr. Trailer]]*AB190,0.5)</f>
        <v>0</v>
      </c>
      <c r="BJ190" s="299">
        <f>MROUND(Out_Table[[#This Row],[Mtr. Trailer]]*AE190,0.5)</f>
        <v>0</v>
      </c>
      <c r="BK190" s="299">
        <f>MROUND(Out_Table[[#This Row],[Mtr. Trailer]]*AH190,0.5)</f>
        <v>0</v>
      </c>
      <c r="BL190" s="300">
        <f>Out_Table[[#This Row],[Double Deck trailer N° bumpers]]</f>
        <v>0</v>
      </c>
      <c r="BM190" s="301"/>
      <c r="BN190" s="299" t="str">
        <f>B190</f>
        <v>ITD12353</v>
      </c>
      <c r="BO190" s="299" t="str">
        <f>E190</f>
        <v>MXP</v>
      </c>
      <c r="BP190" s="302">
        <f>IF(AND(G190&gt;(--"00:00:01"),G190&lt;(--"15:00:00")),IF(AND(X190&gt;(--"00:00:01"),X190&lt;(--"15:00:00")),G190-X190,G190+1-X190),G190-X190)</f>
        <v>1.3576388888888888</v>
      </c>
      <c r="BQ190" s="303">
        <f>AE190+AF190+AH190+AJ190</f>
        <v>0</v>
      </c>
      <c r="BR190" s="304" t="str">
        <f>IF(OR(BP190&lt;=(--"00:20:00"),BQ190&gt;=100%),"OK","Not OK")</f>
        <v>Not OK</v>
      </c>
      <c r="BS190" s="302">
        <f>IF(AND(G190&gt;(--"00:00:01"),G190&lt;(--"15:00:00")),IF(AND(AU190&gt;(--"00:00:01"),AU190&lt;(--"15:00:00")),G190-AU190,G190+1-AU190),G190-AU190)</f>
        <v>1.3576388888888888</v>
      </c>
      <c r="BT190" s="302">
        <f>IF(AND(AZ190&gt;(--"00:00:01"),AZ190&lt;(--"15:00:00")),IF(AND(AU190&gt;(--"00:00:01"),AU190&lt;(--"15:00:00")),AZ190-AU190,AZ190+1-AU190),AZ190-AU190)</f>
        <v>0</v>
      </c>
      <c r="BU190" s="302">
        <f>IF(AND(BA190&gt;(--"00:00:01"),BA190&lt;(--"15:00:00")),IF(AND(AZ190&gt;(--"00:00:01"),AZ190&lt;(--"15:00:00")),BA190-AZ190,BA190+1-AZ190),BA190-AZ190)</f>
        <v>0</v>
      </c>
      <c r="BV190" s="299">
        <f>AV190</f>
        <v>0</v>
      </c>
      <c r="BW190" s="301"/>
      <c r="BX190" s="299" t="str">
        <f>IF(AV190="T Status",IF(AV190&lt;&gt;T190,"X",""),"")</f>
        <v/>
      </c>
      <c r="BY190" s="301"/>
      <c r="BZ190" s="299" t="str">
        <f>IF(X190&lt;&gt;"",IF(CC190="X","Driver Delay",IF(CA190="X","Paperwork Delay",IF(CB190="X","Late freight late sort",IF(CD190="X","Chiamare Control Room",IF(CE190="X","Chiamare Control Room",IF(CF190="X","Chiamare Control Room","")))))),"")</f>
        <v/>
      </c>
      <c r="CA190" s="302" t="str">
        <f>IF(K190="",IF(IF(AND(G190&gt;(--"00:00:01"),G190&lt;(--"15:00:00")),IF(AND(AT190&gt;(--"08:00:00"),AT190&lt;(--"23:59:59")),G190+1-AT190,G190-AT190),G190-AT190)&gt;(--"00:20:00"),"","X"),"")</f>
        <v/>
      </c>
      <c r="CB190" s="299" t="str">
        <f>IF(K190="",IF(BP190&gt;=(--"00:20:00"),"","X"),"")</f>
        <v/>
      </c>
      <c r="CC190" s="299" t="str">
        <f>IF(OR(AV190="Autista non presente",AV190="Dati driver non presenti"),"X","")</f>
        <v/>
      </c>
      <c r="CD190" s="299" t="str">
        <f>IF(K190="",IF(AND(CC190="",BS190&lt;(--"00:20:00")),"X",""),"")</f>
        <v/>
      </c>
      <c r="CE190" s="299" t="str">
        <f>IF(K190="",IF(BT190&gt;(--"00:15:00"),"X",""),IF(AZ190&lt;&gt;"",IF(G190-AZ190&gt;(--"00:30:00"),"X",""),""))</f>
        <v/>
      </c>
      <c r="CF190" s="299" t="str">
        <f>IF(AND(CA190="",CB190="",CC190="",CD190="",CE190=""),"X","")</f>
        <v>X</v>
      </c>
      <c r="CG190" s="301"/>
      <c r="CH190" s="299" t="str">
        <f>IF(BT190&gt;(--"00:15:00"),"X","")</f>
        <v/>
      </c>
      <c r="CI190" s="302" t="str">
        <f>AY190</f>
        <v/>
      </c>
      <c r="CJ190" s="299" t="str">
        <f>IF(AND(CH190&lt;&gt;"",CI190&lt;&gt;"",LEFT(B190,3)="ITD"),AP190,"")</f>
        <v/>
      </c>
      <c r="CK190" s="305" t="str">
        <f>IF(CJ190&lt;&gt;"",BT190,"")</f>
        <v/>
      </c>
      <c r="CL190" s="301"/>
      <c r="CM190" s="305" t="str">
        <f>IFERROR(VLOOKUP(Q190,'Elenco Casse'!$D$4:$F$292,3,FALSE),"")</f>
        <v/>
      </c>
      <c r="CN190" s="301"/>
      <c r="CO190" s="305" t="str">
        <f>IFERROR(VLOOKUP(S190,'Elenco Casse'!$D$4:$F$292,3,FALSE),"")</f>
        <v/>
      </c>
      <c r="CP190" s="305" t="str">
        <f>IFERROR(IF(VLOOKUP($E190,Outlist!$A$5:$S$120,19,FALSE)&lt;&gt;0,"Y",""),"")</f>
        <v/>
      </c>
      <c r="CQ190" s="301"/>
      <c r="CR190" s="305" t="str">
        <f>CONCATENATE($B190,$E190,$G190)</f>
        <v>ITD12353MXP0.357638888888889</v>
      </c>
      <c r="CS190" s="301"/>
      <c r="CT190" s="305" t="e">
        <f>VLOOKUP(Out_Table[[#This Row],[Destination             ORANGE (From Planning)]],Outlist!$A$5:$W$120,22,FALSE)</f>
        <v>#N/A</v>
      </c>
    </row>
    <row r="191" spans="1:98" s="20" customFormat="1" ht="15">
      <c r="A191" s="305" t="str">
        <f>$CR191</f>
        <v>ERN19820MXP 20.291666666664241</v>
      </c>
      <c r="B191" s="351" t="str">
        <f>IFERROR(VLOOKUP(E191,Outlist!$A$5:$AC$120,2,FALSE),"")</f>
        <v>ERN19820</v>
      </c>
      <c r="C191" s="352" t="str">
        <f>IFERROR(IF(LEFT(B191,3)='STAT 77'!$X$2,_xlfn.XLOOKUP(B191,'STAT 77'!C:C,'STAT 77'!B:B),_xlfn.XLOOKUP(B191,'STAT 77'!B:B,'STAT 77'!C:C)),"NON TROVATO")</f>
        <v>ERN09982</v>
      </c>
      <c r="D191" s="4"/>
      <c r="E191" s="352" t="str">
        <f>IFERROR(IF(Outlist!$A78&lt;&gt;"",Outlist!$A78,""),"")</f>
        <v>MXP 2</v>
      </c>
      <c r="F191" s="352" t="str">
        <f>IFERROR(VLOOKUP(E191,'Cambio O2P'!C:E,2,FALSE),"")</f>
        <v/>
      </c>
      <c r="G191" s="353">
        <f>IFERROR(VLOOKUP(E191,Outlist!$A$5:$AC$120,5,FALSE)-INT(VLOOKUP(E191,Outlist!$A$5:$AC$120,5,FALSE)),"")</f>
        <v>0.29166666666424135</v>
      </c>
      <c r="H191" s="294">
        <f ca="1">IFERROR(IF(AND('INformazioni per calcoli'!$AB$3&lt;(--"14:30"),'INformazioni per calcoli'!$AB$3&gt;(--"10:00")),"",IF($B191="","",IF($X191&lt;&gt;"","Mezzo Chiuso",IF($W191="","Non al Carico",IF($K191="Safe Parking","Safe Parking", IF(OR($BF191='INformazioni per calcoli'!$AF$8,$BF191='INformazioni per calcoli'!$AC$8,$BF191='INformazioni per calcoli'!$AD$8,$BF191='INformazioni per calcoli'!$AE$8,$BF191='INformazioni per calcoli'!$AG$8,$BF191='INformazioni per calcoli'!$AH$8,$BF191='INformazioni per calcoli'!$AI$8,$BF191='INformazioni per calcoli'!$AJ$8),IF($G191-'INformazioni per calcoli'!$AB$6-'INformazioni per calcoli'!$AB$3+$J191&lt;0,"LFLS",$G191-'INformazioni per calcoli'!$AB$6-'INformazioni per calcoli'!$AB$3+$J191), IF(OR($BF191='INformazioni per calcoli'!$AF$6,$BF191='INformazioni per calcoli'!$AD$6,$BF191='INformazioni per calcoli'!$AE$6,$BF191='INformazioni per calcoli'!$AG$6),IF($G191-'INformazioni per calcoli'!$AB$8-'INformazioni per calcoli'!$AB$3+$J191&lt;0,"LFLS",$G191-'INformazioni per calcoli'!$AB$8-'INformazioni per calcoli'!$AB$3+$J191), IF($G191-'INformazioni per calcoli'!$AB$7-'INformazioni per calcoli'!$AB$3+$J191&lt;0,"LFLS",$G191-'INformazioni per calcoli'!$AB$7-'INformazioni per calcoli'!$AB$3+$J191)))))))),"")</f>
        <v>0.1184259259235006</v>
      </c>
      <c r="I191" s="17" t="str">
        <f ca="1">IFERROR(IF($H191&lt;&gt;"",IF($H191="Safe Parking","",IF($W191&lt;&gt;"",IF(AND($U191="X",$V191="X"),$H191-(--"00:30"),""),IF($X191&lt;&gt;"","Mezzo Chiuso","Non al carico"))),""),"")</f>
        <v/>
      </c>
      <c r="J191" s="306">
        <f ca="1">IFERROR(IF($B191&lt;&gt;"",IF(AND('INformazioni per calcoli'!$AB$3&lt;(--"15:00"),'INformazioni per calcoli'!$AB$3&gt;(--"00:00")),0,IF($G191&lt;(--"18:30"),"+1",0)),""),"")</f>
        <v>0</v>
      </c>
      <c r="K191" s="27">
        <f>IF(E191&lt;&gt;"",IFERROR(VLOOKUP(E191,Outlist!$A$5:$AC$120,22,FALSE),""),"")</f>
        <v>0</v>
      </c>
      <c r="L191" s="352" t="str">
        <f>IF(E191&lt;&gt;"",IFERROR(VLOOKUP(E191,Outlist!$A$5:$AC$120,3,FALSE),""),"")</f>
        <v>Galileo Transport Srl</v>
      </c>
      <c r="M191" s="4" t="str">
        <f>IFERROR(_xlfn.XLOOKUP($Q191,'Elenco Casse'!$D:$D,'Elenco Casse'!$E:$E),"")</f>
        <v/>
      </c>
      <c r="N191" s="4" t="str">
        <f>IFERROR(_xlfn.XLOOKUP($Q191,'Elenco Casse'!$D:$D,'Elenco Casse'!$F:$F),"")</f>
        <v/>
      </c>
      <c r="O191" s="4" t="str">
        <f>IF($L191&lt;&gt;"","TT-2/3","")</f>
        <v>TT-2/3</v>
      </c>
      <c r="P191" s="296" t="str">
        <f>IFERROR(IF(VLOOKUP(E191,Outlist!$A$5:$AC$120,21,FALSE)="YES","Linea Variata",""),"")</f>
        <v/>
      </c>
      <c r="Q191" s="355" t="s">
        <v>1118</v>
      </c>
      <c r="R191" s="23" t="s">
        <v>420</v>
      </c>
      <c r="S191" s="25" t="str">
        <f>IFERROR(IF(VLOOKUP(E191,Outlist!$A$5:$AC$120,7,FALSE)="X","SUBCO",""),"")</f>
        <v/>
      </c>
      <c r="T191" s="25"/>
      <c r="U191" s="23"/>
      <c r="V191" s="23" t="s">
        <v>61</v>
      </c>
      <c r="W191" s="26">
        <v>828</v>
      </c>
      <c r="X191" s="27"/>
      <c r="Y191" s="25"/>
      <c r="Z191" s="25"/>
      <c r="AA191" s="25" t="s">
        <v>487</v>
      </c>
      <c r="AB191" s="57"/>
      <c r="AC191" s="25"/>
      <c r="AD191" s="25"/>
      <c r="AE191" s="57"/>
      <c r="AF191" s="57"/>
      <c r="AG191" s="25"/>
      <c r="AH191" s="57"/>
      <c r="AI191" s="339"/>
      <c r="AJ191" s="339"/>
      <c r="AK191" s="297" t="str">
        <f>IF(X191&lt;&gt;"",CONCATENATE(IF(AA191&lt;&gt;"",CONCATENATE(Z191," ",AA191," ",BI191),""),IF(AD191&lt;&gt;"",CONCATENATE(","," ",AC191," ",AD191," ",BJ191),""),IF(AG191&lt;&gt;"",CONCATENATE(","," ",AF191," ",AG191," ",BK191),""),IF(AJ191&lt;&gt;"",CONCATENATE(","," ","DD"," ",BL191),"")," ",IF(AI191&lt;&gt;"",CONCATENATE(" - ",AI191," Bag"),"")),"")</f>
        <v/>
      </c>
      <c r="AL191" s="287"/>
      <c r="AM191" s="287"/>
      <c r="AN191" s="287"/>
      <c r="AO191" s="287"/>
      <c r="AP191" s="370">
        <f>IFERROR(VLOOKUP($E191,Outlist!$A$5:$V$120,20,FALSE),"")</f>
        <v>0</v>
      </c>
      <c r="AQ191" s="288" t="str">
        <f>IFERROR(IF(VLOOKUP($A191,#REF!,8,FALSE)&lt;&gt;"",VLOOKUP($A191,#REF!,8,FALSE),""),"")</f>
        <v/>
      </c>
      <c r="AS191" s="24"/>
      <c r="AT191" s="24"/>
      <c r="AU191" s="27"/>
      <c r="AV191" s="27"/>
      <c r="AX191" s="20" t="str">
        <f>IFERROR(IF(Out_Table[[#This Row],[Cancellazione linea]]="Cancellata","yes",""),"")</f>
        <v/>
      </c>
      <c r="AY191" s="72"/>
      <c r="AZ191" s="27"/>
      <c r="BA191" s="32"/>
      <c r="BB191" s="72"/>
      <c r="BC191" s="72" t="str">
        <f>IFERROR(VLOOKUP(Out_Table[[#This Row],[Aggiornamento STATUS]],'INformazioni per calcoli'!$Y$70:$AA$76,2,FALSE),"")</f>
        <v/>
      </c>
      <c r="BD191" s="289"/>
      <c r="BE191" s="289"/>
      <c r="BF191" s="47" t="str">
        <f>LEFT($E191,3)</f>
        <v>MXP</v>
      </c>
      <c r="BG191" s="298" t="str">
        <f>IF(Out_Table[[#This Row],[Ora Uscita    (GH)]]&lt;&gt;"","x","")</f>
        <v/>
      </c>
      <c r="BH191" s="299">
        <f>VLOOKUP($O191,'INformazioni per calcoli'!$Y$20:$AA$23,3,FALSE)</f>
        <v>14</v>
      </c>
      <c r="BI191" s="299">
        <f>MROUND(Out_Table[[#This Row],[Mtr. Trailer]]*AB191,0.5)</f>
        <v>0</v>
      </c>
      <c r="BJ191" s="299">
        <f>MROUND(Out_Table[[#This Row],[Mtr. Trailer]]*AE191,0.5)</f>
        <v>0</v>
      </c>
      <c r="BK191" s="299">
        <f>MROUND(Out_Table[[#This Row],[Mtr. Trailer]]*AH191,0.5)</f>
        <v>0</v>
      </c>
      <c r="BL191" s="300">
        <f>Out_Table[[#This Row],[Double Deck trailer N° bumpers]]</f>
        <v>0</v>
      </c>
      <c r="BM191" s="301"/>
      <c r="BN191" s="299" t="str">
        <f>B191</f>
        <v>ERN19820</v>
      </c>
      <c r="BO191" s="299" t="str">
        <f>E191</f>
        <v>MXP 2</v>
      </c>
      <c r="BP191" s="302">
        <f>IF(AND(G191&gt;(--"00:00:01"),G191&lt;(--"15:00:00")),IF(AND(X191&gt;(--"00:00:01"),X191&lt;(--"15:00:00")),G191-X191,G191+1-X191),G191-X191)</f>
        <v>1.2916666666642413</v>
      </c>
      <c r="BQ191" s="303">
        <f>AE191+AF191+AH191+AJ191</f>
        <v>0</v>
      </c>
      <c r="BR191" s="304" t="str">
        <f>IF(OR(BP191&lt;=(--"00:20:00"),BQ191&gt;=100%),"OK","Not OK")</f>
        <v>Not OK</v>
      </c>
      <c r="BS191" s="302">
        <f>IF(AND(G191&gt;(--"00:00:01"),G191&lt;(--"15:00:00")),IF(AND(AU191&gt;(--"00:00:01"),AU191&lt;(--"15:00:00")),G191-AU191,G191+1-AU191),G191-AU191)</f>
        <v>1.2916666666642413</v>
      </c>
      <c r="BT191" s="302">
        <f>IF(AND(AZ191&gt;(--"00:00:01"),AZ191&lt;(--"15:00:00")),IF(AND(AU191&gt;(--"00:00:01"),AU191&lt;(--"15:00:00")),AZ191-AU191,AZ191+1-AU191),AZ191-AU191)</f>
        <v>0</v>
      </c>
      <c r="BU191" s="302">
        <f>IF(AND(BA191&gt;(--"00:00:01"),BA191&lt;(--"15:00:00")),IF(AND(AZ191&gt;(--"00:00:01"),AZ191&lt;(--"15:00:00")),BA191-AZ191,BA191+1-AZ191),BA191-AZ191)</f>
        <v>0</v>
      </c>
      <c r="BV191" s="299">
        <f>AV191</f>
        <v>0</v>
      </c>
      <c r="BW191" s="301"/>
      <c r="BX191" s="299" t="str">
        <f>IF(AV191="T Status",IF(AV191&lt;&gt;T191,"X",""),"")</f>
        <v/>
      </c>
      <c r="BY191" s="301"/>
      <c r="BZ191" s="299" t="str">
        <f>IF(X191&lt;&gt;"",IF(CC191="X","Driver Delay",IF(CA191="X","Paperwork Delay",IF(CB191="X","Late freight late sort",IF(CD191="X","Chiamare Control Room",IF(CE191="X","Chiamare Control Room",IF(CF191="X","Chiamare Control Room","")))))),"")</f>
        <v/>
      </c>
      <c r="CA191" s="302" t="str">
        <f>IF(K191="",IF(IF(AND(G191&gt;(--"00:00:01"),G191&lt;(--"15:00:00")),IF(AND(AT191&gt;(--"08:00:00"),AT191&lt;(--"23:59:59")),G191+1-AT191,G191-AT191),G191-AT191)&gt;(--"00:20:00"),"","X"),"")</f>
        <v/>
      </c>
      <c r="CB191" s="299" t="str">
        <f>IF(K191="",IF(BP191&gt;=(--"00:20:00"),"","X"),"")</f>
        <v/>
      </c>
      <c r="CC191" s="299" t="str">
        <f>IF(OR(AV191="Autista non presente",AV191="Dati driver non presenti"),"X","")</f>
        <v/>
      </c>
      <c r="CD191" s="299" t="str">
        <f>IF(K191="",IF(AND(CC191="",BS191&lt;(--"00:20:00")),"X",""),"")</f>
        <v/>
      </c>
      <c r="CE191" s="299" t="str">
        <f>IF(K191="",IF(BT191&gt;(--"00:15:00"),"X",""),IF(AZ191&lt;&gt;"",IF(G191-AZ191&gt;(--"00:30:00"),"X",""),""))</f>
        <v/>
      </c>
      <c r="CF191" s="299" t="str">
        <f>IF(AND(CA191="",CB191="",CC191="",CD191="",CE191=""),"X","")</f>
        <v>X</v>
      </c>
      <c r="CG191" s="301"/>
      <c r="CH191" s="299" t="str">
        <f>IF(BT191&gt;(--"00:15:00"),"X","")</f>
        <v/>
      </c>
      <c r="CI191" s="302">
        <f>AY191</f>
        <v>0</v>
      </c>
      <c r="CJ191" s="299" t="str">
        <f>IF(AND(CH191&lt;&gt;"",CI191&lt;&gt;"",LEFT(B191,3)="ITD"),AP191,"")</f>
        <v/>
      </c>
      <c r="CK191" s="305" t="str">
        <f>IF(CJ191&lt;&gt;"",BT191,"")</f>
        <v/>
      </c>
      <c r="CL191" s="301"/>
      <c r="CM191" s="305" t="str">
        <f>IFERROR(VLOOKUP(Q191,'Elenco Casse'!$D$4:$F$292,3,FALSE),"")</f>
        <v/>
      </c>
      <c r="CN191" s="301"/>
      <c r="CO191" s="305" t="str">
        <f>IFERROR(VLOOKUP(E191,Outlist!$A$5:$H$120,8,FALSE),"")</f>
        <v>ENBR26621</v>
      </c>
      <c r="CP191" s="305" t="str">
        <f>IFERROR(IF(VLOOKUP($E191,Outlist!$A$5:$S$120,19,FALSE)&lt;&gt;0,"Y",""),"")</f>
        <v/>
      </c>
      <c r="CQ191" s="301"/>
      <c r="CR191" s="305" t="str">
        <f>CONCATENATE($B191,$E191,$G191)</f>
        <v>ERN19820MXP 20.291666666664241</v>
      </c>
      <c r="CS191" s="301"/>
      <c r="CT191" s="305">
        <f>VLOOKUP(Out_Table[[#This Row],[Destination             ORANGE (From Planning)]],Outlist!$A$5:$W$120,22,FALSE)</f>
        <v>0</v>
      </c>
    </row>
    <row r="192" spans="1:98" s="20" customFormat="1" ht="30.75">
      <c r="A192" s="305" t="str">
        <f>$CR192</f>
        <v>ERN19818MXP 10.25</v>
      </c>
      <c r="B192" s="351" t="str">
        <f>IFERROR(VLOOKUP(E192,Outlist!$A$5:$AC$120,2,FALSE),"")</f>
        <v>ERN19818</v>
      </c>
      <c r="C192" s="352" t="str">
        <f>IFERROR(IF(LEFT(B192,3)='STAT 77'!$X$2,_xlfn.XLOOKUP(B192,'STAT 77'!C:C,'STAT 77'!B:B),_xlfn.XLOOKUP(B192,'STAT 77'!B:B,'STAT 77'!C:C)),"NON TROVATO")</f>
        <v>ERN09981</v>
      </c>
      <c r="D192" s="4"/>
      <c r="E192" s="352" t="str">
        <f>IFERROR(IF(Outlist!$A77&lt;&gt;"",Outlist!$A77,""),"")</f>
        <v>MXP 1</v>
      </c>
      <c r="F192" s="352" t="str">
        <f>IFERROR(VLOOKUP(E192,'Cambio O2P'!C:E,2,FALSE),"")</f>
        <v/>
      </c>
      <c r="G192" s="353">
        <f>IFERROR(VLOOKUP(E192,Outlist!$A$5:$AC$120,5,FALSE)-INT(VLOOKUP(E192,Outlist!$A$5:$AC$120,5,FALSE)),"")</f>
        <v>0.25</v>
      </c>
      <c r="H192" s="294" t="str">
        <f ca="1">IFERROR(IF(AND('INformazioni per calcoli'!$AB$3&lt;(--"14:30"),'INformazioni per calcoli'!$AB$3&gt;(--"10:00")),"",IF($B192="","",IF($X192&lt;&gt;"","Mezzo Chiuso",IF($W192="","Non al Carico",IF($K192="Safe Parking","Safe Parking", IF(OR($BF192='INformazioni per calcoli'!$AF$8,$BF192='INformazioni per calcoli'!$AC$8,$BF192='INformazioni per calcoli'!$AD$8,$BF192='INformazioni per calcoli'!$AE$8,$BF192='INformazioni per calcoli'!$AG$8,$BF192='INformazioni per calcoli'!$AH$8,$BF192='INformazioni per calcoli'!$AI$8,$BF192='INformazioni per calcoli'!$AJ$8),IF($G192-'INformazioni per calcoli'!$AB$6-'INformazioni per calcoli'!$AB$3+$J192&lt;0,"LFLS",$G192-'INformazioni per calcoli'!$AB$6-'INformazioni per calcoli'!$AB$3+$J192), IF(OR($BF192='INformazioni per calcoli'!$AF$6,$BF192='INformazioni per calcoli'!$AD$6,$BF192='INformazioni per calcoli'!$AE$6,$BF192='INformazioni per calcoli'!$AG$6),IF($G192-'INformazioni per calcoli'!$AB$8-'INformazioni per calcoli'!$AB$3+$J192&lt;0,"LFLS",$G192-'INformazioni per calcoli'!$AB$8-'INformazioni per calcoli'!$AB$3+$J192), IF($G192-'INformazioni per calcoli'!$AB$7-'INformazioni per calcoli'!$AB$3+$J192&lt;0,"LFLS",$G192-'INformazioni per calcoli'!$AB$7-'INformazioni per calcoli'!$AB$3+$J192)))))))),"")</f>
        <v>Mezzo Chiuso</v>
      </c>
      <c r="I192" s="17" t="str">
        <f ca="1">IFERROR(IF($H192&lt;&gt;"",IF($H192="Safe Parking","",IF($W192&lt;&gt;"",IF(AND($U192="X",$V192="X"),$H192-(--"00:30"),""),IF($X192&lt;&gt;"","Mezzo Chiuso","Non al carico"))),""),"")</f>
        <v/>
      </c>
      <c r="J192" s="306">
        <f ca="1">IFERROR(IF($B192&lt;&gt;"",IF(AND('INformazioni per calcoli'!$AB$3&lt;(--"15:00"),'INformazioni per calcoli'!$AB$3&gt;(--"00:00")),0,IF($G192&lt;(--"18:30"),"+1",0)),""),"")</f>
        <v>0</v>
      </c>
      <c r="K192" s="27">
        <f>IF(E192&lt;&gt;"",IFERROR(VLOOKUP(E192,Outlist!$A$5:$AC$120,22,FALSE),""),"")</f>
        <v>0</v>
      </c>
      <c r="L192" s="352" t="str">
        <f>IF(E192&lt;&gt;"",IFERROR(VLOOKUP(E192,Outlist!$A$5:$AC$120,3,FALSE),""),"")</f>
        <v>Fedex Express Romania Transportation Srl</v>
      </c>
      <c r="M192" s="4" t="str">
        <f>IFERROR(_xlfn.XLOOKUP($Q192,'Elenco Casse'!$D:$D,'Elenco Casse'!$E:$E),"")</f>
        <v/>
      </c>
      <c r="N192" s="4" t="str">
        <f>IFERROR(_xlfn.XLOOKUP($Q192,'Elenco Casse'!$D:$D,'Elenco Casse'!$F:$F),"")</f>
        <v/>
      </c>
      <c r="O192" s="4" t="str">
        <f>IF($L192&lt;&gt;"","TT-2/3","")</f>
        <v>TT-2/3</v>
      </c>
      <c r="P192" s="296" t="str">
        <f>IFERROR(IF(VLOOKUP(E192,Outlist!$A$5:$AC$120,21,FALSE)="YES","Linea Variata",""),"")</f>
        <v/>
      </c>
      <c r="Q192" s="355" t="s">
        <v>1119</v>
      </c>
      <c r="R192" s="23" t="s">
        <v>420</v>
      </c>
      <c r="S192" s="25" t="str">
        <f>IFERROR(IF(VLOOKUP(E192,Outlist!$A$5:$AC$120,7,FALSE)="X","SUBCO",""),"")</f>
        <v/>
      </c>
      <c r="T192" s="25"/>
      <c r="U192" s="23"/>
      <c r="V192" s="23" t="s">
        <v>500</v>
      </c>
      <c r="W192" s="26">
        <v>828</v>
      </c>
      <c r="X192" s="27">
        <v>0.90347222222222223</v>
      </c>
      <c r="Y192" s="25" t="s">
        <v>1120</v>
      </c>
      <c r="Z192" s="25"/>
      <c r="AA192" s="25" t="s">
        <v>487</v>
      </c>
      <c r="AB192" s="57">
        <v>1</v>
      </c>
      <c r="AC192" s="25"/>
      <c r="AD192" s="25"/>
      <c r="AE192" s="57"/>
      <c r="AF192" s="57"/>
      <c r="AG192" s="25"/>
      <c r="AH192" s="57"/>
      <c r="AI192" s="339"/>
      <c r="AJ192" s="339">
        <v>10</v>
      </c>
      <c r="AK192" s="297" t="str">
        <f>IF(X192&lt;&gt;"",CONCATENATE(IF(AA192&lt;&gt;"",CONCATENATE(Z192," ",AA192," ",BI192),""),IF(AD192&lt;&gt;"",CONCATENATE(","," ",AC192," ",AD192," ",BJ192),""),IF(AG192&lt;&gt;"",CONCATENATE(","," ",AF192," ",AG192," ",BK192),""),IF(AJ192&lt;&gt;"",CONCATENATE(","," ","DD"," ",BL192),"")," ",IF(AI192&lt;&gt;"",CONCATENATE(" - ",AI192," Bag"),"")),"")</f>
        <v xml:space="preserve"> FRT 14, DD 10 </v>
      </c>
      <c r="AL192" s="287" t="s">
        <v>421</v>
      </c>
      <c r="AM192" s="287"/>
      <c r="AN192" s="287"/>
      <c r="AO192" s="287"/>
      <c r="AP192" s="370">
        <f>IFERROR(VLOOKUP($E192,Outlist!$A$5:$V$120,20,FALSE),"")</f>
        <v>0</v>
      </c>
      <c r="AQ192" s="288" t="str">
        <f>IFERROR(IF(VLOOKUP($A192,#REF!,8,FALSE)&lt;&gt;"",VLOOKUP($A192,#REF!,8,FALSE),""),"")</f>
        <v/>
      </c>
      <c r="AR192" s="20" t="s">
        <v>61</v>
      </c>
      <c r="AS192" s="24" t="s">
        <v>61</v>
      </c>
      <c r="AT192" s="24">
        <v>1.5972222222222221E-2</v>
      </c>
      <c r="AU192" s="27"/>
      <c r="AV192" s="27"/>
      <c r="AX192" s="20" t="str">
        <f>IFERROR(IF(Out_Table[[#This Row],[Cancellazione linea]]="Cancellata","yes",""),"")</f>
        <v/>
      </c>
      <c r="AY192" s="72"/>
      <c r="AZ192" s="27"/>
      <c r="BA192" s="32"/>
      <c r="BB192" s="72"/>
      <c r="BC192" s="72" t="str">
        <f>IFERROR(VLOOKUP(Out_Table[[#This Row],[Aggiornamento STATUS]],'INformazioni per calcoli'!$Y$70:$AA$76,2,FALSE),"")</f>
        <v/>
      </c>
      <c r="BD192" s="289"/>
      <c r="BE192" s="289"/>
      <c r="BF192" s="47" t="str">
        <f>LEFT($E192,3)</f>
        <v>MXP</v>
      </c>
      <c r="BG192" s="298" t="str">
        <f>IF(Out_Table[[#This Row],[Ora Uscita    (GH)]]&lt;&gt;"","x","")</f>
        <v/>
      </c>
      <c r="BH192" s="299">
        <f>VLOOKUP($O192,'INformazioni per calcoli'!$Y$20:$AA$23,3,FALSE)</f>
        <v>14</v>
      </c>
      <c r="BI192" s="299">
        <f>MROUND(Out_Table[[#This Row],[Mtr. Trailer]]*AB192,0.5)</f>
        <v>14</v>
      </c>
      <c r="BJ192" s="299">
        <f>MROUND(Out_Table[[#This Row],[Mtr. Trailer]]*AE192,0.5)</f>
        <v>0</v>
      </c>
      <c r="BK192" s="299">
        <f>MROUND(Out_Table[[#This Row],[Mtr. Trailer]]*AH192,0.5)</f>
        <v>0</v>
      </c>
      <c r="BL192" s="300">
        <f>Out_Table[[#This Row],[Double Deck trailer N° bumpers]]</f>
        <v>10</v>
      </c>
      <c r="BM192" s="301"/>
      <c r="BN192" s="299" t="str">
        <f>B192</f>
        <v>ERN19818</v>
      </c>
      <c r="BO192" s="299" t="str">
        <f>E192</f>
        <v>MXP 1</v>
      </c>
      <c r="BP192" s="302">
        <f>IF(AND(G192&gt;(--"00:00:01"),G192&lt;(--"15:00:00")),IF(AND(X192&gt;(--"00:00:01"),X192&lt;(--"15:00:00")),G192-X192,G192+1-X192),G192-X192)</f>
        <v>0.34652777777777777</v>
      </c>
      <c r="BQ192" s="303">
        <f>AE192+AF192+AH192+AJ192</f>
        <v>10</v>
      </c>
      <c r="BR192" s="304" t="str">
        <f>IF(OR(BP192&lt;=(--"00:20:00"),BQ192&gt;=100%),"OK","Not OK")</f>
        <v>OK</v>
      </c>
      <c r="BS192" s="302">
        <f>IF(AND(G192&gt;(--"00:00:01"),G192&lt;(--"15:00:00")),IF(AND(AU192&gt;(--"00:00:01"),AU192&lt;(--"15:00:00")),G192-AU192,G192+1-AU192),G192-AU192)</f>
        <v>1.25</v>
      </c>
      <c r="BT192" s="302">
        <f>IF(AND(AZ192&gt;(--"00:00:01"),AZ192&lt;(--"15:00:00")),IF(AND(AU192&gt;(--"00:00:01"),AU192&lt;(--"15:00:00")),AZ192-AU192,AZ192+1-AU192),AZ192-AU192)</f>
        <v>0</v>
      </c>
      <c r="BU192" s="302">
        <f>IF(AND(BA192&gt;(--"00:00:01"),BA192&lt;(--"15:00:00")),IF(AND(AZ192&gt;(--"00:00:01"),AZ192&lt;(--"15:00:00")),BA192-AZ192,BA192+1-AZ192),BA192-AZ192)</f>
        <v>0</v>
      </c>
      <c r="BV192" s="299">
        <f>AV192</f>
        <v>0</v>
      </c>
      <c r="BW192" s="301"/>
      <c r="BX192" s="299" t="str">
        <f>IF(AV192="T Status",IF(AV192&lt;&gt;T192,"X",""),"")</f>
        <v/>
      </c>
      <c r="BY192" s="301"/>
      <c r="BZ192" s="299" t="str">
        <f>IF(X192&lt;&gt;"",IF(CC192="X","Driver Delay",IF(CA192="X","Paperwork Delay",IF(CB192="X","Late freight late sort",IF(CD192="X","Chiamare Control Room",IF(CE192="X","Chiamare Control Room",IF(CF192="X","Chiamare Control Room","")))))),"")</f>
        <v>Chiamare Control Room</v>
      </c>
      <c r="CA192" s="302" t="str">
        <f>IF(K192="",IF(IF(AND(G192&gt;(--"00:00:01"),G192&lt;(--"15:00:00")),IF(AND(AT192&gt;(--"08:00:00"),AT192&lt;(--"23:59:59")),G192+1-AT192,G192-AT192),G192-AT192)&gt;(--"00:20:00"),"","X"),"")</f>
        <v/>
      </c>
      <c r="CB192" s="299" t="str">
        <f>IF(K192="",IF(BP192&gt;=(--"00:20:00"),"","X"),"")</f>
        <v/>
      </c>
      <c r="CC192" s="299" t="str">
        <f>IF(OR(AV192="Autista non presente",AV192="Dati driver non presenti"),"X","")</f>
        <v/>
      </c>
      <c r="CD192" s="299" t="str">
        <f>IF(K192="",IF(AND(CC192="",BS192&lt;(--"00:20:00")),"X",""),"")</f>
        <v/>
      </c>
      <c r="CE192" s="299" t="str">
        <f>IF(K192="",IF(BT192&gt;(--"00:15:00"),"X",""),IF(AZ192&lt;&gt;"",IF(G192-AZ192&gt;(--"00:30:00"),"X",""),""))</f>
        <v/>
      </c>
      <c r="CF192" s="299" t="str">
        <f>IF(AND(CA192="",CB192="",CC192="",CD192="",CE192=""),"X","")</f>
        <v>X</v>
      </c>
      <c r="CG192" s="301"/>
      <c r="CH192" s="299" t="str">
        <f>IF(BT192&gt;(--"00:15:00"),"X","")</f>
        <v/>
      </c>
      <c r="CI192" s="302">
        <f>AY192</f>
        <v>0</v>
      </c>
      <c r="CJ192" s="299" t="str">
        <f>IF(AND(CH192&lt;&gt;"",CI192&lt;&gt;"",LEFT(B192,3)="ITD"),AP192,"")</f>
        <v/>
      </c>
      <c r="CK192" s="305" t="str">
        <f>IF(CJ192&lt;&gt;"",BT192,"")</f>
        <v/>
      </c>
      <c r="CL192" s="301"/>
      <c r="CM192" s="305" t="str">
        <f>IFERROR(VLOOKUP(Q192,'Elenco Casse'!$D$4:$F$292,3,FALSE),"")</f>
        <v/>
      </c>
      <c r="CN192" s="301"/>
      <c r="CO192" s="305" t="str">
        <f>IFERROR(VLOOKUP(E192,Outlist!$A$5:$H$120,8,FALSE),"")</f>
        <v>enbd20101</v>
      </c>
      <c r="CP192" s="305" t="str">
        <f>IFERROR(IF(VLOOKUP($E192,Outlist!$A$5:$S$120,19,FALSE)&lt;&gt;0,"Y",""),"")</f>
        <v/>
      </c>
      <c r="CQ192" s="301"/>
      <c r="CR192" s="305" t="str">
        <f>CONCATENATE($B192,$E192,$G192)</f>
        <v>ERN19818MXP 10.25</v>
      </c>
      <c r="CS192" s="301"/>
      <c r="CT192" s="305">
        <f>VLOOKUP(Out_Table[[#This Row],[Destination             ORANGE (From Planning)]],Outlist!$A$5:$W$120,22,FALSE)</f>
        <v>0</v>
      </c>
    </row>
    <row r="193" spans="1:98" s="20" customFormat="1" ht="15">
      <c r="A193" s="305" t="str">
        <f>$CR193</f>
        <v>ITD12386CUF0.25</v>
      </c>
      <c r="B193" s="284" t="s">
        <v>1121</v>
      </c>
      <c r="C193" s="290" t="str">
        <f>IFERROR(IF(LEFT(B193,3)='STAT 77'!$X$2,_xlfn.XLOOKUP(B193,'STAT 77'!C:C,'STAT 77'!B:B),_xlfn.XLOOKUP(B193,'STAT 77'!B:B,'STAT 77'!C:C)),"NON TROVATO")</f>
        <v>ITD31528</v>
      </c>
      <c r="D193" s="25" t="s">
        <v>656</v>
      </c>
      <c r="E193" s="290" t="s">
        <v>657</v>
      </c>
      <c r="F193" s="290" t="str">
        <f>IFERROR(VLOOKUP(E193,'Cambio O2P'!C:E,2,FALSE),"")</f>
        <v>CUFT8</v>
      </c>
      <c r="G193" s="285">
        <v>0.25</v>
      </c>
      <c r="H193" s="293">
        <f ca="1">IFERROR(IF(AND('INformazioni per calcoli'!$AB$3&lt;(--"14:30"),'INformazioni per calcoli'!$AB$3&gt;(--"10:00")),"",IF($B193="","",IF($X193&lt;&gt;"","Mezzo Chiuso",IF($W193="","Non al Carico",IF($G193-'INformazioni per calcoli'!$AB$5-'INformazioni per calcoli'!$AB$3+$J193&lt;0,"LFLS",IF($K193&lt;&gt;"","Safe Parking",IF($W193&lt;&gt;"",IF($E193="MXP",$G193-'INformazioni per calcoli'!$AB$6-'INformazioni per calcoli'!$AB$3+$J193,$G193-'INformazioni per calcoli'!$AB$5-'INformazioni per calcoli'!$AB$3+$J193),"Non al carico"))))))),"")</f>
        <v>9.0648148148148144E-2</v>
      </c>
      <c r="I193" s="17">
        <f ca="1">IFERROR(IF($H193&lt;&gt;"",IF($H193="Safe Parking","",IF($W193&lt;&gt;"",IF(AND($U193="X",$V193="X"),$H193-(--"00:30"),""),IF($X193&lt;&gt;"","Mezzo Chiuso","Non al carico"))),""),"")</f>
        <v>6.9814814814814816E-2</v>
      </c>
      <c r="J193" s="306">
        <f ca="1">IFERROR(IF($B193&lt;&gt;"",IF(AND('INformazioni per calcoli'!$AB$3&lt;(--"15:00"),'INformazioni per calcoli'!$AB$3&gt;(--"00:00")),0,IF($G193&lt;(--"18:30"),"+1",0)),""),"")</f>
        <v>0</v>
      </c>
      <c r="K193" s="17"/>
      <c r="L193" s="25" t="s">
        <v>592</v>
      </c>
      <c r="M193" s="25" t="str">
        <f>IFERROR(_xlfn.XLOOKUP($Q193,'Elenco Casse'!$D:$D,'Elenco Casse'!$E:$E),"")</f>
        <v/>
      </c>
      <c r="N193" s="25" t="str">
        <f>IFERROR(_xlfn.XLOOKUP($Q193,'Elenco Casse'!$D:$D,'Elenco Casse'!$F:$F),"")</f>
        <v/>
      </c>
      <c r="O193" s="286" t="s">
        <v>418</v>
      </c>
      <c r="P193" s="295" t="str">
        <f>IFERROR(_xlfn.XLOOKUP($Q193,'Elenco Casse'!$D:$D,'Elenco Casse'!$G:$G),"")</f>
        <v/>
      </c>
      <c r="Q193" s="355" t="s">
        <v>1122</v>
      </c>
      <c r="R193" s="23" t="s">
        <v>420</v>
      </c>
      <c r="S193" s="25" t="s">
        <v>421</v>
      </c>
      <c r="T193" s="25" t="s">
        <v>1004</v>
      </c>
      <c r="U193" s="23" t="str">
        <f>IF(ISNUMBER(SEARCH("Parcel",$T193)),"X","")</f>
        <v>X</v>
      </c>
      <c r="V193" s="23" t="str">
        <f>IF(ISNUMBER(SEARCH("Freight",$T193)),"X","")</f>
        <v>X</v>
      </c>
      <c r="W193" s="26">
        <v>829</v>
      </c>
      <c r="X193" s="27"/>
      <c r="Y193" s="25"/>
      <c r="Z193" s="25"/>
      <c r="AA193" s="25" t="s">
        <v>487</v>
      </c>
      <c r="AB193" s="57"/>
      <c r="AC193" s="25"/>
      <c r="AD193" s="25"/>
      <c r="AE193" s="57"/>
      <c r="AF193" s="57"/>
      <c r="AG193" s="25" t="s">
        <v>488</v>
      </c>
      <c r="AH193" s="57"/>
      <c r="AI193" s="339"/>
      <c r="AJ193" s="339"/>
      <c r="AK193" s="297" t="str">
        <f>IF(X193&lt;&gt;"",CONCATENATE(IF(AA193&lt;&gt;"",CONCATENATE(Z193," ",AA193," ",BI193),""),IF(AD193&lt;&gt;"",CONCATENATE(","," ",AC193," ",AD193," ",BJ193),""),IF(AG193&lt;&gt;"",CONCATENATE(","," ",AF193," ",AG193," ",BK193),""),IF(AJ193&lt;&gt;"",CONCATENATE(","," ","DD"," ",BL193),"")," ",IF(AI193&lt;&gt;"",CONCATENATE(" - ",AI193," Bag"),"")),"")</f>
        <v/>
      </c>
      <c r="AL193" s="287"/>
      <c r="AM193" s="287"/>
      <c r="AN193" s="287"/>
      <c r="AO193" s="287"/>
      <c r="AP193" s="370" t="str">
        <f>IFERROR(VLOOKUP(#REF!,Outlist!$A$5:$V$120,20,FALSE),"")</f>
        <v/>
      </c>
      <c r="AQ193" s="288" t="str">
        <f>IFERROR(IF(VLOOKUP($A193,#REF!,8,FALSE)&lt;&gt;"",VLOOKUP($A193,#REF!,8,FALSE),""),"")</f>
        <v/>
      </c>
      <c r="AS193" s="24"/>
      <c r="AT193" s="24">
        <v>0.45624999999999999</v>
      </c>
      <c r="AU193" s="27"/>
      <c r="AV193" s="27"/>
      <c r="AX193" s="20" t="str">
        <f>IFERROR(IF(Out_Table[[#This Row],[Cancellazione linea]]="Cancellata","yes",""),"")</f>
        <v/>
      </c>
      <c r="AY193" s="72" t="str">
        <f>IF(BA193="",BZ193,IF(AND(BA193&lt;(--"23:59:59"),BA193&gt;(--"15:00:00"),G193&lt;(--"14:00:00"),G193&gt;(--"00:00:01")),"",IF(BA193&gt;G193,BZ193,"")))</f>
        <v/>
      </c>
      <c r="AZ193" s="27"/>
      <c r="BA193" s="32"/>
      <c r="BB193" s="72"/>
      <c r="BC193" s="72" t="str">
        <f>IFERROR(VLOOKUP(Out_Table[[#This Row],[Aggiornamento STATUS]],'INformazioni per calcoli'!$Y$70:$AA$76,2,FALSE),"")</f>
        <v/>
      </c>
      <c r="BD193" s="289"/>
      <c r="BE193" s="289"/>
      <c r="BF193" s="47" t="str">
        <f>LEFT($E193,3)</f>
        <v>CUF</v>
      </c>
      <c r="BG193" s="298" t="str">
        <f>IF(Out_Table[[#This Row],[Ora Uscita    (GH)]]&lt;&gt;"","x","")</f>
        <v/>
      </c>
      <c r="BH193" s="299">
        <f>VLOOKUP($O193,'INformazioni per calcoli'!$Y$20:$AA$23,3,FALSE)</f>
        <v>14</v>
      </c>
      <c r="BI193" s="299">
        <f>MROUND(Out_Table[[#This Row],[Mtr. Trailer]]*AB193,0.5)</f>
        <v>0</v>
      </c>
      <c r="BJ193" s="299">
        <f>MROUND(Out_Table[[#This Row],[Mtr. Trailer]]*AE193,0.5)</f>
        <v>0</v>
      </c>
      <c r="BK193" s="299">
        <f>MROUND(Out_Table[[#This Row],[Mtr. Trailer]]*AH193,0.5)</f>
        <v>0</v>
      </c>
      <c r="BL193" s="300">
        <f>Out_Table[[#This Row],[Double Deck trailer N° bumpers]]</f>
        <v>0</v>
      </c>
      <c r="BM193" s="301"/>
      <c r="BN193" s="299" t="str">
        <f>B193</f>
        <v>ITD12386</v>
      </c>
      <c r="BO193" s="299" t="str">
        <f>E193</f>
        <v>CUF</v>
      </c>
      <c r="BP193" s="302">
        <f>IF(AND(G193&gt;(--"00:00:01"),G193&lt;(--"15:00:00")),IF(AND(X193&gt;(--"00:00:01"),X193&lt;(--"15:00:00")),G193-X193,G193+1-X193),G193-X193)</f>
        <v>1.25</v>
      </c>
      <c r="BQ193" s="303">
        <f>AE193+AF193+AH193+AJ193</f>
        <v>0</v>
      </c>
      <c r="BR193" s="304" t="str">
        <f>IF(OR(BP193&lt;=(--"00:20:00"),BQ193&gt;=100%),"OK","Not OK")</f>
        <v>Not OK</v>
      </c>
      <c r="BS193" s="302">
        <f>IF(AND(G193&gt;(--"00:00:01"),G193&lt;(--"15:00:00")),IF(AND(AU193&gt;(--"00:00:01"),AU193&lt;(--"15:00:00")),G193-AU193,G193+1-AU193),G193-AU193)</f>
        <v>1.25</v>
      </c>
      <c r="BT193" s="302">
        <f>IF(AND(AZ193&gt;(--"00:00:01"),AZ193&lt;(--"15:00:00")),IF(AND(AU193&gt;(--"00:00:01"),AU193&lt;(--"15:00:00")),AZ193-AU193,AZ193+1-AU193),AZ193-AU193)</f>
        <v>0</v>
      </c>
      <c r="BU193" s="302">
        <f>IF(AND(BA193&gt;(--"00:00:01"),BA193&lt;(--"15:00:00")),IF(AND(AZ193&gt;(--"00:00:01"),AZ193&lt;(--"15:00:00")),BA193-AZ193,BA193+1-AZ193),BA193-AZ193)</f>
        <v>0</v>
      </c>
      <c r="BV193" s="299">
        <f>AV193</f>
        <v>0</v>
      </c>
      <c r="BW193" s="301"/>
      <c r="BX193" s="299" t="str">
        <f>IF(AV193="T Status",IF(AV193&lt;&gt;T193,"X",""),"")</f>
        <v/>
      </c>
      <c r="BY193" s="301"/>
      <c r="BZ193" s="299" t="str">
        <f>IF(X193&lt;&gt;"",IF(CC193="X","Driver Delay",IF(CA193="X","Paperwork Delay",IF(CB193="X","Late freight late sort",IF(CD193="X","Chiamare Control Room",IF(CE193="X","Chiamare Control Room",IF(CF193="X","Chiamare Control Room","")))))),"")</f>
        <v/>
      </c>
      <c r="CA193" s="302" t="str">
        <f>IF(K193="",IF(IF(AND(G193&gt;(--"00:00:01"),G193&lt;(--"15:00:00")),IF(AND(AT193&gt;(--"08:00:00"),AT193&lt;(--"23:59:59")),G193+1-AT193,G193-AT193),G193-AT193)&gt;(--"00:20:00"),"","X"),"")</f>
        <v/>
      </c>
      <c r="CB193" s="299" t="str">
        <f>IF(K193="",IF(BP193&gt;=(--"00:20:00"),"","X"),"")</f>
        <v/>
      </c>
      <c r="CC193" s="299" t="str">
        <f>IF(OR(AV193="Autista non presente",AV193="Dati driver non presenti"),"X","")</f>
        <v/>
      </c>
      <c r="CD193" s="299" t="str">
        <f>IF(K193="",IF(AND(CC193="",BS193&lt;(--"00:20:00")),"X",""),"")</f>
        <v/>
      </c>
      <c r="CE193" s="299" t="str">
        <f>IF(K193="",IF(BT193&gt;(--"00:15:00"),"X",""),IF(AZ193&lt;&gt;"",IF(G193-AZ193&gt;(--"00:30:00"),"X",""),""))</f>
        <v/>
      </c>
      <c r="CF193" s="299" t="str">
        <f>IF(AND(CA193="",CB193="",CC193="",CD193="",CE193=""),"X","")</f>
        <v>X</v>
      </c>
      <c r="CG193" s="301"/>
      <c r="CH193" s="299" t="str">
        <f>IF(BT193&gt;(--"00:15:00"),"X","")</f>
        <v/>
      </c>
      <c r="CI193" s="302" t="str">
        <f>AY193</f>
        <v/>
      </c>
      <c r="CJ193" s="299" t="str">
        <f>IF(AND(CH193&lt;&gt;"",CI193&lt;&gt;"",LEFT(B193,3)="ITD"),AP193,"")</f>
        <v/>
      </c>
      <c r="CK193" s="305" t="str">
        <f>IF(CJ193&lt;&gt;"",BT193,"")</f>
        <v/>
      </c>
      <c r="CL193" s="301"/>
      <c r="CM193" s="305" t="str">
        <f>IFERROR(VLOOKUP(Q193,'Elenco Casse'!$D$4:$F$292,3,FALSE),"")</f>
        <v/>
      </c>
      <c r="CN193" s="301"/>
      <c r="CO193" s="305" t="str">
        <f>IFERROR(VLOOKUP(S193,'Elenco Casse'!$D$4:$F$292,3,FALSE),"")</f>
        <v/>
      </c>
      <c r="CP193" s="305" t="str">
        <f>IFERROR(IF(VLOOKUP($E193,Outlist!$A$5:$S$120,19,FALSE)&lt;&gt;0,"Y",""),"")</f>
        <v/>
      </c>
      <c r="CQ193" s="301"/>
      <c r="CR193" s="305" t="str">
        <f>CONCATENATE($B193,$E193,$G193)</f>
        <v>ITD12386CUF0.25</v>
      </c>
      <c r="CS193" s="301"/>
      <c r="CT193" s="305" t="e">
        <f>VLOOKUP(Out_Table[[#This Row],[Destination             ORANGE (From Planning)]],Outlist!$A$5:$W$120,22,FALSE)</f>
        <v>#N/A</v>
      </c>
    </row>
    <row r="194" spans="1:98" s="20" customFormat="1" ht="30.75">
      <c r="A194" s="305" t="str">
        <f>$CR194</f>
        <v>ITD12366TO10.302083333333333</v>
      </c>
      <c r="B194" s="284" t="s">
        <v>1123</v>
      </c>
      <c r="C194" s="290" t="str">
        <f>IFERROR(IF(LEFT(B194,3)='STAT 77'!$X$2,_xlfn.XLOOKUP(B194,'STAT 77'!C:C,'STAT 77'!B:B),_xlfn.XLOOKUP(B194,'STAT 77'!B:B,'STAT 77'!C:C)),"NON TROVATO")</f>
        <v>ITD31488</v>
      </c>
      <c r="D194" s="25" t="s">
        <v>628</v>
      </c>
      <c r="E194" s="290" t="s">
        <v>629</v>
      </c>
      <c r="F194" s="290" t="str">
        <f>IFERROR(VLOOKUP(E194,'Cambio O2P'!C:E,2,FALSE),"")</f>
        <v>XIKA</v>
      </c>
      <c r="G194" s="285">
        <v>0.30208333333333331</v>
      </c>
      <c r="H194" s="293" t="str">
        <f ca="1">IFERROR(IF(AND('INformazioni per calcoli'!$AB$3&lt;(--"14:30"),'INformazioni per calcoli'!$AB$3&gt;(--"10:00")),"",IF($B194="","",IF($X194&lt;&gt;"","Mezzo Chiuso",IF($W194="","Non al Carico",IF($G194-'INformazioni per calcoli'!$AB$5-'INformazioni per calcoli'!$AB$3+$J194&lt;0,"LFLS",IF($K194&lt;&gt;"","Safe Parking",IF($W194&lt;&gt;"",IF($E194="MXP",$G194-'INformazioni per calcoli'!$AB$6-'INformazioni per calcoli'!$AB$3+$J194,$G194-'INformazioni per calcoli'!$AB$5-'INformazioni per calcoli'!$AB$3+$J194),"Non al carico"))))))),"")</f>
        <v>Mezzo Chiuso</v>
      </c>
      <c r="I194" s="17" t="str">
        <f ca="1">IFERROR(IF($H194&lt;&gt;"",IF($H194="Safe Parking","",IF($W194&lt;&gt;"",IF(AND($U194="X",$V194="X"),$H194-(--"00:30"),""),IF($X194&lt;&gt;"","Mezzo Chiuso","Non al carico"))),""),"")</f>
        <v/>
      </c>
      <c r="J194" s="306">
        <f ca="1">IFERROR(IF($B194&lt;&gt;"",IF(AND('INformazioni per calcoli'!$AB$3&lt;(--"15:00"),'INformazioni per calcoli'!$AB$3&gt;(--"00:00")),0,IF($G194&lt;(--"18:30"),"+1",0)),""),"")</f>
        <v>0</v>
      </c>
      <c r="K194" s="17"/>
      <c r="L194" s="25" t="s">
        <v>430</v>
      </c>
      <c r="M194" s="25" t="str">
        <f>IFERROR(_xlfn.XLOOKUP($Q194,'Elenco Casse'!$D:$D,'Elenco Casse'!$E:$E),"")</f>
        <v>Trans Speedy S.R.L</v>
      </c>
      <c r="N194" s="25">
        <f>IFERROR(_xlfn.XLOOKUP($Q194,'Elenco Casse'!$D:$D,'Elenco Casse'!$F:$F),"")</f>
        <v>0</v>
      </c>
      <c r="O194" s="286" t="s">
        <v>418</v>
      </c>
      <c r="P194" s="295" t="str">
        <f>IFERROR(_xlfn.XLOOKUP($Q194,'Elenco Casse'!$D:$D,'Elenco Casse'!$G:$G),"")</f>
        <v>trailer 80 m3 2/3 axles</v>
      </c>
      <c r="Q194" s="355" t="s">
        <v>1124</v>
      </c>
      <c r="R194" s="23" t="s">
        <v>420</v>
      </c>
      <c r="S194" s="25" t="s">
        <v>421</v>
      </c>
      <c r="T194" s="25" t="s">
        <v>599</v>
      </c>
      <c r="U194" s="23" t="str">
        <f>IF(ISNUMBER(SEARCH("Parcel",$T194)),"X","")</f>
        <v/>
      </c>
      <c r="V194" s="23" t="str">
        <f>IF(ISNUMBER(SEARCH("Freight",$T194)),"X","")</f>
        <v>X</v>
      </c>
      <c r="W194" s="26">
        <v>830</v>
      </c>
      <c r="X194" s="27">
        <v>8.4722222222222227E-2</v>
      </c>
      <c r="Y194" s="25" t="s">
        <v>1125</v>
      </c>
      <c r="Z194" s="25"/>
      <c r="AA194" s="25" t="s">
        <v>487</v>
      </c>
      <c r="AB194" s="57">
        <v>1</v>
      </c>
      <c r="AC194" s="25"/>
      <c r="AD194" s="25"/>
      <c r="AE194" s="57"/>
      <c r="AF194" s="57"/>
      <c r="AG194" s="25" t="s">
        <v>488</v>
      </c>
      <c r="AH194" s="57"/>
      <c r="AI194" s="339"/>
      <c r="AJ194" s="339"/>
      <c r="AK194" s="297" t="str">
        <f>IF(X194&lt;&gt;"",CONCATENATE(IF(AA194&lt;&gt;"",CONCATENATE(Z194," ",AA194," ",BI194),""),IF(AD194&lt;&gt;"",CONCATENATE(","," ",AC194," ",AD194," ",BJ194),""),IF(AG194&lt;&gt;"",CONCATENATE(","," ",AF194," ",AG194," ",BK194),""),IF(AJ194&lt;&gt;"",CONCATENATE(","," ","DD"," ",BL194),"")," ",IF(AI194&lt;&gt;"",CONCATENATE(" - ",AI194," Bag"),"")),"")</f>
        <v xml:space="preserve"> FRT 14,  DG 0 </v>
      </c>
      <c r="AL194" s="287" t="s">
        <v>870</v>
      </c>
      <c r="AM194" s="287"/>
      <c r="AN194" s="287"/>
      <c r="AO194" s="287"/>
      <c r="AP194" s="370">
        <f>IFERROR(VLOOKUP($E191,Outlist!$A$5:$V$120,20,FALSE),"")</f>
        <v>0</v>
      </c>
      <c r="AQ194" s="288" t="str">
        <f>IFERROR(IF(VLOOKUP($A194,#REF!,8,FALSE)&lt;&gt;"",VLOOKUP($A194,#REF!,8,FALSE),""),"")</f>
        <v/>
      </c>
      <c r="AS194" s="24"/>
      <c r="AT194" s="24">
        <v>2.2916666666666665E-2</v>
      </c>
      <c r="AU194" s="27"/>
      <c r="AV194" s="27"/>
      <c r="AX194" s="20" t="str">
        <f>IFERROR(IF(Out_Table[[#This Row],[Cancellazione linea]]="Cancellata","yes",""),"")</f>
        <v/>
      </c>
      <c r="AY194" s="72" t="str">
        <f>IF(BA194="",BZ194,IF(AND(BA194&lt;(--"23:59:59"),BA194&gt;(--"15:00:00"),G194&lt;(--"14:00:00"),G194&gt;(--"00:00:01")),"",IF(BA194&gt;G194,BZ194,"")))</f>
        <v>Chiamare Control Room</v>
      </c>
      <c r="AZ194" s="27"/>
      <c r="BA194" s="32"/>
      <c r="BB194" s="72"/>
      <c r="BC194" s="72" t="str">
        <f>IFERROR(VLOOKUP(Out_Table[[#This Row],[Aggiornamento STATUS]],'INformazioni per calcoli'!$Y$70:$AA$76,2,FALSE),"")</f>
        <v/>
      </c>
      <c r="BD194" s="289"/>
      <c r="BE194" s="289"/>
      <c r="BF194" s="47" t="str">
        <f>LEFT($E194,3)</f>
        <v>TO1</v>
      </c>
      <c r="BG194" s="298" t="str">
        <f>IF(Out_Table[[#This Row],[Ora Uscita    (GH)]]&lt;&gt;"","x","")</f>
        <v/>
      </c>
      <c r="BH194" s="299">
        <f>VLOOKUP($O194,'INformazioni per calcoli'!$Y$20:$AA$23,3,FALSE)</f>
        <v>14</v>
      </c>
      <c r="BI194" s="299">
        <f>MROUND(Out_Table[[#This Row],[Mtr. Trailer]]*AB194,0.5)</f>
        <v>14</v>
      </c>
      <c r="BJ194" s="299">
        <f>MROUND(Out_Table[[#This Row],[Mtr. Trailer]]*AE194,0.5)</f>
        <v>0</v>
      </c>
      <c r="BK194" s="299">
        <f>MROUND(Out_Table[[#This Row],[Mtr. Trailer]]*AH194,0.5)</f>
        <v>0</v>
      </c>
      <c r="BL194" s="300">
        <f>Out_Table[[#This Row],[Double Deck trailer N° bumpers]]</f>
        <v>0</v>
      </c>
      <c r="BM194" s="301"/>
      <c r="BN194" s="299" t="str">
        <f>B194</f>
        <v>ITD12366</v>
      </c>
      <c r="BO194" s="299" t="str">
        <f>E194</f>
        <v>TO1</v>
      </c>
      <c r="BP194" s="302">
        <f>IF(AND(G194&gt;(--"00:00:01"),G194&lt;(--"15:00:00")),IF(AND(X194&gt;(--"00:00:01"),X194&lt;(--"15:00:00")),G194-X194,G194+1-X194),G194-X194)</f>
        <v>0.21736111111111109</v>
      </c>
      <c r="BQ194" s="303">
        <f>AE194+AF194+AH194+AJ194</f>
        <v>0</v>
      </c>
      <c r="BR194" s="304" t="str">
        <f>IF(OR(BP194&lt;=(--"00:20:00"),BQ194&gt;=100%),"OK","Not OK")</f>
        <v>Not OK</v>
      </c>
      <c r="BS194" s="302">
        <f>IF(AND(G194&gt;(--"00:00:01"),G194&lt;(--"15:00:00")),IF(AND(AU194&gt;(--"00:00:01"),AU194&lt;(--"15:00:00")),G194-AU194,G194+1-AU194),G194-AU194)</f>
        <v>1.3020833333333333</v>
      </c>
      <c r="BT194" s="302">
        <f>IF(AND(AZ194&gt;(--"00:00:01"),AZ194&lt;(--"15:00:00")),IF(AND(AU194&gt;(--"00:00:01"),AU194&lt;(--"15:00:00")),AZ194-AU194,AZ194+1-AU194),AZ194-AU194)</f>
        <v>0</v>
      </c>
      <c r="BU194" s="302">
        <f>IF(AND(BA194&gt;(--"00:00:01"),BA194&lt;(--"15:00:00")),IF(AND(AZ194&gt;(--"00:00:01"),AZ194&lt;(--"15:00:00")),BA194-AZ194,BA194+1-AZ194),BA194-AZ194)</f>
        <v>0</v>
      </c>
      <c r="BV194" s="299">
        <f>AV194</f>
        <v>0</v>
      </c>
      <c r="BW194" s="301"/>
      <c r="BX194" s="299" t="str">
        <f>IF(AV194="T Status",IF(AV194&lt;&gt;T194,"X",""),"")</f>
        <v/>
      </c>
      <c r="BY194" s="301"/>
      <c r="BZ194" s="299" t="str">
        <f>IF(X194&lt;&gt;"",IF(CC194="X","Driver Delay",IF(CA194="X","Paperwork Delay",IF(CB194="X","Late freight late sort",IF(CD194="X","Chiamare Control Room",IF(CE194="X","Chiamare Control Room",IF(CF194="X","Chiamare Control Room","")))))),"")</f>
        <v>Chiamare Control Room</v>
      </c>
      <c r="CA194" s="302" t="str">
        <f>IF(K194="",IF(IF(AND(G194&gt;(--"00:00:01"),G194&lt;(--"15:00:00")),IF(AND(AT194&gt;(--"08:00:00"),AT194&lt;(--"23:59:59")),G194+1-AT194,G194-AT194),G194-AT194)&gt;(--"00:20:00"),"","X"),"")</f>
        <v/>
      </c>
      <c r="CB194" s="299" t="str">
        <f>IF(K194="",IF(BP194&gt;=(--"00:20:00"),"","X"),"")</f>
        <v/>
      </c>
      <c r="CC194" s="299" t="str">
        <f>IF(OR(AV194="Autista non presente",AV194="Dati driver non presenti"),"X","")</f>
        <v/>
      </c>
      <c r="CD194" s="299" t="str">
        <f>IF(K194="",IF(AND(CC194="",BS194&lt;(--"00:20:00")),"X",""),"")</f>
        <v/>
      </c>
      <c r="CE194" s="299" t="str">
        <f>IF(K194="",IF(BT194&gt;(--"00:15:00"),"X",""),IF(AZ194&lt;&gt;"",IF(G194-AZ194&gt;(--"00:30:00"),"X",""),""))</f>
        <v/>
      </c>
      <c r="CF194" s="299" t="str">
        <f>IF(AND(CA194="",CB194="",CC194="",CD194="",CE194=""),"X","")</f>
        <v>X</v>
      </c>
      <c r="CG194" s="301"/>
      <c r="CH194" s="299" t="str">
        <f>IF(BT194&gt;(--"00:15:00"),"X","")</f>
        <v/>
      </c>
      <c r="CI194" s="302" t="str">
        <f>AY194</f>
        <v>Chiamare Control Room</v>
      </c>
      <c r="CJ194" s="299" t="str">
        <f>IF(AND(CH194&lt;&gt;"",CI194&lt;&gt;"",LEFT(B194,3)="ITD"),AP194,"")</f>
        <v/>
      </c>
      <c r="CK194" s="305" t="str">
        <f>IF(CJ194&lt;&gt;"",BT194,"")</f>
        <v/>
      </c>
      <c r="CL194" s="301"/>
      <c r="CM194" s="305" t="str">
        <f>IFERROR(VLOOKUP(Q194,'Elenco Casse'!$D$4:$F$292,3,FALSE),"")</f>
        <v/>
      </c>
      <c r="CN194" s="301"/>
      <c r="CO194" s="305" t="str">
        <f>IFERROR(VLOOKUP(S194,'Elenco Casse'!$D$4:$F$292,3,FALSE),"")</f>
        <v/>
      </c>
      <c r="CP194" s="305" t="str">
        <f>IFERROR(IF(VLOOKUP($E194,Outlist!$A$5:$S$120,19,FALSE)&lt;&gt;0,"Y",""),"")</f>
        <v/>
      </c>
      <c r="CQ194" s="301"/>
      <c r="CR194" s="305" t="str">
        <f>CONCATENATE($B194,$E194,$G194)</f>
        <v>ITD12366TO10.302083333333333</v>
      </c>
      <c r="CS194" s="301"/>
      <c r="CT194" s="305" t="e">
        <f>VLOOKUP(Out_Table[[#This Row],[Destination             ORANGE (From Planning)]],Outlist!$A$5:$W$120,22,FALSE)</f>
        <v>#N/A</v>
      </c>
    </row>
    <row r="195" spans="1:98" s="20" customFormat="1" ht="30.75">
      <c r="A195" s="305" t="str">
        <f>$CR195</f>
        <v>ITD12384TO10.177083333333333</v>
      </c>
      <c r="B195" s="284" t="s">
        <v>1126</v>
      </c>
      <c r="C195" s="290" t="str">
        <f>IFERROR(IF(LEFT(B195,3)='STAT 77'!$X$2,_xlfn.XLOOKUP(B195,'STAT 77'!C:C,'STAT 77'!B:B),_xlfn.XLOOKUP(B195,'STAT 77'!B:B,'STAT 77'!C:C)),"NON TROVATO")</f>
        <v>ITD31524</v>
      </c>
      <c r="D195" s="25" t="s">
        <v>1127</v>
      </c>
      <c r="E195" s="290" t="s">
        <v>629</v>
      </c>
      <c r="F195" s="290" t="str">
        <f>IFERROR(VLOOKUP(E195,'Cambio O2P'!C:E,2,FALSE),"")</f>
        <v>XIKA</v>
      </c>
      <c r="G195" s="285">
        <v>0.17708333333333334</v>
      </c>
      <c r="H195" s="293" t="str">
        <f ca="1">IFERROR(IF(AND('INformazioni per calcoli'!$AB$3&lt;(--"14:30"),'INformazioni per calcoli'!$AB$3&gt;(--"10:00")),"",IF($B195="","",IF($X195&lt;&gt;"","Mezzo Chiuso",IF($W195="","Non al Carico",IF($G195-'INformazioni per calcoli'!$AB$5-'INformazioni per calcoli'!$AB$3+$J195&lt;0,"LFLS",IF($K195&lt;&gt;"","Safe Parking",IF($W195&lt;&gt;"",IF($E195="MXP",$G195-'INformazioni per calcoli'!$AB$6-'INformazioni per calcoli'!$AB$3+$J195,$G195-'INformazioni per calcoli'!$AB$5-'INformazioni per calcoli'!$AB$3+$J195),"Non al carico"))))))),"")</f>
        <v>Mezzo Chiuso</v>
      </c>
      <c r="I195" s="17" t="str">
        <f ca="1">IFERROR(IF($H195&lt;&gt;"",IF($H195="Safe Parking","",IF($W195&lt;&gt;"",IF(AND($U195="X",$V195="X"),$H195-(--"00:30"),""),IF($X195&lt;&gt;"","Mezzo Chiuso","Non al carico"))),""),"")</f>
        <v/>
      </c>
      <c r="J195" s="306">
        <f ca="1">IFERROR(IF($B195&lt;&gt;"",IF(AND('INformazioni per calcoli'!$AB$3&lt;(--"15:00"),'INformazioni per calcoli'!$AB$3&gt;(--"00:00")),0,IF($G195&lt;(--"18:30"),"+1",0)),""),"")</f>
        <v>0</v>
      </c>
      <c r="K195" s="27"/>
      <c r="L195" s="25" t="s">
        <v>427</v>
      </c>
      <c r="M195" s="25" t="str">
        <f>IFERROR(_xlfn.XLOOKUP($Q195,'Elenco Casse'!$D:$D,'Elenco Casse'!$E:$E),"")</f>
        <v/>
      </c>
      <c r="N195" s="25" t="str">
        <f>IFERROR(_xlfn.XLOOKUP($Q195,'Elenco Casse'!$D:$D,'Elenco Casse'!$F:$F),"")</f>
        <v/>
      </c>
      <c r="O195" s="286" t="s">
        <v>418</v>
      </c>
      <c r="P195" s="295" t="str">
        <f>IFERROR(_xlfn.XLOOKUP($Q195,'Elenco Casse'!$D:$D,'Elenco Casse'!$G:$G),"")</f>
        <v/>
      </c>
      <c r="Q195" s="355" t="s">
        <v>1128</v>
      </c>
      <c r="R195" s="23" t="s">
        <v>420</v>
      </c>
      <c r="S195" s="25" t="s">
        <v>421</v>
      </c>
      <c r="T195" s="25" t="s">
        <v>599</v>
      </c>
      <c r="U195" s="23" t="str">
        <f>IF(ISNUMBER(SEARCH("Parcel",$T195)),"X","")</f>
        <v/>
      </c>
      <c r="V195" s="23" t="str">
        <f>IF(ISNUMBER(SEARCH("Freight",$T195)),"X","")</f>
        <v>X</v>
      </c>
      <c r="W195" s="26">
        <v>830</v>
      </c>
      <c r="X195" s="27">
        <v>0.91111111111111109</v>
      </c>
      <c r="Y195" s="25" t="s">
        <v>660</v>
      </c>
      <c r="Z195" s="25"/>
      <c r="AA195" s="25" t="s">
        <v>487</v>
      </c>
      <c r="AB195" s="57">
        <v>1</v>
      </c>
      <c r="AC195" s="25"/>
      <c r="AD195" s="25"/>
      <c r="AE195" s="57"/>
      <c r="AF195" s="57"/>
      <c r="AG195" s="25"/>
      <c r="AH195" s="57"/>
      <c r="AI195" s="339"/>
      <c r="AJ195" s="339"/>
      <c r="AK195" s="297" t="str">
        <f>IF(X195&lt;&gt;"",CONCATENATE(IF(AA195&lt;&gt;"",CONCATENATE(Z195," ",AA195," ",BI195),""),IF(AD195&lt;&gt;"",CONCATENATE(","," ",AC195," ",AD195," ",BJ195),""),IF(AG195&lt;&gt;"",CONCATENATE(","," ",AF195," ",AG195," ",BK195),""),IF(AJ195&lt;&gt;"",CONCATENATE(","," ","DD"," ",BL195),"")," ",IF(AI195&lt;&gt;"",CONCATENATE(" - ",AI195," Bag"),"")),"")</f>
        <v xml:space="preserve"> FRT 14 </v>
      </c>
      <c r="AL195" s="287" t="s">
        <v>421</v>
      </c>
      <c r="AM195" s="287"/>
      <c r="AN195" s="287"/>
      <c r="AO195" s="287"/>
      <c r="AP195" s="370">
        <f>IFERROR(VLOOKUP($E192,Outlist!$A$5:$V$120,20,FALSE),"")</f>
        <v>0</v>
      </c>
      <c r="AQ195" s="288" t="s">
        <v>1129</v>
      </c>
      <c r="AS195" s="24"/>
      <c r="AT195" s="24">
        <v>0.59236111111111112</v>
      </c>
      <c r="AU195" s="27">
        <v>0.12222222222222222</v>
      </c>
      <c r="AV195" s="27"/>
      <c r="AW195" s="20" t="s">
        <v>443</v>
      </c>
      <c r="AX195" s="20" t="str">
        <f>IFERROR(IF(Out_Table[[#This Row],[Cancellazione linea]]="Cancellata","yes",""),"")</f>
        <v/>
      </c>
      <c r="AY195" s="72" t="str">
        <f>IF(BA195="",BZ195,IF(AND(BA195&lt;(--"23:59:59"),BA195&gt;(--"15:00:00"),G195&lt;(--"14:00:00"),G195&gt;(--"00:00:01")),"",IF(BA195&gt;G195,BZ195,"")))</f>
        <v/>
      </c>
      <c r="AZ195" s="27"/>
      <c r="BA195" s="32">
        <v>0.13194444444444445</v>
      </c>
      <c r="BB195" s="72"/>
      <c r="BC195" s="72" t="str">
        <f>IFERROR(VLOOKUP(Out_Table[[#This Row],[Aggiornamento STATUS]],'INformazioni per calcoli'!$Y$70:$AA$76,2,FALSE),"")</f>
        <v/>
      </c>
      <c r="BD195" s="289"/>
      <c r="BE195" s="289"/>
      <c r="BF195" s="47" t="str">
        <f>LEFT($E195,3)</f>
        <v>TO1</v>
      </c>
      <c r="BG195" s="298" t="str">
        <f>IF(Out_Table[[#This Row],[Ora Uscita    (GH)]]&lt;&gt;"","x","")</f>
        <v>x</v>
      </c>
      <c r="BH195" s="299">
        <f>VLOOKUP($O195,'INformazioni per calcoli'!$Y$20:$AA$23,3,FALSE)</f>
        <v>14</v>
      </c>
      <c r="BI195" s="299">
        <f>MROUND(Out_Table[[#This Row],[Mtr. Trailer]]*AB195,0.5)</f>
        <v>14</v>
      </c>
      <c r="BJ195" s="299">
        <f>MROUND(Out_Table[[#This Row],[Mtr. Trailer]]*AE195,0.5)</f>
        <v>0</v>
      </c>
      <c r="BK195" s="299">
        <f>MROUND(Out_Table[[#This Row],[Mtr. Trailer]]*AH195,0.5)</f>
        <v>0</v>
      </c>
      <c r="BL195" s="300">
        <f>Out_Table[[#This Row],[Double Deck trailer N° bumpers]]</f>
        <v>0</v>
      </c>
      <c r="BM195" s="301"/>
      <c r="BN195" s="299" t="str">
        <f>B195</f>
        <v>ITD12384</v>
      </c>
      <c r="BO195" s="299" t="str">
        <f>E195</f>
        <v>TO1</v>
      </c>
      <c r="BP195" s="302">
        <f>IF(AND(G195&gt;(--"00:00:01"),G195&lt;(--"15:00:00")),IF(AND(X195&gt;(--"00:00:01"),X195&lt;(--"15:00:00")),G195-X195,G195+1-X195),G195-X195)</f>
        <v>0.26597222222222217</v>
      </c>
      <c r="BQ195" s="303">
        <f>AE195+AF195+AH195+AJ195</f>
        <v>0</v>
      </c>
      <c r="BR195" s="304" t="str">
        <f>IF(OR(BP195&lt;=(--"00:20:00"),BQ195&gt;=100%),"OK","Not OK")</f>
        <v>Not OK</v>
      </c>
      <c r="BS195" s="302">
        <f>IF(AND(G195&gt;(--"00:00:01"),G195&lt;(--"15:00:00")),IF(AND(AU195&gt;(--"00:00:01"),AU195&lt;(--"15:00:00")),G195-AU195,G195+1-AU195),G195-AU195)</f>
        <v>5.4861111111111124E-2</v>
      </c>
      <c r="BT195" s="302">
        <f>IF(AND(AZ195&gt;(--"00:00:01"),AZ195&lt;(--"15:00:00")),IF(AND(AU195&gt;(--"00:00:01"),AU195&lt;(--"15:00:00")),AZ195-AU195,AZ195+1-AU195),AZ195-AU195)</f>
        <v>-0.12222222222222222</v>
      </c>
      <c r="BU195" s="302">
        <f>IF(AND(BA195&gt;(--"00:00:01"),BA195&lt;(--"15:00:00")),IF(AND(AZ195&gt;(--"00:00:01"),AZ195&lt;(--"15:00:00")),BA195-AZ195,BA195+1-AZ195),BA195-AZ195)</f>
        <v>1.1319444444444444</v>
      </c>
      <c r="BV195" s="299">
        <f>AV195</f>
        <v>0</v>
      </c>
      <c r="BW195" s="301"/>
      <c r="BX195" s="299" t="str">
        <f>IF(AV195="T Status",IF(AV195&lt;&gt;T195,"X",""),"")</f>
        <v/>
      </c>
      <c r="BY195" s="301"/>
      <c r="BZ195" s="299" t="str">
        <f>IF(X195&lt;&gt;"",IF(CC195="X","Driver Delay",IF(CA195="X","Paperwork Delay",IF(CB195="X","Late freight late sort",IF(CD195="X","Chiamare Control Room",IF(CE195="X","Chiamare Control Room",IF(CF195="X","Chiamare Control Room","")))))),"")</f>
        <v>Chiamare Control Room</v>
      </c>
      <c r="CA195" s="302" t="str">
        <f>IF(K195="",IF(IF(AND(G195&gt;(--"00:00:01"),G195&lt;(--"15:00:00")),IF(AND(AT195&gt;(--"08:00:00"),AT195&lt;(--"23:59:59")),G195+1-AT195,G195-AT195),G195-AT195)&gt;(--"00:20:00"),"","X"),"")</f>
        <v/>
      </c>
      <c r="CB195" s="299" t="str">
        <f>IF(K195="",IF(BP195&gt;=(--"00:20:00"),"","X"),"")</f>
        <v/>
      </c>
      <c r="CC195" s="299" t="str">
        <f>IF(OR(AV195="Autista non presente",AV195="Dati driver non presenti"),"X","")</f>
        <v/>
      </c>
      <c r="CD195" s="299" t="str">
        <f>IF(K195="",IF(AND(CC195="",BS195&lt;(--"00:20:00")),"X",""),"")</f>
        <v/>
      </c>
      <c r="CE195" s="299" t="str">
        <f>IF(K195="",IF(BT195&gt;(--"00:15:00"),"X",""),IF(AZ195&lt;&gt;"",IF(G195-AZ195&gt;(--"00:30:00"),"X",""),""))</f>
        <v/>
      </c>
      <c r="CF195" s="299" t="str">
        <f>IF(AND(CA195="",CB195="",CC195="",CD195="",CE195=""),"X","")</f>
        <v>X</v>
      </c>
      <c r="CG195" s="301"/>
      <c r="CH195" s="299" t="str">
        <f>IF(BT195&gt;(--"00:15:00"),"X","")</f>
        <v/>
      </c>
      <c r="CI195" s="302" t="str">
        <f>AY195</f>
        <v/>
      </c>
      <c r="CJ195" s="299" t="str">
        <f>IF(AND(CH195&lt;&gt;"",CI195&lt;&gt;"",LEFT(B195,3)="ITD"),AP195,"")</f>
        <v/>
      </c>
      <c r="CK195" s="305" t="str">
        <f>IF(CJ195&lt;&gt;"",BT195,"")</f>
        <v/>
      </c>
      <c r="CL195" s="301"/>
      <c r="CM195" s="305" t="str">
        <f>IFERROR(VLOOKUP(Q195,'Elenco Casse'!$D$4:$F$292,3,FALSE),"")</f>
        <v/>
      </c>
      <c r="CN195" s="301"/>
      <c r="CO195" s="305" t="str">
        <f>IFERROR(VLOOKUP(S195,'Elenco Casse'!$D$4:$F$292,3,FALSE),"")</f>
        <v/>
      </c>
      <c r="CP195" s="305" t="str">
        <f>IFERROR(IF(VLOOKUP($E195,Outlist!$A$5:$S$120,19,FALSE)&lt;&gt;0,"Y",""),"")</f>
        <v/>
      </c>
      <c r="CQ195" s="301"/>
      <c r="CR195" s="305" t="str">
        <f>CONCATENATE($B195,$E195,$G195)</f>
        <v>ITD12384TO10.177083333333333</v>
      </c>
      <c r="CS195" s="301"/>
      <c r="CT195" s="305" t="e">
        <f>VLOOKUP(Out_Table[[#This Row],[Destination             ORANGE (From Planning)]],Outlist!$A$5:$W$120,22,FALSE)</f>
        <v>#N/A</v>
      </c>
    </row>
    <row r="196" spans="1:98" s="20" customFormat="1" ht="15">
      <c r="A196" s="305" t="str">
        <f>$CR196</f>
        <v>ITD12172BO10.190972222222222</v>
      </c>
      <c r="B196" s="284" t="s">
        <v>1130</v>
      </c>
      <c r="C196" s="290" t="str">
        <f>IFERROR(IF(LEFT(B196,3)='STAT 77'!$X$2,_xlfn.XLOOKUP(B196,'STAT 77'!C:C,'STAT 77'!B:B),_xlfn.XLOOKUP(B196,'STAT 77'!B:B,'STAT 77'!C:C)),"NON TROVATO")</f>
        <v>ITD30987</v>
      </c>
      <c r="D196" s="25" t="s">
        <v>704</v>
      </c>
      <c r="E196" s="290" t="s">
        <v>691</v>
      </c>
      <c r="F196" s="290" t="str">
        <f>IFERROR(VLOOKUP(E196,'Cambio O2P'!C:E,2,FALSE),"")</f>
        <v>QICA</v>
      </c>
      <c r="G196" s="285">
        <v>0.19097222222222221</v>
      </c>
      <c r="H196" s="293">
        <f ca="1">IFERROR(IF(AND('INformazioni per calcoli'!$AB$3&lt;(--"14:30"),'INformazioni per calcoli'!$AB$3&gt;(--"10:00")),"",IF($B196="","",IF($X196&lt;&gt;"","Mezzo Chiuso",IF($W196="","Non al Carico",IF($G196-'INformazioni per calcoli'!$AB$5-'INformazioni per calcoli'!$AB$3+$J196&lt;0,"LFLS",IF($K196&lt;&gt;"","Safe Parking",IF($W196&lt;&gt;"",IF($E196="MXP",$G196-'INformazioni per calcoli'!$AB$6-'INformazioni per calcoli'!$AB$3+$J196,$G196-'INformazioni per calcoli'!$AB$5-'INformazioni per calcoli'!$AB$3+$J196),"Non al carico"))))))),"")</f>
        <v>3.1620370370370354E-2</v>
      </c>
      <c r="I196" s="17" t="str">
        <f ca="1">IFERROR(IF($H196&lt;&gt;"",IF($H196="Safe Parking","",IF($W196&lt;&gt;"",IF(AND($U196="X",$V196="X"),$H196-(--"00:30"),""),IF($X196&lt;&gt;"","Mezzo Chiuso","Non al carico"))),""),"")</f>
        <v/>
      </c>
      <c r="J196" s="306">
        <f ca="1">IFERROR(IF($B196&lt;&gt;"",IF(AND('INformazioni per calcoli'!$AB$3&lt;(--"15:00"),'INformazioni per calcoli'!$AB$3&gt;(--"00:00")),0,IF($G196&lt;(--"18:30"),"+1",0)),""),"")</f>
        <v>0</v>
      </c>
      <c r="K196" s="17"/>
      <c r="L196" s="25" t="s">
        <v>692</v>
      </c>
      <c r="M196" s="25" t="str">
        <f>IFERROR(_xlfn.XLOOKUP($Q196,'Elenco Casse'!$D:$D,'Elenco Casse'!$E:$E),"")</f>
        <v/>
      </c>
      <c r="N196" s="25" t="str">
        <f>IFERROR(_xlfn.XLOOKUP($Q196,'Elenco Casse'!$D:$D,'Elenco Casse'!$F:$F),"")</f>
        <v/>
      </c>
      <c r="O196" s="286" t="s">
        <v>418</v>
      </c>
      <c r="P196" s="295" t="str">
        <f>IFERROR(_xlfn.XLOOKUP($Q196,'Elenco Casse'!$D:$D,'Elenco Casse'!$G:$G),"")</f>
        <v/>
      </c>
      <c r="Q196" s="355" t="s">
        <v>1131</v>
      </c>
      <c r="R196" s="23" t="s">
        <v>420</v>
      </c>
      <c r="S196" s="25" t="s">
        <v>421</v>
      </c>
      <c r="T196" s="25" t="s">
        <v>1132</v>
      </c>
      <c r="U196" s="23" t="str">
        <f>IF(ISNUMBER(SEARCH("Parcel",$T196)),"X","")</f>
        <v/>
      </c>
      <c r="V196" s="23" t="str">
        <f>IF(ISNUMBER(SEARCH("Freight",$T196)),"X","")</f>
        <v>X</v>
      </c>
      <c r="W196" s="26">
        <v>831</v>
      </c>
      <c r="X196" s="27"/>
      <c r="Y196" s="25"/>
      <c r="Z196" s="25"/>
      <c r="AA196" s="25" t="s">
        <v>487</v>
      </c>
      <c r="AB196" s="57"/>
      <c r="AC196" s="25"/>
      <c r="AD196" s="25"/>
      <c r="AE196" s="57"/>
      <c r="AF196" s="57"/>
      <c r="AG196" s="25" t="s">
        <v>488</v>
      </c>
      <c r="AH196" s="57"/>
      <c r="AI196" s="339"/>
      <c r="AJ196" s="339"/>
      <c r="AK196" s="297" t="str">
        <f>IF(X196&lt;&gt;"",CONCATENATE(IF(AA196&lt;&gt;"",CONCATENATE(Z196," ",AA196," ",BI196),""),IF(AD196&lt;&gt;"",CONCATENATE(","," ",AC196," ",AD196," ",BJ196),""),IF(AG196&lt;&gt;"",CONCATENATE(","," ",AF196," ",AG196," ",BK196),""),IF(AJ196&lt;&gt;"",CONCATENATE(","," ","DD"," ",BL196),"")," ",IF(AI196&lt;&gt;"",CONCATENATE(" - ",AI196," Bag"),"")),"")</f>
        <v/>
      </c>
      <c r="AL196" s="287"/>
      <c r="AM196" s="287"/>
      <c r="AN196" s="287"/>
      <c r="AO196" s="287"/>
      <c r="AP196" s="370" t="str">
        <f>IFERROR(VLOOKUP(#REF!,Outlist!$A$5:$V$120,20,FALSE),"")</f>
        <v/>
      </c>
      <c r="AQ196" s="288" t="str">
        <f>IFERROR(IF(VLOOKUP($A196,#REF!,8,FALSE)&lt;&gt;"",VLOOKUP($A196,#REF!,8,FALSE),""),"")</f>
        <v/>
      </c>
      <c r="AS196" s="24"/>
      <c r="AT196" s="24">
        <v>0.94236111111111109</v>
      </c>
      <c r="AU196" s="27"/>
      <c r="AV196" s="27"/>
      <c r="AX196" s="20" t="str">
        <f>IFERROR(IF(Out_Table[[#This Row],[Cancellazione linea]]="Cancellata","yes",""),"")</f>
        <v/>
      </c>
      <c r="AY196" s="72" t="str">
        <f>IF(BA196="",BZ196,IF(AND(BA196&lt;(--"23:59:59"),BA196&gt;(--"15:00:00"),G196&lt;(--"14:00:00"),G196&gt;(--"00:00:01")),"",IF(BA196&gt;G196,BZ196,"")))</f>
        <v/>
      </c>
      <c r="AZ196" s="27"/>
      <c r="BA196" s="32"/>
      <c r="BB196" s="72"/>
      <c r="BC196" s="72" t="str">
        <f>IFERROR(VLOOKUP(Out_Table[[#This Row],[Aggiornamento STATUS]],'INformazioni per calcoli'!$Y$70:$AA$76,2,FALSE),"")</f>
        <v/>
      </c>
      <c r="BD196" s="289"/>
      <c r="BE196" s="289"/>
      <c r="BF196" s="47" t="str">
        <f>LEFT($E196,3)</f>
        <v>BO1</v>
      </c>
      <c r="BG196" s="298" t="str">
        <f>IF(Out_Table[[#This Row],[Ora Uscita    (GH)]]&lt;&gt;"","x","")</f>
        <v/>
      </c>
      <c r="BH196" s="299">
        <f>VLOOKUP($O196,'INformazioni per calcoli'!$Y$20:$AA$23,3,FALSE)</f>
        <v>14</v>
      </c>
      <c r="BI196" s="299">
        <f>MROUND(Out_Table[[#This Row],[Mtr. Trailer]]*AB196,0.5)</f>
        <v>0</v>
      </c>
      <c r="BJ196" s="299">
        <f>MROUND(Out_Table[[#This Row],[Mtr. Trailer]]*AE196,0.5)</f>
        <v>0</v>
      </c>
      <c r="BK196" s="299">
        <f>MROUND(Out_Table[[#This Row],[Mtr. Trailer]]*AH196,0.5)</f>
        <v>0</v>
      </c>
      <c r="BL196" s="300">
        <f>Out_Table[[#This Row],[Double Deck trailer N° bumpers]]</f>
        <v>0</v>
      </c>
      <c r="BM196" s="301"/>
      <c r="BN196" s="299" t="str">
        <f>B196</f>
        <v>ITD12172</v>
      </c>
      <c r="BO196" s="299" t="str">
        <f>E196</f>
        <v>BO1</v>
      </c>
      <c r="BP196" s="302">
        <f>IF(AND(G196&gt;(--"00:00:01"),G196&lt;(--"15:00:00")),IF(AND(X196&gt;(--"00:00:01"),X196&lt;(--"15:00:00")),G196-X196,G196+1-X196),G196-X196)</f>
        <v>1.1909722222222223</v>
      </c>
      <c r="BQ196" s="303">
        <f>AE196+AF196+AH196+AJ196</f>
        <v>0</v>
      </c>
      <c r="BR196" s="304" t="str">
        <f>IF(OR(BP196&lt;=(--"00:20:00"),BQ196&gt;=100%),"OK","Not OK")</f>
        <v>Not OK</v>
      </c>
      <c r="BS196" s="302">
        <f>IF(AND(G196&gt;(--"00:00:01"),G196&lt;(--"15:00:00")),IF(AND(AU196&gt;(--"00:00:01"),AU196&lt;(--"15:00:00")),G196-AU196,G196+1-AU196),G196-AU196)</f>
        <v>1.1909722222222223</v>
      </c>
      <c r="BT196" s="302">
        <f>IF(AND(AZ196&gt;(--"00:00:01"),AZ196&lt;(--"15:00:00")),IF(AND(AU196&gt;(--"00:00:01"),AU196&lt;(--"15:00:00")),AZ196-AU196,AZ196+1-AU196),AZ196-AU196)</f>
        <v>0</v>
      </c>
      <c r="BU196" s="302">
        <f>IF(AND(BA196&gt;(--"00:00:01"),BA196&lt;(--"15:00:00")),IF(AND(AZ196&gt;(--"00:00:01"),AZ196&lt;(--"15:00:00")),BA196-AZ196,BA196+1-AZ196),BA196-AZ196)</f>
        <v>0</v>
      </c>
      <c r="BV196" s="299">
        <f>AV196</f>
        <v>0</v>
      </c>
      <c r="BW196" s="301"/>
      <c r="BX196" s="299" t="str">
        <f>IF(AV196="T Status",IF(AV196&lt;&gt;T196,"X",""),"")</f>
        <v/>
      </c>
      <c r="BY196" s="301"/>
      <c r="BZ196" s="299" t="str">
        <f>IF(X196&lt;&gt;"",IF(CC196="X","Driver Delay",IF(CA196="X","Paperwork Delay",IF(CB196="X","Late freight late sort",IF(CD196="X","Chiamare Control Room",IF(CE196="X","Chiamare Control Room",IF(CF196="X","Chiamare Control Room","")))))),"")</f>
        <v/>
      </c>
      <c r="CA196" s="302" t="str">
        <f>IF(K196="",IF(IF(AND(G196&gt;(--"00:00:01"),G196&lt;(--"15:00:00")),IF(AND(AT196&gt;(--"08:00:00"),AT196&lt;(--"23:59:59")),G196+1-AT196,G196-AT196),G196-AT196)&gt;(--"00:20:00"),"","X"),"")</f>
        <v/>
      </c>
      <c r="CB196" s="299" t="str">
        <f>IF(K196="",IF(BP196&gt;=(--"00:20:00"),"","X"),"")</f>
        <v/>
      </c>
      <c r="CC196" s="299" t="str">
        <f>IF(OR(AV196="Autista non presente",AV196="Dati driver non presenti"),"X","")</f>
        <v/>
      </c>
      <c r="CD196" s="299" t="str">
        <f>IF(K196="",IF(AND(CC196="",BS196&lt;(--"00:20:00")),"X",""),"")</f>
        <v/>
      </c>
      <c r="CE196" s="299" t="str">
        <f>IF(K196="",IF(BT196&gt;(--"00:15:00"),"X",""),IF(AZ196&lt;&gt;"",IF(G196-AZ196&gt;(--"00:30:00"),"X",""),""))</f>
        <v/>
      </c>
      <c r="CF196" s="299" t="str">
        <f>IF(AND(CA196="",CB196="",CC196="",CD196="",CE196=""),"X","")</f>
        <v>X</v>
      </c>
      <c r="CG196" s="301"/>
      <c r="CH196" s="299" t="str">
        <f>IF(BT196&gt;(--"00:15:00"),"X","")</f>
        <v/>
      </c>
      <c r="CI196" s="302" t="str">
        <f>AY196</f>
        <v/>
      </c>
      <c r="CJ196" s="299" t="str">
        <f>IF(AND(CH196&lt;&gt;"",CI196&lt;&gt;"",LEFT(B196,3)="ITD"),AP196,"")</f>
        <v/>
      </c>
      <c r="CK196" s="305" t="str">
        <f>IF(CJ196&lt;&gt;"",BT196,"")</f>
        <v/>
      </c>
      <c r="CL196" s="301"/>
      <c r="CM196" s="305" t="str">
        <f>IFERROR(VLOOKUP(Q196,'Elenco Casse'!$D$4:$F$292,3,FALSE),"")</f>
        <v/>
      </c>
      <c r="CN196" s="301"/>
      <c r="CO196" s="305" t="str">
        <f>IFERROR(VLOOKUP(S196,'Elenco Casse'!$D$4:$F$292,3,FALSE),"")</f>
        <v/>
      </c>
      <c r="CP196" s="305" t="str">
        <f>IFERROR(IF(VLOOKUP($E196,Outlist!$A$5:$S$120,19,FALSE)&lt;&gt;0,"Y",""),"")</f>
        <v/>
      </c>
      <c r="CQ196" s="301"/>
      <c r="CR196" s="305" t="str">
        <f>CONCATENATE($B196,$E196,$G196)</f>
        <v>ITD12172BO10.190972222222222</v>
      </c>
      <c r="CS196" s="301"/>
      <c r="CT196" s="305" t="e">
        <f>VLOOKUP(Out_Table[[#This Row],[Destination             ORANGE (From Planning)]],Outlist!$A$5:$W$120,22,FALSE)</f>
        <v>#N/A</v>
      </c>
    </row>
    <row r="197" spans="1:98" s="20" customFormat="1" ht="30.75">
      <c r="A197" s="305" t="str">
        <f>$CR197</f>
        <v>ITD12251BO20.00694444444444444</v>
      </c>
      <c r="B197" s="284" t="s">
        <v>1133</v>
      </c>
      <c r="C197" s="290" t="str">
        <f>IFERROR(IF(LEFT(B197,3)='STAT 77'!$X$2,_xlfn.XLOOKUP(B197,'STAT 77'!C:C,'STAT 77'!B:B),_xlfn.XLOOKUP(B197,'STAT 77'!B:B,'STAT 77'!C:C)),"NON TROVATO")</f>
        <v>ITD31201</v>
      </c>
      <c r="D197" s="25" t="s">
        <v>746</v>
      </c>
      <c r="E197" s="290" t="s">
        <v>126</v>
      </c>
      <c r="F197" s="290" t="str">
        <f>IFERROR(VLOOKUP(E197,'Cambio O2P'!C:E,2,FALSE),"")</f>
        <v>BLQP</v>
      </c>
      <c r="G197" s="285">
        <v>6.9444444444444441E-3</v>
      </c>
      <c r="H197" s="293" t="str">
        <f ca="1">IFERROR(IF(AND('INformazioni per calcoli'!$AB$3&lt;(--"14:30"),'INformazioni per calcoli'!$AB$3&gt;(--"10:00")),"",IF($B197="","",IF($X197&lt;&gt;"","Mezzo Chiuso",IF($W197="","Non al Carico",IF($G197-'INformazioni per calcoli'!$AB$5-'INformazioni per calcoli'!$AB$3+$J197&lt;0,"LFLS",IF($K197&lt;&gt;"","Safe Parking",IF($W197&lt;&gt;"",IF($E197="MXP",$G197-'INformazioni per calcoli'!$AB$6-'INformazioni per calcoli'!$AB$3+$J197,$G197-'INformazioni per calcoli'!$AB$5-'INformazioni per calcoli'!$AB$3+$J197),"Non al carico"))))))),"")</f>
        <v>Mezzo Chiuso</v>
      </c>
      <c r="I197" s="17" t="str">
        <f ca="1">IFERROR(IF($H197&lt;&gt;"",IF($H197="Safe Parking","",IF($W197&lt;&gt;"",IF(AND($U197="X",$V197="X"),$H197-(--"00:30"),""),IF($X197&lt;&gt;"","Mezzo Chiuso","Non al carico"))),""),"")</f>
        <v/>
      </c>
      <c r="J197" s="306">
        <f ca="1">IFERROR(IF($B197&lt;&gt;"",IF(AND('INformazioni per calcoli'!$AB$3&lt;(--"15:00"),'INformazioni per calcoli'!$AB$3&gt;(--"00:00")),0,IF($G197&lt;(--"18:30"),"+1",0)),""),"")</f>
        <v>0</v>
      </c>
      <c r="K197" s="17"/>
      <c r="L197" s="25" t="s">
        <v>446</v>
      </c>
      <c r="M197" s="25" t="str">
        <f>IFERROR(_xlfn.XLOOKUP($Q197,'Elenco Casse'!$D:$D,'Elenco Casse'!$E:$E),"")</f>
        <v/>
      </c>
      <c r="N197" s="25" t="str">
        <f>IFERROR(_xlfn.XLOOKUP($Q197,'Elenco Casse'!$D:$D,'Elenco Casse'!$F:$F),"")</f>
        <v/>
      </c>
      <c r="O197" s="286" t="s">
        <v>418</v>
      </c>
      <c r="P197" s="295" t="str">
        <f>IFERROR(_xlfn.XLOOKUP($Q197,'Elenco Casse'!$D:$D,'Elenco Casse'!$G:$G),"")</f>
        <v/>
      </c>
      <c r="Q197" s="355" t="s">
        <v>1134</v>
      </c>
      <c r="R197" s="23" t="s">
        <v>420</v>
      </c>
      <c r="S197" s="25" t="s">
        <v>421</v>
      </c>
      <c r="T197" s="25" t="s">
        <v>726</v>
      </c>
      <c r="U197" s="23" t="str">
        <f>IF(ISNUMBER(SEARCH("Parcel",$T197)),"X","")</f>
        <v/>
      </c>
      <c r="V197" s="23" t="str">
        <f>IF(ISNUMBER(SEARCH("Freight",$T197)),"X","")</f>
        <v>X</v>
      </c>
      <c r="W197" s="26">
        <v>831</v>
      </c>
      <c r="X197" s="27">
        <v>0.9770833333333333</v>
      </c>
      <c r="Y197" s="25" t="s">
        <v>624</v>
      </c>
      <c r="Z197" s="25"/>
      <c r="AA197" s="25" t="s">
        <v>487</v>
      </c>
      <c r="AB197" s="57">
        <v>1</v>
      </c>
      <c r="AC197" s="25"/>
      <c r="AD197" s="25"/>
      <c r="AE197" s="57"/>
      <c r="AF197" s="57"/>
      <c r="AG197" s="25"/>
      <c r="AH197" s="57"/>
      <c r="AI197" s="339"/>
      <c r="AJ197" s="339"/>
      <c r="AK197" s="297" t="str">
        <f>IF(X197&lt;&gt;"",CONCATENATE(IF(AA197&lt;&gt;"",CONCATENATE(Z197," ",AA197," ",BI197),""),IF(AD197&lt;&gt;"",CONCATENATE(","," ",AC197," ",AD197," ",BJ197),""),IF(AG197&lt;&gt;"",CONCATENATE(","," ",AF197," ",AG197," ",BK197),""),IF(AJ197&lt;&gt;"",CONCATENATE(","," ","DD"," ",BL197),"")," ",IF(AI197&lt;&gt;"",CONCATENATE(" - ",AI197," Bag"),"")),"")</f>
        <v xml:space="preserve"> FRT 14 </v>
      </c>
      <c r="AL197" s="287" t="s">
        <v>421</v>
      </c>
      <c r="AM197" s="287"/>
      <c r="AN197" s="287"/>
      <c r="AO197" s="287"/>
      <c r="AP197" s="370" t="str">
        <f>IFERROR(VLOOKUP(#REF!,Outlist!$A$5:$V$120,20,FALSE),"")</f>
        <v/>
      </c>
      <c r="AQ197" s="288" t="s">
        <v>1135</v>
      </c>
      <c r="AS197" s="24"/>
      <c r="AT197" s="24">
        <v>0.93402777777777779</v>
      </c>
      <c r="AU197" s="27">
        <v>0.98402777777777772</v>
      </c>
      <c r="AV197" s="27"/>
      <c r="AW197" s="20" t="s">
        <v>443</v>
      </c>
      <c r="AX197" s="20" t="str">
        <f>IFERROR(IF(Out_Table[[#This Row],[Cancellazione linea]]="Cancellata","yes",""),"")</f>
        <v/>
      </c>
      <c r="AY197" s="72" t="str">
        <f>IF(BA197="",BZ197,IF(AND(BA197&lt;(--"23:59:59"),BA197&gt;(--"15:00:00"),G197&lt;(--"14:00:00"),G197&gt;(--"00:00:01")),"",IF(BA197&gt;G197,BZ197,"")))</f>
        <v/>
      </c>
      <c r="AZ197" s="27"/>
      <c r="BA197" s="32">
        <v>0.99375000000000002</v>
      </c>
      <c r="BB197" s="72"/>
      <c r="BC197" s="72" t="str">
        <f>IFERROR(VLOOKUP(Out_Table[[#This Row],[Aggiornamento STATUS]],'INformazioni per calcoli'!$Y$70:$AA$76,2,FALSE),"")</f>
        <v/>
      </c>
      <c r="BD197" s="289"/>
      <c r="BE197" s="289"/>
      <c r="BF197" s="47" t="str">
        <f>LEFT($E197,3)</f>
        <v>BO2</v>
      </c>
      <c r="BG197" s="298" t="str">
        <f>IF(Out_Table[[#This Row],[Ora Uscita    (GH)]]&lt;&gt;"","x","")</f>
        <v>x</v>
      </c>
      <c r="BH197" s="299">
        <f>VLOOKUP($O197,'INformazioni per calcoli'!$Y$20:$AA$23,3,FALSE)</f>
        <v>14</v>
      </c>
      <c r="BI197" s="299">
        <f>MROUND(Out_Table[[#This Row],[Mtr. Trailer]]*AB197,0.5)</f>
        <v>14</v>
      </c>
      <c r="BJ197" s="299">
        <f>MROUND(Out_Table[[#This Row],[Mtr. Trailer]]*AE197,0.5)</f>
        <v>0</v>
      </c>
      <c r="BK197" s="299">
        <f>MROUND(Out_Table[[#This Row],[Mtr. Trailer]]*AH197,0.5)</f>
        <v>0</v>
      </c>
      <c r="BL197" s="300">
        <f>Out_Table[[#This Row],[Double Deck trailer N° bumpers]]</f>
        <v>0</v>
      </c>
      <c r="BM197" s="301"/>
      <c r="BN197" s="299" t="str">
        <f>B197</f>
        <v>ITD12251</v>
      </c>
      <c r="BO197" s="299" t="str">
        <f>E197</f>
        <v>BO2</v>
      </c>
      <c r="BP197" s="302">
        <f>IF(AND(G197&gt;(--"00:00:01"),G197&lt;(--"15:00:00")),IF(AND(X197&gt;(--"00:00:01"),X197&lt;(--"15:00:00")),G197-X197,G197+1-X197),G197-X197)</f>
        <v>2.9861111111111116E-2</v>
      </c>
      <c r="BQ197" s="303">
        <f>AE197+AF197+AH197+AJ197</f>
        <v>0</v>
      </c>
      <c r="BR197" s="304" t="str">
        <f>IF(OR(BP197&lt;=(--"00:20:00"),BQ197&gt;=100%),"OK","Not OK")</f>
        <v>Not OK</v>
      </c>
      <c r="BS197" s="302">
        <f>IF(AND(G197&gt;(--"00:00:01"),G197&lt;(--"15:00:00")),IF(AND(AU197&gt;(--"00:00:01"),AU197&lt;(--"15:00:00")),G197-AU197,G197+1-AU197),G197-AU197)</f>
        <v>2.2916666666666696E-2</v>
      </c>
      <c r="BT197" s="302">
        <f>IF(AND(AZ197&gt;(--"00:00:01"),AZ197&lt;(--"15:00:00")),IF(AND(AU197&gt;(--"00:00:01"),AU197&lt;(--"15:00:00")),AZ197-AU197,AZ197+1-AU197),AZ197-AU197)</f>
        <v>-0.98402777777777772</v>
      </c>
      <c r="BU197" s="302">
        <f>IF(AND(BA197&gt;(--"00:00:01"),BA197&lt;(--"15:00:00")),IF(AND(AZ197&gt;(--"00:00:01"),AZ197&lt;(--"15:00:00")),BA197-AZ197,BA197+1-AZ197),BA197-AZ197)</f>
        <v>0.99375000000000002</v>
      </c>
      <c r="BV197" s="299">
        <f>AV197</f>
        <v>0</v>
      </c>
      <c r="BW197" s="301"/>
      <c r="BX197" s="299" t="str">
        <f>IF(AV197="T Status",IF(AV197&lt;&gt;T197,"X",""),"")</f>
        <v/>
      </c>
      <c r="BY197" s="301"/>
      <c r="BZ197" s="299" t="str">
        <f>IF(X197&lt;&gt;"",IF(CC197="X","Driver Delay",IF(CA197="X","Paperwork Delay",IF(CB197="X","Late freight late sort",IF(CD197="X","Chiamare Control Room",IF(CE197="X","Chiamare Control Room",IF(CF197="X","Chiamare Control Room","")))))),"")</f>
        <v>Chiamare Control Room</v>
      </c>
      <c r="CA197" s="302" t="str">
        <f>IF(K197="",IF(IF(AND(G197&gt;(--"00:00:01"),G197&lt;(--"15:00:00")),IF(AND(AT197&gt;(--"08:00:00"),AT197&lt;(--"23:59:59")),G197+1-AT197,G197-AT197),G197-AT197)&gt;(--"00:20:00"),"","X"),"")</f>
        <v/>
      </c>
      <c r="CB197" s="299" t="str">
        <f>IF(K197="",IF(BP197&gt;=(--"00:20:00"),"","X"),"")</f>
        <v/>
      </c>
      <c r="CC197" s="299" t="str">
        <f>IF(OR(AV197="Autista non presente",AV197="Dati driver non presenti"),"X","")</f>
        <v/>
      </c>
      <c r="CD197" s="299" t="str">
        <f>IF(K197="",IF(AND(CC197="",BS197&lt;(--"00:20:00")),"X",""),"")</f>
        <v/>
      </c>
      <c r="CE197" s="299" t="str">
        <f>IF(K197="",IF(BT197&gt;(--"00:15:00"),"X",""),IF(AZ197&lt;&gt;"",IF(G197-AZ197&gt;(--"00:30:00"),"X",""),""))</f>
        <v/>
      </c>
      <c r="CF197" s="299" t="str">
        <f>IF(AND(CA197="",CB197="",CC197="",CD197="",CE197=""),"X","")</f>
        <v>X</v>
      </c>
      <c r="CG197" s="301"/>
      <c r="CH197" s="299" t="str">
        <f>IF(BT197&gt;(--"00:15:00"),"X","")</f>
        <v/>
      </c>
      <c r="CI197" s="302" t="str">
        <f>AY197</f>
        <v/>
      </c>
      <c r="CJ197" s="299" t="str">
        <f>IF(AND(CH197&lt;&gt;"",CI197&lt;&gt;"",LEFT(B197,3)="ITD"),AP197,"")</f>
        <v/>
      </c>
      <c r="CK197" s="305" t="str">
        <f>IF(CJ197&lt;&gt;"",BT197,"")</f>
        <v/>
      </c>
      <c r="CL197" s="301"/>
      <c r="CM197" s="305" t="str">
        <f>IFERROR(VLOOKUP(Q197,'Elenco Casse'!$D$4:$F$292,3,FALSE),"")</f>
        <v/>
      </c>
      <c r="CN197" s="301"/>
      <c r="CO197" s="305" t="str">
        <f>IFERROR(VLOOKUP(S197,'Elenco Casse'!$D$4:$F$292,3,FALSE),"")</f>
        <v/>
      </c>
      <c r="CP197" s="305" t="str">
        <f>IFERROR(IF(VLOOKUP($E197,Outlist!$A$5:$S$120,19,FALSE)&lt;&gt;0,"Y",""),"")</f>
        <v/>
      </c>
      <c r="CQ197" s="301"/>
      <c r="CR197" s="305" t="str">
        <f>CONCATENATE($B197,$E197,$G197)</f>
        <v>ITD12251BO20.00694444444444444</v>
      </c>
      <c r="CS197" s="301"/>
      <c r="CT197" s="305" t="e">
        <f>VLOOKUP(Out_Table[[#This Row],[Destination             ORANGE (From Planning)]],Outlist!$A$5:$W$120,22,FALSE)</f>
        <v>#N/A</v>
      </c>
    </row>
    <row r="198" spans="1:98" s="20" customFormat="1" ht="30.75">
      <c r="A198" s="305" t="str">
        <f>$CR198</f>
        <v>ITD12173BO10.0833333333333333</v>
      </c>
      <c r="B198" s="284" t="s">
        <v>1136</v>
      </c>
      <c r="C198" s="290" t="str">
        <f>IFERROR(IF(LEFT(B198,3)='STAT 77'!$X$2,_xlfn.XLOOKUP(B198,'STAT 77'!C:C,'STAT 77'!B:B),_xlfn.XLOOKUP(B198,'STAT 77'!B:B,'STAT 77'!C:C)),"NON TROVATO")</f>
        <v>ITD30989</v>
      </c>
      <c r="D198" s="25" t="s">
        <v>704</v>
      </c>
      <c r="E198" s="290" t="s">
        <v>691</v>
      </c>
      <c r="F198" s="290" t="str">
        <f>IFERROR(VLOOKUP(E198,'Cambio O2P'!C:E,2,FALSE),"")</f>
        <v>QICA</v>
      </c>
      <c r="G198" s="285">
        <v>8.3333333333333329E-2</v>
      </c>
      <c r="H198" s="293" t="str">
        <f ca="1">IFERROR(IF(AND('INformazioni per calcoli'!$AB$3&lt;(--"14:30"),'INformazioni per calcoli'!$AB$3&gt;(--"10:00")),"",IF($B198="","",IF($X198&lt;&gt;"","Mezzo Chiuso",IF($W198="","Non al Carico",IF($G198-'INformazioni per calcoli'!$AB$5-'INformazioni per calcoli'!$AB$3+$J198&lt;0,"LFLS",IF($K198&lt;&gt;"","Safe Parking",IF($W198&lt;&gt;"",IF($E198="MXP",$G198-'INformazioni per calcoli'!$AB$6-'INformazioni per calcoli'!$AB$3+$J198,$G198-'INformazioni per calcoli'!$AB$5-'INformazioni per calcoli'!$AB$3+$J198),"Non al carico"))))))),"")</f>
        <v>Mezzo Chiuso</v>
      </c>
      <c r="I198" s="17" t="str">
        <f ca="1">IFERROR(IF($H198&lt;&gt;"",IF($H198="Safe Parking","",IF($W198&lt;&gt;"",IF(AND($U198="X",$V198="X"),$H198-(--"00:30"),""),IF($X198&lt;&gt;"","Mezzo Chiuso","Non al carico"))),""),"")</f>
        <v/>
      </c>
      <c r="J198" s="306">
        <f ca="1">IFERROR(IF($B198&lt;&gt;"",IF(AND('INformazioni per calcoli'!$AB$3&lt;(--"15:00"),'INformazioni per calcoli'!$AB$3&gt;(--"00:00")),0,IF($G198&lt;(--"18:30"),"+1",0)),""),"")</f>
        <v>0</v>
      </c>
      <c r="K198" s="17"/>
      <c r="L198" s="25" t="s">
        <v>692</v>
      </c>
      <c r="M198" s="25" t="str">
        <f>IFERROR(_xlfn.XLOOKUP($Q198,'Elenco Casse'!$D:$D,'Elenco Casse'!$E:$E),"")</f>
        <v/>
      </c>
      <c r="N198" s="25" t="str">
        <f>IFERROR(_xlfn.XLOOKUP($Q198,'Elenco Casse'!$D:$D,'Elenco Casse'!$F:$F),"")</f>
        <v/>
      </c>
      <c r="O198" s="286" t="s">
        <v>418</v>
      </c>
      <c r="P198" s="295" t="str">
        <f>IFERROR(_xlfn.XLOOKUP($Q198,'Elenco Casse'!$D:$D,'Elenco Casse'!$G:$G),"")</f>
        <v/>
      </c>
      <c r="Q198" s="355" t="s">
        <v>1137</v>
      </c>
      <c r="R198" s="23" t="s">
        <v>420</v>
      </c>
      <c r="S198" s="25" t="s">
        <v>421</v>
      </c>
      <c r="T198" s="25" t="s">
        <v>1132</v>
      </c>
      <c r="U198" s="23" t="str">
        <f>IF(ISNUMBER(SEARCH("Parcel",$T198)),"X","")</f>
        <v/>
      </c>
      <c r="V198" s="23" t="str">
        <f>IF(ISNUMBER(SEARCH("Freight",$T198)),"X","")</f>
        <v>X</v>
      </c>
      <c r="W198" s="26">
        <v>831</v>
      </c>
      <c r="X198" s="27">
        <v>0.90069444444444446</v>
      </c>
      <c r="Y198" s="25" t="s">
        <v>666</v>
      </c>
      <c r="Z198" s="25"/>
      <c r="AA198" s="25" t="s">
        <v>487</v>
      </c>
      <c r="AB198" s="57">
        <v>1</v>
      </c>
      <c r="AC198" s="25"/>
      <c r="AD198" s="25"/>
      <c r="AE198" s="57"/>
      <c r="AF198" s="57"/>
      <c r="AG198" s="25"/>
      <c r="AH198" s="57"/>
      <c r="AI198" s="339"/>
      <c r="AJ198" s="339"/>
      <c r="AK198" s="297" t="str">
        <f>IF(X198&lt;&gt;"",CONCATENATE(IF(AA198&lt;&gt;"",CONCATENATE(Z198," ",AA198," ",BI198),""),IF(AD198&lt;&gt;"",CONCATENATE(","," ",AC198," ",AD198," ",BJ198),""),IF(AG198&lt;&gt;"",CONCATENATE(","," ",AF198," ",AG198," ",BK198),""),IF(AJ198&lt;&gt;"",CONCATENATE(","," ","DD"," ",BL198),"")," ",IF(AI198&lt;&gt;"",CONCATENATE(" - ",AI198," Bag"),"")),"")</f>
        <v xml:space="preserve"> FRT 14 </v>
      </c>
      <c r="AL198" s="287" t="s">
        <v>421</v>
      </c>
      <c r="AM198" s="287"/>
      <c r="AN198" s="287"/>
      <c r="AO198" s="287"/>
      <c r="AP198" s="370" t="str">
        <f>IFERROR(VLOOKUP(#REF!,Outlist!$A$5:$V$120,20,FALSE),"")</f>
        <v/>
      </c>
      <c r="AQ198" s="288" t="s">
        <v>1138</v>
      </c>
      <c r="AS198" s="24"/>
      <c r="AT198" s="24">
        <v>0.46111111111111114</v>
      </c>
      <c r="AU198" s="27">
        <v>1.9444444444444445E-2</v>
      </c>
      <c r="AV198" s="27"/>
      <c r="AW198" s="20" t="s">
        <v>443</v>
      </c>
      <c r="AX198" s="20" t="str">
        <f>IFERROR(IF(Out_Table[[#This Row],[Cancellazione linea]]="Cancellata","yes",""),"")</f>
        <v/>
      </c>
      <c r="AY198" s="72" t="str">
        <f>IF(BA198="",BZ198,IF(AND(BA198&lt;(--"23:59:59"),BA198&gt;(--"15:00:00"),G198&lt;(--"14:00:00"),G198&gt;(--"00:00:01")),"",IF(BA198&gt;G198,BZ198,"")))</f>
        <v/>
      </c>
      <c r="AZ198" s="27">
        <v>2.7083333333333334E-2</v>
      </c>
      <c r="BA198" s="32">
        <v>3.1944444444444442E-2</v>
      </c>
      <c r="BB198" s="72"/>
      <c r="BC198" s="72" t="str">
        <f>IFERROR(VLOOKUP(Out_Table[[#This Row],[Aggiornamento STATUS]],'INformazioni per calcoli'!$Y$70:$AA$76,2,FALSE),"")</f>
        <v/>
      </c>
      <c r="BD198" s="289"/>
      <c r="BE198" s="289"/>
      <c r="BF198" s="47" t="str">
        <f>LEFT($E198,3)</f>
        <v>BO1</v>
      </c>
      <c r="BG198" s="298" t="str">
        <f>IF(Out_Table[[#This Row],[Ora Uscita    (GH)]]&lt;&gt;"","x","")</f>
        <v>x</v>
      </c>
      <c r="BH198" s="299">
        <f>VLOOKUP($O198,'INformazioni per calcoli'!$Y$20:$AA$23,3,FALSE)</f>
        <v>14</v>
      </c>
      <c r="BI198" s="299">
        <f>MROUND(Out_Table[[#This Row],[Mtr. Trailer]]*AB198,0.5)</f>
        <v>14</v>
      </c>
      <c r="BJ198" s="299">
        <f>MROUND(Out_Table[[#This Row],[Mtr. Trailer]]*AE198,0.5)</f>
        <v>0</v>
      </c>
      <c r="BK198" s="299">
        <f>MROUND(Out_Table[[#This Row],[Mtr. Trailer]]*AH198,0.5)</f>
        <v>0</v>
      </c>
      <c r="BL198" s="300">
        <f>Out_Table[[#This Row],[Double Deck trailer N° bumpers]]</f>
        <v>0</v>
      </c>
      <c r="BM198" s="301"/>
      <c r="BN198" s="299" t="str">
        <f>B198</f>
        <v>ITD12173</v>
      </c>
      <c r="BO198" s="299" t="str">
        <f>E198</f>
        <v>BO1</v>
      </c>
      <c r="BP198" s="302">
        <f>IF(AND(G198&gt;(--"00:00:01"),G198&lt;(--"15:00:00")),IF(AND(X198&gt;(--"00:00:01"),X198&lt;(--"15:00:00")),G198-X198,G198+1-X198),G198-X198)</f>
        <v>0.1826388888888888</v>
      </c>
      <c r="BQ198" s="303">
        <f>AE198+AF198+AH198+AJ198</f>
        <v>0</v>
      </c>
      <c r="BR198" s="304" t="str">
        <f>IF(OR(BP198&lt;=(--"00:20:00"),BQ198&gt;=100%),"OK","Not OK")</f>
        <v>Not OK</v>
      </c>
      <c r="BS198" s="302">
        <f>IF(AND(G198&gt;(--"00:00:01"),G198&lt;(--"15:00:00")),IF(AND(AU198&gt;(--"00:00:01"),AU198&lt;(--"15:00:00")),G198-AU198,G198+1-AU198),G198-AU198)</f>
        <v>6.3888888888888884E-2</v>
      </c>
      <c r="BT198" s="302">
        <f>IF(AND(AZ198&gt;(--"00:00:01"),AZ198&lt;(--"15:00:00")),IF(AND(AU198&gt;(--"00:00:01"),AU198&lt;(--"15:00:00")),AZ198-AU198,AZ198+1-AU198),AZ198-AU198)</f>
        <v>7.6388888888888895E-3</v>
      </c>
      <c r="BU198" s="302">
        <f>IF(AND(BA198&gt;(--"00:00:01"),BA198&lt;(--"15:00:00")),IF(AND(AZ198&gt;(--"00:00:01"),AZ198&lt;(--"15:00:00")),BA198-AZ198,BA198+1-AZ198),BA198-AZ198)</f>
        <v>4.8611111111111077E-3</v>
      </c>
      <c r="BV198" s="299">
        <f>AV198</f>
        <v>0</v>
      </c>
      <c r="BW198" s="301"/>
      <c r="BX198" s="299" t="str">
        <f>IF(AV198="T Status",IF(AV198&lt;&gt;T198,"X",""),"")</f>
        <v/>
      </c>
      <c r="BY198" s="301"/>
      <c r="BZ198" s="299" t="str">
        <f>IF(X198&lt;&gt;"",IF(CC198="X","Driver Delay",IF(CA198="X","Paperwork Delay",IF(CB198="X","Late freight late sort",IF(CD198="X","Chiamare Control Room",IF(CE198="X","Chiamare Control Room",IF(CF198="X","Chiamare Control Room","")))))),"")</f>
        <v>Chiamare Control Room</v>
      </c>
      <c r="CA198" s="302" t="str">
        <f>IF(K198="",IF(IF(AND(G198&gt;(--"00:00:01"),G198&lt;(--"15:00:00")),IF(AND(AT198&gt;(--"08:00:00"),AT198&lt;(--"23:59:59")),G198+1-AT198,G198-AT198),G198-AT198)&gt;(--"00:20:00"),"","X"),"")</f>
        <v/>
      </c>
      <c r="CB198" s="299" t="str">
        <f>IF(K198="",IF(BP198&gt;=(--"00:20:00"),"","X"),"")</f>
        <v/>
      </c>
      <c r="CC198" s="299" t="str">
        <f>IF(OR(AV198="Autista non presente",AV198="Dati driver non presenti"),"X","")</f>
        <v/>
      </c>
      <c r="CD198" s="299" t="str">
        <f>IF(K198="",IF(AND(CC198="",BS198&lt;(--"00:20:00")),"X",""),"")</f>
        <v/>
      </c>
      <c r="CE198" s="299" t="str">
        <f>IF(K198="",IF(BT198&gt;(--"00:15:00"),"X",""),IF(AZ198&lt;&gt;"",IF(G198-AZ198&gt;(--"00:30:00"),"X",""),""))</f>
        <v/>
      </c>
      <c r="CF198" s="299" t="str">
        <f>IF(AND(CA198="",CB198="",CC198="",CD198="",CE198=""),"X","")</f>
        <v>X</v>
      </c>
      <c r="CG198" s="301"/>
      <c r="CH198" s="299" t="str">
        <f>IF(BT198&gt;(--"00:15:00"),"X","")</f>
        <v/>
      </c>
      <c r="CI198" s="302" t="str">
        <f>AY198</f>
        <v/>
      </c>
      <c r="CJ198" s="299" t="str">
        <f>IF(AND(CH198&lt;&gt;"",CI198&lt;&gt;"",LEFT(B198,3)="ITD"),AP198,"")</f>
        <v/>
      </c>
      <c r="CK198" s="305" t="str">
        <f>IF(CJ198&lt;&gt;"",BT198,"")</f>
        <v/>
      </c>
      <c r="CL198" s="301"/>
      <c r="CM198" s="305" t="str">
        <f>IFERROR(VLOOKUP(Q198,'Elenco Casse'!$D$4:$F$292,3,FALSE),"")</f>
        <v/>
      </c>
      <c r="CN198" s="301"/>
      <c r="CO198" s="305" t="str">
        <f>IFERROR(VLOOKUP(S198,'Elenco Casse'!$D$4:$F$292,3,FALSE),"")</f>
        <v/>
      </c>
      <c r="CP198" s="305" t="str">
        <f>IFERROR(IF(VLOOKUP($E198,Outlist!$A$5:$S$120,19,FALSE)&lt;&gt;0,"Y",""),"")</f>
        <v/>
      </c>
      <c r="CQ198" s="301"/>
      <c r="CR198" s="305" t="str">
        <f>CONCATENATE($B198,$E198,$G198)</f>
        <v>ITD12173BO10.0833333333333333</v>
      </c>
      <c r="CS198" s="301"/>
      <c r="CT198" s="305" t="e">
        <f>VLOOKUP(Out_Table[[#This Row],[Destination             ORANGE (From Planning)]],Outlist!$A$5:$W$120,22,FALSE)</f>
        <v>#N/A</v>
      </c>
    </row>
    <row r="199" spans="1:98" s="20" customFormat="1" ht="30.75">
      <c r="A199" s="305" t="str">
        <f>$CR199</f>
        <v>ITD12010BO20.847222222222222</v>
      </c>
      <c r="B199" s="284" t="s">
        <v>1139</v>
      </c>
      <c r="C199" s="290" t="str">
        <f>IFERROR(IF(LEFT(B199,3)='STAT 77'!$X$2,_xlfn.XLOOKUP(B199,'STAT 77'!C:C,'STAT 77'!B:B),_xlfn.XLOOKUP(B199,'STAT 77'!B:B,'STAT 77'!C:C)),"NON TROVATO")</f>
        <v>ITD30730</v>
      </c>
      <c r="D199" s="25" t="s">
        <v>1140</v>
      </c>
      <c r="E199" s="290" t="s">
        <v>126</v>
      </c>
      <c r="F199" s="290" t="str">
        <f>IFERROR(VLOOKUP(E199,'Cambio O2P'!C:E,2,FALSE),"")</f>
        <v>BLQP</v>
      </c>
      <c r="G199" s="285">
        <v>0.84722222222222221</v>
      </c>
      <c r="H199" s="293" t="str">
        <f ca="1">IFERROR(IF(AND('INformazioni per calcoli'!$AB$3&lt;(--"14:30"),'INformazioni per calcoli'!$AB$3&gt;(--"10:00")),"",IF($B199="","",IF($X199&lt;&gt;"","Mezzo Chiuso",IF($W199="","Non al Carico",IF($G199-'INformazioni per calcoli'!$AB$5-'INformazioni per calcoli'!$AB$3+$J199&lt;0,"LFLS",IF($K199&lt;&gt;"","Safe Parking",IF($W199&lt;&gt;"",IF($E199="MXP",$G199-'INformazioni per calcoli'!$AB$6-'INformazioni per calcoli'!$AB$3+$J199,$G199-'INformazioni per calcoli'!$AB$5-'INformazioni per calcoli'!$AB$3+$J199),"Non al carico"))))))),"")</f>
        <v>Mezzo Chiuso</v>
      </c>
      <c r="I199" s="17" t="str">
        <f ca="1">IFERROR(IF($H199&lt;&gt;"",IF($H199="Safe Parking","",IF($W199&lt;&gt;"",IF(AND($U199="X",$V199="X"),$H199-(--"00:30"),""),IF($X199&lt;&gt;"","Mezzo Chiuso","Non al carico"))),""),"")</f>
        <v/>
      </c>
      <c r="J199" s="306">
        <f ca="1">IFERROR(IF($B199&lt;&gt;"",IF(AND('INformazioni per calcoli'!$AB$3&lt;(--"15:00"),'INformazioni per calcoli'!$AB$3&gt;(--"00:00")),0,IF($G199&lt;(--"18:30"),"+1",0)),""),"")</f>
        <v>0</v>
      </c>
      <c r="K199" s="17"/>
      <c r="L199" s="25" t="s">
        <v>692</v>
      </c>
      <c r="M199" s="25" t="str">
        <f>IFERROR(_xlfn.XLOOKUP($Q199,'Elenco Casse'!$D:$D,'Elenco Casse'!$E:$E),"")</f>
        <v>Canguro S.P.A.</v>
      </c>
      <c r="N199" s="25">
        <f>IFERROR(_xlfn.XLOOKUP($Q199,'Elenco Casse'!$D:$D,'Elenco Casse'!$F:$F),"")</f>
        <v>0</v>
      </c>
      <c r="O199" s="286" t="s">
        <v>418</v>
      </c>
      <c r="P199" s="295" t="str">
        <f>IFERROR(_xlfn.XLOOKUP($Q199,'Elenco Casse'!$D:$D,'Elenco Casse'!$G:$G),"")</f>
        <v>trailer 80 m3 2/3 axes</v>
      </c>
      <c r="Q199" s="355" t="s">
        <v>1141</v>
      </c>
      <c r="R199" s="23" t="s">
        <v>420</v>
      </c>
      <c r="S199" s="25" t="s">
        <v>421</v>
      </c>
      <c r="T199" s="25" t="s">
        <v>726</v>
      </c>
      <c r="U199" s="23" t="str">
        <f>IF(ISNUMBER(SEARCH("Parcel",$T199)),"X","")</f>
        <v/>
      </c>
      <c r="V199" s="23" t="str">
        <f>IF(ISNUMBER(SEARCH("Freight",$T199)),"X","")</f>
        <v>X</v>
      </c>
      <c r="W199" s="26">
        <v>831</v>
      </c>
      <c r="X199" s="27">
        <v>0.75138888888888888</v>
      </c>
      <c r="Y199" s="25" t="s">
        <v>716</v>
      </c>
      <c r="Z199" s="25"/>
      <c r="AA199" s="25" t="s">
        <v>487</v>
      </c>
      <c r="AB199" s="57">
        <v>1</v>
      </c>
      <c r="AC199" s="25"/>
      <c r="AD199" s="25"/>
      <c r="AE199" s="57"/>
      <c r="AF199" s="57"/>
      <c r="AG199" s="25"/>
      <c r="AH199" s="57"/>
      <c r="AI199" s="339"/>
      <c r="AJ199" s="339"/>
      <c r="AK199" s="297" t="str">
        <f>IF(X199&lt;&gt;"",CONCATENATE(IF(AA199&lt;&gt;"",CONCATENATE(Z199," ",AA199," ",BI199),""),IF(AD199&lt;&gt;"",CONCATENATE(","," ",AC199," ",AD199," ",BJ199),""),IF(AG199&lt;&gt;"",CONCATENATE(","," ",AF199," ",AG199," ",BK199),""),IF(AJ199&lt;&gt;"",CONCATENATE(","," ","DD"," ",BL199),"")," ",IF(AI199&lt;&gt;"",CONCATENATE(" - ",AI199," Bag"),"")),"")</f>
        <v xml:space="preserve"> FRT 14 </v>
      </c>
      <c r="AL199" s="287" t="s">
        <v>421</v>
      </c>
      <c r="AM199" s="287"/>
      <c r="AN199" s="287"/>
      <c r="AO199" s="287"/>
      <c r="AP199" s="370" t="str">
        <f>IFERROR(VLOOKUP(#REF!,Outlist!$A$5:$V$120,20,FALSE),"")</f>
        <v/>
      </c>
      <c r="AQ199" s="288" t="s">
        <v>1142</v>
      </c>
      <c r="AS199" s="24"/>
      <c r="AT199" s="24">
        <v>0.46180555555555558</v>
      </c>
      <c r="AU199" s="27">
        <v>0.81944444444444442</v>
      </c>
      <c r="AV199" s="27"/>
      <c r="AW199" s="20" t="s">
        <v>443</v>
      </c>
      <c r="AX199" s="20" t="str">
        <f>IFERROR(IF(Out_Table[[#This Row],[Cancellazione linea]]="Cancellata","yes",""),"")</f>
        <v/>
      </c>
      <c r="AY199" s="72" t="str">
        <f>IF(BA199="",BZ199,IF(AND(BA199&lt;(--"23:59:59"),BA199&gt;(--"15:00:00"),G199&lt;(--"14:00:00"),G199&gt;(--"00:00:01")),"",IF(BA199&gt;G199,BZ199,"")))</f>
        <v/>
      </c>
      <c r="AZ199" s="27">
        <v>0.8256944444444444</v>
      </c>
      <c r="BA199" s="32">
        <v>0.83680555555555558</v>
      </c>
      <c r="BB199" s="72"/>
      <c r="BC199" s="72" t="str">
        <f>IFERROR(VLOOKUP(Out_Table[[#This Row],[Aggiornamento STATUS]],'INformazioni per calcoli'!$Y$70:$AA$76,2,FALSE),"")</f>
        <v/>
      </c>
      <c r="BD199" s="289"/>
      <c r="BE199" s="289"/>
      <c r="BF199" s="47" t="str">
        <f>LEFT($E199,3)</f>
        <v>BO2</v>
      </c>
      <c r="BG199" s="298" t="str">
        <f>IF(Out_Table[[#This Row],[Ora Uscita    (GH)]]&lt;&gt;"","x","")</f>
        <v>x</v>
      </c>
      <c r="BH199" s="299">
        <f>VLOOKUP($O199,'INformazioni per calcoli'!$Y$20:$AA$23,3,FALSE)</f>
        <v>14</v>
      </c>
      <c r="BI199" s="299">
        <f>MROUND(Out_Table[[#This Row],[Mtr. Trailer]]*AB199,0.5)</f>
        <v>14</v>
      </c>
      <c r="BJ199" s="299">
        <f>MROUND(Out_Table[[#This Row],[Mtr. Trailer]]*AE199,0.5)</f>
        <v>0</v>
      </c>
      <c r="BK199" s="299">
        <f>MROUND(Out_Table[[#This Row],[Mtr. Trailer]]*AH199,0.5)</f>
        <v>0</v>
      </c>
      <c r="BL199" s="300">
        <f>Out_Table[[#This Row],[Double Deck trailer N° bumpers]]</f>
        <v>0</v>
      </c>
      <c r="BM199" s="301"/>
      <c r="BN199" s="299" t="str">
        <f>B199</f>
        <v>ITD12010</v>
      </c>
      <c r="BO199" s="299" t="str">
        <f>E199</f>
        <v>BO2</v>
      </c>
      <c r="BP199" s="302">
        <f>IF(AND(G199&gt;(--"00:00:01"),G199&lt;(--"15:00:00")),IF(AND(X199&gt;(--"00:00:01"),X199&lt;(--"15:00:00")),G199-X199,G199+1-X199),G199-X199)</f>
        <v>9.5833333333333326E-2</v>
      </c>
      <c r="BQ199" s="303">
        <f>AE199+AF199+AH199+AJ199</f>
        <v>0</v>
      </c>
      <c r="BR199" s="304" t="str">
        <f>IF(OR(BP199&lt;=(--"00:20:00"),BQ199&gt;=100%),"OK","Not OK")</f>
        <v>Not OK</v>
      </c>
      <c r="BS199" s="302">
        <f>IF(AND(G199&gt;(--"00:00:01"),G199&lt;(--"15:00:00")),IF(AND(AU199&gt;(--"00:00:01"),AU199&lt;(--"15:00:00")),G199-AU199,G199+1-AU199),G199-AU199)</f>
        <v>2.777777777777779E-2</v>
      </c>
      <c r="BT199" s="302">
        <f>IF(AND(AZ199&gt;(--"00:00:01"),AZ199&lt;(--"15:00:00")),IF(AND(AU199&gt;(--"00:00:01"),AU199&lt;(--"15:00:00")),AZ199-AU199,AZ199+1-AU199),AZ199-AU199)</f>
        <v>6.2499999999999778E-3</v>
      </c>
      <c r="BU199" s="302">
        <f>IF(AND(BA199&gt;(--"00:00:01"),BA199&lt;(--"15:00:00")),IF(AND(AZ199&gt;(--"00:00:01"),AZ199&lt;(--"15:00:00")),BA199-AZ199,BA199+1-AZ199),BA199-AZ199)</f>
        <v>1.1111111111111183E-2</v>
      </c>
      <c r="BV199" s="299">
        <f>AV199</f>
        <v>0</v>
      </c>
      <c r="BW199" s="301"/>
      <c r="BX199" s="299" t="str">
        <f>IF(AV199="T Status",IF(AV199&lt;&gt;T199,"X",""),"")</f>
        <v/>
      </c>
      <c r="BY199" s="301"/>
      <c r="BZ199" s="299" t="str">
        <f>IF(X199&lt;&gt;"",IF(CC199="X","Driver Delay",IF(CA199="X","Paperwork Delay",IF(CB199="X","Late freight late sort",IF(CD199="X","Chiamare Control Room",IF(CE199="X","Chiamare Control Room",IF(CF199="X","Chiamare Control Room","")))))),"")</f>
        <v>Chiamare Control Room</v>
      </c>
      <c r="CA199" s="302" t="str">
        <f>IF(K199="",IF(IF(AND(G199&gt;(--"00:00:01"),G199&lt;(--"15:00:00")),IF(AND(AT199&gt;(--"08:00:00"),AT199&lt;(--"23:59:59")),G199+1-AT199,G199-AT199),G199-AT199)&gt;(--"00:20:00"),"","X"),"")</f>
        <v/>
      </c>
      <c r="CB199" s="299" t="str">
        <f>IF(K199="",IF(BP199&gt;=(--"00:20:00"),"","X"),"")</f>
        <v/>
      </c>
      <c r="CC199" s="299" t="str">
        <f>IF(OR(AV199="Autista non presente",AV199="Dati driver non presenti"),"X","")</f>
        <v/>
      </c>
      <c r="CD199" s="299" t="str">
        <f>IF(K199="",IF(AND(CC199="",BS199&lt;(--"00:20:00")),"X",""),"")</f>
        <v/>
      </c>
      <c r="CE199" s="299" t="str">
        <f>IF(K199="",IF(BT199&gt;(--"00:15:00"),"X",""),IF(AZ199&lt;&gt;"",IF(G199-AZ199&gt;(--"00:30:00"),"X",""),""))</f>
        <v/>
      </c>
      <c r="CF199" s="299" t="str">
        <f>IF(AND(CA199="",CB199="",CC199="",CD199="",CE199=""),"X","")</f>
        <v>X</v>
      </c>
      <c r="CG199" s="301"/>
      <c r="CH199" s="299" t="str">
        <f>IF(BT199&gt;(--"00:15:00"),"X","")</f>
        <v/>
      </c>
      <c r="CI199" s="302" t="str">
        <f>AY199</f>
        <v/>
      </c>
      <c r="CJ199" s="299" t="str">
        <f>IF(AND(CH199&lt;&gt;"",CI199&lt;&gt;"",LEFT(B199,3)="ITD"),AP199,"")</f>
        <v/>
      </c>
      <c r="CK199" s="305" t="str">
        <f>IF(CJ199&lt;&gt;"",BT199,"")</f>
        <v/>
      </c>
      <c r="CL199" s="301"/>
      <c r="CM199" s="305" t="str">
        <f>IFERROR(VLOOKUP(Q199,'Elenco Casse'!$D$4:$F$292,3,FALSE),"")</f>
        <v/>
      </c>
      <c r="CN199" s="301"/>
      <c r="CO199" s="305" t="str">
        <f>IFERROR(VLOOKUP(S199,'Elenco Casse'!$D$4:$F$292,3,FALSE),"")</f>
        <v/>
      </c>
      <c r="CP199" s="305" t="str">
        <f>IFERROR(IF(VLOOKUP($E199,Outlist!$A$5:$S$120,19,FALSE)&lt;&gt;0,"Y",""),"")</f>
        <v/>
      </c>
      <c r="CQ199" s="301"/>
      <c r="CR199" s="305" t="str">
        <f>CONCATENATE($B199,$E199,$G199)</f>
        <v>ITD12010BO20.847222222222222</v>
      </c>
      <c r="CS199" s="301"/>
      <c r="CT199" s="305" t="e">
        <f>VLOOKUP(Out_Table[[#This Row],[Destination             ORANGE (From Planning)]],Outlist!$A$5:$W$120,22,FALSE)</f>
        <v>#N/A</v>
      </c>
    </row>
    <row r="200" spans="1:98" s="20" customFormat="1" ht="30.75">
      <c r="A200" s="305" t="str">
        <f>$CR200</f>
        <v>ITD12255BO20.9375</v>
      </c>
      <c r="B200" s="284" t="s">
        <v>1143</v>
      </c>
      <c r="C200" s="290" t="str">
        <f>IFERROR(IF(LEFT(B200,3)='STAT 77'!$X$2,_xlfn.XLOOKUP(B200,'STAT 77'!C:C,'STAT 77'!B:B),_xlfn.XLOOKUP(B200,'STAT 77'!B:B,'STAT 77'!C:C)),"NON TROVATO")</f>
        <v>ITD31213</v>
      </c>
      <c r="D200" s="25" t="s">
        <v>1144</v>
      </c>
      <c r="E200" s="290" t="s">
        <v>126</v>
      </c>
      <c r="F200" s="290" t="str">
        <f>IFERROR(VLOOKUP(E200,'Cambio O2P'!C:E,2,FALSE),"")</f>
        <v>BLQP</v>
      </c>
      <c r="G200" s="285">
        <v>0.9375</v>
      </c>
      <c r="H200" s="293" t="str">
        <f ca="1">IFERROR(IF(AND('INformazioni per calcoli'!$AB$3&lt;(--"14:30"),'INformazioni per calcoli'!$AB$3&gt;(--"10:00")),"",IF($B200="","",IF($X200&lt;&gt;"","Mezzo Chiuso",IF($W200="","Non al Carico",IF($G200-'INformazioni per calcoli'!$AB$5-'INformazioni per calcoli'!$AB$3+$J200&lt;0,"LFLS",IF($K200&lt;&gt;"","Safe Parking",IF($W200&lt;&gt;"",IF($E200="MXP",$G200-'INformazioni per calcoli'!$AB$6-'INformazioni per calcoli'!$AB$3+$J200,$G200-'INformazioni per calcoli'!$AB$5-'INformazioni per calcoli'!$AB$3+$J200),"Non al carico"))))))),"")</f>
        <v>Mezzo Chiuso</v>
      </c>
      <c r="I200" s="17" t="str">
        <f ca="1">IFERROR(IF($H200&lt;&gt;"",IF($H200="Safe Parking","",IF($W200&lt;&gt;"",IF(AND($U200="X",$V200="X"),$H200-(--"00:30"),""),IF($X200&lt;&gt;"","Mezzo Chiuso","Non al carico"))),""),"")</f>
        <v/>
      </c>
      <c r="J200" s="306">
        <f ca="1">IFERROR(IF($B200&lt;&gt;"",IF(AND('INformazioni per calcoli'!$AB$3&lt;(--"15:00"),'INformazioni per calcoli'!$AB$3&gt;(--"00:00")),0,IF($G200&lt;(--"18:30"),"+1",0)),""),"")</f>
        <v>0</v>
      </c>
      <c r="K200" s="17"/>
      <c r="L200" s="25" t="s">
        <v>436</v>
      </c>
      <c r="M200" s="25" t="str">
        <f>IFERROR(_xlfn.XLOOKUP($Q200,'Elenco Casse'!$D:$D,'Elenco Casse'!$E:$E),"")</f>
        <v>Cornali Autotrasporti Srl</v>
      </c>
      <c r="N200" s="25">
        <f>IFERROR(_xlfn.XLOOKUP($Q200,'Elenco Casse'!$D:$D,'Elenco Casse'!$F:$F),"")</f>
        <v>0</v>
      </c>
      <c r="O200" s="286" t="s">
        <v>418</v>
      </c>
      <c r="P200" s="295" t="str">
        <f>IFERROR(_xlfn.XLOOKUP($Q200,'Elenco Casse'!$D:$D,'Elenco Casse'!$G:$G),"")</f>
        <v>trailer 80 m3 2/3 axes</v>
      </c>
      <c r="Q200" s="355" t="s">
        <v>1145</v>
      </c>
      <c r="R200" s="23" t="s">
        <v>420</v>
      </c>
      <c r="S200" s="25" t="s">
        <v>421</v>
      </c>
      <c r="T200" s="25" t="s">
        <v>726</v>
      </c>
      <c r="U200" s="23" t="str">
        <f>IF(ISNUMBER(SEARCH("Parcel",$T200)),"X","")</f>
        <v/>
      </c>
      <c r="V200" s="23" t="str">
        <f>IF(ISNUMBER(SEARCH("Freight",$T200)),"X","")</f>
        <v>X</v>
      </c>
      <c r="W200" s="26">
        <v>831</v>
      </c>
      <c r="X200" s="27">
        <v>0.81527777777777777</v>
      </c>
      <c r="Y200" s="25" t="s">
        <v>864</v>
      </c>
      <c r="Z200" s="25"/>
      <c r="AA200" s="25" t="s">
        <v>487</v>
      </c>
      <c r="AB200" s="57">
        <v>1</v>
      </c>
      <c r="AC200" s="25"/>
      <c r="AD200" s="25"/>
      <c r="AE200" s="57"/>
      <c r="AF200" s="57"/>
      <c r="AG200" s="25"/>
      <c r="AH200" s="57"/>
      <c r="AI200" s="339"/>
      <c r="AJ200" s="339"/>
      <c r="AK200" s="297" t="str">
        <f>IF(X200&lt;&gt;"",CONCATENATE(IF(AA200&lt;&gt;"",CONCATENATE(Z200," ",AA200," ",BI200),""),IF(AD200&lt;&gt;"",CONCATENATE(","," ",AC200," ",AD200," ",BJ200),""),IF(AG200&lt;&gt;"",CONCATENATE(","," ",AF200," ",AG200," ",BK200),""),IF(AJ200&lt;&gt;"",CONCATENATE(","," ","DD"," ",BL200),"")," ",IF(AI200&lt;&gt;"",CONCATENATE(" - ",AI200," Bag"),"")),"")</f>
        <v xml:space="preserve"> FRT 14 </v>
      </c>
      <c r="AL200" s="287" t="s">
        <v>421</v>
      </c>
      <c r="AM200" s="287"/>
      <c r="AN200" s="287"/>
      <c r="AO200" s="287"/>
      <c r="AP200" s="370" t="str">
        <f>IFERROR(VLOOKUP($E82,Outlist!$A$5:$V$120,20,FALSE),"")</f>
        <v/>
      </c>
      <c r="AQ200" s="288" t="s">
        <v>1146</v>
      </c>
      <c r="AS200" s="24"/>
      <c r="AT200" s="24">
        <v>0.82222222222222219</v>
      </c>
      <c r="AU200" s="27">
        <v>0.875</v>
      </c>
      <c r="AV200" s="27"/>
      <c r="AW200" s="20" t="s">
        <v>443</v>
      </c>
      <c r="AX200" s="20" t="str">
        <f>IFERROR(IF(Out_Table[[#This Row],[Cancellazione linea]]="Cancellata","yes",""),"")</f>
        <v/>
      </c>
      <c r="AY200" s="72" t="str">
        <f>IF(BA200="",BZ200,IF(AND(BA200&lt;(--"23:59:59"),BA200&gt;(--"15:00:00"),G200&lt;(--"14:00:00"),G200&gt;(--"00:00:01")),"",IF(BA200&gt;G200,BZ200,"")))</f>
        <v/>
      </c>
      <c r="AZ200" s="27">
        <v>0.87916666666666665</v>
      </c>
      <c r="BA200" s="32">
        <v>0.88680555555555551</v>
      </c>
      <c r="BB200" s="72"/>
      <c r="BC200" s="72" t="str">
        <f>IFERROR(VLOOKUP(Out_Table[[#This Row],[Aggiornamento STATUS]],'INformazioni per calcoli'!$Y$70:$AA$76,2,FALSE),"")</f>
        <v/>
      </c>
      <c r="BD200" s="289"/>
      <c r="BE200" s="289"/>
      <c r="BF200" s="47" t="str">
        <f>LEFT($E200,3)</f>
        <v>BO2</v>
      </c>
      <c r="BG200" s="298" t="str">
        <f>IF(Out_Table[[#This Row],[Ora Uscita    (GH)]]&lt;&gt;"","x","")</f>
        <v>x</v>
      </c>
      <c r="BH200" s="299">
        <f>VLOOKUP($O200,'INformazioni per calcoli'!$Y$20:$AA$23,3,FALSE)</f>
        <v>14</v>
      </c>
      <c r="BI200" s="299">
        <f>MROUND(Out_Table[[#This Row],[Mtr. Trailer]]*AB200,0.5)</f>
        <v>14</v>
      </c>
      <c r="BJ200" s="299">
        <f>MROUND(Out_Table[[#This Row],[Mtr. Trailer]]*AE200,0.5)</f>
        <v>0</v>
      </c>
      <c r="BK200" s="299">
        <f>MROUND(Out_Table[[#This Row],[Mtr. Trailer]]*AH200,0.5)</f>
        <v>0</v>
      </c>
      <c r="BL200" s="300">
        <f>Out_Table[[#This Row],[Double Deck trailer N° bumpers]]</f>
        <v>0</v>
      </c>
      <c r="BM200" s="301"/>
      <c r="BN200" s="299" t="str">
        <f>B200</f>
        <v>ITD12255</v>
      </c>
      <c r="BO200" s="299" t="str">
        <f>E200</f>
        <v>BO2</v>
      </c>
      <c r="BP200" s="302">
        <f>IF(AND(G200&gt;(--"00:00:01"),G200&lt;(--"15:00:00")),IF(AND(X200&gt;(--"00:00:01"),X200&lt;(--"15:00:00")),G200-X200,G200+1-X200),G200-X200)</f>
        <v>0.12222222222222223</v>
      </c>
      <c r="BQ200" s="303">
        <f>AE200+AF200+AH200+AJ200</f>
        <v>0</v>
      </c>
      <c r="BR200" s="304" t="str">
        <f>IF(OR(BP200&lt;=(--"00:20:00"),BQ200&gt;=100%),"OK","Not OK")</f>
        <v>Not OK</v>
      </c>
      <c r="BS200" s="302">
        <f>IF(AND(G200&gt;(--"00:00:01"),G200&lt;(--"15:00:00")),IF(AND(AU200&gt;(--"00:00:01"),AU200&lt;(--"15:00:00")),G200-AU200,G200+1-AU200),G200-AU200)</f>
        <v>6.25E-2</v>
      </c>
      <c r="BT200" s="302">
        <f>IF(AND(AZ200&gt;(--"00:00:01"),AZ200&lt;(--"15:00:00")),IF(AND(AU200&gt;(--"00:00:01"),AU200&lt;(--"15:00:00")),AZ200-AU200,AZ200+1-AU200),AZ200-AU200)</f>
        <v>4.1666666666666519E-3</v>
      </c>
      <c r="BU200" s="302">
        <f>IF(AND(BA200&gt;(--"00:00:01"),BA200&lt;(--"15:00:00")),IF(AND(AZ200&gt;(--"00:00:01"),AZ200&lt;(--"15:00:00")),BA200-AZ200,BA200+1-AZ200),BA200-AZ200)</f>
        <v>7.6388888888888618E-3</v>
      </c>
      <c r="BV200" s="299">
        <f>AV200</f>
        <v>0</v>
      </c>
      <c r="BW200" s="301"/>
      <c r="BX200" s="299" t="str">
        <f>IF(AV200="T Status",IF(AV200&lt;&gt;T200,"X",""),"")</f>
        <v/>
      </c>
      <c r="BY200" s="301"/>
      <c r="BZ200" s="299" t="str">
        <f>IF(X200&lt;&gt;"",IF(CC200="X","Driver Delay",IF(CA200="X","Paperwork Delay",IF(CB200="X","Late freight late sort",IF(CD200="X","Chiamare Control Room",IF(CE200="X","Chiamare Control Room",IF(CF200="X","Chiamare Control Room","")))))),"")</f>
        <v>Chiamare Control Room</v>
      </c>
      <c r="CA200" s="302" t="str">
        <f>IF(K200="",IF(IF(AND(G200&gt;(--"00:00:01"),G200&lt;(--"15:00:00")),IF(AND(AT200&gt;(--"08:00:00"),AT200&lt;(--"23:59:59")),G200+1-AT200,G200-AT200),G200-AT200)&gt;(--"00:20:00"),"","X"),"")</f>
        <v/>
      </c>
      <c r="CB200" s="299" t="str">
        <f>IF(K200="",IF(BP200&gt;=(--"00:20:00"),"","X"),"")</f>
        <v/>
      </c>
      <c r="CC200" s="299" t="str">
        <f>IF(OR(AV200="Autista non presente",AV200="Dati driver non presenti"),"X","")</f>
        <v/>
      </c>
      <c r="CD200" s="299" t="str">
        <f>IF(K200="",IF(AND(CC200="",BS200&lt;(--"00:20:00")),"X",""),"")</f>
        <v/>
      </c>
      <c r="CE200" s="299" t="str">
        <f>IF(K200="",IF(BT200&gt;(--"00:15:00"),"X",""),IF(AZ200&lt;&gt;"",IF(G200-AZ200&gt;(--"00:30:00"),"X",""),""))</f>
        <v/>
      </c>
      <c r="CF200" s="299" t="str">
        <f>IF(AND(CA200="",CB200="",CC200="",CD200="",CE200=""),"X","")</f>
        <v>X</v>
      </c>
      <c r="CG200" s="301"/>
      <c r="CH200" s="299" t="str">
        <f>IF(BT200&gt;(--"00:15:00"),"X","")</f>
        <v/>
      </c>
      <c r="CI200" s="302" t="str">
        <f>AY200</f>
        <v/>
      </c>
      <c r="CJ200" s="299" t="str">
        <f>IF(AND(CH200&lt;&gt;"",CI200&lt;&gt;"",LEFT(B200,3)="ITD"),AP200,"")</f>
        <v/>
      </c>
      <c r="CK200" s="305" t="str">
        <f>IF(CJ200&lt;&gt;"",BT200,"")</f>
        <v/>
      </c>
      <c r="CL200" s="301"/>
      <c r="CM200" s="305" t="str">
        <f>IFERROR(VLOOKUP(Q200,'Elenco Casse'!$D$4:$F$292,3,FALSE),"")</f>
        <v/>
      </c>
      <c r="CN200" s="301"/>
      <c r="CO200" s="305" t="str">
        <f>IFERROR(VLOOKUP(S200,'Elenco Casse'!$D$4:$F$292,3,FALSE),"")</f>
        <v/>
      </c>
      <c r="CP200" s="305" t="str">
        <f>IFERROR(IF(VLOOKUP($E200,Outlist!$A$5:$S$120,19,FALSE)&lt;&gt;0,"Y",""),"")</f>
        <v/>
      </c>
      <c r="CQ200" s="301"/>
      <c r="CR200" s="305" t="str">
        <f>CONCATENATE($B200,$E200,$G200)</f>
        <v>ITD12255BO20.9375</v>
      </c>
      <c r="CS200" s="301"/>
      <c r="CT200" s="305" t="e">
        <f>VLOOKUP(Out_Table[[#This Row],[Destination             ORANGE (From Planning)]],Outlist!$A$5:$W$120,22,FALSE)</f>
        <v>#N/A</v>
      </c>
    </row>
    <row r="201" spans="1:98" s="20" customFormat="1" ht="30.75">
      <c r="A201" s="305" t="str">
        <f>$CR201</f>
        <v>ITD12260BO20.958333333333333</v>
      </c>
      <c r="B201" s="284" t="s">
        <v>1147</v>
      </c>
      <c r="C201" s="290" t="str">
        <f>IFERROR(IF(LEFT(B201,3)='STAT 77'!$X$2,_xlfn.XLOOKUP(B201,'STAT 77'!C:C,'STAT 77'!B:B),_xlfn.XLOOKUP(B201,'STAT 77'!B:B,'STAT 77'!C:C)),"NON TROVATO")</f>
        <v>ITD31228</v>
      </c>
      <c r="D201" s="25" t="s">
        <v>1148</v>
      </c>
      <c r="E201" s="290" t="s">
        <v>126</v>
      </c>
      <c r="F201" s="290" t="str">
        <f>IFERROR(VLOOKUP(E201,'Cambio O2P'!C:E,2,FALSE),"")</f>
        <v>BLQP</v>
      </c>
      <c r="G201" s="285">
        <v>0.95833333333333337</v>
      </c>
      <c r="H201" s="293" t="str">
        <f ca="1">IFERROR(IF(AND('INformazioni per calcoli'!$AB$3&lt;(--"14:30"),'INformazioni per calcoli'!$AB$3&gt;(--"10:00")),"",IF($B201="","",IF($X201&lt;&gt;"","Mezzo Chiuso",IF($W201="","Non al Carico",IF($G201-'INformazioni per calcoli'!$AB$5-'INformazioni per calcoli'!$AB$3+$J201&lt;0,"LFLS",IF($K201&lt;&gt;"","Safe Parking",IF($W201&lt;&gt;"",IF($E201="MXP",$G201-'INformazioni per calcoli'!$AB$6-'INformazioni per calcoli'!$AB$3+$J201,$G201-'INformazioni per calcoli'!$AB$5-'INformazioni per calcoli'!$AB$3+$J201),"Non al carico"))))))),"")</f>
        <v>Mezzo Chiuso</v>
      </c>
      <c r="I201" s="17" t="str">
        <f ca="1">IFERROR(IF($H201&lt;&gt;"",IF($H201="Safe Parking","",IF($W201&lt;&gt;"",IF(AND($U201="X",$V201="X"),$H201-(--"00:30"),""),IF($X201&lt;&gt;"","Mezzo Chiuso","Non al carico"))),""),"")</f>
        <v/>
      </c>
      <c r="J201" s="306">
        <f ca="1">IFERROR(IF($B201&lt;&gt;"",IF(AND('INformazioni per calcoli'!$AB$3&lt;(--"15:00"),'INformazioni per calcoli'!$AB$3&gt;(--"00:00")),0,IF($G201&lt;(--"18:30"),"+1",0)),""),"")</f>
        <v>0</v>
      </c>
      <c r="K201" s="17"/>
      <c r="L201" s="25" t="s">
        <v>427</v>
      </c>
      <c r="M201" s="25" t="str">
        <f>IFERROR(_xlfn.XLOOKUP($Q201,'Elenco Casse'!$D:$D,'Elenco Casse'!$E:$E),"")</f>
        <v/>
      </c>
      <c r="N201" s="25" t="str">
        <f>IFERROR(_xlfn.XLOOKUP($Q201,'Elenco Casse'!$D:$D,'Elenco Casse'!$F:$F),"")</f>
        <v/>
      </c>
      <c r="O201" s="286" t="s">
        <v>418</v>
      </c>
      <c r="P201" s="295" t="str">
        <f>IFERROR(_xlfn.XLOOKUP($Q201,'Elenco Casse'!$D:$D,'Elenco Casse'!$G:$G),"")</f>
        <v/>
      </c>
      <c r="Q201" s="355" t="s">
        <v>1149</v>
      </c>
      <c r="R201" s="23" t="s">
        <v>420</v>
      </c>
      <c r="S201" s="25" t="s">
        <v>421</v>
      </c>
      <c r="T201" s="25" t="s">
        <v>726</v>
      </c>
      <c r="U201" s="23" t="str">
        <f>IF(ISNUMBER(SEARCH("Parcel",$T201)),"X","")</f>
        <v/>
      </c>
      <c r="V201" s="23" t="str">
        <f>IF(ISNUMBER(SEARCH("Freight",$T201)),"X","")</f>
        <v>X</v>
      </c>
      <c r="W201" s="26">
        <v>831</v>
      </c>
      <c r="X201" s="27">
        <v>0.89375000000000004</v>
      </c>
      <c r="Y201" s="25" t="s">
        <v>841</v>
      </c>
      <c r="Z201" s="25"/>
      <c r="AA201" s="25" t="s">
        <v>487</v>
      </c>
      <c r="AB201" s="57">
        <v>1</v>
      </c>
      <c r="AC201" s="25"/>
      <c r="AD201" s="25"/>
      <c r="AE201" s="57"/>
      <c r="AF201" s="57"/>
      <c r="AG201" s="25" t="s">
        <v>488</v>
      </c>
      <c r="AH201" s="57"/>
      <c r="AI201" s="339"/>
      <c r="AJ201" s="339"/>
      <c r="AK201" s="297" t="str">
        <f>IF(X201&lt;&gt;"",CONCATENATE(IF(AA201&lt;&gt;"",CONCATENATE(Z201," ",AA201," ",BI201),""),IF(AD201&lt;&gt;"",CONCATENATE(","," ",AC201," ",AD201," ",BJ201),""),IF(AG201&lt;&gt;"",CONCATENATE(","," ",AF201," ",AG201," ",BK201),""),IF(AJ201&lt;&gt;"",CONCATENATE(","," ","DD"," ",BL201),"")," ",IF(AI201&lt;&gt;"",CONCATENATE(" - ",AI201," Bag"),"")),"")</f>
        <v xml:space="preserve"> FRT 14,  DG 0 </v>
      </c>
      <c r="AL201" s="287" t="s">
        <v>421</v>
      </c>
      <c r="AM201" s="287"/>
      <c r="AN201" s="287"/>
      <c r="AO201" s="287"/>
      <c r="AP201" s="370" t="str">
        <f>IFERROR(VLOOKUP($E83,Outlist!$A$5:$V$120,20,FALSE),"")</f>
        <v/>
      </c>
      <c r="AQ201" s="288" t="s">
        <v>1150</v>
      </c>
      <c r="AS201" s="24"/>
      <c r="AT201" s="24">
        <v>0.82222222222222219</v>
      </c>
      <c r="AU201" s="27">
        <v>0.90555555555555556</v>
      </c>
      <c r="AV201" s="27"/>
      <c r="AW201" s="20" t="s">
        <v>443</v>
      </c>
      <c r="AX201" s="20" t="str">
        <f>IFERROR(IF(Out_Table[[#This Row],[Cancellazione linea]]="Cancellata","yes",""),"")</f>
        <v/>
      </c>
      <c r="AY201" s="72" t="str">
        <f>IF(BA201="",BZ201,IF(AND(BA201&lt;(--"23:59:59"),BA201&gt;(--"15:00:00"),G201&lt;(--"14:00:00"),G201&gt;(--"00:00:01")),"",IF(BA201&gt;G201,BZ201,"")))</f>
        <v/>
      </c>
      <c r="AZ201" s="27"/>
      <c r="BA201" s="32">
        <v>0.9145833333333333</v>
      </c>
      <c r="BB201" s="72"/>
      <c r="BC201" s="72" t="str">
        <f>IFERROR(VLOOKUP(Out_Table[[#This Row],[Aggiornamento STATUS]],'INformazioni per calcoli'!$Y$70:$AA$76,2,FALSE),"")</f>
        <v/>
      </c>
      <c r="BD201" s="289"/>
      <c r="BE201" s="289"/>
      <c r="BF201" s="47" t="str">
        <f>LEFT($E201,3)</f>
        <v>BO2</v>
      </c>
      <c r="BG201" s="298" t="str">
        <f>IF(Out_Table[[#This Row],[Ora Uscita    (GH)]]&lt;&gt;"","x","")</f>
        <v>x</v>
      </c>
      <c r="BH201" s="299">
        <f>VLOOKUP($O201,'INformazioni per calcoli'!$Y$20:$AA$23,3,FALSE)</f>
        <v>14</v>
      </c>
      <c r="BI201" s="299">
        <f>MROUND(Out_Table[[#This Row],[Mtr. Trailer]]*AB201,0.5)</f>
        <v>14</v>
      </c>
      <c r="BJ201" s="299">
        <f>MROUND(Out_Table[[#This Row],[Mtr. Trailer]]*AE201,0.5)</f>
        <v>0</v>
      </c>
      <c r="BK201" s="299">
        <f>MROUND(Out_Table[[#This Row],[Mtr. Trailer]]*AH201,0.5)</f>
        <v>0</v>
      </c>
      <c r="BL201" s="300">
        <f>Out_Table[[#This Row],[Double Deck trailer N° bumpers]]</f>
        <v>0</v>
      </c>
      <c r="BM201" s="301"/>
      <c r="BN201" s="299" t="str">
        <f>B201</f>
        <v>ITD12260</v>
      </c>
      <c r="BO201" s="299" t="str">
        <f>E201</f>
        <v>BO2</v>
      </c>
      <c r="BP201" s="302">
        <f>IF(AND(G201&gt;(--"00:00:01"),G201&lt;(--"15:00:00")),IF(AND(X201&gt;(--"00:00:01"),X201&lt;(--"15:00:00")),G201-X201,G201+1-X201),G201-X201)</f>
        <v>6.4583333333333326E-2</v>
      </c>
      <c r="BQ201" s="303">
        <f>AE201+AF201+AH201+AJ201</f>
        <v>0</v>
      </c>
      <c r="BR201" s="304" t="str">
        <f>IF(OR(BP201&lt;=(--"00:20:00"),BQ201&gt;=100%),"OK","Not OK")</f>
        <v>Not OK</v>
      </c>
      <c r="BS201" s="302">
        <f>IF(AND(G201&gt;(--"00:00:01"),G201&lt;(--"15:00:00")),IF(AND(AU201&gt;(--"00:00:01"),AU201&lt;(--"15:00:00")),G201-AU201,G201+1-AU201),G201-AU201)</f>
        <v>5.2777777777777812E-2</v>
      </c>
      <c r="BT201" s="302">
        <f>IF(AND(AZ201&gt;(--"00:00:01"),AZ201&lt;(--"15:00:00")),IF(AND(AU201&gt;(--"00:00:01"),AU201&lt;(--"15:00:00")),AZ201-AU201,AZ201+1-AU201),AZ201-AU201)</f>
        <v>-0.90555555555555556</v>
      </c>
      <c r="BU201" s="302">
        <f>IF(AND(BA201&gt;(--"00:00:01"),BA201&lt;(--"15:00:00")),IF(AND(AZ201&gt;(--"00:00:01"),AZ201&lt;(--"15:00:00")),BA201-AZ201,BA201+1-AZ201),BA201-AZ201)</f>
        <v>0.9145833333333333</v>
      </c>
      <c r="BV201" s="299">
        <f>AV201</f>
        <v>0</v>
      </c>
      <c r="BW201" s="301"/>
      <c r="BX201" s="299" t="str">
        <f>IF(AV201="T Status",IF(AV201&lt;&gt;T201,"X",""),"")</f>
        <v/>
      </c>
      <c r="BY201" s="301"/>
      <c r="BZ201" s="299" t="str">
        <f>IF(X201&lt;&gt;"",IF(CC201="X","Driver Delay",IF(CA201="X","Paperwork Delay",IF(CB201="X","Late freight late sort",IF(CD201="X","Chiamare Control Room",IF(CE201="X","Chiamare Control Room",IF(CF201="X","Chiamare Control Room","")))))),"")</f>
        <v>Chiamare Control Room</v>
      </c>
      <c r="CA201" s="302" t="str">
        <f>IF(K201="",IF(IF(AND(G201&gt;(--"00:00:01"),G201&lt;(--"15:00:00")),IF(AND(AT201&gt;(--"08:00:00"),AT201&lt;(--"23:59:59")),G201+1-AT201,G201-AT201),G201-AT201)&gt;(--"00:20:00"),"","X"),"")</f>
        <v/>
      </c>
      <c r="CB201" s="299" t="str">
        <f>IF(K201="",IF(BP201&gt;=(--"00:20:00"),"","X"),"")</f>
        <v/>
      </c>
      <c r="CC201" s="299" t="str">
        <f>IF(OR(AV201="Autista non presente",AV201="Dati driver non presenti"),"X","")</f>
        <v/>
      </c>
      <c r="CD201" s="299" t="str">
        <f>IF(K201="",IF(AND(CC201="",BS201&lt;(--"00:20:00")),"X",""),"")</f>
        <v/>
      </c>
      <c r="CE201" s="299" t="str">
        <f>IF(K201="",IF(BT201&gt;(--"00:15:00"),"X",""),IF(AZ201&lt;&gt;"",IF(G201-AZ201&gt;(--"00:30:00"),"X",""),""))</f>
        <v/>
      </c>
      <c r="CF201" s="299" t="str">
        <f>IF(AND(CA201="",CB201="",CC201="",CD201="",CE201=""),"X","")</f>
        <v>X</v>
      </c>
      <c r="CG201" s="301"/>
      <c r="CH201" s="299" t="str">
        <f>IF(BT201&gt;(--"00:15:00"),"X","")</f>
        <v/>
      </c>
      <c r="CI201" s="302" t="str">
        <f>AY201</f>
        <v/>
      </c>
      <c r="CJ201" s="299" t="str">
        <f>IF(AND(CH201&lt;&gt;"",CI201&lt;&gt;"",LEFT(B201,3)="ITD"),AP201,"")</f>
        <v/>
      </c>
      <c r="CK201" s="305" t="str">
        <f>IF(CJ201&lt;&gt;"",BT201,"")</f>
        <v/>
      </c>
      <c r="CL201" s="301"/>
      <c r="CM201" s="305" t="str">
        <f>IFERROR(VLOOKUP(Q201,'Elenco Casse'!$D$4:$F$292,3,FALSE),"")</f>
        <v/>
      </c>
      <c r="CN201" s="301"/>
      <c r="CO201" s="305" t="str">
        <f>IFERROR(VLOOKUP(S201,'Elenco Casse'!$D$4:$F$292,3,FALSE),"")</f>
        <v/>
      </c>
      <c r="CP201" s="305" t="str">
        <f>IFERROR(IF(VLOOKUP($E201,Outlist!$A$5:$S$120,19,FALSE)&lt;&gt;0,"Y",""),"")</f>
        <v/>
      </c>
      <c r="CQ201" s="301"/>
      <c r="CR201" s="305" t="str">
        <f>CONCATENATE($B201,$E201,$G201)</f>
        <v>ITD12260BO20.958333333333333</v>
      </c>
      <c r="CS201" s="301"/>
      <c r="CT201" s="305" t="e">
        <f>VLOOKUP(Out_Table[[#This Row],[Destination             ORANGE (From Planning)]],Outlist!$A$5:$W$120,22,FALSE)</f>
        <v>#N/A</v>
      </c>
    </row>
    <row r="202" spans="1:98" s="20" customFormat="1" ht="30.75">
      <c r="A202" s="305" t="str">
        <f>$CR202</f>
        <v>ERN92398QAR 40.09375</v>
      </c>
      <c r="B202" s="351" t="str">
        <f>IFERROR(VLOOKUP(E202,Outlist!$A$5:$AC$120,2,FALSE),"")</f>
        <v>ERN92398</v>
      </c>
      <c r="C202" s="352" t="str">
        <f>IFERROR(IF(LEFT(B202,3)='STAT 77'!$X$2,_xlfn.XLOOKUP(B202,'STAT 77'!C:C,'STAT 77'!B:B),_xlfn.XLOOKUP(B202,'STAT 77'!B:B,'STAT 77'!C:C)),"NON TROVATO")</f>
        <v>ERN91190</v>
      </c>
      <c r="D202" s="4"/>
      <c r="E202" s="352" t="str">
        <f>IFERROR(IF(Outlist!$A24&lt;&gt;"",Outlist!$A24,""),"")</f>
        <v>QAR 4</v>
      </c>
      <c r="F202" s="352" t="str">
        <f>IFERROR(VLOOKUP(E202,'Cambio O2P'!C:E,2,FALSE),"")</f>
        <v/>
      </c>
      <c r="G202" s="353">
        <f>IFERROR(VLOOKUP(E202,Outlist!$A$5:$AC$120,5,FALSE)-INT(VLOOKUP(E202,Outlist!$A$5:$AC$120,5,FALSE)),"")</f>
        <v>9.375E-2</v>
      </c>
      <c r="H202" s="294" t="str">
        <f ca="1">IFERROR(IF(AND('INformazioni per calcoli'!$AB$3&lt;(--"14:30"),'INformazioni per calcoli'!$AB$3&gt;(--"10:00")),"",IF($B202="","",IF($X202&lt;&gt;"","Mezzo Chiuso",IF($W202="","Non al Carico",IF($K202="Safe Parking","Safe Parking", IF(OR($BF202='INformazioni per calcoli'!$AF$8,$BF202='INformazioni per calcoli'!$AC$8,$BF202='INformazioni per calcoli'!$AD$8,$BF202='INformazioni per calcoli'!$AE$8,$BF202='INformazioni per calcoli'!$AG$8,$BF202='INformazioni per calcoli'!$AH$8,$BF202='INformazioni per calcoli'!$AI$8,$BF202='INformazioni per calcoli'!$AJ$8),IF($G202-'INformazioni per calcoli'!$AB$6-'INformazioni per calcoli'!$AB$3+$J202&lt;0,"LFLS",$G202-'INformazioni per calcoli'!$AB$6-'INformazioni per calcoli'!$AB$3+$J202), IF(OR($BF202='INformazioni per calcoli'!$AF$6,$BF202='INformazioni per calcoli'!$AD$6,$BF202='INformazioni per calcoli'!$AE$6,$BF202='INformazioni per calcoli'!$AG$6),IF($G202-'INformazioni per calcoli'!$AB$8-'INformazioni per calcoli'!$AB$3+$J202&lt;0,"LFLS",$G202-'INformazioni per calcoli'!$AB$8-'INformazioni per calcoli'!$AB$3+$J202), IF($G202-'INformazioni per calcoli'!$AB$7-'INformazioni per calcoli'!$AB$3+$J202&lt;0,"LFLS",$G202-'INformazioni per calcoli'!$AB$7-'INformazioni per calcoli'!$AB$3+$J202)))))))),"")</f>
        <v>Mezzo Chiuso</v>
      </c>
      <c r="I202" s="17" t="str">
        <f ca="1">IFERROR(IF($H202&lt;&gt;"",IF($H202="Safe Parking","",IF($W202&lt;&gt;"",IF(AND($U202="X",$V202="X"),$H202-(--"00:30"),""),IF($X202&lt;&gt;"","Mezzo Chiuso","Non al carico"))),""),"")</f>
        <v/>
      </c>
      <c r="J202" s="306">
        <f ca="1">IFERROR(IF($B202&lt;&gt;"",IF(AND('INformazioni per calcoli'!$AB$3&lt;(--"15:00"),'INformazioni per calcoli'!$AB$3&gt;(--"00:00")),0,IF($G202&lt;(--"18:30"),"+1",0)),""),"")</f>
        <v>0</v>
      </c>
      <c r="K202" s="27">
        <f>IF(E202&lt;&gt;"",IFERROR(VLOOKUP(E202,Outlist!$A$5:$AC$120,22,FALSE),""),"")</f>
        <v>0</v>
      </c>
      <c r="L202" s="352" t="str">
        <f>IF(E202&lt;&gt;"",IFERROR(VLOOKUP(E202,Outlist!$A$5:$AC$120,3,FALSE),""),"")</f>
        <v>Galileo Transport Srl</v>
      </c>
      <c r="M202" s="4" t="str">
        <f>IFERROR(_xlfn.XLOOKUP($Q202,'Elenco Casse'!$D:$D,'Elenco Casse'!$E:$E),"")</f>
        <v/>
      </c>
      <c r="N202" s="4" t="str">
        <f>IFERROR(_xlfn.XLOOKUP($Q202,'Elenco Casse'!$D:$D,'Elenco Casse'!$F:$F),"")</f>
        <v/>
      </c>
      <c r="O202" s="4" t="str">
        <f>IF($L202&lt;&gt;"","TT-2/3","")</f>
        <v>TT-2/3</v>
      </c>
      <c r="P202" s="296" t="str">
        <f>IFERROR(IF(VLOOKUP(E202,Outlist!$A$5:$AC$120,21,FALSE)="YES","Linea Variata",""),"")</f>
        <v/>
      </c>
      <c r="Q202" s="355" t="s">
        <v>1151</v>
      </c>
      <c r="R202" s="23" t="s">
        <v>420</v>
      </c>
      <c r="S202" s="25" t="str">
        <f>IFERROR(IF(VLOOKUP(E202,Outlist!$A$5:$AC$120,7,FALSE)="X","SUBCO",""),"")</f>
        <v/>
      </c>
      <c r="T202" s="25"/>
      <c r="U202" s="23"/>
      <c r="V202" s="23" t="s">
        <v>61</v>
      </c>
      <c r="W202" s="26">
        <v>833</v>
      </c>
      <c r="X202" s="27">
        <v>4.9305555555555554E-2</v>
      </c>
      <c r="Y202" s="25" t="s">
        <v>1152</v>
      </c>
      <c r="Z202" s="25"/>
      <c r="AA202" s="25" t="s">
        <v>487</v>
      </c>
      <c r="AB202" s="57">
        <v>1</v>
      </c>
      <c r="AC202" s="25"/>
      <c r="AD202" s="25"/>
      <c r="AE202" s="57"/>
      <c r="AF202" s="57"/>
      <c r="AG202" s="25"/>
      <c r="AH202" s="57"/>
      <c r="AI202" s="339"/>
      <c r="AJ202" s="339"/>
      <c r="AK202" s="297" t="str">
        <f>IF(X202&lt;&gt;"",CONCATENATE(IF(AA202&lt;&gt;"",CONCATENATE(Z202," ",AA202," ",BI202),""),IF(AD202&lt;&gt;"",CONCATENATE(","," ",AC202," ",AD202," ",BJ202),""),IF(AG202&lt;&gt;"",CONCATENATE(","," ",AF202," ",AG202," ",BK202),""),IF(AJ202&lt;&gt;"",CONCATENATE(","," ","DD"," ",BL202),"")," ",IF(AI202&lt;&gt;"",CONCATENATE(" - ",AI202," Bag"),"")),"")</f>
        <v xml:space="preserve"> FRT 14 </v>
      </c>
      <c r="AL202" s="287" t="s">
        <v>421</v>
      </c>
      <c r="AM202" s="287"/>
      <c r="AN202" s="287"/>
      <c r="AO202" s="287"/>
      <c r="AP202" s="370" t="str">
        <f>IFERROR(VLOOKUP($E202,Outlist!$A$5:$V$120,20,FALSE),"")</f>
        <v>VARIABILE</v>
      </c>
      <c r="AQ202" s="288" t="s">
        <v>1153</v>
      </c>
      <c r="AR202" s="430">
        <v>5.2083333333333336E-2</v>
      </c>
      <c r="AS202" s="24">
        <v>5.6250000000000001E-2</v>
      </c>
      <c r="AT202" s="24">
        <v>5.6944444444444443E-2</v>
      </c>
      <c r="AU202" s="27"/>
      <c r="AV202" s="27"/>
      <c r="AW202" s="20" t="s">
        <v>443</v>
      </c>
      <c r="AX202" s="20" t="str">
        <f>IFERROR(IF(Out_Table[[#This Row],[Cancellazione linea]]="Cancellata","yes",""),"")</f>
        <v/>
      </c>
      <c r="AY202" s="72"/>
      <c r="AZ202" s="27">
        <v>6.7361111111111108E-2</v>
      </c>
      <c r="BA202" s="32">
        <v>8.3333333333333329E-2</v>
      </c>
      <c r="BB202" s="72"/>
      <c r="BC202" s="72" t="str">
        <f>IFERROR(VLOOKUP(Out_Table[[#This Row],[Aggiornamento STATUS]],'INformazioni per calcoli'!$Y$70:$AA$76,2,FALSE),"")</f>
        <v/>
      </c>
      <c r="BD202" s="289"/>
      <c r="BE202" s="289"/>
      <c r="BF202" s="47" t="str">
        <f>LEFT($E202,3)</f>
        <v>QAR</v>
      </c>
      <c r="BG202" s="298" t="str">
        <f>IF(Out_Table[[#This Row],[Ora Uscita    (GH)]]&lt;&gt;"","x","")</f>
        <v>x</v>
      </c>
      <c r="BH202" s="299">
        <f>VLOOKUP($O202,'INformazioni per calcoli'!$Y$20:$AA$23,3,FALSE)</f>
        <v>14</v>
      </c>
      <c r="BI202" s="299">
        <f>MROUND(Out_Table[[#This Row],[Mtr. Trailer]]*AB202,0.5)</f>
        <v>14</v>
      </c>
      <c r="BJ202" s="299">
        <f>MROUND(Out_Table[[#This Row],[Mtr. Trailer]]*AE202,0.5)</f>
        <v>0</v>
      </c>
      <c r="BK202" s="299">
        <f>MROUND(Out_Table[[#This Row],[Mtr. Trailer]]*AH202,0.5)</f>
        <v>0</v>
      </c>
      <c r="BL202" s="300">
        <f>Out_Table[[#This Row],[Double Deck trailer N° bumpers]]</f>
        <v>0</v>
      </c>
      <c r="BM202" s="301"/>
      <c r="BN202" s="299" t="str">
        <f>B202</f>
        <v>ERN92398</v>
      </c>
      <c r="BO202" s="299" t="str">
        <f>E202</f>
        <v>QAR 4</v>
      </c>
      <c r="BP202" s="302">
        <f>IF(AND(G202&gt;(--"00:00:01"),G202&lt;(--"15:00:00")),IF(AND(X202&gt;(--"00:00:01"),X202&lt;(--"15:00:00")),G202-X202,G202+1-X202),G202-X202)</f>
        <v>4.4444444444444446E-2</v>
      </c>
      <c r="BQ202" s="303">
        <f>AE202+AF202+AH202+AJ202</f>
        <v>0</v>
      </c>
      <c r="BR202" s="304" t="str">
        <f>IF(OR(BP202&lt;=(--"00:20:00"),BQ202&gt;=100%),"OK","Not OK")</f>
        <v>Not OK</v>
      </c>
      <c r="BS202" s="302">
        <f>IF(AND(G202&gt;(--"00:00:01"),G202&lt;(--"15:00:00")),IF(AND(AU202&gt;(--"00:00:01"),AU202&lt;(--"15:00:00")),G202-AU202,G202+1-AU202),G202-AU202)</f>
        <v>1.09375</v>
      </c>
      <c r="BT202" s="302">
        <f>IF(AND(AZ202&gt;(--"00:00:01"),AZ202&lt;(--"15:00:00")),IF(AND(AU202&gt;(--"00:00:01"),AU202&lt;(--"15:00:00")),AZ202-AU202,AZ202+1-AU202),AZ202-AU202)</f>
        <v>1.0673611111111112</v>
      </c>
      <c r="BU202" s="302">
        <f>IF(AND(BA202&gt;(--"00:00:01"),BA202&lt;(--"15:00:00")),IF(AND(AZ202&gt;(--"00:00:01"),AZ202&lt;(--"15:00:00")),BA202-AZ202,BA202+1-AZ202),BA202-AZ202)</f>
        <v>1.5972222222222221E-2</v>
      </c>
      <c r="BV202" s="299">
        <f>AV202</f>
        <v>0</v>
      </c>
      <c r="BW202" s="301"/>
      <c r="BX202" s="299" t="str">
        <f>IF(AV202="T Status",IF(AV202&lt;&gt;T202,"X",""),"")</f>
        <v/>
      </c>
      <c r="BY202" s="301"/>
      <c r="BZ202" s="299" t="str">
        <f>IF(X202&lt;&gt;"",IF(CC202="X","Driver Delay",IF(CA202="X","Paperwork Delay",IF(CB202="X","Late freight late sort",IF(CD202="X","Chiamare Control Room",IF(CE202="X","Chiamare Control Room",IF(CF202="X","Chiamare Control Room","")))))),"")</f>
        <v>Chiamare Control Room</v>
      </c>
      <c r="CA202" s="302" t="str">
        <f>IF(K202="",IF(IF(AND(G202&gt;(--"00:00:01"),G202&lt;(--"15:00:00")),IF(AND(AT202&gt;(--"08:00:00"),AT202&lt;(--"23:59:59")),G202+1-AT202,G202-AT202),G202-AT202)&gt;(--"00:20:00"),"","X"),"")</f>
        <v/>
      </c>
      <c r="CB202" s="299" t="str">
        <f>IF(K202="",IF(BP202&gt;=(--"00:20:00"),"","X"),"")</f>
        <v/>
      </c>
      <c r="CC202" s="299" t="str">
        <f>IF(OR(AV202="Autista non presente",AV202="Dati driver non presenti"),"X","")</f>
        <v/>
      </c>
      <c r="CD202" s="299" t="str">
        <f>IF(K202="",IF(AND(CC202="",BS202&lt;(--"00:20:00")),"X",""),"")</f>
        <v/>
      </c>
      <c r="CE202" s="299" t="str">
        <f>IF(K202="",IF(BT202&gt;(--"00:15:00"),"X",""),IF(AZ202&lt;&gt;"",IF(G202-AZ202&gt;(--"00:30:00"),"X",""),""))</f>
        <v>X</v>
      </c>
      <c r="CF202" s="299" t="str">
        <f>IF(AND(CA202="",CB202="",CC202="",CD202="",CE202=""),"X","")</f>
        <v/>
      </c>
      <c r="CG202" s="301"/>
      <c r="CH202" s="299" t="str">
        <f>IF(BT202&gt;(--"00:15:00"),"X","")</f>
        <v>X</v>
      </c>
      <c r="CI202" s="302">
        <f>AY202</f>
        <v>0</v>
      </c>
      <c r="CJ202" s="299" t="str">
        <f>IF(AND(CH202&lt;&gt;"",CI202&lt;&gt;"",LEFT(B202,3)="ITD"),AP202,"")</f>
        <v/>
      </c>
      <c r="CK202" s="305" t="str">
        <f>IF(CJ202&lt;&gt;"",BT202,"")</f>
        <v/>
      </c>
      <c r="CL202" s="301"/>
      <c r="CM202" s="305" t="str">
        <f>IFERROR(VLOOKUP(Q202,'Elenco Casse'!$D$4:$F$292,3,FALSE),"")</f>
        <v/>
      </c>
      <c r="CN202" s="301"/>
      <c r="CO202" s="305" t="str">
        <f>IFERROR(VLOOKUP(E202,Outlist!$A$5:$H$120,8,FALSE),"")</f>
        <v>RENT214</v>
      </c>
      <c r="CP202" s="305" t="str">
        <f>IFERROR(IF(VLOOKUP($E202,Outlist!$A$5:$S$120,19,FALSE)&lt;&gt;0,"Y",""),"")</f>
        <v>Y</v>
      </c>
      <c r="CQ202" s="301"/>
      <c r="CR202" s="305" t="str">
        <f>CONCATENATE($B202,$E202,$G202)</f>
        <v>ERN92398QAR 40.09375</v>
      </c>
      <c r="CS202" s="301"/>
      <c r="CT202" s="305">
        <f>VLOOKUP(Out_Table[[#This Row],[Destination             ORANGE (From Planning)]],Outlist!$A$5:$W$120,22,FALSE)</f>
        <v>0</v>
      </c>
    </row>
    <row r="203" spans="1:98" s="20" customFormat="1" ht="30.75">
      <c r="A203" s="305" t="str">
        <f>$CR203</f>
        <v>ERN17082QAR 10.0833333333357587</v>
      </c>
      <c r="B203" s="351" t="str">
        <f>IFERROR(VLOOKUP(E203,Outlist!$A$5:$AC$120,2,FALSE),"")</f>
        <v>ERN17082</v>
      </c>
      <c r="C203" s="352" t="str">
        <f>IFERROR(IF(LEFT(B203,3)='STAT 77'!$X$2,_xlfn.XLOOKUP(B203,'STAT 77'!C:C,'STAT 77'!B:B),_xlfn.XLOOKUP(B203,'STAT 77'!B:B,'STAT 77'!C:C)),"NON TROVATO")</f>
        <v>ERN08692</v>
      </c>
      <c r="D203" s="4"/>
      <c r="E203" s="352" t="str">
        <f>IFERROR(IF(Outlist!$A21&lt;&gt;"",Outlist!$A21,""),"")</f>
        <v>QAR 1</v>
      </c>
      <c r="F203" s="352" t="str">
        <f>IFERROR(VLOOKUP(E203,'Cambio O2P'!C:E,2,FALSE),"")</f>
        <v/>
      </c>
      <c r="G203" s="353">
        <f>IFERROR(VLOOKUP(E203,Outlist!$A$5:$AC$120,5,FALSE)-INT(VLOOKUP(E203,Outlist!$A$5:$AC$120,5,FALSE)),"")</f>
        <v>8.3333333335758653E-2</v>
      </c>
      <c r="H203" s="294" t="str">
        <f ca="1">IFERROR(IF(AND('INformazioni per calcoli'!$AB$3&lt;(--"14:30"),'INformazioni per calcoli'!$AB$3&gt;(--"10:00")),"",IF($B203="","",IF($X203&lt;&gt;"","Mezzo Chiuso",IF($W203="","Non al Carico",IF($K203="Safe Parking","Safe Parking", IF(OR($BF203='INformazioni per calcoli'!$AF$8,$BF203='INformazioni per calcoli'!$AC$8,$BF203='INformazioni per calcoli'!$AD$8,$BF203='INformazioni per calcoli'!$AE$8,$BF203='INformazioni per calcoli'!$AG$8,$BF203='INformazioni per calcoli'!$AH$8,$BF203='INformazioni per calcoli'!$AI$8,$BF203='INformazioni per calcoli'!$AJ$8),IF($G203-'INformazioni per calcoli'!$AB$6-'INformazioni per calcoli'!$AB$3+$J203&lt;0,"LFLS",$G203-'INformazioni per calcoli'!$AB$6-'INformazioni per calcoli'!$AB$3+$J203), IF(OR($BF203='INformazioni per calcoli'!$AF$6,$BF203='INformazioni per calcoli'!$AD$6,$BF203='INformazioni per calcoli'!$AE$6,$BF203='INformazioni per calcoli'!$AG$6),IF($G203-'INformazioni per calcoli'!$AB$8-'INformazioni per calcoli'!$AB$3+$J203&lt;0,"LFLS",$G203-'INformazioni per calcoli'!$AB$8-'INformazioni per calcoli'!$AB$3+$J203), IF($G203-'INformazioni per calcoli'!$AB$7-'INformazioni per calcoli'!$AB$3+$J203&lt;0,"LFLS",$G203-'INformazioni per calcoli'!$AB$7-'INformazioni per calcoli'!$AB$3+$J203)))))))),"")</f>
        <v>Mezzo Chiuso</v>
      </c>
      <c r="I203" s="17" t="str">
        <f ca="1">IFERROR(IF($H203&lt;&gt;"",IF($H203="Safe Parking","",IF($W203&lt;&gt;"",IF(AND($U203="X",$V203="X"),$H203-(--"00:30"),""),IF($X203&lt;&gt;"","Mezzo Chiuso","Non al carico"))),""),"")</f>
        <v/>
      </c>
      <c r="J203" s="306">
        <f ca="1">IFERROR(IF($B203&lt;&gt;"",IF(AND('INformazioni per calcoli'!$AB$3&lt;(--"15:00"),'INformazioni per calcoli'!$AB$3&gt;(--"00:00")),0,IF($G203&lt;(--"18:30"),"+1",0)),""),"")</f>
        <v>0</v>
      </c>
      <c r="K203" s="27">
        <f>IF(E203&lt;&gt;"",IFERROR(VLOOKUP(E203,Outlist!$A$5:$AC$120,22,FALSE),""),"")</f>
        <v>0</v>
      </c>
      <c r="L203" s="352" t="str">
        <f>IF(E203&lt;&gt;"",IFERROR(VLOOKUP(E203,Outlist!$A$5:$AC$120,3,FALSE),""),"")</f>
        <v>Fedex Express Netherlands Bv Rno Own Nl</v>
      </c>
      <c r="M203" s="4" t="str">
        <f>IFERROR(_xlfn.XLOOKUP($Q203,'Elenco Casse'!$D:$D,'Elenco Casse'!$E:$E),"")</f>
        <v/>
      </c>
      <c r="N203" s="4" t="str">
        <f>IFERROR(_xlfn.XLOOKUP($Q203,'Elenco Casse'!$D:$D,'Elenco Casse'!$F:$F),"")</f>
        <v/>
      </c>
      <c r="O203" s="4" t="str">
        <f>IF($L203&lt;&gt;"","TT-2/3","")</f>
        <v>TT-2/3</v>
      </c>
      <c r="P203" s="296" t="str">
        <f>IFERROR(IF(VLOOKUP(E203,Outlist!$A$5:$AC$120,21,FALSE)="YES","Linea Variata",""),"")</f>
        <v/>
      </c>
      <c r="Q203" s="355" t="s">
        <v>1154</v>
      </c>
      <c r="R203" s="23" t="s">
        <v>420</v>
      </c>
      <c r="S203" s="25" t="str">
        <f>IFERROR(IF(VLOOKUP(E203,Outlist!$A$5:$AC$120,7,FALSE)="X","SUBCO",""),"")</f>
        <v/>
      </c>
      <c r="T203" s="25"/>
      <c r="U203" s="23"/>
      <c r="V203" s="23" t="s">
        <v>61</v>
      </c>
      <c r="W203" s="26">
        <v>833</v>
      </c>
      <c r="X203" s="27">
        <v>0.88888888888888884</v>
      </c>
      <c r="Y203" s="25" t="s">
        <v>492</v>
      </c>
      <c r="Z203" s="25"/>
      <c r="AA203" s="25" t="s">
        <v>487</v>
      </c>
      <c r="AB203" s="57">
        <v>1</v>
      </c>
      <c r="AC203" s="25"/>
      <c r="AD203" s="25"/>
      <c r="AE203" s="57"/>
      <c r="AF203" s="57"/>
      <c r="AG203" s="25"/>
      <c r="AH203" s="57"/>
      <c r="AI203" s="339"/>
      <c r="AJ203" s="339">
        <v>5</v>
      </c>
      <c r="AK203" s="297" t="str">
        <f>IF(X203&lt;&gt;"",CONCATENATE(IF(AA203&lt;&gt;"",CONCATENATE(Z203," ",AA203," ",BI203),""),IF(AD203&lt;&gt;"",CONCATENATE(","," ",AC203," ",AD203," ",BJ203),""),IF(AG203&lt;&gt;"",CONCATENATE(","," ",AF203," ",AG203," ",BK203),""),IF(AJ203&lt;&gt;"",CONCATENATE(","," ","DD"," ",BL203),"")," ",IF(AI203&lt;&gt;"",CONCATENATE(" - ",AI203," Bag"),"")),"")</f>
        <v xml:space="preserve"> FRT 14, DD 5 </v>
      </c>
      <c r="AL203" s="287" t="s">
        <v>421</v>
      </c>
      <c r="AM203" s="287"/>
      <c r="AN203" s="287"/>
      <c r="AO203" s="287"/>
      <c r="AP203" s="370">
        <f>IFERROR(VLOOKUP($E203,Outlist!$A$5:$V$120,20,FALSE),"")</f>
        <v>0</v>
      </c>
      <c r="AQ203" s="288" t="s">
        <v>1155</v>
      </c>
      <c r="AR203" s="430">
        <v>0.89722222222222225</v>
      </c>
      <c r="AS203" s="24">
        <v>0.90347222222222223</v>
      </c>
      <c r="AT203" s="24">
        <v>0.90625</v>
      </c>
      <c r="AU203" s="27"/>
      <c r="AV203" s="27"/>
      <c r="AW203" s="20" t="s">
        <v>443</v>
      </c>
      <c r="AX203" s="20" t="str">
        <f>IFERROR(IF(Out_Table[[#This Row],[Cancellazione linea]]="Cancellata","yes",""),"")</f>
        <v/>
      </c>
      <c r="AY203" s="72"/>
      <c r="AZ203" s="27">
        <v>0.93333333333333335</v>
      </c>
      <c r="BA203" s="32">
        <v>0.94236111111111109</v>
      </c>
      <c r="BB203" s="72"/>
      <c r="BC203" s="72" t="str">
        <f>IFERROR(VLOOKUP(Out_Table[[#This Row],[Aggiornamento STATUS]],'INformazioni per calcoli'!$Y$70:$AA$76,2,FALSE),"")</f>
        <v/>
      </c>
      <c r="BD203" s="289"/>
      <c r="BE203" s="289"/>
      <c r="BF203" s="47" t="str">
        <f>LEFT($E203,3)</f>
        <v>QAR</v>
      </c>
      <c r="BG203" s="298" t="str">
        <f>IF(Out_Table[[#This Row],[Ora Uscita    (GH)]]&lt;&gt;"","x","")</f>
        <v>x</v>
      </c>
      <c r="BH203" s="299">
        <f>VLOOKUP($O203,'INformazioni per calcoli'!$Y$20:$AA$23,3,FALSE)</f>
        <v>14</v>
      </c>
      <c r="BI203" s="299">
        <f>MROUND(Out_Table[[#This Row],[Mtr. Trailer]]*AB203,0.5)</f>
        <v>14</v>
      </c>
      <c r="BJ203" s="299">
        <f>MROUND(Out_Table[[#This Row],[Mtr. Trailer]]*AE203,0.5)</f>
        <v>0</v>
      </c>
      <c r="BK203" s="299">
        <f>MROUND(Out_Table[[#This Row],[Mtr. Trailer]]*AH203,0.5)</f>
        <v>0</v>
      </c>
      <c r="BL203" s="300">
        <f>Out_Table[[#This Row],[Double Deck trailer N° bumpers]]</f>
        <v>5</v>
      </c>
      <c r="BM203" s="301"/>
      <c r="BN203" s="299" t="str">
        <f>B203</f>
        <v>ERN17082</v>
      </c>
      <c r="BO203" s="299" t="str">
        <f>E203</f>
        <v>QAR 1</v>
      </c>
      <c r="BP203" s="302">
        <f>IF(AND(G203&gt;(--"00:00:01"),G203&lt;(--"15:00:00")),IF(AND(X203&gt;(--"00:00:01"),X203&lt;(--"15:00:00")),G203-X203,G203+1-X203),G203-X203)</f>
        <v>0.19444444444686981</v>
      </c>
      <c r="BQ203" s="303">
        <f>AE203+AF203+AH203+AJ203</f>
        <v>5</v>
      </c>
      <c r="BR203" s="304" t="str">
        <f>IF(OR(BP203&lt;=(--"00:20:00"),BQ203&gt;=100%),"OK","Not OK")</f>
        <v>OK</v>
      </c>
      <c r="BS203" s="302">
        <f>IF(AND(G203&gt;(--"00:00:01"),G203&lt;(--"15:00:00")),IF(AND(AU203&gt;(--"00:00:01"),AU203&lt;(--"15:00:00")),G203-AU203,G203+1-AU203),G203-AU203)</f>
        <v>1.0833333333357587</v>
      </c>
      <c r="BT203" s="302">
        <f>IF(AND(AZ203&gt;(--"00:00:01"),AZ203&lt;(--"15:00:00")),IF(AND(AU203&gt;(--"00:00:01"),AU203&lt;(--"15:00:00")),AZ203-AU203,AZ203+1-AU203),AZ203-AU203)</f>
        <v>0.93333333333333335</v>
      </c>
      <c r="BU203" s="302">
        <f>IF(AND(BA203&gt;(--"00:00:01"),BA203&lt;(--"15:00:00")),IF(AND(AZ203&gt;(--"00:00:01"),AZ203&lt;(--"15:00:00")),BA203-AZ203,BA203+1-AZ203),BA203-AZ203)</f>
        <v>9.0277777777777457E-3</v>
      </c>
      <c r="BV203" s="299">
        <f>AV203</f>
        <v>0</v>
      </c>
      <c r="BW203" s="301"/>
      <c r="BX203" s="299" t="str">
        <f>IF(AV203="T Status",IF(AV203&lt;&gt;T203,"X",""),"")</f>
        <v/>
      </c>
      <c r="BY203" s="301"/>
      <c r="BZ203" s="299" t="str">
        <f>IF(X203&lt;&gt;"",IF(CC203="X","Driver Delay",IF(CA203="X","Paperwork Delay",IF(CB203="X","Late freight late sort",IF(CD203="X","Chiamare Control Room",IF(CE203="X","Chiamare Control Room",IF(CF203="X","Chiamare Control Room","")))))),"")</f>
        <v>Chiamare Control Room</v>
      </c>
      <c r="CA203" s="302" t="str">
        <f>IF(K203="",IF(IF(AND(G203&gt;(--"00:00:01"),G203&lt;(--"15:00:00")),IF(AND(AT203&gt;(--"08:00:00"),AT203&lt;(--"23:59:59")),G203+1-AT203,G203-AT203),G203-AT203)&gt;(--"00:20:00"),"","X"),"")</f>
        <v/>
      </c>
      <c r="CB203" s="299" t="str">
        <f>IF(K203="",IF(BP203&gt;=(--"00:20:00"),"","X"),"")</f>
        <v/>
      </c>
      <c r="CC203" s="299" t="str">
        <f>IF(OR(AV203="Autista non presente",AV203="Dati driver non presenti"),"X","")</f>
        <v/>
      </c>
      <c r="CD203" s="299" t="str">
        <f>IF(K203="",IF(AND(CC203="",BS203&lt;(--"00:20:00")),"X",""),"")</f>
        <v/>
      </c>
      <c r="CE203" s="299" t="str">
        <f>IF(K203="",IF(BT203&gt;(--"00:15:00"),"X",""),IF(AZ203&lt;&gt;"",IF(G203-AZ203&gt;(--"00:30:00"),"X",""),""))</f>
        <v/>
      </c>
      <c r="CF203" s="299" t="str">
        <f>IF(AND(CA203="",CB203="",CC203="",CD203="",CE203=""),"X","")</f>
        <v>X</v>
      </c>
      <c r="CG203" s="301"/>
      <c r="CH203" s="299" t="str">
        <f>IF(BT203&gt;(--"00:15:00"),"X","")</f>
        <v>X</v>
      </c>
      <c r="CI203" s="302">
        <f>AY203</f>
        <v>0</v>
      </c>
      <c r="CJ203" s="299" t="str">
        <f>IF(AND(CH203&lt;&gt;"",CI203&lt;&gt;"",LEFT(B203,3)="ITD"),AP203,"")</f>
        <v/>
      </c>
      <c r="CK203" s="305" t="str">
        <f>IF(CJ203&lt;&gt;"",BT203,"")</f>
        <v/>
      </c>
      <c r="CL203" s="301"/>
      <c r="CM203" s="305" t="str">
        <f>IFERROR(VLOOKUP(Q203,'Elenco Casse'!$D$4:$F$292,3,FALSE),"")</f>
        <v/>
      </c>
      <c r="CN203" s="301"/>
      <c r="CO203" s="305" t="str">
        <f>IFERROR(VLOOKUP(E203,Outlist!$A$5:$H$120,8,FALSE),"")</f>
        <v>ENBR21185</v>
      </c>
      <c r="CP203" s="305" t="str">
        <f>IFERROR(IF(VLOOKUP($E203,Outlist!$A$5:$S$120,19,FALSE)&lt;&gt;0,"Y",""),"")</f>
        <v>Y</v>
      </c>
      <c r="CQ203" s="301"/>
      <c r="CR203" s="305" t="str">
        <f>CONCATENATE($B203,$E203,$G203)</f>
        <v>ERN17082QAR 10.0833333333357587</v>
      </c>
      <c r="CS203" s="301"/>
      <c r="CT203" s="305">
        <f>VLOOKUP(Out_Table[[#This Row],[Destination             ORANGE (From Planning)]],Outlist!$A$5:$W$120,22,FALSE)</f>
        <v>0</v>
      </c>
    </row>
    <row r="204" spans="1:98" s="20" customFormat="1" ht="30.75">
      <c r="A204" s="305" t="str">
        <f>$CR204</f>
        <v>ERN17079QAR 20.0833333333357587</v>
      </c>
      <c r="B204" s="351" t="str">
        <f>IFERROR(VLOOKUP(E204,Outlist!$A$5:$AC$120,2,FALSE),"")</f>
        <v>ERN17079</v>
      </c>
      <c r="C204" s="352" t="str">
        <f>IFERROR(IF(LEFT(B204,3)='STAT 77'!$X$2,_xlfn.XLOOKUP(B204,'STAT 77'!C:C,'STAT 77'!B:B),_xlfn.XLOOKUP(B204,'STAT 77'!B:B,'STAT 77'!C:C)),"NON TROVATO")</f>
        <v>ERN08691</v>
      </c>
      <c r="D204" s="4"/>
      <c r="E204" s="352" t="str">
        <f>IFERROR(IF(Outlist!$A22&lt;&gt;"",Outlist!$A22,""),"")</f>
        <v>QAR 2</v>
      </c>
      <c r="F204" s="352" t="str">
        <f>IFERROR(VLOOKUP(E204,'Cambio O2P'!C:E,2,FALSE),"")</f>
        <v/>
      </c>
      <c r="G204" s="353">
        <f>IFERROR(VLOOKUP(E204,Outlist!$A$5:$AC$120,5,FALSE)-INT(VLOOKUP(E204,Outlist!$A$5:$AC$120,5,FALSE)),"")</f>
        <v>8.3333333335758653E-2</v>
      </c>
      <c r="H204" s="294" t="str">
        <f ca="1">IFERROR(IF(AND('INformazioni per calcoli'!$AB$3&lt;(--"14:30"),'INformazioni per calcoli'!$AB$3&gt;(--"10:00")),"",IF($B204="","",IF($X204&lt;&gt;"","Mezzo Chiuso",IF($W204="","Non al Carico",IF($K204="Safe Parking","Safe Parking", IF(OR($BF204='INformazioni per calcoli'!$AF$8,$BF204='INformazioni per calcoli'!$AC$8,$BF204='INformazioni per calcoli'!$AD$8,$BF204='INformazioni per calcoli'!$AE$8,$BF204='INformazioni per calcoli'!$AG$8,$BF204='INformazioni per calcoli'!$AH$8,$BF204='INformazioni per calcoli'!$AI$8,$BF204='INformazioni per calcoli'!$AJ$8),IF($G204-'INformazioni per calcoli'!$AB$6-'INformazioni per calcoli'!$AB$3+$J204&lt;0,"LFLS",$G204-'INformazioni per calcoli'!$AB$6-'INformazioni per calcoli'!$AB$3+$J204), IF(OR($BF204='INformazioni per calcoli'!$AF$6,$BF204='INformazioni per calcoli'!$AD$6,$BF204='INformazioni per calcoli'!$AE$6,$BF204='INformazioni per calcoli'!$AG$6),IF($G204-'INformazioni per calcoli'!$AB$8-'INformazioni per calcoli'!$AB$3+$J204&lt;0,"LFLS",$G204-'INformazioni per calcoli'!$AB$8-'INformazioni per calcoli'!$AB$3+$J204), IF($G204-'INformazioni per calcoli'!$AB$7-'INformazioni per calcoli'!$AB$3+$J204&lt;0,"LFLS",$G204-'INformazioni per calcoli'!$AB$7-'INformazioni per calcoli'!$AB$3+$J204)))))))),"")</f>
        <v>Mezzo Chiuso</v>
      </c>
      <c r="I204" s="17"/>
      <c r="J204" s="306">
        <f ca="1">IFERROR(IF($B204&lt;&gt;"",IF(AND('INformazioni per calcoli'!$AB$3&lt;(--"15:00"),'INformazioni per calcoli'!$AB$3&gt;(--"00:00")),0,IF($G204&lt;(--"18:30"),"+1",0)),""),"")</f>
        <v>0</v>
      </c>
      <c r="K204" s="27">
        <f>IF(E204&lt;&gt;"",IFERROR(VLOOKUP(E204,Outlist!$A$5:$AC$120,22,FALSE),""),"")</f>
        <v>0</v>
      </c>
      <c r="L204" s="352" t="str">
        <f>IF(E204&lt;&gt;"",IFERROR(VLOOKUP(E204,Outlist!$A$5:$AC$120,3,FALSE),""),"")</f>
        <v>Fedex Express Netherlands Bv Rno Own Nl</v>
      </c>
      <c r="M204" s="4" t="str">
        <f>IFERROR(_xlfn.XLOOKUP($Q204,'Elenco Casse'!$D:$D,'Elenco Casse'!$E:$E),"")</f>
        <v/>
      </c>
      <c r="N204" s="4" t="str">
        <f>IFERROR(_xlfn.XLOOKUP($Q204,'Elenco Casse'!$D:$D,'Elenco Casse'!$F:$F),"")</f>
        <v/>
      </c>
      <c r="O204" s="4" t="str">
        <f>IF($L204&lt;&gt;"","TT-2/3","")</f>
        <v>TT-2/3</v>
      </c>
      <c r="P204" s="296" t="str">
        <f>IFERROR(IF(VLOOKUP(E204,Outlist!$A$5:$AC$120,21,FALSE)="YES","Linea Variata",""),"")</f>
        <v/>
      </c>
      <c r="Q204" s="355" t="s">
        <v>1156</v>
      </c>
      <c r="R204" s="23" t="s">
        <v>420</v>
      </c>
      <c r="S204" s="25" t="str">
        <f>IFERROR(IF(VLOOKUP(E204,Outlist!$A$5:$AC$120,7,FALSE)="X","SUBCO",""),"")</f>
        <v/>
      </c>
      <c r="T204" s="25"/>
      <c r="U204" s="23" t="s">
        <v>61</v>
      </c>
      <c r="V204" s="23" t="s">
        <v>500</v>
      </c>
      <c r="W204" s="26">
        <v>833</v>
      </c>
      <c r="X204" s="27">
        <v>0.92638888888888893</v>
      </c>
      <c r="Y204" s="25" t="s">
        <v>1157</v>
      </c>
      <c r="Z204" s="25"/>
      <c r="AA204" s="25" t="s">
        <v>40</v>
      </c>
      <c r="AB204" s="57">
        <v>0.4</v>
      </c>
      <c r="AC204" s="25"/>
      <c r="AD204" s="25" t="s">
        <v>487</v>
      </c>
      <c r="AE204" s="57">
        <v>0.6</v>
      </c>
      <c r="AF204" s="57"/>
      <c r="AG204" s="25"/>
      <c r="AH204" s="57"/>
      <c r="AI204" s="339">
        <v>2</v>
      </c>
      <c r="AJ204" s="339"/>
      <c r="AK204" s="297" t="str">
        <f>IF(X204&lt;&gt;"",CONCATENATE(IF(AA204&lt;&gt;"",CONCATENATE(Z204," ",AA204," ",BI204),""),IF(AD204&lt;&gt;"",CONCATENATE(","," ",AC204," ",AD204," ",BJ204),""),IF(AG204&lt;&gt;"",CONCATENATE(","," ",AF204," ",AG204," ",BK204),""),IF(AJ204&lt;&gt;"",CONCATENATE(","," ","DD"," ",BL204),"")," ",IF(AI204&lt;&gt;"",CONCATENATE(" - ",AI204," Bag"),"")),"")</f>
        <v xml:space="preserve"> LL 5.5,  FRT 8.5  - 2 Bag</v>
      </c>
      <c r="AL204" s="287" t="s">
        <v>421</v>
      </c>
      <c r="AM204" s="287"/>
      <c r="AN204" s="287"/>
      <c r="AO204" s="287"/>
      <c r="AP204" s="370">
        <f>IFERROR(VLOOKUP($E204,Outlist!$A$5:$V$120,20,FALSE),"")</f>
        <v>0</v>
      </c>
      <c r="AQ204" s="288" t="s">
        <v>1158</v>
      </c>
      <c r="AR204" s="430">
        <v>0.92986111111111114</v>
      </c>
      <c r="AS204" s="24">
        <v>0.94097222222222221</v>
      </c>
      <c r="AT204" s="24">
        <v>0.94166666666666665</v>
      </c>
      <c r="AU204" s="27"/>
      <c r="AV204" s="27"/>
      <c r="AW204" s="20" t="s">
        <v>443</v>
      </c>
      <c r="AX204" s="20" t="str">
        <f>IFERROR(IF(Out_Table[[#This Row],[Cancellazione linea]]="Cancellata","yes",""),"")</f>
        <v/>
      </c>
      <c r="AY204" s="72"/>
      <c r="AZ204" s="27">
        <v>0.97569444444444442</v>
      </c>
      <c r="BA204" s="32">
        <v>0.98124999999999996</v>
      </c>
      <c r="BB204" s="72"/>
      <c r="BC204" s="72" t="str">
        <f>IFERROR(VLOOKUP(Out_Table[[#This Row],[Aggiornamento STATUS]],'INformazioni per calcoli'!$Y$70:$AA$76,2,FALSE),"")</f>
        <v/>
      </c>
      <c r="BD204" s="289"/>
      <c r="BE204" s="289"/>
      <c r="BF204" s="47" t="str">
        <f>LEFT($E204,3)</f>
        <v>QAR</v>
      </c>
      <c r="BG204" s="298" t="str">
        <f>IF(Out_Table[[#This Row],[Ora Uscita    (GH)]]&lt;&gt;"","x","")</f>
        <v>x</v>
      </c>
      <c r="BH204" s="299">
        <f>VLOOKUP($O204,'INformazioni per calcoli'!$Y$20:$AA$23,3,FALSE)</f>
        <v>14</v>
      </c>
      <c r="BI204" s="299">
        <f>MROUND(Out_Table[[#This Row],[Mtr. Trailer]]*AB204,0.5)</f>
        <v>5.5</v>
      </c>
      <c r="BJ204" s="299">
        <f>MROUND(Out_Table[[#This Row],[Mtr. Trailer]]*AE204,0.5)</f>
        <v>8.5</v>
      </c>
      <c r="BK204" s="299">
        <f>MROUND(Out_Table[[#This Row],[Mtr. Trailer]]*AH204,0.5)</f>
        <v>0</v>
      </c>
      <c r="BL204" s="300">
        <f>Out_Table[[#This Row],[Double Deck trailer N° bumpers]]</f>
        <v>0</v>
      </c>
      <c r="BM204" s="301"/>
      <c r="BN204" s="299" t="str">
        <f>B204</f>
        <v>ERN17079</v>
      </c>
      <c r="BO204" s="299" t="str">
        <f>E204</f>
        <v>QAR 2</v>
      </c>
      <c r="BP204" s="302">
        <f>IF(AND(G204&gt;(--"00:00:01"),G204&lt;(--"15:00:00")),IF(AND(X204&gt;(--"00:00:01"),X204&lt;(--"15:00:00")),G204-X204,G204+1-X204),G204-X204)</f>
        <v>0.15694444444686972</v>
      </c>
      <c r="BQ204" s="303">
        <f>AE204+AF204+AH204+AJ204</f>
        <v>0.6</v>
      </c>
      <c r="BR204" s="304" t="str">
        <f>IF(OR(BP204&lt;=(--"00:20:00"),BQ204&gt;=100%),"OK","Not OK")</f>
        <v>Not OK</v>
      </c>
      <c r="BS204" s="302">
        <f>IF(AND(G204&gt;(--"00:00:01"),G204&lt;(--"15:00:00")),IF(AND(AU204&gt;(--"00:00:01"),AU204&lt;(--"15:00:00")),G204-AU204,G204+1-AU204),G204-AU204)</f>
        <v>1.0833333333357587</v>
      </c>
      <c r="BT204" s="302">
        <f>IF(AND(AZ204&gt;(--"00:00:01"),AZ204&lt;(--"15:00:00")),IF(AND(AU204&gt;(--"00:00:01"),AU204&lt;(--"15:00:00")),AZ204-AU204,AZ204+1-AU204),AZ204-AU204)</f>
        <v>0.97569444444444442</v>
      </c>
      <c r="BU204" s="302">
        <f>IF(AND(BA204&gt;(--"00:00:01"),BA204&lt;(--"15:00:00")),IF(AND(AZ204&gt;(--"00:00:01"),AZ204&lt;(--"15:00:00")),BA204-AZ204,BA204+1-AZ204),BA204-AZ204)</f>
        <v>5.5555555555555358E-3</v>
      </c>
      <c r="BV204" s="299">
        <f>AV204</f>
        <v>0</v>
      </c>
      <c r="BW204" s="301"/>
      <c r="BX204" s="299" t="str">
        <f>IF(AV204="T Status",IF(AV204&lt;&gt;T204,"X",""),"")</f>
        <v/>
      </c>
      <c r="BY204" s="301"/>
      <c r="BZ204" s="299" t="str">
        <f>IF(X204&lt;&gt;"",IF(CC204="X","Driver Delay",IF(CA204="X","Paperwork Delay",IF(CB204="X","Late freight late sort",IF(CD204="X","Chiamare Control Room",IF(CE204="X","Chiamare Control Room",IF(CF204="X","Chiamare Control Room","")))))),"")</f>
        <v>Chiamare Control Room</v>
      </c>
      <c r="CA204" s="302" t="str">
        <f>IF(K204="",IF(IF(AND(G204&gt;(--"00:00:01"),G204&lt;(--"15:00:00")),IF(AND(AT204&gt;(--"08:00:00"),AT204&lt;(--"23:59:59")),G204+1-AT204,G204-AT204),G204-AT204)&gt;(--"00:20:00"),"","X"),"")</f>
        <v/>
      </c>
      <c r="CB204" s="299" t="str">
        <f>IF(K204="",IF(BP204&gt;=(--"00:20:00"),"","X"),"")</f>
        <v/>
      </c>
      <c r="CC204" s="299" t="str">
        <f>IF(OR(AV204="Autista non presente",AV204="Dati driver non presenti"),"X","")</f>
        <v/>
      </c>
      <c r="CD204" s="299" t="str">
        <f>IF(K204="",IF(AND(CC204="",BS204&lt;(--"00:20:00")),"X",""),"")</f>
        <v/>
      </c>
      <c r="CE204" s="299" t="str">
        <f>IF(K204="",IF(BT204&gt;(--"00:15:00"),"X",""),IF(AZ204&lt;&gt;"",IF(G204-AZ204&gt;(--"00:30:00"),"X",""),""))</f>
        <v/>
      </c>
      <c r="CF204" s="299" t="str">
        <f>IF(AND(CA204="",CB204="",CC204="",CD204="",CE204=""),"X","")</f>
        <v>X</v>
      </c>
      <c r="CG204" s="301"/>
      <c r="CH204" s="299" t="str">
        <f>IF(BT204&gt;(--"00:15:00"),"X","")</f>
        <v>X</v>
      </c>
      <c r="CI204" s="302">
        <f>AY204</f>
        <v>0</v>
      </c>
      <c r="CJ204" s="299" t="str">
        <f>IF(AND(CH204&lt;&gt;"",CI204&lt;&gt;"",LEFT(B204,3)="ITD"),AP204,"")</f>
        <v/>
      </c>
      <c r="CK204" s="305" t="str">
        <f>IF(CJ204&lt;&gt;"",BT204,"")</f>
        <v/>
      </c>
      <c r="CL204" s="301"/>
      <c r="CM204" s="305" t="str">
        <f>IFERROR(VLOOKUP(Q204,'Elenco Casse'!$D$4:$F$292,3,FALSE),"")</f>
        <v/>
      </c>
      <c r="CN204" s="301"/>
      <c r="CO204" s="305" t="str">
        <f>IFERROR(VLOOKUP(E204,Outlist!$A$5:$H$120,8,FALSE),"")</f>
        <v>ENB15458</v>
      </c>
      <c r="CP204" s="305" t="str">
        <f>IFERROR(IF(VLOOKUP($E204,Outlist!$A$5:$S$120,19,FALSE)&lt;&gt;0,"Y",""),"")</f>
        <v>Y</v>
      </c>
      <c r="CQ204" s="301"/>
      <c r="CR204" s="305" t="str">
        <f>CONCATENATE($B204,$E204,$G204)</f>
        <v>ERN17079QAR 20.0833333333357587</v>
      </c>
      <c r="CS204" s="301"/>
      <c r="CT204" s="305">
        <f>VLOOKUP(Out_Table[[#This Row],[Destination             ORANGE (From Planning)]],Outlist!$A$5:$W$120,22,FALSE)</f>
        <v>0</v>
      </c>
    </row>
    <row r="205" spans="1:98" s="20" customFormat="1" ht="30.75">
      <c r="A205" s="305" t="str">
        <f>$CR205</f>
        <v>ITD12219BEA0.28125</v>
      </c>
      <c r="B205" s="284" t="s">
        <v>1159</v>
      </c>
      <c r="C205" s="290" t="str">
        <f>IFERROR(IF(LEFT(B205,3)='STAT 77'!$X$2,_xlfn.XLOOKUP(B205,'STAT 77'!C:C,'STAT 77'!B:B),_xlfn.XLOOKUP(B205,'STAT 77'!B:B,'STAT 77'!C:C)),"NON TROVATO")</f>
        <v>ITD31114</v>
      </c>
      <c r="D205" s="25" t="s">
        <v>1160</v>
      </c>
      <c r="E205" s="290" t="s">
        <v>644</v>
      </c>
      <c r="F205" s="290" t="str">
        <f>IFERROR(VLOOKUP(E205,'Cambio O2P'!C:E,2,FALSE),"")</f>
        <v>AHOA</v>
      </c>
      <c r="G205" s="285">
        <v>0.28125</v>
      </c>
      <c r="H205" s="293" t="str">
        <f ca="1">IFERROR(IF(AND('INformazioni per calcoli'!$AB$3&lt;(--"14:30"),'INformazioni per calcoli'!$AB$3&gt;(--"10:00")),"",IF($B205="","",IF($X205&lt;&gt;"","Mezzo Chiuso",IF($W205="","Non al Carico",IF($G205-'INformazioni per calcoli'!$AB$5-'INformazioni per calcoli'!$AB$3+$J205&lt;0,"LFLS",IF($K205&lt;&gt;"","Safe Parking",IF($W205&lt;&gt;"",IF($E205="MXP",$G205-'INformazioni per calcoli'!$AB$6-'INformazioni per calcoli'!$AB$3+$J205,$G205-'INformazioni per calcoli'!$AB$5-'INformazioni per calcoli'!$AB$3+$J205),"Non al carico"))))))),"")</f>
        <v>Mezzo Chiuso</v>
      </c>
      <c r="I205" s="17" t="str">
        <f ca="1">IFERROR(IF($H205&lt;&gt;"",IF($H205="Safe Parking","",IF($W205&lt;&gt;"",IF(AND($U205="X",$V205="X"),$H205-(--"00:30"),""),IF($X205&lt;&gt;"","Mezzo Chiuso","Non al carico"))),""),"")</f>
        <v/>
      </c>
      <c r="J205" s="306">
        <f ca="1">IFERROR(IF($B205&lt;&gt;"",IF(AND('INformazioni per calcoli'!$AB$3&lt;(--"15:00"),'INformazioni per calcoli'!$AB$3&gt;(--"00:00")),0,IF($G205&lt;(--"18:30"),"+1",0)),""),"")</f>
        <v>0</v>
      </c>
      <c r="K205" s="17"/>
      <c r="L205" s="25" t="s">
        <v>427</v>
      </c>
      <c r="M205" s="25" t="str">
        <f>IFERROR(_xlfn.XLOOKUP($Q205,'Elenco Casse'!$D:$D,'Elenco Casse'!$E:$E),"")</f>
        <v/>
      </c>
      <c r="N205" s="25" t="str">
        <f>IFERROR(_xlfn.XLOOKUP($Q205,'Elenco Casse'!$D:$D,'Elenco Casse'!$F:$F),"")</f>
        <v/>
      </c>
      <c r="O205" s="286" t="s">
        <v>418</v>
      </c>
      <c r="P205" s="295" t="str">
        <f>IFERROR(_xlfn.XLOOKUP($Q205,'Elenco Casse'!$D:$D,'Elenco Casse'!$G:$G),"")</f>
        <v/>
      </c>
      <c r="Q205" s="355" t="s">
        <v>1161</v>
      </c>
      <c r="R205" s="23" t="s">
        <v>420</v>
      </c>
      <c r="S205" s="25" t="s">
        <v>421</v>
      </c>
      <c r="T205" s="25" t="s">
        <v>422</v>
      </c>
      <c r="U205" s="23"/>
      <c r="V205" s="23" t="s">
        <v>61</v>
      </c>
      <c r="W205" s="26">
        <v>834</v>
      </c>
      <c r="X205" s="27">
        <v>0.99583333333333335</v>
      </c>
      <c r="Y205" s="25"/>
      <c r="Z205" s="25"/>
      <c r="AA205" s="25" t="s">
        <v>487</v>
      </c>
      <c r="AB205" s="57">
        <v>1</v>
      </c>
      <c r="AC205" s="25"/>
      <c r="AD205" s="25"/>
      <c r="AE205" s="57"/>
      <c r="AF205" s="57"/>
      <c r="AG205" s="25" t="s">
        <v>488</v>
      </c>
      <c r="AH205" s="57"/>
      <c r="AI205" s="339"/>
      <c r="AJ205" s="339"/>
      <c r="AK205" s="297" t="str">
        <f>IF(X205&lt;&gt;"",CONCATENATE(IF(AA205&lt;&gt;"",CONCATENATE(Z205," ",AA205," ",BI205),""),IF(AD205&lt;&gt;"",CONCATENATE(","," ",AC205," ",AD205," ",BJ205),""),IF(AG205&lt;&gt;"",CONCATENATE(","," ",AF205," ",AG205," ",BK205),""),IF(AJ205&lt;&gt;"",CONCATENATE(","," ","DD"," ",BL205),"")," ",IF(AI205&lt;&gt;"",CONCATENATE(" - ",AI205," Bag"),"")),"")</f>
        <v xml:space="preserve"> FRT 14,  DG 0 </v>
      </c>
      <c r="AL205" s="287" t="s">
        <v>421</v>
      </c>
      <c r="AM205" s="287"/>
      <c r="AN205" s="287"/>
      <c r="AO205" s="287"/>
      <c r="AP205" s="370" t="str">
        <f>IFERROR(VLOOKUP(#REF!,Outlist!$A$5:$V$120,20,FALSE),"")</f>
        <v/>
      </c>
      <c r="AQ205" s="288" t="str">
        <f>IFERROR(IF(VLOOKUP($A205,#REF!,8,FALSE)&lt;&gt;"",VLOOKUP($A205,#REF!,8,FALSE),""),"")</f>
        <v/>
      </c>
      <c r="AS205" s="24"/>
      <c r="AT205" s="24">
        <v>0.59652777777777777</v>
      </c>
      <c r="AU205" s="27"/>
      <c r="AV205" s="27"/>
      <c r="AX205" s="20" t="str">
        <f>IFERROR(IF(Out_Table[[#This Row],[Cancellazione linea]]="Cancellata","yes",""),"")</f>
        <v/>
      </c>
      <c r="AY205" s="72" t="str">
        <f>IF(BA205="",BZ205,IF(AND(BA205&lt;(--"23:59:59"),BA205&gt;(--"15:00:00"),G205&lt;(--"14:00:00"),G205&gt;(--"00:00:01")),"",IF(BA205&gt;G205,BZ205,"")))</f>
        <v>Chiamare Control Room</v>
      </c>
      <c r="AZ205" s="27"/>
      <c r="BA205" s="32"/>
      <c r="BB205" s="72"/>
      <c r="BC205" s="72" t="str">
        <f>IFERROR(VLOOKUP(Out_Table[[#This Row],[Aggiornamento STATUS]],'INformazioni per calcoli'!$Y$70:$AA$76,2,FALSE),"")</f>
        <v/>
      </c>
      <c r="BD205" s="289"/>
      <c r="BE205" s="289"/>
      <c r="BF205" s="47" t="str">
        <f>LEFT($E205,3)</f>
        <v>BEA</v>
      </c>
      <c r="BG205" s="298" t="str">
        <f>IF(Out_Table[[#This Row],[Ora Uscita    (GH)]]&lt;&gt;"","x","")</f>
        <v/>
      </c>
      <c r="BH205" s="299">
        <f>VLOOKUP($O205,'INformazioni per calcoli'!$Y$20:$AA$23,3,FALSE)</f>
        <v>14</v>
      </c>
      <c r="BI205" s="299">
        <f>MROUND(Out_Table[[#This Row],[Mtr. Trailer]]*AB205,0.5)</f>
        <v>14</v>
      </c>
      <c r="BJ205" s="299">
        <f>MROUND(Out_Table[[#This Row],[Mtr. Trailer]]*AE205,0.5)</f>
        <v>0</v>
      </c>
      <c r="BK205" s="299">
        <f>MROUND(Out_Table[[#This Row],[Mtr. Trailer]]*AH205,0.5)</f>
        <v>0</v>
      </c>
      <c r="BL205" s="300">
        <f>Out_Table[[#This Row],[Double Deck trailer N° bumpers]]</f>
        <v>0</v>
      </c>
      <c r="BM205" s="301"/>
      <c r="BN205" s="299" t="str">
        <f>B205</f>
        <v>ITD12219</v>
      </c>
      <c r="BO205" s="299" t="str">
        <f>E205</f>
        <v>BEA</v>
      </c>
      <c r="BP205" s="302">
        <f>IF(AND(G205&gt;(--"00:00:01"),G205&lt;(--"15:00:00")),IF(AND(X205&gt;(--"00:00:01"),X205&lt;(--"15:00:00")),G205-X205,G205+1-X205),G205-X205)</f>
        <v>0.28541666666666665</v>
      </c>
      <c r="BQ205" s="303">
        <f>AE205+AF205+AH205+AJ205</f>
        <v>0</v>
      </c>
      <c r="BR205" s="304" t="str">
        <f>IF(OR(BP205&lt;=(--"00:20:00"),BQ205&gt;=100%),"OK","Not OK")</f>
        <v>Not OK</v>
      </c>
      <c r="BS205" s="302">
        <f>IF(AND(G205&gt;(--"00:00:01"),G205&lt;(--"15:00:00")),IF(AND(AU205&gt;(--"00:00:01"),AU205&lt;(--"15:00:00")),G205-AU205,G205+1-AU205),G205-AU205)</f>
        <v>1.28125</v>
      </c>
      <c r="BT205" s="302">
        <f>IF(AND(AZ205&gt;(--"00:00:01"),AZ205&lt;(--"15:00:00")),IF(AND(AU205&gt;(--"00:00:01"),AU205&lt;(--"15:00:00")),AZ205-AU205,AZ205+1-AU205),AZ205-AU205)</f>
        <v>0</v>
      </c>
      <c r="BU205" s="302">
        <f>IF(AND(BA205&gt;(--"00:00:01"),BA205&lt;(--"15:00:00")),IF(AND(AZ205&gt;(--"00:00:01"),AZ205&lt;(--"15:00:00")),BA205-AZ205,BA205+1-AZ205),BA205-AZ205)</f>
        <v>0</v>
      </c>
      <c r="BV205" s="299">
        <f>AV205</f>
        <v>0</v>
      </c>
      <c r="BW205" s="301"/>
      <c r="BX205" s="299" t="str">
        <f>IF(AV205="T Status",IF(AV205&lt;&gt;T205,"X",""),"")</f>
        <v/>
      </c>
      <c r="BY205" s="301"/>
      <c r="BZ205" s="299" t="str">
        <f>IF(X205&lt;&gt;"",IF(CC205="X","Driver Delay",IF(CA205="X","Paperwork Delay",IF(CB205="X","Late freight late sort",IF(CD205="X","Chiamare Control Room",IF(CE205="X","Chiamare Control Room",IF(CF205="X","Chiamare Control Room","")))))),"")</f>
        <v>Chiamare Control Room</v>
      </c>
      <c r="CA205" s="302" t="str">
        <f>IF(K205="",IF(IF(AND(G205&gt;(--"00:00:01"),G205&lt;(--"15:00:00")),IF(AND(AT205&gt;(--"08:00:00"),AT205&lt;(--"23:59:59")),G205+1-AT205,G205-AT205),G205-AT205)&gt;(--"00:20:00"),"","X"),"")</f>
        <v/>
      </c>
      <c r="CB205" s="299" t="str">
        <f>IF(K205="",IF(BP205&gt;=(--"00:20:00"),"","X"),"")</f>
        <v/>
      </c>
      <c r="CC205" s="299" t="str">
        <f>IF(OR(AV205="Autista non presente",AV205="Dati driver non presenti"),"X","")</f>
        <v/>
      </c>
      <c r="CD205" s="299" t="str">
        <f>IF(K205="",IF(AND(CC205="",BS205&lt;(--"00:20:00")),"X",""),"")</f>
        <v/>
      </c>
      <c r="CE205" s="299" t="str">
        <f>IF(K205="",IF(BT205&gt;(--"00:15:00"),"X",""),IF(AZ205&lt;&gt;"",IF(G205-AZ205&gt;(--"00:30:00"),"X",""),""))</f>
        <v/>
      </c>
      <c r="CF205" s="299" t="str">
        <f>IF(AND(CA205="",CB205="",CC205="",CD205="",CE205=""),"X","")</f>
        <v>X</v>
      </c>
      <c r="CG205" s="301"/>
      <c r="CH205" s="299" t="str">
        <f>IF(BT205&gt;(--"00:15:00"),"X","")</f>
        <v/>
      </c>
      <c r="CI205" s="302" t="str">
        <f>AY205</f>
        <v>Chiamare Control Room</v>
      </c>
      <c r="CJ205" s="299" t="str">
        <f>IF(AND(CH205&lt;&gt;"",CI205&lt;&gt;"",LEFT(B205,3)="ITD"),AP205,"")</f>
        <v/>
      </c>
      <c r="CK205" s="305" t="str">
        <f>IF(CJ205&lt;&gt;"",BT205,"")</f>
        <v/>
      </c>
      <c r="CL205" s="301"/>
      <c r="CM205" s="305" t="str">
        <f>IFERROR(VLOOKUP(Q205,'Elenco Casse'!$D$4:$F$292,3,FALSE),"")</f>
        <v/>
      </c>
      <c r="CN205" s="301"/>
      <c r="CO205" s="305" t="str">
        <f>IFERROR(VLOOKUP(S205,'Elenco Casse'!$D$4:$F$292,3,FALSE),"")</f>
        <v/>
      </c>
      <c r="CP205" s="305" t="str">
        <f>IFERROR(IF(VLOOKUP($E205,Outlist!$A$5:$S$120,19,FALSE)&lt;&gt;0,"Y",""),"")</f>
        <v/>
      </c>
      <c r="CQ205" s="301"/>
      <c r="CR205" s="305" t="str">
        <f>CONCATENATE($B205,$E205,$G205)</f>
        <v>ITD12219BEA0.28125</v>
      </c>
      <c r="CS205" s="301"/>
      <c r="CT205" s="305" t="e">
        <f>VLOOKUP(Out_Table[[#This Row],[Destination             ORANGE (From Planning)]],Outlist!$A$5:$W$120,22,FALSE)</f>
        <v>#N/A</v>
      </c>
    </row>
    <row r="206" spans="1:98" s="20" customFormat="1" ht="15">
      <c r="A206" s="305" t="str">
        <f>$CR206</f>
        <v>ITD12209RNV0.291666666666667</v>
      </c>
      <c r="B206" s="284" t="s">
        <v>1162</v>
      </c>
      <c r="C206" s="290" t="str">
        <f>IFERROR(IF(LEFT(B206,3)='STAT 77'!$X$2,_xlfn.XLOOKUP(B206,'STAT 77'!C:C,'STAT 77'!B:B),_xlfn.XLOOKUP(B206,'STAT 77'!B:B,'STAT 77'!C:C)),"NON TROVATO")</f>
        <v>ITD31086</v>
      </c>
      <c r="D206" s="25" t="s">
        <v>878</v>
      </c>
      <c r="E206" s="290" t="s">
        <v>874</v>
      </c>
      <c r="F206" s="290" t="str">
        <f>IFERROR(VLOOKUP(E206,'Cambio O2P'!C:E,2,FALSE),"")</f>
        <v>QEAA</v>
      </c>
      <c r="G206" s="285">
        <v>0.29166666666666669</v>
      </c>
      <c r="H206" s="293">
        <f ca="1">IFERROR(IF(AND('INformazioni per calcoli'!$AB$3&lt;(--"14:30"),'INformazioni per calcoli'!$AB$3&gt;(--"10:00")),"",IF($B206="","",IF($X206&lt;&gt;"","Mezzo Chiuso",IF($W206="","Non al Carico",IF($G206-'INformazioni per calcoli'!$AB$5-'INformazioni per calcoli'!$AB$3+$J206&lt;0,"LFLS",IF($K206&lt;&gt;"","Safe Parking",IF($W206&lt;&gt;"",IF($E206="MXP",$G206-'INformazioni per calcoli'!$AB$6-'INformazioni per calcoli'!$AB$3+$J206,$G206-'INformazioni per calcoli'!$AB$5-'INformazioni per calcoli'!$AB$3+$J206),"Non al carico"))))))),"")</f>
        <v>0.13231481481481483</v>
      </c>
      <c r="I206" s="17" t="str">
        <f ca="1">IFERROR(IF($H206&lt;&gt;"",IF($H206="Safe Parking","",IF($W206&lt;&gt;"",IF(AND($U206="X",$V206="X"),$H206-(--"00:30"),""),IF($X206&lt;&gt;"","Mezzo Chiuso","Non al carico"))),""),"")</f>
        <v/>
      </c>
      <c r="J206" s="306">
        <f ca="1">IFERROR(IF($B206&lt;&gt;"",IF(AND('INformazioni per calcoli'!$AB$3&lt;(--"15:00"),'INformazioni per calcoli'!$AB$3&gt;(--"00:00")),0,IF($G206&lt;(--"18:30"),"+1",0)),""),"")</f>
        <v>0</v>
      </c>
      <c r="K206" s="17"/>
      <c r="L206" s="25" t="s">
        <v>606</v>
      </c>
      <c r="M206" s="25" t="str">
        <f>IFERROR(_xlfn.XLOOKUP($Q206,'Elenco Casse'!$D:$D,'Elenco Casse'!$E:$E),"")</f>
        <v>Tonia Trasporti S.R.L.</v>
      </c>
      <c r="N206" s="25">
        <f>IFERROR(_xlfn.XLOOKUP($Q206,'Elenco Casse'!$D:$D,'Elenco Casse'!$F:$F),"")</f>
        <v>0</v>
      </c>
      <c r="O206" s="286" t="s">
        <v>418</v>
      </c>
      <c r="P206" s="295" t="str">
        <f>IFERROR(_xlfn.XLOOKUP($Q206,'Elenco Casse'!$D:$D,'Elenco Casse'!$G:$G),"")</f>
        <v>trailer 80 m3 2/3 axes</v>
      </c>
      <c r="Q206" s="355" t="s">
        <v>1163</v>
      </c>
      <c r="R206" s="23" t="s">
        <v>420</v>
      </c>
      <c r="S206" s="25" t="s">
        <v>421</v>
      </c>
      <c r="T206" s="25" t="s">
        <v>599</v>
      </c>
      <c r="U206" s="23" t="str">
        <f>IF(ISNUMBER(SEARCH("Parcel",$T206)),"X","")</f>
        <v/>
      </c>
      <c r="V206" s="23" t="str">
        <f>IF(ISNUMBER(SEARCH("Freight",$T206)),"X","")</f>
        <v>X</v>
      </c>
      <c r="W206" s="26">
        <v>835</v>
      </c>
      <c r="X206" s="27"/>
      <c r="Y206" s="25"/>
      <c r="Z206" s="25"/>
      <c r="AA206" s="25" t="s">
        <v>487</v>
      </c>
      <c r="AB206" s="57"/>
      <c r="AC206" s="25"/>
      <c r="AD206" s="25"/>
      <c r="AE206" s="57"/>
      <c r="AF206" s="57"/>
      <c r="AG206" s="25" t="s">
        <v>488</v>
      </c>
      <c r="AH206" s="57"/>
      <c r="AI206" s="339"/>
      <c r="AJ206" s="339"/>
      <c r="AK206" s="297" t="str">
        <f>IF(X206&lt;&gt;"",CONCATENATE(IF(AA206&lt;&gt;"",CONCATENATE(Z206," ",AA206," ",BI206),""),IF(AD206&lt;&gt;"",CONCATENATE(","," ",AC206," ",AD206," ",BJ206),""),IF(AG206&lt;&gt;"",CONCATENATE(","," ",AF206," ",AG206," ",BK206),""),IF(AJ206&lt;&gt;"",CONCATENATE(","," ","DD"," ",BL206),"")," ",IF(AI206&lt;&gt;"",CONCATENATE(" - ",AI206," Bag"),"")),"")</f>
        <v/>
      </c>
      <c r="AL206" s="287"/>
      <c r="AM206" s="287"/>
      <c r="AN206" s="287"/>
      <c r="AO206" s="287"/>
      <c r="AP206" s="370">
        <f>IFERROR(VLOOKUP($E203,Outlist!$A$5:$V$120,20,FALSE),"")</f>
        <v>0</v>
      </c>
      <c r="AQ206" s="288" t="str">
        <f>IFERROR(IF(VLOOKUP($A206,#REF!,8,FALSE)&lt;&gt;"",VLOOKUP($A206,#REF!,8,FALSE),""),"")</f>
        <v/>
      </c>
      <c r="AS206" s="24"/>
      <c r="AT206" s="24">
        <v>2.1527777777777778E-2</v>
      </c>
      <c r="AU206" s="27"/>
      <c r="AV206" s="27"/>
      <c r="AX206" s="20" t="str">
        <f>IFERROR(IF(Out_Table[[#This Row],[Cancellazione linea]]="Cancellata","yes",""),"")</f>
        <v/>
      </c>
      <c r="AY206" s="72" t="str">
        <f>IF(BA206="",BZ206,IF(AND(BA206&lt;(--"23:59:59"),BA206&gt;(--"15:00:00"),G206&lt;(--"14:00:00"),G206&gt;(--"00:00:01")),"",IF(BA206&gt;G206,BZ206,"")))</f>
        <v/>
      </c>
      <c r="AZ206" s="27"/>
      <c r="BA206" s="32"/>
      <c r="BB206" s="72"/>
      <c r="BC206" s="72" t="str">
        <f>IFERROR(VLOOKUP(Out_Table[[#This Row],[Aggiornamento STATUS]],'INformazioni per calcoli'!$Y$70:$AA$76,2,FALSE),"")</f>
        <v/>
      </c>
      <c r="BD206" s="289"/>
      <c r="BE206" s="289"/>
      <c r="BF206" s="47" t="str">
        <f>LEFT($E206,3)</f>
        <v>RNV</v>
      </c>
      <c r="BG206" s="298" t="str">
        <f>IF(Out_Table[[#This Row],[Ora Uscita    (GH)]]&lt;&gt;"","x","")</f>
        <v/>
      </c>
      <c r="BH206" s="299">
        <f>VLOOKUP($O206,'INformazioni per calcoli'!$Y$20:$AA$23,3,FALSE)</f>
        <v>14</v>
      </c>
      <c r="BI206" s="299">
        <f>MROUND(Out_Table[[#This Row],[Mtr. Trailer]]*AB206,0.5)</f>
        <v>0</v>
      </c>
      <c r="BJ206" s="299">
        <f>MROUND(Out_Table[[#This Row],[Mtr. Trailer]]*AE206,0.5)</f>
        <v>0</v>
      </c>
      <c r="BK206" s="299">
        <f>MROUND(Out_Table[[#This Row],[Mtr. Trailer]]*AH206,0.5)</f>
        <v>0</v>
      </c>
      <c r="BL206" s="300">
        <f>Out_Table[[#This Row],[Double Deck trailer N° bumpers]]</f>
        <v>0</v>
      </c>
      <c r="BM206" s="301"/>
      <c r="BN206" s="299" t="str">
        <f>B206</f>
        <v>ITD12209</v>
      </c>
      <c r="BO206" s="299" t="str">
        <f>E206</f>
        <v>RNV</v>
      </c>
      <c r="BP206" s="302">
        <f>IF(AND(G206&gt;(--"00:00:01"),G206&lt;(--"15:00:00")),IF(AND(X206&gt;(--"00:00:01"),X206&lt;(--"15:00:00")),G206-X206,G206+1-X206),G206-X206)</f>
        <v>1.2916666666666667</v>
      </c>
      <c r="BQ206" s="303">
        <f>AE206+AF206+AH206+AJ206</f>
        <v>0</v>
      </c>
      <c r="BR206" s="304" t="str">
        <f>IF(OR(BP206&lt;=(--"00:20:00"),BQ206&gt;=100%),"OK","Not OK")</f>
        <v>Not OK</v>
      </c>
      <c r="BS206" s="302">
        <f>IF(AND(G206&gt;(--"00:00:01"),G206&lt;(--"15:00:00")),IF(AND(AU206&gt;(--"00:00:01"),AU206&lt;(--"15:00:00")),G206-AU206,G206+1-AU206),G206-AU206)</f>
        <v>1.2916666666666667</v>
      </c>
      <c r="BT206" s="302">
        <f>IF(AND(AZ206&gt;(--"00:00:01"),AZ206&lt;(--"15:00:00")),IF(AND(AU206&gt;(--"00:00:01"),AU206&lt;(--"15:00:00")),AZ206-AU206,AZ206+1-AU206),AZ206-AU206)</f>
        <v>0</v>
      </c>
      <c r="BU206" s="302">
        <f>IF(AND(BA206&gt;(--"00:00:01"),BA206&lt;(--"15:00:00")),IF(AND(AZ206&gt;(--"00:00:01"),AZ206&lt;(--"15:00:00")),BA206-AZ206,BA206+1-AZ206),BA206-AZ206)</f>
        <v>0</v>
      </c>
      <c r="BV206" s="299">
        <f>AV206</f>
        <v>0</v>
      </c>
      <c r="BW206" s="301"/>
      <c r="BX206" s="299" t="str">
        <f>IF(AV206="T Status",IF(AV206&lt;&gt;T206,"X",""),"")</f>
        <v/>
      </c>
      <c r="BY206" s="301"/>
      <c r="BZ206" s="299" t="str">
        <f>IF(X206&lt;&gt;"",IF(CC206="X","Driver Delay",IF(CA206="X","Paperwork Delay",IF(CB206="X","Late freight late sort",IF(CD206="X","Chiamare Control Room",IF(CE206="X","Chiamare Control Room",IF(CF206="X","Chiamare Control Room","")))))),"")</f>
        <v/>
      </c>
      <c r="CA206" s="302" t="str">
        <f>IF(K206="",IF(IF(AND(G206&gt;(--"00:00:01"),G206&lt;(--"15:00:00")),IF(AND(AT206&gt;(--"08:00:00"),AT206&lt;(--"23:59:59")),G206+1-AT206,G206-AT206),G206-AT206)&gt;(--"00:20:00"),"","X"),"")</f>
        <v/>
      </c>
      <c r="CB206" s="299" t="str">
        <f>IF(K206="",IF(BP206&gt;=(--"00:20:00"),"","X"),"")</f>
        <v/>
      </c>
      <c r="CC206" s="299" t="str">
        <f>IF(OR(AV206="Autista non presente",AV206="Dati driver non presenti"),"X","")</f>
        <v/>
      </c>
      <c r="CD206" s="299" t="str">
        <f>IF(K206="",IF(AND(CC206="",BS206&lt;(--"00:20:00")),"X",""),"")</f>
        <v/>
      </c>
      <c r="CE206" s="299" t="str">
        <f>IF(K206="",IF(BT206&gt;(--"00:15:00"),"X",""),IF(AZ206&lt;&gt;"",IF(G206-AZ206&gt;(--"00:30:00"),"X",""),""))</f>
        <v/>
      </c>
      <c r="CF206" s="299" t="str">
        <f>IF(AND(CA206="",CB206="",CC206="",CD206="",CE206=""),"X","")</f>
        <v>X</v>
      </c>
      <c r="CG206" s="301"/>
      <c r="CH206" s="299" t="str">
        <f>IF(BT206&gt;(--"00:15:00"),"X","")</f>
        <v/>
      </c>
      <c r="CI206" s="302" t="str">
        <f>AY206</f>
        <v/>
      </c>
      <c r="CJ206" s="299" t="str">
        <f>IF(AND(CH206&lt;&gt;"",CI206&lt;&gt;"",LEFT(B206,3)="ITD"),AP206,"")</f>
        <v/>
      </c>
      <c r="CK206" s="305" t="str">
        <f>IF(CJ206&lt;&gt;"",BT206,"")</f>
        <v/>
      </c>
      <c r="CL206" s="301"/>
      <c r="CM206" s="305" t="str">
        <f>IFERROR(VLOOKUP(Q206,'Elenco Casse'!$D$4:$F$292,3,FALSE),"")</f>
        <v/>
      </c>
      <c r="CN206" s="301"/>
      <c r="CO206" s="305" t="str">
        <f>IFERROR(VLOOKUP(S206,'Elenco Casse'!$D$4:$F$292,3,FALSE),"")</f>
        <v/>
      </c>
      <c r="CP206" s="305" t="str">
        <f>IFERROR(IF(VLOOKUP($E206,Outlist!$A$5:$S$120,19,FALSE)&lt;&gt;0,"Y",""),"")</f>
        <v/>
      </c>
      <c r="CQ206" s="301"/>
      <c r="CR206" s="305" t="str">
        <f>CONCATENATE($B206,$E206,$G206)</f>
        <v>ITD12209RNV0.291666666666667</v>
      </c>
      <c r="CS206" s="301"/>
      <c r="CT206" s="305" t="e">
        <f>VLOOKUP(Out_Table[[#This Row],[Destination             ORANGE (From Planning)]],Outlist!$A$5:$W$120,22,FALSE)</f>
        <v>#N/A</v>
      </c>
    </row>
    <row r="207" spans="1:98" s="20" customFormat="1" ht="30.75">
      <c r="A207" s="305" t="str">
        <f>$CR207</f>
        <v>ITD12888QAL0.21875</v>
      </c>
      <c r="B207" s="284" t="s">
        <v>1164</v>
      </c>
      <c r="C207" s="290" t="str">
        <f>IFERROR(IF(LEFT(B207,3)='STAT 77'!$X$2,_xlfn.XLOOKUP(B207,'STAT 77'!C:C,'STAT 77'!B:B),_xlfn.XLOOKUP(B207,'STAT 77'!B:B,'STAT 77'!C:C)),"NON TROVATO")</f>
        <v>ITD32514</v>
      </c>
      <c r="D207" s="25" t="s">
        <v>1165</v>
      </c>
      <c r="E207" s="290" t="s">
        <v>450</v>
      </c>
      <c r="F207" s="290" t="str">
        <f>IFERROR(VLOOKUP(E207,'Cambio O2P'!C:E,2,FALSE),"")</f>
        <v>QALT8</v>
      </c>
      <c r="G207" s="285">
        <v>0.21875</v>
      </c>
      <c r="H207" s="293" t="str">
        <f ca="1">IFERROR(IF(AND('INformazioni per calcoli'!$AB$3&lt;(--"14:30"),'INformazioni per calcoli'!$AB$3&gt;(--"10:00")),"",IF($B207="","",IF($X207&lt;&gt;"","Mezzo Chiuso",IF($W207="","Non al Carico",IF($G207-'INformazioni per calcoli'!$AB$5-'INformazioni per calcoli'!$AB$3+$J207&lt;0,"LFLS",IF($K207&lt;&gt;"","Safe Parking",IF($W207&lt;&gt;"",IF($E207="MXP",$G207-'INformazioni per calcoli'!$AB$6-'INformazioni per calcoli'!$AB$3+$J207,$G207-'INformazioni per calcoli'!$AB$5-'INformazioni per calcoli'!$AB$3+$J207),"Non al carico"))))))),"")</f>
        <v>Mezzo Chiuso</v>
      </c>
      <c r="I207" s="17" t="str">
        <f ca="1">IFERROR(IF($H207&lt;&gt;"",IF($H207="Safe Parking","",IF($W207&lt;&gt;"",IF(AND($U207="X",$V207="X"),$H207-(--"00:30"),""),IF($X207&lt;&gt;"","Mezzo Chiuso","Non al carico"))),""),"")</f>
        <v/>
      </c>
      <c r="J207" s="306">
        <f ca="1">IFERROR(IF($B207&lt;&gt;"",IF(AND('INformazioni per calcoli'!$AB$3&lt;(--"15:00"),'INformazioni per calcoli'!$AB$3&gt;(--"00:00")),0,IF($G207&lt;(--"18:30"),"+1",0)),""),"")</f>
        <v>0</v>
      </c>
      <c r="K207" s="27"/>
      <c r="L207" s="25" t="s">
        <v>430</v>
      </c>
      <c r="M207" s="25" t="str">
        <f>IFERROR(_xlfn.XLOOKUP($Q207,'Elenco Casse'!$D:$D,'Elenco Casse'!$E:$E),"")</f>
        <v>Trans Speedy S.R.L</v>
      </c>
      <c r="N207" s="25">
        <f>IFERROR(_xlfn.XLOOKUP($Q207,'Elenco Casse'!$D:$D,'Elenco Casse'!$F:$F),"")</f>
        <v>0</v>
      </c>
      <c r="O207" s="286" t="s">
        <v>418</v>
      </c>
      <c r="P207" s="295" t="str">
        <f>IFERROR(_xlfn.XLOOKUP($Q207,'Elenco Casse'!$D:$D,'Elenco Casse'!$G:$G),"")</f>
        <v>trailer 80 m3 2/3 axes</v>
      </c>
      <c r="Q207" s="355" t="s">
        <v>1166</v>
      </c>
      <c r="R207" s="23" t="s">
        <v>420</v>
      </c>
      <c r="S207" s="25" t="s">
        <v>421</v>
      </c>
      <c r="T207" s="25" t="s">
        <v>599</v>
      </c>
      <c r="U207" s="23" t="str">
        <f>IF(ISNUMBER(SEARCH("Parcel",$T207)),"X","")</f>
        <v/>
      </c>
      <c r="V207" s="23" t="str">
        <f>IF(ISNUMBER(SEARCH("Freight",$T207)),"X","")</f>
        <v>X</v>
      </c>
      <c r="W207" s="26">
        <v>836</v>
      </c>
      <c r="X207" s="27">
        <v>8.4027777777777785E-2</v>
      </c>
      <c r="Y207" s="25" t="s">
        <v>1167</v>
      </c>
      <c r="Z207" s="25"/>
      <c r="AA207" s="25" t="s">
        <v>487</v>
      </c>
      <c r="AB207" s="57">
        <v>1</v>
      </c>
      <c r="AC207" s="25"/>
      <c r="AD207" s="25"/>
      <c r="AE207" s="57"/>
      <c r="AF207" s="57"/>
      <c r="AG207" s="25" t="s">
        <v>488</v>
      </c>
      <c r="AH207" s="57"/>
      <c r="AI207" s="339"/>
      <c r="AJ207" s="339"/>
      <c r="AK207" s="297" t="str">
        <f>IF(X207&lt;&gt;"",CONCATENATE(IF(AA207&lt;&gt;"",CONCATENATE(Z207," ",AA207," ",BI207),""),IF(AD207&lt;&gt;"",CONCATENATE(","," ",AC207," ",AD207," ",BJ207),""),IF(AG207&lt;&gt;"",CONCATENATE(","," ",AF207," ",AG207," ",BK207),""),IF(AJ207&lt;&gt;"",CONCATENATE(","," ","DD"," ",BL207),"")," ",IF(AI207&lt;&gt;"",CONCATENATE(" - ",AI207," Bag"),"")),"")</f>
        <v xml:space="preserve"> FRT 14,  DG 0 </v>
      </c>
      <c r="AL207" s="287" t="s">
        <v>870</v>
      </c>
      <c r="AM207" s="287"/>
      <c r="AN207" s="287"/>
      <c r="AO207" s="287"/>
      <c r="AP207" s="370">
        <f>IFERROR(VLOOKUP($E204,Outlist!$A$5:$V$120,20,FALSE),"")</f>
        <v>0</v>
      </c>
      <c r="AQ207" s="288" t="str">
        <f>IFERROR(IF(VLOOKUP($A207,#REF!,8,FALSE)&lt;&gt;"",VLOOKUP($A207,#REF!,8,FALSE),""),"")</f>
        <v/>
      </c>
      <c r="AS207" s="24"/>
      <c r="AT207" s="24">
        <v>0.99930555555555556</v>
      </c>
      <c r="AU207" s="27"/>
      <c r="AV207" s="27"/>
      <c r="AX207" s="20" t="str">
        <f>IFERROR(IF(Out_Table[[#This Row],[Cancellazione linea]]="Cancellata","yes",""),"")</f>
        <v/>
      </c>
      <c r="AY207" s="72" t="str">
        <f>IF(BA207="",BZ207,IF(AND(BA207&lt;(--"23:59:59"),BA207&gt;(--"15:00:00"),G207&lt;(--"14:00:00"),G207&gt;(--"00:00:01")),"",IF(BA207&gt;G207,BZ207,"")))</f>
        <v>Chiamare Control Room</v>
      </c>
      <c r="AZ207" s="27"/>
      <c r="BA207" s="32"/>
      <c r="BB207" s="72"/>
      <c r="BC207" s="72" t="str">
        <f>IFERROR(VLOOKUP(Out_Table[[#This Row],[Aggiornamento STATUS]],'INformazioni per calcoli'!$Y$70:$AA$76,2,FALSE),"")</f>
        <v/>
      </c>
      <c r="BD207" s="289"/>
      <c r="BE207" s="289"/>
      <c r="BF207" s="47" t="str">
        <f>LEFT($E207,3)</f>
        <v>QAL</v>
      </c>
      <c r="BG207" s="298" t="str">
        <f>IF(Out_Table[[#This Row],[Ora Uscita    (GH)]]&lt;&gt;"","x","")</f>
        <v/>
      </c>
      <c r="BH207" s="299">
        <f>VLOOKUP($O207,'INformazioni per calcoli'!$Y$20:$AA$23,3,FALSE)</f>
        <v>14</v>
      </c>
      <c r="BI207" s="299">
        <f>MROUND(Out_Table[[#This Row],[Mtr. Trailer]]*AB207,0.5)</f>
        <v>14</v>
      </c>
      <c r="BJ207" s="299">
        <f>MROUND(Out_Table[[#This Row],[Mtr. Trailer]]*AE207,0.5)</f>
        <v>0</v>
      </c>
      <c r="BK207" s="299">
        <f>MROUND(Out_Table[[#This Row],[Mtr. Trailer]]*AH207,0.5)</f>
        <v>0</v>
      </c>
      <c r="BL207" s="300">
        <f>Out_Table[[#This Row],[Double Deck trailer N° bumpers]]</f>
        <v>0</v>
      </c>
      <c r="BM207" s="301"/>
      <c r="BN207" s="299" t="str">
        <f>B207</f>
        <v>ITD12888</v>
      </c>
      <c r="BO207" s="299" t="str">
        <f>E207</f>
        <v>QAL</v>
      </c>
      <c r="BP207" s="302">
        <f>IF(AND(G207&gt;(--"00:00:01"),G207&lt;(--"15:00:00")),IF(AND(X207&gt;(--"00:00:01"),X207&lt;(--"15:00:00")),G207-X207,G207+1-X207),G207-X207)</f>
        <v>0.13472222222222222</v>
      </c>
      <c r="BQ207" s="303">
        <f>AE207+AF207+AH207+AJ207</f>
        <v>0</v>
      </c>
      <c r="BR207" s="304" t="str">
        <f>IF(OR(BP207&lt;=(--"00:20:00"),BQ207&gt;=100%),"OK","Not OK")</f>
        <v>Not OK</v>
      </c>
      <c r="BS207" s="302">
        <f>IF(AND(G207&gt;(--"00:00:01"),G207&lt;(--"15:00:00")),IF(AND(AU207&gt;(--"00:00:01"),AU207&lt;(--"15:00:00")),G207-AU207,G207+1-AU207),G207-AU207)</f>
        <v>1.21875</v>
      </c>
      <c r="BT207" s="302">
        <f>IF(AND(AZ207&gt;(--"00:00:01"),AZ207&lt;(--"15:00:00")),IF(AND(AU207&gt;(--"00:00:01"),AU207&lt;(--"15:00:00")),AZ207-AU207,AZ207+1-AU207),AZ207-AU207)</f>
        <v>0</v>
      </c>
      <c r="BU207" s="302">
        <f>IF(AND(BA207&gt;(--"00:00:01"),BA207&lt;(--"15:00:00")),IF(AND(AZ207&gt;(--"00:00:01"),AZ207&lt;(--"15:00:00")),BA207-AZ207,BA207+1-AZ207),BA207-AZ207)</f>
        <v>0</v>
      </c>
      <c r="BV207" s="299">
        <f>AV207</f>
        <v>0</v>
      </c>
      <c r="BW207" s="301"/>
      <c r="BX207" s="299" t="str">
        <f>IF(AV207="T Status",IF(AV207&lt;&gt;T207,"X",""),"")</f>
        <v/>
      </c>
      <c r="BY207" s="301"/>
      <c r="BZ207" s="299" t="str">
        <f>IF(X207&lt;&gt;"",IF(CC207="X","Driver Delay",IF(CA207="X","Paperwork Delay",IF(CB207="X","Late freight late sort",IF(CD207="X","Chiamare Control Room",IF(CE207="X","Chiamare Control Room",IF(CF207="X","Chiamare Control Room","")))))),"")</f>
        <v>Chiamare Control Room</v>
      </c>
      <c r="CA207" s="302" t="str">
        <f>IF(K207="",IF(IF(AND(G207&gt;(--"00:00:01"),G207&lt;(--"15:00:00")),IF(AND(AT207&gt;(--"08:00:00"),AT207&lt;(--"23:59:59")),G207+1-AT207,G207-AT207),G207-AT207)&gt;(--"00:20:00"),"","X"),"")</f>
        <v/>
      </c>
      <c r="CB207" s="299" t="str">
        <f>IF(K207="",IF(BP207&gt;=(--"00:20:00"),"","X"),"")</f>
        <v/>
      </c>
      <c r="CC207" s="299" t="str">
        <f>IF(OR(AV207="Autista non presente",AV207="Dati driver non presenti"),"X","")</f>
        <v/>
      </c>
      <c r="CD207" s="299" t="str">
        <f>IF(K207="",IF(AND(CC207="",BS207&lt;(--"00:20:00")),"X",""),"")</f>
        <v/>
      </c>
      <c r="CE207" s="299" t="str">
        <f>IF(K207="",IF(BT207&gt;(--"00:15:00"),"X",""),IF(AZ207&lt;&gt;"",IF(G207-AZ207&gt;(--"00:30:00"),"X",""),""))</f>
        <v/>
      </c>
      <c r="CF207" s="299" t="str">
        <f>IF(AND(CA207="",CB207="",CC207="",CD207="",CE207=""),"X","")</f>
        <v>X</v>
      </c>
      <c r="CG207" s="301"/>
      <c r="CH207" s="299" t="str">
        <f>IF(BT207&gt;(--"00:15:00"),"X","")</f>
        <v/>
      </c>
      <c r="CI207" s="302" t="str">
        <f>AY207</f>
        <v>Chiamare Control Room</v>
      </c>
      <c r="CJ207" s="299" t="str">
        <f>IF(AND(CH207&lt;&gt;"",CI207&lt;&gt;"",LEFT(B207,3)="ITD"),AP207,"")</f>
        <v/>
      </c>
      <c r="CK207" s="305" t="str">
        <f>IF(CJ207&lt;&gt;"",BT207,"")</f>
        <v/>
      </c>
      <c r="CL207" s="301"/>
      <c r="CM207" s="305" t="str">
        <f>IFERROR(VLOOKUP(Q207,'Elenco Casse'!$D$4:$F$292,3,FALSE),"")</f>
        <v/>
      </c>
      <c r="CN207" s="301"/>
      <c r="CO207" s="305" t="str">
        <f>IFERROR(VLOOKUP(S207,'Elenco Casse'!$D$4:$F$292,3,FALSE),"")</f>
        <v/>
      </c>
      <c r="CP207" s="305" t="str">
        <f>IFERROR(IF(VLOOKUP($E207,Outlist!$A$5:$S$120,19,FALSE)&lt;&gt;0,"Y",""),"")</f>
        <v/>
      </c>
      <c r="CQ207" s="301"/>
      <c r="CR207" s="305" t="str">
        <f>CONCATENATE($B207,$E207,$G207)</f>
        <v>ITD12888QAL0.21875</v>
      </c>
      <c r="CS207" s="301"/>
      <c r="CT207" s="305" t="e">
        <f>VLOOKUP(Out_Table[[#This Row],[Destination             ORANGE (From Planning)]],Outlist!$A$5:$W$120,22,FALSE)</f>
        <v>#N/A</v>
      </c>
    </row>
    <row r="208" spans="1:98" s="20" customFormat="1" ht="30.75">
      <c r="A208" s="305" t="str">
        <f>$CR208</f>
        <v>ITD12266VBS0.229166666666667</v>
      </c>
      <c r="B208" s="284" t="s">
        <v>1168</v>
      </c>
      <c r="C208" s="290" t="str">
        <f>IFERROR(IF(LEFT(B208,3)='STAT 77'!$X$2,_xlfn.XLOOKUP(B208,'STAT 77'!C:C,'STAT 77'!B:B),_xlfn.XLOOKUP(B208,'STAT 77'!B:B,'STAT 77'!C:C)),"NON TROVATO")</f>
        <v>ITD31247</v>
      </c>
      <c r="D208" s="25" t="s">
        <v>1169</v>
      </c>
      <c r="E208" s="290" t="s">
        <v>573</v>
      </c>
      <c r="F208" s="290" t="str">
        <f>IFERROR(VLOOKUP(E208,'Cambio O2P'!C:E,2,FALSE),"")</f>
        <v>VBST8</v>
      </c>
      <c r="G208" s="285">
        <v>0.22916666666666666</v>
      </c>
      <c r="H208" s="293" t="str">
        <f ca="1">IFERROR(IF(AND('INformazioni per calcoli'!$AB$3&lt;(--"14:30"),'INformazioni per calcoli'!$AB$3&gt;(--"10:00")),"",IF($B208="","",IF($X208&lt;&gt;"","Mezzo Chiuso",IF($W208="","Non al Carico",IF($G208-'INformazioni per calcoli'!$AB$5-'INformazioni per calcoli'!$AB$3+$J208&lt;0,"LFLS",IF($K208&lt;&gt;"","Safe Parking",IF($W208&lt;&gt;"",IF($E208="MXP",$G208-'INformazioni per calcoli'!$AB$6-'INformazioni per calcoli'!$AB$3+$J208,$G208-'INformazioni per calcoli'!$AB$5-'INformazioni per calcoli'!$AB$3+$J208),"Non al carico"))))))),"")</f>
        <v>Mezzo Chiuso</v>
      </c>
      <c r="I208" s="17" t="str">
        <f ca="1">IFERROR(IF($H208&lt;&gt;"",IF($H208="Safe Parking","",IF($W208&lt;&gt;"",IF(AND($U208="X",$V208="X"),$H208-(--"00:30"),""),IF($X208&lt;&gt;"","Mezzo Chiuso","Non al carico"))),""),"")</f>
        <v/>
      </c>
      <c r="J208" s="306">
        <f ca="1">IFERROR(IF($B208&lt;&gt;"",IF(AND('INformazioni per calcoli'!$AB$3&lt;(--"15:00"),'INformazioni per calcoli'!$AB$3&gt;(--"00:00")),0,IF($G208&lt;(--"18:30"),"+1",0)),""),"")</f>
        <v>0</v>
      </c>
      <c r="K208" s="17"/>
      <c r="L208" s="25" t="s">
        <v>52</v>
      </c>
      <c r="M208" s="25" t="str">
        <f>IFERROR(_xlfn.XLOOKUP($Q208,'Elenco Casse'!$D:$D,'Elenco Casse'!$E:$E),"")</f>
        <v/>
      </c>
      <c r="N208" s="25" t="str">
        <f>IFERROR(_xlfn.XLOOKUP($Q208,'Elenco Casse'!$D:$D,'Elenco Casse'!$F:$F),"")</f>
        <v/>
      </c>
      <c r="O208" s="286" t="s">
        <v>418</v>
      </c>
      <c r="P208" s="295" t="str">
        <f>IFERROR(_xlfn.XLOOKUP($Q208,'Elenco Casse'!$D:$D,'Elenco Casse'!$G:$G),"")</f>
        <v/>
      </c>
      <c r="Q208" s="355" t="s">
        <v>1170</v>
      </c>
      <c r="R208" s="23" t="s">
        <v>420</v>
      </c>
      <c r="S208" s="25" t="s">
        <v>421</v>
      </c>
      <c r="T208" s="25" t="s">
        <v>599</v>
      </c>
      <c r="U208" s="23" t="str">
        <f>IF(ISNUMBER(SEARCH("Parcel",$T208)),"X","")</f>
        <v/>
      </c>
      <c r="V208" s="23" t="str">
        <f>IF(ISNUMBER(SEARCH("Freight",$T208)),"X","")</f>
        <v>X</v>
      </c>
      <c r="W208" s="26">
        <v>837</v>
      </c>
      <c r="X208" s="27">
        <v>7.4999999999999997E-2</v>
      </c>
      <c r="Y208" s="25"/>
      <c r="Z208" s="25"/>
      <c r="AA208" s="25" t="s">
        <v>487</v>
      </c>
      <c r="AB208" s="57">
        <v>1</v>
      </c>
      <c r="AC208" s="25"/>
      <c r="AD208" s="25"/>
      <c r="AE208" s="57"/>
      <c r="AF208" s="57"/>
      <c r="AG208" s="25" t="s">
        <v>488</v>
      </c>
      <c r="AH208" s="57"/>
      <c r="AI208" s="339"/>
      <c r="AJ208" s="339"/>
      <c r="AK208" s="297" t="str">
        <f>IF(X208&lt;&gt;"",CONCATENATE(IF(AA208&lt;&gt;"",CONCATENATE(Z208," ",AA208," ",BI208),""),IF(AD208&lt;&gt;"",CONCATENATE(","," ",AC208," ",AD208," ",BJ208),""),IF(AG208&lt;&gt;"",CONCATENATE(","," ",AF208," ",AG208," ",BK208),""),IF(AJ208&lt;&gt;"",CONCATENATE(","," ","DD"," ",BL208),"")," ",IF(AI208&lt;&gt;"",CONCATENATE(" - ",AI208," Bag"),"")),"")</f>
        <v xml:space="preserve"> FRT 14,  DG 0 </v>
      </c>
      <c r="AL208" s="287" t="s">
        <v>421</v>
      </c>
      <c r="AM208" s="287"/>
      <c r="AN208" s="287"/>
      <c r="AO208" s="287"/>
      <c r="AP208" s="370" t="str">
        <f>IFERROR(VLOOKUP($E205,Outlist!$A$5:$V$120,20,FALSE),"")</f>
        <v/>
      </c>
      <c r="AQ208" s="288" t="str">
        <f>IFERROR(IF(VLOOKUP($A208,#REF!,8,FALSE)&lt;&gt;"",VLOOKUP($A208,#REF!,8,FALSE),""),"")</f>
        <v/>
      </c>
      <c r="AS208" s="24"/>
      <c r="AT208" s="24">
        <v>2.7777777777777779E-3</v>
      </c>
      <c r="AU208" s="27"/>
      <c r="AV208" s="27"/>
      <c r="AX208" s="20" t="str">
        <f>IFERROR(IF(Out_Table[[#This Row],[Cancellazione linea]]="Cancellata","yes",""),"")</f>
        <v/>
      </c>
      <c r="AY208" s="72" t="str">
        <f>IF(BA208="",BZ208,IF(AND(BA208&lt;(--"23:59:59"),BA208&gt;(--"15:00:00"),G208&lt;(--"14:00:00"),G208&gt;(--"00:00:01")),"",IF(BA208&gt;G208,BZ208,"")))</f>
        <v>Chiamare Control Room</v>
      </c>
      <c r="AZ208" s="27"/>
      <c r="BA208" s="32"/>
      <c r="BB208" s="72"/>
      <c r="BC208" s="72" t="str">
        <f>IFERROR(VLOOKUP(Out_Table[[#This Row],[Aggiornamento STATUS]],'INformazioni per calcoli'!$Y$70:$AA$76,2,FALSE),"")</f>
        <v/>
      </c>
      <c r="BD208" s="289"/>
      <c r="BE208" s="289"/>
      <c r="BF208" s="47" t="str">
        <f>LEFT($E208,3)</f>
        <v>VBS</v>
      </c>
      <c r="BG208" s="298" t="str">
        <f>IF(Out_Table[[#This Row],[Ora Uscita    (GH)]]&lt;&gt;"","x","")</f>
        <v/>
      </c>
      <c r="BH208" s="299">
        <f>VLOOKUP($O208,'INformazioni per calcoli'!$Y$20:$AA$23,3,FALSE)</f>
        <v>14</v>
      </c>
      <c r="BI208" s="299">
        <f>MROUND(Out_Table[[#This Row],[Mtr. Trailer]]*AB208,0.5)</f>
        <v>14</v>
      </c>
      <c r="BJ208" s="299">
        <f>MROUND(Out_Table[[#This Row],[Mtr. Trailer]]*AE208,0.5)</f>
        <v>0</v>
      </c>
      <c r="BK208" s="299">
        <f>MROUND(Out_Table[[#This Row],[Mtr. Trailer]]*AH208,0.5)</f>
        <v>0</v>
      </c>
      <c r="BL208" s="300">
        <f>Out_Table[[#This Row],[Double Deck trailer N° bumpers]]</f>
        <v>0</v>
      </c>
      <c r="BM208" s="301"/>
      <c r="BN208" s="299" t="str">
        <f>B208</f>
        <v>ITD12266</v>
      </c>
      <c r="BO208" s="299" t="str">
        <f>E208</f>
        <v>VBS</v>
      </c>
      <c r="BP208" s="302">
        <f>IF(AND(G208&gt;(--"00:00:01"),G208&lt;(--"15:00:00")),IF(AND(X208&gt;(--"00:00:01"),X208&lt;(--"15:00:00")),G208-X208,G208+1-X208),G208-X208)</f>
        <v>0.15416666666666667</v>
      </c>
      <c r="BQ208" s="303">
        <f>AE208+AF208+AH208+AJ208</f>
        <v>0</v>
      </c>
      <c r="BR208" s="304" t="str">
        <f>IF(OR(BP208&lt;=(--"00:20:00"),BQ208&gt;=100%),"OK","Not OK")</f>
        <v>Not OK</v>
      </c>
      <c r="BS208" s="302">
        <f>IF(AND(G208&gt;(--"00:00:01"),G208&lt;(--"15:00:00")),IF(AND(AU208&gt;(--"00:00:01"),AU208&lt;(--"15:00:00")),G208-AU208,G208+1-AU208),G208-AU208)</f>
        <v>1.2291666666666667</v>
      </c>
      <c r="BT208" s="302">
        <f>IF(AND(AZ208&gt;(--"00:00:01"),AZ208&lt;(--"15:00:00")),IF(AND(AU208&gt;(--"00:00:01"),AU208&lt;(--"15:00:00")),AZ208-AU208,AZ208+1-AU208),AZ208-AU208)</f>
        <v>0</v>
      </c>
      <c r="BU208" s="302">
        <f>IF(AND(BA208&gt;(--"00:00:01"),BA208&lt;(--"15:00:00")),IF(AND(AZ208&gt;(--"00:00:01"),AZ208&lt;(--"15:00:00")),BA208-AZ208,BA208+1-AZ208),BA208-AZ208)</f>
        <v>0</v>
      </c>
      <c r="BV208" s="299">
        <f>AV208</f>
        <v>0</v>
      </c>
      <c r="BW208" s="301"/>
      <c r="BX208" s="299" t="str">
        <f>IF(AV208="T Status",IF(AV208&lt;&gt;T208,"X",""),"")</f>
        <v/>
      </c>
      <c r="BY208" s="301"/>
      <c r="BZ208" s="299" t="str">
        <f>IF(X208&lt;&gt;"",IF(CC208="X","Driver Delay",IF(CA208="X","Paperwork Delay",IF(CB208="X","Late freight late sort",IF(CD208="X","Chiamare Control Room",IF(CE208="X","Chiamare Control Room",IF(CF208="X","Chiamare Control Room","")))))),"")</f>
        <v>Chiamare Control Room</v>
      </c>
      <c r="CA208" s="302" t="str">
        <f>IF(K208="",IF(IF(AND(G208&gt;(--"00:00:01"),G208&lt;(--"15:00:00")),IF(AND(AT208&gt;(--"08:00:00"),AT208&lt;(--"23:59:59")),G208+1-AT208,G208-AT208),G208-AT208)&gt;(--"00:20:00"),"","X"),"")</f>
        <v/>
      </c>
      <c r="CB208" s="299" t="str">
        <f>IF(K208="",IF(BP208&gt;=(--"00:20:00"),"","X"),"")</f>
        <v/>
      </c>
      <c r="CC208" s="299" t="str">
        <f>IF(OR(AV208="Autista non presente",AV208="Dati driver non presenti"),"X","")</f>
        <v/>
      </c>
      <c r="CD208" s="299" t="str">
        <f>IF(K208="",IF(AND(CC208="",BS208&lt;(--"00:20:00")),"X",""),"")</f>
        <v/>
      </c>
      <c r="CE208" s="299" t="str">
        <f>IF(K208="",IF(BT208&gt;(--"00:15:00"),"X",""),IF(AZ208&lt;&gt;"",IF(G208-AZ208&gt;(--"00:30:00"),"X",""),""))</f>
        <v/>
      </c>
      <c r="CF208" s="299" t="str">
        <f>IF(AND(CA208="",CB208="",CC208="",CD208="",CE208=""),"X","")</f>
        <v>X</v>
      </c>
      <c r="CG208" s="301"/>
      <c r="CH208" s="299" t="str">
        <f>IF(BT208&gt;(--"00:15:00"),"X","")</f>
        <v/>
      </c>
      <c r="CI208" s="302" t="str">
        <f>AY208</f>
        <v>Chiamare Control Room</v>
      </c>
      <c r="CJ208" s="299" t="str">
        <f>IF(AND(CH208&lt;&gt;"",CI208&lt;&gt;"",LEFT(B208,3)="ITD"),AP208,"")</f>
        <v/>
      </c>
      <c r="CK208" s="305" t="str">
        <f>IF(CJ208&lt;&gt;"",BT208,"")</f>
        <v/>
      </c>
      <c r="CL208" s="301"/>
      <c r="CM208" s="305" t="str">
        <f>IFERROR(VLOOKUP(Q208,'Elenco Casse'!$D$4:$F$292,3,FALSE),"")</f>
        <v/>
      </c>
      <c r="CN208" s="301"/>
      <c r="CO208" s="305" t="str">
        <f>IFERROR(VLOOKUP(S208,'Elenco Casse'!$D$4:$F$292,3,FALSE),"")</f>
        <v/>
      </c>
      <c r="CP208" s="305" t="str">
        <f>IFERROR(IF(VLOOKUP($E208,Outlist!$A$5:$S$120,19,FALSE)&lt;&gt;0,"Y",""),"")</f>
        <v/>
      </c>
      <c r="CQ208" s="301"/>
      <c r="CR208" s="305" t="str">
        <f>CONCATENATE($B208,$E208,$G208)</f>
        <v>ITD12266VBS0.229166666666667</v>
      </c>
      <c r="CS208" s="301"/>
      <c r="CT208" s="305" t="e">
        <f>VLOOKUP(Out_Table[[#This Row],[Destination             ORANGE (From Planning)]],Outlist!$A$5:$W$120,22,FALSE)</f>
        <v>#N/A</v>
      </c>
    </row>
    <row r="209" spans="1:98" s="20" customFormat="1" ht="30.75">
      <c r="A209" s="305" t="str">
        <f>$CR209</f>
        <v>ITD12420VBS0.125</v>
      </c>
      <c r="B209" s="284" t="s">
        <v>1171</v>
      </c>
      <c r="C209" s="290" t="str">
        <f>IFERROR(IF(LEFT(B209,3)='STAT 77'!$X$2,_xlfn.XLOOKUP(B209,'STAT 77'!C:C,'STAT 77'!B:B),_xlfn.XLOOKUP(B209,'STAT 77'!B:B,'STAT 77'!C:C)),"NON TROVATO")</f>
        <v>ITD31594</v>
      </c>
      <c r="D209" s="25" t="s">
        <v>581</v>
      </c>
      <c r="E209" s="290" t="s">
        <v>573</v>
      </c>
      <c r="F209" s="290" t="str">
        <f>IFERROR(VLOOKUP(E209,'Cambio O2P'!C:E,2,FALSE),"")</f>
        <v>VBST8</v>
      </c>
      <c r="G209" s="285">
        <v>0.125</v>
      </c>
      <c r="H209" s="293" t="str">
        <f ca="1">IFERROR(IF(AND('INformazioni per calcoli'!$AB$3&lt;(--"14:30"),'INformazioni per calcoli'!$AB$3&gt;(--"10:00")),"",IF($B209="","",IF($X209&lt;&gt;"","Mezzo Chiuso",IF($W209="","Non al Carico",IF($G209-'INformazioni per calcoli'!$AB$5-'INformazioni per calcoli'!$AB$3+$J209&lt;0,"LFLS",IF($K209&lt;&gt;"","Safe Parking",IF($W209&lt;&gt;"",IF($E209="MXP",$G209-'INformazioni per calcoli'!$AB$6-'INformazioni per calcoli'!$AB$3+$J209,$G209-'INformazioni per calcoli'!$AB$5-'INformazioni per calcoli'!$AB$3+$J209),"Non al carico"))))))),"")</f>
        <v>Mezzo Chiuso</v>
      </c>
      <c r="I209" s="17" t="str">
        <f ca="1">IFERROR(IF($H209&lt;&gt;"",IF($H209="Safe Parking","",IF($W209&lt;&gt;"",IF(AND($U209="X",$V209="X"),$H209-(--"00:30"),""),IF($X209&lt;&gt;"","Mezzo Chiuso","Non al carico"))),""),"")</f>
        <v/>
      </c>
      <c r="J209" s="306">
        <f ca="1">IFERROR(IF($B209&lt;&gt;"",IF(AND('INformazioni per calcoli'!$AB$3&lt;(--"15:00"),'INformazioni per calcoli'!$AB$3&gt;(--"00:00")),0,IF($G209&lt;(--"18:30"),"+1",0)),""),"")</f>
        <v>0</v>
      </c>
      <c r="K209" s="17"/>
      <c r="L209" s="25" t="s">
        <v>430</v>
      </c>
      <c r="M209" s="25" t="str">
        <f>IFERROR(_xlfn.XLOOKUP($Q209,'Elenco Casse'!$D:$D,'Elenco Casse'!$E:$E),"")</f>
        <v>Trans Speedy S.R.L</v>
      </c>
      <c r="N209" s="25">
        <f>IFERROR(_xlfn.XLOOKUP($Q209,'Elenco Casse'!$D:$D,'Elenco Casse'!$F:$F),"")</f>
        <v>0</v>
      </c>
      <c r="O209" s="286" t="s">
        <v>418</v>
      </c>
      <c r="P209" s="295" t="str">
        <f>IFERROR(_xlfn.XLOOKUP($Q209,'Elenco Casse'!$D:$D,'Elenco Casse'!$G:$G),"")</f>
        <v>trailer 80 m3 2/3 axles</v>
      </c>
      <c r="Q209" s="355" t="s">
        <v>1172</v>
      </c>
      <c r="R209" s="23" t="s">
        <v>420</v>
      </c>
      <c r="S209" s="25" t="s">
        <v>421</v>
      </c>
      <c r="T209" s="25" t="s">
        <v>599</v>
      </c>
      <c r="U209" s="23" t="str">
        <f>IF(ISNUMBER(SEARCH("Parcel",$T209)),"X","")</f>
        <v/>
      </c>
      <c r="V209" s="23" t="str">
        <f>IF(ISNUMBER(SEARCH("Freight",$T209)),"X","")</f>
        <v>X</v>
      </c>
      <c r="W209" s="26">
        <v>837</v>
      </c>
      <c r="X209" s="27">
        <v>0.90694444444444444</v>
      </c>
      <c r="Y209" s="25" t="s">
        <v>1173</v>
      </c>
      <c r="Z209" s="25"/>
      <c r="AA209" s="25" t="s">
        <v>487</v>
      </c>
      <c r="AB209" s="57">
        <v>1</v>
      </c>
      <c r="AC209" s="25"/>
      <c r="AD209" s="25"/>
      <c r="AE209" s="57"/>
      <c r="AF209" s="57"/>
      <c r="AG209" s="25"/>
      <c r="AH209" s="57"/>
      <c r="AI209" s="339"/>
      <c r="AJ209" s="339"/>
      <c r="AK209" s="297" t="str">
        <f>IF(X209&lt;&gt;"",CONCATENATE(IF(AA209&lt;&gt;"",CONCATENATE(Z209," ",AA209," ",BI209),""),IF(AD209&lt;&gt;"",CONCATENATE(","," ",AC209," ",AD209," ",BJ209),""),IF(AG209&lt;&gt;"",CONCATENATE(","," ",AF209," ",AG209," ",BK209),""),IF(AJ209&lt;&gt;"",CONCATENATE(","," ","DD"," ",BL209),"")," ",IF(AI209&lt;&gt;"",CONCATENATE(" - ",AI209," Bag"),"")),"")</f>
        <v xml:space="preserve"> FRT 14 </v>
      </c>
      <c r="AL209" s="287" t="s">
        <v>870</v>
      </c>
      <c r="AM209" s="287"/>
      <c r="AN209" s="287"/>
      <c r="AO209" s="287"/>
      <c r="AP209" s="370" t="str">
        <f>IFERROR(VLOOKUP($E206,Outlist!$A$5:$V$120,20,FALSE),"")</f>
        <v/>
      </c>
      <c r="AQ209" s="288" t="s">
        <v>1174</v>
      </c>
      <c r="AS209" s="24"/>
      <c r="AT209" s="24">
        <v>0.93680555555555556</v>
      </c>
      <c r="AU209" s="27">
        <v>8.3333333333333329E-2</v>
      </c>
      <c r="AV209" s="27"/>
      <c r="AW209" s="20" t="s">
        <v>443</v>
      </c>
      <c r="AX209" s="20" t="str">
        <f>IFERROR(IF(Out_Table[[#This Row],[Cancellazione linea]]="Cancellata","yes",""),"")</f>
        <v/>
      </c>
      <c r="AY209" s="72" t="str">
        <f>IF(BA209="",BZ209,IF(AND(BA209&lt;(--"23:59:59"),BA209&gt;(--"15:00:00"),G209&lt;(--"14:00:00"),G209&gt;(--"00:00:01")),"",IF(BA209&gt;G209,BZ209,"")))</f>
        <v/>
      </c>
      <c r="AZ209" s="27">
        <v>9.0972222222222218E-2</v>
      </c>
      <c r="BA209" s="32">
        <v>0.10208333333333333</v>
      </c>
      <c r="BB209" s="72"/>
      <c r="BC209" s="72" t="str">
        <f>IFERROR(VLOOKUP(Out_Table[[#This Row],[Aggiornamento STATUS]],'INformazioni per calcoli'!$Y$70:$AA$76,2,FALSE),"")</f>
        <v/>
      </c>
      <c r="BD209" s="289"/>
      <c r="BE209" s="289"/>
      <c r="BF209" s="47" t="str">
        <f>LEFT($E209,3)</f>
        <v>VBS</v>
      </c>
      <c r="BG209" s="298" t="str">
        <f>IF(Out_Table[[#This Row],[Ora Uscita    (GH)]]&lt;&gt;"","x","")</f>
        <v>x</v>
      </c>
      <c r="BH209" s="299">
        <f>VLOOKUP($O209,'INformazioni per calcoli'!$Y$20:$AA$23,3,FALSE)</f>
        <v>14</v>
      </c>
      <c r="BI209" s="299">
        <f>MROUND(Out_Table[[#This Row],[Mtr. Trailer]]*AB209,0.5)</f>
        <v>14</v>
      </c>
      <c r="BJ209" s="299">
        <f>MROUND(Out_Table[[#This Row],[Mtr. Trailer]]*AE209,0.5)</f>
        <v>0</v>
      </c>
      <c r="BK209" s="299">
        <f>MROUND(Out_Table[[#This Row],[Mtr. Trailer]]*AH209,0.5)</f>
        <v>0</v>
      </c>
      <c r="BL209" s="300">
        <f>Out_Table[[#This Row],[Double Deck trailer N° bumpers]]</f>
        <v>0</v>
      </c>
      <c r="BM209" s="301"/>
      <c r="BN209" s="299" t="str">
        <f>B209</f>
        <v>ITD12420</v>
      </c>
      <c r="BO209" s="299" t="str">
        <f>E209</f>
        <v>VBS</v>
      </c>
      <c r="BP209" s="302">
        <f>IF(AND(G209&gt;(--"00:00:01"),G209&lt;(--"15:00:00")),IF(AND(X209&gt;(--"00:00:01"),X209&lt;(--"15:00:00")),G209-X209,G209+1-X209),G209-X209)</f>
        <v>0.21805555555555556</v>
      </c>
      <c r="BQ209" s="303">
        <f>AE209+AF209+AH209+AJ209</f>
        <v>0</v>
      </c>
      <c r="BR209" s="304" t="str">
        <f>IF(OR(BP209&lt;=(--"00:20:00"),BQ209&gt;=100%),"OK","Not OK")</f>
        <v>Not OK</v>
      </c>
      <c r="BS209" s="302">
        <f>IF(AND(G209&gt;(--"00:00:01"),G209&lt;(--"15:00:00")),IF(AND(AU209&gt;(--"00:00:01"),AU209&lt;(--"15:00:00")),G209-AU209,G209+1-AU209),G209-AU209)</f>
        <v>4.1666666666666671E-2</v>
      </c>
      <c r="BT209" s="302">
        <f>IF(AND(AZ209&gt;(--"00:00:01"),AZ209&lt;(--"15:00:00")),IF(AND(AU209&gt;(--"00:00:01"),AU209&lt;(--"15:00:00")),AZ209-AU209,AZ209+1-AU209),AZ209-AU209)</f>
        <v>7.6388888888888895E-3</v>
      </c>
      <c r="BU209" s="302">
        <f>IF(AND(BA209&gt;(--"00:00:01"),BA209&lt;(--"15:00:00")),IF(AND(AZ209&gt;(--"00:00:01"),AZ209&lt;(--"15:00:00")),BA209-AZ209,BA209+1-AZ209),BA209-AZ209)</f>
        <v>1.1111111111111113E-2</v>
      </c>
      <c r="BV209" s="299">
        <f>AV209</f>
        <v>0</v>
      </c>
      <c r="BW209" s="301"/>
      <c r="BX209" s="299" t="str">
        <f>IF(AV209="T Status",IF(AV209&lt;&gt;T209,"X",""),"")</f>
        <v/>
      </c>
      <c r="BY209" s="301"/>
      <c r="BZ209" s="299" t="str">
        <f>IF(X209&lt;&gt;"",IF(CC209="X","Driver Delay",IF(CA209="X","Paperwork Delay",IF(CB209="X","Late freight late sort",IF(CD209="X","Chiamare Control Room",IF(CE209="X","Chiamare Control Room",IF(CF209="X","Chiamare Control Room","")))))),"")</f>
        <v>Chiamare Control Room</v>
      </c>
      <c r="CA209" s="302" t="str">
        <f>IF(K209="",IF(IF(AND(G209&gt;(--"00:00:01"),G209&lt;(--"15:00:00")),IF(AND(AT209&gt;(--"08:00:00"),AT209&lt;(--"23:59:59")),G209+1-AT209,G209-AT209),G209-AT209)&gt;(--"00:20:00"),"","X"),"")</f>
        <v/>
      </c>
      <c r="CB209" s="299" t="str">
        <f>IF(K209="",IF(BP209&gt;=(--"00:20:00"),"","X"),"")</f>
        <v/>
      </c>
      <c r="CC209" s="299" t="str">
        <f>IF(OR(AV209="Autista non presente",AV209="Dati driver non presenti"),"X","")</f>
        <v/>
      </c>
      <c r="CD209" s="299" t="str">
        <f>IF(K209="",IF(AND(CC209="",BS209&lt;(--"00:20:00")),"X",""),"")</f>
        <v/>
      </c>
      <c r="CE209" s="299" t="str">
        <f>IF(K209="",IF(BT209&gt;(--"00:15:00"),"X",""),IF(AZ209&lt;&gt;"",IF(G209-AZ209&gt;(--"00:30:00"),"X",""),""))</f>
        <v/>
      </c>
      <c r="CF209" s="299" t="str">
        <f>IF(AND(CA209="",CB209="",CC209="",CD209="",CE209=""),"X","")</f>
        <v>X</v>
      </c>
      <c r="CG209" s="301"/>
      <c r="CH209" s="299" t="str">
        <f>IF(BT209&gt;(--"00:15:00"),"X","")</f>
        <v/>
      </c>
      <c r="CI209" s="302" t="str">
        <f>AY209</f>
        <v/>
      </c>
      <c r="CJ209" s="299" t="str">
        <f>IF(AND(CH209&lt;&gt;"",CI209&lt;&gt;"",LEFT(B209,3)="ITD"),AP209,"")</f>
        <v/>
      </c>
      <c r="CK209" s="305" t="str">
        <f>IF(CJ209&lt;&gt;"",BT209,"")</f>
        <v/>
      </c>
      <c r="CL209" s="301"/>
      <c r="CM209" s="305" t="str">
        <f>IFERROR(VLOOKUP(Q209,'Elenco Casse'!$D$4:$F$292,3,FALSE),"")</f>
        <v/>
      </c>
      <c r="CN209" s="301"/>
      <c r="CO209" s="305" t="str">
        <f>IFERROR(VLOOKUP(S209,'Elenco Casse'!$D$4:$F$292,3,FALSE),"")</f>
        <v/>
      </c>
      <c r="CP209" s="305" t="str">
        <f>IFERROR(IF(VLOOKUP($E209,Outlist!$A$5:$S$120,19,FALSE)&lt;&gt;0,"Y",""),"")</f>
        <v/>
      </c>
      <c r="CQ209" s="301"/>
      <c r="CR209" s="305" t="str">
        <f>CONCATENATE($B209,$E209,$G209)</f>
        <v>ITD12420VBS0.125</v>
      </c>
      <c r="CS209" s="301"/>
      <c r="CT209" s="305" t="e">
        <f>VLOOKUP(Out_Table[[#This Row],[Destination             ORANGE (From Planning)]],Outlist!$A$5:$W$120,22,FALSE)</f>
        <v>#N/A</v>
      </c>
    </row>
    <row r="210" spans="1:98" s="20" customFormat="1" ht="15">
      <c r="A210" s="305" t="str">
        <f>$CR210</f>
        <v>ITD12382ZD10.21875</v>
      </c>
      <c r="B210" s="284" t="s">
        <v>1175</v>
      </c>
      <c r="C210" s="290" t="str">
        <f>IFERROR(IF(LEFT(B210,3)='STAT 77'!$X$2,_xlfn.XLOOKUP(B210,'STAT 77'!C:C,'STAT 77'!B:B),_xlfn.XLOOKUP(B210,'STAT 77'!B:B,'STAT 77'!C:C)),"NON TROVATO")</f>
        <v>ITD31520</v>
      </c>
      <c r="D210" s="25" t="s">
        <v>662</v>
      </c>
      <c r="E210" s="290" t="s">
        <v>663</v>
      </c>
      <c r="F210" s="290" t="str">
        <f>IFERROR(VLOOKUP(E210,'Cambio O2P'!C:E,2,FALSE),"")</f>
        <v>XVYA</v>
      </c>
      <c r="G210" s="285">
        <v>0.21875</v>
      </c>
      <c r="H210" s="293">
        <f ca="1">IFERROR(IF(AND('INformazioni per calcoli'!$AB$3&lt;(--"14:30"),'INformazioni per calcoli'!$AB$3&gt;(--"10:00")),"",IF($B210="","",IF($X210&lt;&gt;"","Mezzo Chiuso",IF($W210="","Non al Carico",IF($G210-'INformazioni per calcoli'!$AB$5-'INformazioni per calcoli'!$AB$3+$J210&lt;0,"LFLS",IF($K210&lt;&gt;"","Safe Parking",IF($W210&lt;&gt;"",IF($E210="MXP",$G210-'INformazioni per calcoli'!$AB$6-'INformazioni per calcoli'!$AB$3+$J210,$G210-'INformazioni per calcoli'!$AB$5-'INformazioni per calcoli'!$AB$3+$J210),"Non al carico"))))))),"")</f>
        <v>5.9398148148148144E-2</v>
      </c>
      <c r="I210" s="17" t="str">
        <f ca="1">IFERROR(IF($H210&lt;&gt;"",IF($H210="Safe Parking","",IF($W210&lt;&gt;"",IF(AND($U210="X",$V210="X"),$H210-(--"00:30"),""),IF($X210&lt;&gt;"","Mezzo Chiuso","Non al carico"))),""),"")</f>
        <v/>
      </c>
      <c r="J210" s="306">
        <f ca="1">IFERROR(IF($B210&lt;&gt;"",IF(AND('INformazioni per calcoli'!$AB$3&lt;(--"15:00"),'INformazioni per calcoli'!$AB$3&gt;(--"00:00")),0,IF($G210&lt;(--"18:30"),"+1",0)),""),"")</f>
        <v>0</v>
      </c>
      <c r="K210" s="27"/>
      <c r="L210" s="25" t="s">
        <v>430</v>
      </c>
      <c r="M210" s="25" t="str">
        <f>IFERROR(_xlfn.XLOOKUP($Q210,'Elenco Casse'!$D:$D,'Elenco Casse'!$E:$E),"")</f>
        <v>Trans Speedy S.R.L</v>
      </c>
      <c r="N210" s="25">
        <f>IFERROR(_xlfn.XLOOKUP($Q210,'Elenco Casse'!$D:$D,'Elenco Casse'!$F:$F),"")</f>
        <v>0</v>
      </c>
      <c r="O210" s="286" t="s">
        <v>418</v>
      </c>
      <c r="P210" s="295" t="str">
        <f>IFERROR(_xlfn.XLOOKUP($Q210,'Elenco Casse'!$D:$D,'Elenco Casse'!$G:$G),"")</f>
        <v>trailer 80 m3 2/3 axles</v>
      </c>
      <c r="Q210" s="355" t="s">
        <v>1176</v>
      </c>
      <c r="R210" s="23" t="s">
        <v>420</v>
      </c>
      <c r="S210" s="25" t="s">
        <v>421</v>
      </c>
      <c r="T210" s="25" t="s">
        <v>599</v>
      </c>
      <c r="U210" s="23" t="str">
        <f>IF(ISNUMBER(SEARCH("Parcel",$T210)),"X","")</f>
        <v/>
      </c>
      <c r="V210" s="23" t="str">
        <f>IF(ISNUMBER(SEARCH("Freight",$T210)),"X","")</f>
        <v>X</v>
      </c>
      <c r="W210" s="26">
        <v>838</v>
      </c>
      <c r="X210" s="27"/>
      <c r="Y210" s="25"/>
      <c r="Z210" s="25"/>
      <c r="AA210" s="25" t="s">
        <v>487</v>
      </c>
      <c r="AB210" s="57"/>
      <c r="AC210" s="25"/>
      <c r="AD210" s="25"/>
      <c r="AE210" s="57"/>
      <c r="AF210" s="57"/>
      <c r="AG210" s="25" t="s">
        <v>488</v>
      </c>
      <c r="AH210" s="57"/>
      <c r="AI210" s="339"/>
      <c r="AJ210" s="339"/>
      <c r="AK210" s="297" t="str">
        <f>IF(X210&lt;&gt;"",CONCATENATE(IF(AA210&lt;&gt;"",CONCATENATE(Z210," ",AA210," ",BI210),""),IF(AD210&lt;&gt;"",CONCATENATE(","," ",AC210," ",AD210," ",BJ210),""),IF(AG210&lt;&gt;"",CONCATENATE(","," ",AF210," ",AG210," ",BK210),""),IF(AJ210&lt;&gt;"",CONCATENATE(","," ","DD"," ",BL210),"")," ",IF(AI210&lt;&gt;"",CONCATENATE(" - ",AI210," Bag"),"")),"")</f>
        <v/>
      </c>
      <c r="AL210" s="287"/>
      <c r="AM210" s="287"/>
      <c r="AN210" s="287"/>
      <c r="AO210" s="287"/>
      <c r="AP210" s="370" t="str">
        <f>IFERROR(VLOOKUP($E207,Outlist!$A$5:$V$120,20,FALSE),"")</f>
        <v/>
      </c>
      <c r="AQ210" s="288" t="str">
        <f>IFERROR(IF(VLOOKUP($A210,#REF!,8,FALSE)&lt;&gt;"",VLOOKUP($A210,#REF!,8,FALSE),""),"")</f>
        <v/>
      </c>
      <c r="AS210" s="24"/>
      <c r="AT210" s="24">
        <v>6.9444444444444447E-4</v>
      </c>
      <c r="AU210" s="27"/>
      <c r="AV210" s="27"/>
      <c r="AX210" s="20" t="str">
        <f>IFERROR(IF(Out_Table[[#This Row],[Cancellazione linea]]="Cancellata","yes",""),"")</f>
        <v/>
      </c>
      <c r="AY210" s="72" t="str">
        <f>IF(BA210="",BZ210,IF(AND(BA210&lt;(--"23:59:59"),BA210&gt;(--"15:00:00"),G210&lt;(--"14:00:00"),G210&gt;(--"00:00:01")),"",IF(BA210&gt;G210,BZ210,"")))</f>
        <v/>
      </c>
      <c r="AZ210" s="27"/>
      <c r="BA210" s="32"/>
      <c r="BB210" s="72"/>
      <c r="BC210" s="72" t="str">
        <f>IFERROR(VLOOKUP(Out_Table[[#This Row],[Aggiornamento STATUS]],'INformazioni per calcoli'!$Y$70:$AA$76,2,FALSE),"")</f>
        <v/>
      </c>
      <c r="BD210" s="289"/>
      <c r="BE210" s="289"/>
      <c r="BF210" s="47" t="str">
        <f>LEFT($E210,3)</f>
        <v>ZD1</v>
      </c>
      <c r="BG210" s="298" t="str">
        <f>IF(Out_Table[[#This Row],[Ora Uscita    (GH)]]&lt;&gt;"","x","")</f>
        <v/>
      </c>
      <c r="BH210" s="299">
        <f>VLOOKUP($O210,'INformazioni per calcoli'!$Y$20:$AA$23,3,FALSE)</f>
        <v>14</v>
      </c>
      <c r="BI210" s="299">
        <f>MROUND(Out_Table[[#This Row],[Mtr. Trailer]]*AB210,0.5)</f>
        <v>0</v>
      </c>
      <c r="BJ210" s="299">
        <f>MROUND(Out_Table[[#This Row],[Mtr. Trailer]]*AE210,0.5)</f>
        <v>0</v>
      </c>
      <c r="BK210" s="299">
        <f>MROUND(Out_Table[[#This Row],[Mtr. Trailer]]*AH210,0.5)</f>
        <v>0</v>
      </c>
      <c r="BL210" s="300">
        <f>Out_Table[[#This Row],[Double Deck trailer N° bumpers]]</f>
        <v>0</v>
      </c>
      <c r="BM210" s="301"/>
      <c r="BN210" s="299" t="str">
        <f>B210</f>
        <v>ITD12382</v>
      </c>
      <c r="BO210" s="299" t="str">
        <f>E210</f>
        <v>ZD1</v>
      </c>
      <c r="BP210" s="302">
        <f>IF(AND(G210&gt;(--"00:00:01"),G210&lt;(--"15:00:00")),IF(AND(X210&gt;(--"00:00:01"),X210&lt;(--"15:00:00")),G210-X210,G210+1-X210),G210-X210)</f>
        <v>1.21875</v>
      </c>
      <c r="BQ210" s="303">
        <f>AE210+AF210+AH210+AJ210</f>
        <v>0</v>
      </c>
      <c r="BR210" s="304" t="str">
        <f>IF(OR(BP210&lt;=(--"00:20:00"),BQ210&gt;=100%),"OK","Not OK")</f>
        <v>Not OK</v>
      </c>
      <c r="BS210" s="302">
        <f>IF(AND(G210&gt;(--"00:00:01"),G210&lt;(--"15:00:00")),IF(AND(AU210&gt;(--"00:00:01"),AU210&lt;(--"15:00:00")),G210-AU210,G210+1-AU210),G210-AU210)</f>
        <v>1.21875</v>
      </c>
      <c r="BT210" s="302">
        <f>IF(AND(AZ210&gt;(--"00:00:01"),AZ210&lt;(--"15:00:00")),IF(AND(AU210&gt;(--"00:00:01"),AU210&lt;(--"15:00:00")),AZ210-AU210,AZ210+1-AU210),AZ210-AU210)</f>
        <v>0</v>
      </c>
      <c r="BU210" s="302">
        <f>IF(AND(BA210&gt;(--"00:00:01"),BA210&lt;(--"15:00:00")),IF(AND(AZ210&gt;(--"00:00:01"),AZ210&lt;(--"15:00:00")),BA210-AZ210,BA210+1-AZ210),BA210-AZ210)</f>
        <v>0</v>
      </c>
      <c r="BV210" s="299">
        <f>AV210</f>
        <v>0</v>
      </c>
      <c r="BW210" s="301"/>
      <c r="BX210" s="299" t="str">
        <f>IF(AV210="T Status",IF(AV210&lt;&gt;T210,"X",""),"")</f>
        <v/>
      </c>
      <c r="BY210" s="301"/>
      <c r="BZ210" s="299" t="str">
        <f>IF(X210&lt;&gt;"",IF(CC210="X","Driver Delay",IF(CA210="X","Paperwork Delay",IF(CB210="X","Late freight late sort",IF(CD210="X","Chiamare Control Room",IF(CE210="X","Chiamare Control Room",IF(CF210="X","Chiamare Control Room","")))))),"")</f>
        <v/>
      </c>
      <c r="CA210" s="302" t="str">
        <f>IF(K210="",IF(IF(AND(G210&gt;(--"00:00:01"),G210&lt;(--"15:00:00")),IF(AND(AT210&gt;(--"08:00:00"),AT210&lt;(--"23:59:59")),G210+1-AT210,G210-AT210),G210-AT210)&gt;(--"00:20:00"),"","X"),"")</f>
        <v/>
      </c>
      <c r="CB210" s="299" t="str">
        <f>IF(K210="",IF(BP210&gt;=(--"00:20:00"),"","X"),"")</f>
        <v/>
      </c>
      <c r="CC210" s="299" t="str">
        <f>IF(OR(AV210="Autista non presente",AV210="Dati driver non presenti"),"X","")</f>
        <v/>
      </c>
      <c r="CD210" s="299" t="str">
        <f>IF(K210="",IF(AND(CC210="",BS210&lt;(--"00:20:00")),"X",""),"")</f>
        <v/>
      </c>
      <c r="CE210" s="299" t="str">
        <f>IF(K210="",IF(BT210&gt;(--"00:15:00"),"X",""),IF(AZ210&lt;&gt;"",IF(G210-AZ210&gt;(--"00:30:00"),"X",""),""))</f>
        <v/>
      </c>
      <c r="CF210" s="299" t="str">
        <f>IF(AND(CA210="",CB210="",CC210="",CD210="",CE210=""),"X","")</f>
        <v>X</v>
      </c>
      <c r="CG210" s="301"/>
      <c r="CH210" s="299" t="str">
        <f>IF(BT210&gt;(--"00:15:00"),"X","")</f>
        <v/>
      </c>
      <c r="CI210" s="302" t="str">
        <f>AY210</f>
        <v/>
      </c>
      <c r="CJ210" s="299" t="str">
        <f>IF(AND(CH210&lt;&gt;"",CI210&lt;&gt;"",LEFT(B210,3)="ITD"),AP210,"")</f>
        <v/>
      </c>
      <c r="CK210" s="305" t="str">
        <f>IF(CJ210&lt;&gt;"",BT210,"")</f>
        <v/>
      </c>
      <c r="CL210" s="301"/>
      <c r="CM210" s="305" t="str">
        <f>IFERROR(VLOOKUP(Q210,'Elenco Casse'!$D$4:$F$292,3,FALSE),"")</f>
        <v/>
      </c>
      <c r="CN210" s="301"/>
      <c r="CO210" s="305" t="str">
        <f>IFERROR(VLOOKUP(S210,'Elenco Casse'!$D$4:$F$292,3,FALSE),"")</f>
        <v/>
      </c>
      <c r="CP210" s="305" t="str">
        <f>IFERROR(IF(VLOOKUP($E210,Outlist!$A$5:$S$120,19,FALSE)&lt;&gt;0,"Y",""),"")</f>
        <v/>
      </c>
      <c r="CQ210" s="301"/>
      <c r="CR210" s="305" t="str">
        <f>CONCATENATE($B210,$E210,$G210)</f>
        <v>ITD12382ZD10.21875</v>
      </c>
      <c r="CS210" s="301"/>
      <c r="CT210" s="305" t="e">
        <f>VLOOKUP(Out_Table[[#This Row],[Destination             ORANGE (From Planning)]],Outlist!$A$5:$W$120,22,FALSE)</f>
        <v>#N/A</v>
      </c>
    </row>
    <row r="211" spans="1:98" s="20" customFormat="1" ht="30.75">
      <c r="A211" s="305" t="str">
        <f>$CR211</f>
        <v>ITD12363ZD10.1875</v>
      </c>
      <c r="B211" s="284" t="s">
        <v>1177</v>
      </c>
      <c r="C211" s="290" t="str">
        <f>IFERROR(IF(LEFT(B211,3)='STAT 77'!$X$2,_xlfn.XLOOKUP(B211,'STAT 77'!C:C,'STAT 77'!B:B),_xlfn.XLOOKUP(B211,'STAT 77'!B:B,'STAT 77'!C:C)),"NON TROVATO")</f>
        <v>ITD31482</v>
      </c>
      <c r="D211" s="25" t="s">
        <v>662</v>
      </c>
      <c r="E211" s="290" t="s">
        <v>663</v>
      </c>
      <c r="F211" s="290" t="str">
        <f>IFERROR(VLOOKUP(E211,'Cambio O2P'!C:E,2,FALSE),"")</f>
        <v>XVYA</v>
      </c>
      <c r="G211" s="285">
        <v>0.1875</v>
      </c>
      <c r="H211" s="293" t="str">
        <f ca="1">IFERROR(IF(AND('INformazioni per calcoli'!$AB$3&lt;(--"14:30"),'INformazioni per calcoli'!$AB$3&gt;(--"10:00")),"",IF($B211="","",IF($X211&lt;&gt;"","Mezzo Chiuso",IF($W211="","Non al Carico",IF($G211-'INformazioni per calcoli'!$AB$5-'INformazioni per calcoli'!$AB$3+$J211&lt;0,"LFLS",IF($K211&lt;&gt;"","Safe Parking",IF($W211&lt;&gt;"",IF($E211="MXP",$G211-'INformazioni per calcoli'!$AB$6-'INformazioni per calcoli'!$AB$3+$J211,$G211-'INformazioni per calcoli'!$AB$5-'INformazioni per calcoli'!$AB$3+$J211),"Non al carico"))))))),"")</f>
        <v>Mezzo Chiuso</v>
      </c>
      <c r="I211" s="17" t="str">
        <f ca="1">IFERROR(IF($H211&lt;&gt;"",IF($H211="Safe Parking","",IF($W211&lt;&gt;"",IF(AND($U211="X",$V211="X"),$H211-(--"00:30"),""),IF($X211&lt;&gt;"","Mezzo Chiuso","Non al carico"))),""),"")</f>
        <v/>
      </c>
      <c r="J211" s="306">
        <f ca="1">IFERROR(IF($B211&lt;&gt;"",IF(AND('INformazioni per calcoli'!$AB$3&lt;(--"15:00"),'INformazioni per calcoli'!$AB$3&gt;(--"00:00")),0,IF($G211&lt;(--"18:30"),"+1",0)),""),"")</f>
        <v>0</v>
      </c>
      <c r="K211" s="17"/>
      <c r="L211" s="25" t="s">
        <v>430</v>
      </c>
      <c r="M211" s="25" t="str">
        <f>IFERROR(_xlfn.XLOOKUP($Q211,'Elenco Casse'!$D:$D,'Elenco Casse'!$E:$E),"")</f>
        <v>Trans Speedy S.R.L</v>
      </c>
      <c r="N211" s="25">
        <f>IFERROR(_xlfn.XLOOKUP($Q211,'Elenco Casse'!$D:$D,'Elenco Casse'!$F:$F),"")</f>
        <v>0</v>
      </c>
      <c r="O211" s="286" t="s">
        <v>418</v>
      </c>
      <c r="P211" s="295" t="str">
        <f>IFERROR(_xlfn.XLOOKUP($Q211,'Elenco Casse'!$D:$D,'Elenco Casse'!$G:$G),"")</f>
        <v>trailer 80 m3 2/3 axles</v>
      </c>
      <c r="Q211" s="355" t="s">
        <v>1178</v>
      </c>
      <c r="R211" s="23" t="s">
        <v>420</v>
      </c>
      <c r="S211" s="25" t="s">
        <v>421</v>
      </c>
      <c r="T211" s="25" t="s">
        <v>599</v>
      </c>
      <c r="U211" s="23" t="str">
        <f>IF(ISNUMBER(SEARCH("Parcel",$T211)),"X","")</f>
        <v/>
      </c>
      <c r="V211" s="23" t="str">
        <f>IF(ISNUMBER(SEARCH("Freight",$T211)),"X","")</f>
        <v>X</v>
      </c>
      <c r="W211" s="26">
        <v>838</v>
      </c>
      <c r="X211" s="27">
        <v>0.97569444444444442</v>
      </c>
      <c r="Y211" s="25" t="s">
        <v>716</v>
      </c>
      <c r="Z211" s="25"/>
      <c r="AA211" s="25" t="s">
        <v>487</v>
      </c>
      <c r="AB211" s="57">
        <v>1</v>
      </c>
      <c r="AC211" s="25"/>
      <c r="AD211" s="25"/>
      <c r="AE211" s="57"/>
      <c r="AF211" s="57"/>
      <c r="AG211" s="25"/>
      <c r="AH211" s="57"/>
      <c r="AI211" s="339"/>
      <c r="AJ211" s="339"/>
      <c r="AK211" s="297" t="str">
        <f>IF(X211&lt;&gt;"",CONCATENATE(IF(AA211&lt;&gt;"",CONCATENATE(Z211," ",AA211," ",BI211),""),IF(AD211&lt;&gt;"",CONCATENATE(","," ",AC211," ",AD211," ",BJ211),""),IF(AG211&lt;&gt;"",CONCATENATE(","," ",AF211," ",AG211," ",BK211),""),IF(AJ211&lt;&gt;"",CONCATENATE(","," ","DD"," ",BL211),"")," ",IF(AI211&lt;&gt;"",CONCATENATE(" - ",AI211," Bag"),"")),"")</f>
        <v xml:space="preserve"> FRT 14 </v>
      </c>
      <c r="AL211" s="287" t="s">
        <v>421</v>
      </c>
      <c r="AM211" s="287"/>
      <c r="AN211" s="287"/>
      <c r="AO211" s="287"/>
      <c r="AP211" s="370" t="str">
        <f>IFERROR(VLOOKUP($E208,Outlist!$A$5:$V$120,20,FALSE),"")</f>
        <v/>
      </c>
      <c r="AQ211" s="288" t="str">
        <f>IFERROR(IF(VLOOKUP($A211,#REF!,8,FALSE)&lt;&gt;"",VLOOKUP($A211,#REF!,8,FALSE),""),"")</f>
        <v/>
      </c>
      <c r="AS211" s="24"/>
      <c r="AT211" s="24">
        <v>0.94166666666666665</v>
      </c>
      <c r="AU211" s="27"/>
      <c r="AV211" s="27"/>
      <c r="AX211" s="20" t="str">
        <f>IFERROR(IF(Out_Table[[#This Row],[Cancellazione linea]]="Cancellata","yes",""),"")</f>
        <v/>
      </c>
      <c r="AY211" s="72" t="str">
        <f>IF(BA211="",BZ211,IF(AND(BA211&lt;(--"23:59:59"),BA211&gt;(--"15:00:00"),G211&lt;(--"14:00:00"),G211&gt;(--"00:00:01")),"",IF(BA211&gt;G211,BZ211,"")))</f>
        <v>Chiamare Control Room</v>
      </c>
      <c r="AZ211" s="27"/>
      <c r="BA211" s="32"/>
      <c r="BB211" s="72"/>
      <c r="BC211" s="72" t="str">
        <f>IFERROR(VLOOKUP(Out_Table[[#This Row],[Aggiornamento STATUS]],'INformazioni per calcoli'!$Y$70:$AA$76,2,FALSE),"")</f>
        <v/>
      </c>
      <c r="BD211" s="289"/>
      <c r="BE211" s="289"/>
      <c r="BF211" s="47" t="str">
        <f>LEFT($E211,3)</f>
        <v>ZD1</v>
      </c>
      <c r="BG211" s="298" t="str">
        <f>IF(Out_Table[[#This Row],[Ora Uscita    (GH)]]&lt;&gt;"","x","")</f>
        <v/>
      </c>
      <c r="BH211" s="299">
        <f>VLOOKUP($O211,'INformazioni per calcoli'!$Y$20:$AA$23,3,FALSE)</f>
        <v>14</v>
      </c>
      <c r="BI211" s="299">
        <f>MROUND(Out_Table[[#This Row],[Mtr. Trailer]]*AB211,0.5)</f>
        <v>14</v>
      </c>
      <c r="BJ211" s="299">
        <f>MROUND(Out_Table[[#This Row],[Mtr. Trailer]]*AE211,0.5)</f>
        <v>0</v>
      </c>
      <c r="BK211" s="299">
        <f>MROUND(Out_Table[[#This Row],[Mtr. Trailer]]*AH211,0.5)</f>
        <v>0</v>
      </c>
      <c r="BL211" s="300">
        <f>Out_Table[[#This Row],[Double Deck trailer N° bumpers]]</f>
        <v>0</v>
      </c>
      <c r="BM211" s="301"/>
      <c r="BN211" s="299" t="str">
        <f>B211</f>
        <v>ITD12363</v>
      </c>
      <c r="BO211" s="299" t="str">
        <f>E211</f>
        <v>ZD1</v>
      </c>
      <c r="BP211" s="302">
        <f>IF(AND(G211&gt;(--"00:00:01"),G211&lt;(--"15:00:00")),IF(AND(X211&gt;(--"00:00:01"),X211&lt;(--"15:00:00")),G211-X211,G211+1-X211),G211-X211)</f>
        <v>0.21180555555555558</v>
      </c>
      <c r="BQ211" s="303">
        <f>AE211+AF211+AH211+AJ211</f>
        <v>0</v>
      </c>
      <c r="BR211" s="304" t="str">
        <f>IF(OR(BP211&lt;=(--"00:20:00"),BQ211&gt;=100%),"OK","Not OK")</f>
        <v>Not OK</v>
      </c>
      <c r="BS211" s="302">
        <f>IF(AND(G211&gt;(--"00:00:01"),G211&lt;(--"15:00:00")),IF(AND(AU211&gt;(--"00:00:01"),AU211&lt;(--"15:00:00")),G211-AU211,G211+1-AU211),G211-AU211)</f>
        <v>1.1875</v>
      </c>
      <c r="BT211" s="302">
        <f>IF(AND(AZ211&gt;(--"00:00:01"),AZ211&lt;(--"15:00:00")),IF(AND(AU211&gt;(--"00:00:01"),AU211&lt;(--"15:00:00")),AZ211-AU211,AZ211+1-AU211),AZ211-AU211)</f>
        <v>0</v>
      </c>
      <c r="BU211" s="302">
        <f>IF(AND(BA211&gt;(--"00:00:01"),BA211&lt;(--"15:00:00")),IF(AND(AZ211&gt;(--"00:00:01"),AZ211&lt;(--"15:00:00")),BA211-AZ211,BA211+1-AZ211),BA211-AZ211)</f>
        <v>0</v>
      </c>
      <c r="BV211" s="299">
        <f>AV211</f>
        <v>0</v>
      </c>
      <c r="BW211" s="301"/>
      <c r="BX211" s="299" t="str">
        <f>IF(AV211="T Status",IF(AV211&lt;&gt;T211,"X",""),"")</f>
        <v/>
      </c>
      <c r="BY211" s="301"/>
      <c r="BZ211" s="299" t="str">
        <f>IF(X211&lt;&gt;"",IF(CC211="X","Driver Delay",IF(CA211="X","Paperwork Delay",IF(CB211="X","Late freight late sort",IF(CD211="X","Chiamare Control Room",IF(CE211="X","Chiamare Control Room",IF(CF211="X","Chiamare Control Room","")))))),"")</f>
        <v>Chiamare Control Room</v>
      </c>
      <c r="CA211" s="302" t="str">
        <f>IF(K211="",IF(IF(AND(G211&gt;(--"00:00:01"),G211&lt;(--"15:00:00")),IF(AND(AT211&gt;(--"08:00:00"),AT211&lt;(--"23:59:59")),G211+1-AT211,G211-AT211),G211-AT211)&gt;(--"00:20:00"),"","X"),"")</f>
        <v/>
      </c>
      <c r="CB211" s="299" t="str">
        <f>IF(K211="",IF(BP211&gt;=(--"00:20:00"),"","X"),"")</f>
        <v/>
      </c>
      <c r="CC211" s="299" t="str">
        <f>IF(OR(AV211="Autista non presente",AV211="Dati driver non presenti"),"X","")</f>
        <v/>
      </c>
      <c r="CD211" s="299" t="str">
        <f>IF(K211="",IF(AND(CC211="",BS211&lt;(--"00:20:00")),"X",""),"")</f>
        <v/>
      </c>
      <c r="CE211" s="299" t="str">
        <f>IF(K211="",IF(BT211&gt;(--"00:15:00"),"X",""),IF(AZ211&lt;&gt;"",IF(G211-AZ211&gt;(--"00:30:00"),"X",""),""))</f>
        <v/>
      </c>
      <c r="CF211" s="299" t="str">
        <f>IF(AND(CA211="",CB211="",CC211="",CD211="",CE211=""),"X","")</f>
        <v>X</v>
      </c>
      <c r="CG211" s="301"/>
      <c r="CH211" s="299" t="str">
        <f>IF(BT211&gt;(--"00:15:00"),"X","")</f>
        <v/>
      </c>
      <c r="CI211" s="302" t="str">
        <f>AY211</f>
        <v>Chiamare Control Room</v>
      </c>
      <c r="CJ211" s="299" t="str">
        <f>IF(AND(CH211&lt;&gt;"",CI211&lt;&gt;"",LEFT(B211,3)="ITD"),AP211,"")</f>
        <v/>
      </c>
      <c r="CK211" s="305" t="str">
        <f>IF(CJ211&lt;&gt;"",BT211,"")</f>
        <v/>
      </c>
      <c r="CL211" s="301"/>
      <c r="CM211" s="305" t="str">
        <f>IFERROR(VLOOKUP(Q211,'Elenco Casse'!$D$4:$F$292,3,FALSE),"")</f>
        <v/>
      </c>
      <c r="CN211" s="301"/>
      <c r="CO211" s="305" t="str">
        <f>IFERROR(VLOOKUP(S211,'Elenco Casse'!$D$4:$F$292,3,FALSE),"")</f>
        <v/>
      </c>
      <c r="CP211" s="305" t="str">
        <f>IFERROR(IF(VLOOKUP($E211,Outlist!$A$5:$S$120,19,FALSE)&lt;&gt;0,"Y",""),"")</f>
        <v/>
      </c>
      <c r="CQ211" s="301"/>
      <c r="CR211" s="305" t="str">
        <f>CONCATENATE($B211,$E211,$G211)</f>
        <v>ITD12363ZD10.1875</v>
      </c>
      <c r="CS211" s="301"/>
      <c r="CT211" s="305" t="e">
        <f>VLOOKUP(Out_Table[[#This Row],[Destination             ORANGE (From Planning)]],Outlist!$A$5:$W$120,22,FALSE)</f>
        <v>#N/A</v>
      </c>
    </row>
    <row r="212" spans="1:98" s="20" customFormat="1" ht="15">
      <c r="A212" s="305" t="str">
        <f>$CR212</f>
        <v>ITD12798ICM0.25</v>
      </c>
      <c r="B212" s="284" t="s">
        <v>1179</v>
      </c>
      <c r="C212" s="290" t="str">
        <f>IFERROR(IF(LEFT(B212,3)='STAT 77'!$X$2,_xlfn.XLOOKUP(B212,'STAT 77'!C:C,'STAT 77'!B:B),_xlfn.XLOOKUP(B212,'STAT 77'!B:B,'STAT 77'!C:C)),"NON TROVATO")</f>
        <v>ITD32354</v>
      </c>
      <c r="D212" s="25" t="s">
        <v>866</v>
      </c>
      <c r="E212" s="290" t="s">
        <v>867</v>
      </c>
      <c r="F212" s="290" t="str">
        <f>IFERROR(VLOOKUP(E212,'Cambio O2P'!C:E,2,FALSE),"")</f>
        <v>FIRA</v>
      </c>
      <c r="G212" s="285">
        <v>0.25</v>
      </c>
      <c r="H212" s="293">
        <f ca="1">IFERROR(IF(AND('INformazioni per calcoli'!$AB$3&lt;(--"14:30"),'INformazioni per calcoli'!$AB$3&gt;(--"10:00")),"",IF($B212="","",IF($X212&lt;&gt;"","Mezzo Chiuso",IF($W212="","Non al Carico",IF($G212-'INformazioni per calcoli'!$AB$5-'INformazioni per calcoli'!$AB$3+$J212&lt;0,"LFLS",IF($K212&lt;&gt;"","Safe Parking",IF($W212&lt;&gt;"",IF($E212="MXP",$G212-'INformazioni per calcoli'!$AB$6-'INformazioni per calcoli'!$AB$3+$J212,$G212-'INformazioni per calcoli'!$AB$5-'INformazioni per calcoli'!$AB$3+$J212),"Non al carico"))))))),"")</f>
        <v>9.0648148148148144E-2</v>
      </c>
      <c r="I212" s="17" t="str">
        <f ca="1">IFERROR(IF($H212&lt;&gt;"",IF($H212="Safe Parking","",IF($W212&lt;&gt;"",IF(AND($U212="X",$V212="X"),$H212-(--"00:30"),""),IF($X212&lt;&gt;"","Mezzo Chiuso","Non al carico"))),""),"")</f>
        <v/>
      </c>
      <c r="J212" s="306">
        <f ca="1">IFERROR(IF($B212&lt;&gt;"",IF(AND('INformazioni per calcoli'!$AB$3&lt;(--"15:00"),'INformazioni per calcoli'!$AB$3&gt;(--"00:00")),0,IF($G212&lt;(--"18:30"),"+1",0)),""),"")</f>
        <v>0</v>
      </c>
      <c r="K212" s="17"/>
      <c r="L212" s="25" t="s">
        <v>52</v>
      </c>
      <c r="M212" s="25" t="str">
        <f>IFERROR(_xlfn.XLOOKUP($Q212,'Elenco Casse'!$D:$D,'Elenco Casse'!$E:$E),"")</f>
        <v/>
      </c>
      <c r="N212" s="25" t="str">
        <f>IFERROR(_xlfn.XLOOKUP($Q212,'Elenco Casse'!$D:$D,'Elenco Casse'!$F:$F),"")</f>
        <v/>
      </c>
      <c r="O212" s="286" t="s">
        <v>418</v>
      </c>
      <c r="P212" s="295" t="str">
        <f>IFERROR(_xlfn.XLOOKUP($Q212,'Elenco Casse'!$D:$D,'Elenco Casse'!$G:$G),"")</f>
        <v/>
      </c>
      <c r="Q212" s="355" t="s">
        <v>1180</v>
      </c>
      <c r="R212" s="23" t="s">
        <v>420</v>
      </c>
      <c r="S212" s="25" t="s">
        <v>421</v>
      </c>
      <c r="T212" s="25" t="s">
        <v>1181</v>
      </c>
      <c r="U212" s="23" t="str">
        <f>IF(ISNUMBER(SEARCH("Parcel",$T212)),"X","")</f>
        <v/>
      </c>
      <c r="V212" s="23" t="str">
        <f>IF(ISNUMBER(SEARCH("Freight",$T212)),"X","")</f>
        <v>X</v>
      </c>
      <c r="W212" s="26">
        <v>840</v>
      </c>
      <c r="X212" s="27"/>
      <c r="Y212" s="25"/>
      <c r="Z212" s="25"/>
      <c r="AA212" s="25" t="s">
        <v>487</v>
      </c>
      <c r="AB212" s="57"/>
      <c r="AC212" s="25"/>
      <c r="AD212" s="25"/>
      <c r="AE212" s="57"/>
      <c r="AF212" s="57"/>
      <c r="AG212" s="25" t="s">
        <v>488</v>
      </c>
      <c r="AH212" s="57"/>
      <c r="AI212" s="339"/>
      <c r="AJ212" s="339"/>
      <c r="AK212" s="297" t="str">
        <f>IF(X212&lt;&gt;"",CONCATENATE(IF(AA212&lt;&gt;"",CONCATENATE(Z212," ",AA212," ",BI212),""),IF(AD212&lt;&gt;"",CONCATENATE(","," ",AC212," ",AD212," ",BJ212),""),IF(AG212&lt;&gt;"",CONCATENATE(","," ",AF212," ",AG212," ",BK212),""),IF(AJ212&lt;&gt;"",CONCATENATE(","," ","DD"," ",BL212),"")," ",IF(AI212&lt;&gt;"",CONCATENATE(" - ",AI212," Bag"),"")),"")</f>
        <v/>
      </c>
      <c r="AL212" s="287"/>
      <c r="AM212" s="287"/>
      <c r="AN212" s="287"/>
      <c r="AO212" s="287"/>
      <c r="AP212" s="370" t="str">
        <f>IFERROR(VLOOKUP(#REF!,Outlist!$A$5:$V$120,20,FALSE),"")</f>
        <v/>
      </c>
      <c r="AQ212" s="288" t="str">
        <f>IFERROR(IF(VLOOKUP($A212,#REF!,8,FALSE)&lt;&gt;"",VLOOKUP($A212,#REF!,8,FALSE),""),"")</f>
        <v/>
      </c>
      <c r="AS212" s="24"/>
      <c r="AT212" s="24">
        <v>0.80486111111111114</v>
      </c>
      <c r="AU212" s="27"/>
      <c r="AV212" s="27"/>
      <c r="AX212" s="20" t="str">
        <f>IFERROR(IF(Out_Table[[#This Row],[Cancellazione linea]]="Cancellata","yes",""),"")</f>
        <v/>
      </c>
      <c r="AY212" s="72" t="str">
        <f>IF(BA212="",BZ212,IF(AND(BA212&lt;(--"23:59:59"),BA212&gt;(--"15:00:00"),G212&lt;(--"14:00:00"),G212&gt;(--"00:00:01")),"",IF(BA212&gt;G212,BZ212,"")))</f>
        <v/>
      </c>
      <c r="AZ212" s="27"/>
      <c r="BA212" s="32"/>
      <c r="BB212" s="72"/>
      <c r="BC212" s="72" t="str">
        <f>IFERROR(VLOOKUP(Out_Table[[#This Row],[Aggiornamento STATUS]],'INformazioni per calcoli'!$Y$70:$AA$76,2,FALSE),"")</f>
        <v/>
      </c>
      <c r="BD212" s="289"/>
      <c r="BE212" s="289"/>
      <c r="BF212" s="47" t="str">
        <f>LEFT($E212,3)</f>
        <v>ICM</v>
      </c>
      <c r="BG212" s="298" t="str">
        <f>IF(Out_Table[[#This Row],[Ora Uscita    (GH)]]&lt;&gt;"","x","")</f>
        <v/>
      </c>
      <c r="BH212" s="299">
        <f>VLOOKUP($O212,'INformazioni per calcoli'!$Y$20:$AA$23,3,FALSE)</f>
        <v>14</v>
      </c>
      <c r="BI212" s="299">
        <f>MROUND(Out_Table[[#This Row],[Mtr. Trailer]]*AB212,0.5)</f>
        <v>0</v>
      </c>
      <c r="BJ212" s="299">
        <f>MROUND(Out_Table[[#This Row],[Mtr. Trailer]]*AE212,0.5)</f>
        <v>0</v>
      </c>
      <c r="BK212" s="299">
        <f>MROUND(Out_Table[[#This Row],[Mtr. Trailer]]*AH212,0.5)</f>
        <v>0</v>
      </c>
      <c r="BL212" s="300">
        <f>Out_Table[[#This Row],[Double Deck trailer N° bumpers]]</f>
        <v>0</v>
      </c>
      <c r="BM212" s="301"/>
      <c r="BN212" s="299" t="str">
        <f>B212</f>
        <v>ITD12798</v>
      </c>
      <c r="BO212" s="299" t="str">
        <f>E212</f>
        <v>ICM</v>
      </c>
      <c r="BP212" s="302">
        <f>IF(AND(G212&gt;(--"00:00:01"),G212&lt;(--"15:00:00")),IF(AND(X212&gt;(--"00:00:01"),X212&lt;(--"15:00:00")),G212-X212,G212+1-X212),G212-X212)</f>
        <v>1.25</v>
      </c>
      <c r="BQ212" s="303">
        <f>AE212+AF212+AH212+AJ212</f>
        <v>0</v>
      </c>
      <c r="BR212" s="304" t="str">
        <f>IF(OR(BP212&lt;=(--"00:20:00"),BQ212&gt;=100%),"OK","Not OK")</f>
        <v>Not OK</v>
      </c>
      <c r="BS212" s="302">
        <f>IF(AND(G212&gt;(--"00:00:01"),G212&lt;(--"15:00:00")),IF(AND(AU212&gt;(--"00:00:01"),AU212&lt;(--"15:00:00")),G212-AU212,G212+1-AU212),G212-AU212)</f>
        <v>1.25</v>
      </c>
      <c r="BT212" s="302">
        <f>IF(AND(AZ212&gt;(--"00:00:01"),AZ212&lt;(--"15:00:00")),IF(AND(AU212&gt;(--"00:00:01"),AU212&lt;(--"15:00:00")),AZ212-AU212,AZ212+1-AU212),AZ212-AU212)</f>
        <v>0</v>
      </c>
      <c r="BU212" s="302">
        <f>IF(AND(BA212&gt;(--"00:00:01"),BA212&lt;(--"15:00:00")),IF(AND(AZ212&gt;(--"00:00:01"),AZ212&lt;(--"15:00:00")),BA212-AZ212,BA212+1-AZ212),BA212-AZ212)</f>
        <v>0</v>
      </c>
      <c r="BV212" s="299">
        <f>AV212</f>
        <v>0</v>
      </c>
      <c r="BW212" s="301"/>
      <c r="BX212" s="299" t="str">
        <f>IF(AV212="T Status",IF(AV212&lt;&gt;T212,"X",""),"")</f>
        <v/>
      </c>
      <c r="BY212" s="301"/>
      <c r="BZ212" s="299" t="str">
        <f>IF(X212&lt;&gt;"",IF(CC212="X","Driver Delay",IF(CA212="X","Paperwork Delay",IF(CB212="X","Late freight late sort",IF(CD212="X","Chiamare Control Room",IF(CE212="X","Chiamare Control Room",IF(CF212="X","Chiamare Control Room","")))))),"")</f>
        <v/>
      </c>
      <c r="CA212" s="302" t="str">
        <f>IF(K212="",IF(IF(AND(G212&gt;(--"00:00:01"),G212&lt;(--"15:00:00")),IF(AND(AT212&gt;(--"08:00:00"),AT212&lt;(--"23:59:59")),G212+1-AT212,G212-AT212),G212-AT212)&gt;(--"00:20:00"),"","X"),"")</f>
        <v/>
      </c>
      <c r="CB212" s="299" t="str">
        <f>IF(K212="",IF(BP212&gt;=(--"00:20:00"),"","X"),"")</f>
        <v/>
      </c>
      <c r="CC212" s="299" t="str">
        <f>IF(OR(AV212="Autista non presente",AV212="Dati driver non presenti"),"X","")</f>
        <v/>
      </c>
      <c r="CD212" s="299" t="str">
        <f>IF(K212="",IF(AND(CC212="",BS212&lt;(--"00:20:00")),"X",""),"")</f>
        <v/>
      </c>
      <c r="CE212" s="299" t="str">
        <f>IF(K212="",IF(BT212&gt;(--"00:15:00"),"X",""),IF(AZ212&lt;&gt;"",IF(G212-AZ212&gt;(--"00:30:00"),"X",""),""))</f>
        <v/>
      </c>
      <c r="CF212" s="299" t="str">
        <f>IF(AND(CA212="",CB212="",CC212="",CD212="",CE212=""),"X","")</f>
        <v>X</v>
      </c>
      <c r="CG212" s="301"/>
      <c r="CH212" s="299" t="str">
        <f>IF(BT212&gt;(--"00:15:00"),"X","")</f>
        <v/>
      </c>
      <c r="CI212" s="302" t="str">
        <f>AY212</f>
        <v/>
      </c>
      <c r="CJ212" s="299" t="str">
        <f>IF(AND(CH212&lt;&gt;"",CI212&lt;&gt;"",LEFT(B212,3)="ITD"),AP212,"")</f>
        <v/>
      </c>
      <c r="CK212" s="305" t="str">
        <f>IF(CJ212&lt;&gt;"",BT212,"")</f>
        <v/>
      </c>
      <c r="CL212" s="301"/>
      <c r="CM212" s="305" t="str">
        <f>IFERROR(VLOOKUP(Q212,'Elenco Casse'!$D$4:$F$292,3,FALSE),"")</f>
        <v/>
      </c>
      <c r="CN212" s="301"/>
      <c r="CO212" s="305" t="str">
        <f>IFERROR(VLOOKUP(S212,'Elenco Casse'!$D$4:$F$292,3,FALSE),"")</f>
        <v/>
      </c>
      <c r="CP212" s="305" t="str">
        <f>IFERROR(IF(VLOOKUP($E212,Outlist!$A$5:$S$120,19,FALSE)&lt;&gt;0,"Y",""),"")</f>
        <v/>
      </c>
      <c r="CQ212" s="301"/>
      <c r="CR212" s="305" t="str">
        <f>CONCATENATE($B212,$E212,$G212)</f>
        <v>ITD12798ICM0.25</v>
      </c>
      <c r="CS212" s="301"/>
      <c r="CT212" s="305" t="e">
        <f>VLOOKUP(Out_Table[[#This Row],[Destination             ORANGE (From Planning)]],Outlist!$A$5:$W$120,22,FALSE)</f>
        <v>#N/A</v>
      </c>
    </row>
    <row r="213" spans="1:98" s="20" customFormat="1" ht="30.75">
      <c r="A213" s="305" t="str">
        <f>$CR213</f>
        <v>ITD12019NT30.940972222222222</v>
      </c>
      <c r="B213" s="284" t="s">
        <v>1182</v>
      </c>
      <c r="C213" s="290" t="str">
        <f>IFERROR(IF(LEFT(B213,3)='STAT 77'!$X$2,_xlfn.XLOOKUP(B213,'STAT 77'!C:C,'STAT 77'!B:B),_xlfn.XLOOKUP(B213,'STAT 77'!B:B,'STAT 77'!C:C)),"NON TROVATO")</f>
        <v>ITD30741</v>
      </c>
      <c r="D213" s="25" t="s">
        <v>810</v>
      </c>
      <c r="E213" s="290" t="s">
        <v>811</v>
      </c>
      <c r="F213" s="290" t="str">
        <f>IFERROR(VLOOKUP(E213,'Cambio O2P'!C:E,2,FALSE),"")</f>
        <v>ZJYH</v>
      </c>
      <c r="G213" s="285">
        <v>0.94097222222222221</v>
      </c>
      <c r="H213" s="293" t="str">
        <f ca="1">IFERROR(IF(AND('INformazioni per calcoli'!$AB$3&lt;(--"14:30"),'INformazioni per calcoli'!$AB$3&gt;(--"10:00")),"",IF($B213="","",IF($X213&lt;&gt;"","Mezzo Chiuso",IF($W213="","Non al Carico",IF($G213-'INformazioni per calcoli'!$AB$5-'INformazioni per calcoli'!$AB$3+$J213&lt;0,"LFLS",IF($K213&lt;&gt;"","Safe Parking",IF($W213&lt;&gt;"",IF($E213="MXP",$G213-'INformazioni per calcoli'!$AB$6-'INformazioni per calcoli'!$AB$3+$J213,$G213-'INformazioni per calcoli'!$AB$5-'INformazioni per calcoli'!$AB$3+$J213),"Non al carico"))))))),"")</f>
        <v>Mezzo Chiuso</v>
      </c>
      <c r="I213" s="17"/>
      <c r="J213" s="306">
        <f ca="1">IFERROR(IF($B213&lt;&gt;"",IF(AND('INformazioni per calcoli'!$AB$3&lt;(--"15:00"),'INformazioni per calcoli'!$AB$3&gt;(--"00:00")),0,IF($G213&lt;(--"18:30"),"+1",0)),""),"")</f>
        <v>0</v>
      </c>
      <c r="K213" s="17"/>
      <c r="L213" s="25" t="s">
        <v>692</v>
      </c>
      <c r="M213" s="25" t="str">
        <f>IFERROR(_xlfn.XLOOKUP($Q213,'Elenco Casse'!$D:$D,'Elenco Casse'!$E:$E),"")</f>
        <v>Canguro S.P.A.</v>
      </c>
      <c r="N213" s="25">
        <f>IFERROR(_xlfn.XLOOKUP($Q213,'Elenco Casse'!$D:$D,'Elenco Casse'!$F:$F),"")</f>
        <v>0</v>
      </c>
      <c r="O213" s="286" t="s">
        <v>418</v>
      </c>
      <c r="P213" s="295" t="str">
        <f>IFERROR(_xlfn.XLOOKUP($Q213,'Elenco Casse'!$D:$D,'Elenco Casse'!$G:$G),"")</f>
        <v>trailer 80 m3 2/3 axles</v>
      </c>
      <c r="Q213" s="355" t="s">
        <v>1183</v>
      </c>
      <c r="R213" s="23" t="s">
        <v>420</v>
      </c>
      <c r="S213" s="25" t="s">
        <v>421</v>
      </c>
      <c r="T213" s="25" t="s">
        <v>726</v>
      </c>
      <c r="U213" s="23" t="s">
        <v>500</v>
      </c>
      <c r="V213" s="23" t="s">
        <v>61</v>
      </c>
      <c r="W213" s="26">
        <v>841</v>
      </c>
      <c r="X213" s="27">
        <v>0.92777777777777781</v>
      </c>
      <c r="Y213" s="25" t="s">
        <v>624</v>
      </c>
      <c r="Z213" s="25"/>
      <c r="AA213" s="25" t="s">
        <v>40</v>
      </c>
      <c r="AB213" s="57">
        <v>0.5</v>
      </c>
      <c r="AC213" s="25"/>
      <c r="AD213" s="25" t="s">
        <v>487</v>
      </c>
      <c r="AE213" s="57">
        <v>0.2</v>
      </c>
      <c r="AF213" s="57"/>
      <c r="AG213" s="25"/>
      <c r="AH213" s="57"/>
      <c r="AI213" s="339">
        <v>6</v>
      </c>
      <c r="AJ213" s="339"/>
      <c r="AK213" s="297" t="str">
        <f>IF(X213&lt;&gt;"",CONCATENATE(IF(AA213&lt;&gt;"",CONCATENATE(Z213," ",AA213," ",BI213),""),IF(AD213&lt;&gt;"",CONCATENATE(","," ",AC213," ",AD213," ",BJ213),""),IF(AG213&lt;&gt;"",CONCATENATE(","," ",AF213," ",AG213," ",BK213),""),IF(AJ213&lt;&gt;"",CONCATENATE(","," ","DD"," ",BL213),"")," ",IF(AI213&lt;&gt;"",CONCATENATE(" - ",AI213," Bag"),"")),"")</f>
        <v xml:space="preserve"> LL 7,  FRT 3  - 6 Bag</v>
      </c>
      <c r="AL213" s="287" t="s">
        <v>421</v>
      </c>
      <c r="AM213" s="287"/>
      <c r="AN213" s="287"/>
      <c r="AO213" s="287"/>
      <c r="AP213" s="370" t="str">
        <f>IFERROR(VLOOKUP($E210,Outlist!$A$5:$V$120,20,FALSE),"")</f>
        <v/>
      </c>
      <c r="AQ213" s="288" t="str">
        <f>IFERROR(IF(VLOOKUP($A213,#REF!,8,FALSE)&lt;&gt;"",VLOOKUP($A213,#REF!,8,FALSE),""),"")</f>
        <v/>
      </c>
      <c r="AS213" s="24"/>
      <c r="AT213" s="24">
        <v>0.79513888888888884</v>
      </c>
      <c r="AU213" s="27">
        <v>0.92847222222222225</v>
      </c>
      <c r="AV213" s="27"/>
      <c r="AW213" s="20" t="s">
        <v>443</v>
      </c>
      <c r="AX213" s="20" t="str">
        <f>IFERROR(IF(Out_Table[[#This Row],[Cancellazione linea]]="Cancellata","yes",""),"")</f>
        <v/>
      </c>
      <c r="AY213" s="72" t="str">
        <f>IF(BA213="",BZ213,IF(AND(BA213&lt;(--"23:59:59"),BA213&gt;(--"15:00:00"),G213&lt;(--"14:00:00"),G213&gt;(--"00:00:01")),"",IF(BA213&gt;G213,BZ213,"")))</f>
        <v/>
      </c>
      <c r="AZ213" s="27">
        <v>0.93263888888888891</v>
      </c>
      <c r="BA213" s="32">
        <v>0.94027777777777777</v>
      </c>
      <c r="BB213" s="72"/>
      <c r="BC213" s="72" t="str">
        <f>IFERROR(VLOOKUP(Out_Table[[#This Row],[Aggiornamento STATUS]],'INformazioni per calcoli'!$Y$70:$AA$76,2,FALSE),"")</f>
        <v/>
      </c>
      <c r="BD213" s="289"/>
      <c r="BE213" s="289"/>
      <c r="BF213" s="47" t="str">
        <f>LEFT($E213,3)</f>
        <v>NT3</v>
      </c>
      <c r="BG213" s="298" t="str">
        <f>IF(Out_Table[[#This Row],[Ora Uscita    (GH)]]&lt;&gt;"","x","")</f>
        <v>x</v>
      </c>
      <c r="BH213" s="299">
        <f>VLOOKUP($O213,'INformazioni per calcoli'!$Y$20:$AA$23,3,FALSE)</f>
        <v>14</v>
      </c>
      <c r="BI213" s="299">
        <f>MROUND(Out_Table[[#This Row],[Mtr. Trailer]]*AB213,0.5)</f>
        <v>7</v>
      </c>
      <c r="BJ213" s="299">
        <f>MROUND(Out_Table[[#This Row],[Mtr. Trailer]]*AE213,0.5)</f>
        <v>3</v>
      </c>
      <c r="BK213" s="299">
        <f>MROUND(Out_Table[[#This Row],[Mtr. Trailer]]*AH213,0.5)</f>
        <v>0</v>
      </c>
      <c r="BL213" s="300">
        <f>Out_Table[[#This Row],[Double Deck trailer N° bumpers]]</f>
        <v>0</v>
      </c>
      <c r="BM213" s="301"/>
      <c r="BN213" s="299" t="str">
        <f>B213</f>
        <v>ITD12019</v>
      </c>
      <c r="BO213" s="299" t="str">
        <f>E213</f>
        <v>NT3</v>
      </c>
      <c r="BP213" s="302">
        <f>IF(AND(G213&gt;(--"00:00:01"),G213&lt;(--"15:00:00")),IF(AND(X213&gt;(--"00:00:01"),X213&lt;(--"15:00:00")),G213-X213,G213+1-X213),G213-X213)</f>
        <v>1.3194444444444398E-2</v>
      </c>
      <c r="BQ213" s="303">
        <f>AE213+AF213+AH213+AJ213</f>
        <v>0.2</v>
      </c>
      <c r="BR213" s="304" t="str">
        <f>IF(OR(BP213&lt;=(--"00:20:00"),BQ213&gt;=100%),"OK","Not OK")</f>
        <v>OK</v>
      </c>
      <c r="BS213" s="302">
        <f>IF(AND(G213&gt;(--"00:00:01"),G213&lt;(--"15:00:00")),IF(AND(AU213&gt;(--"00:00:01"),AU213&lt;(--"15:00:00")),G213-AU213,G213+1-AU213),G213-AU213)</f>
        <v>1.2499999999999956E-2</v>
      </c>
      <c r="BT213" s="302">
        <f>IF(AND(AZ213&gt;(--"00:00:01"),AZ213&lt;(--"15:00:00")),IF(AND(AU213&gt;(--"00:00:01"),AU213&lt;(--"15:00:00")),AZ213-AU213,AZ213+1-AU213),AZ213-AU213)</f>
        <v>4.1666666666666519E-3</v>
      </c>
      <c r="BU213" s="302">
        <f>IF(AND(BA213&gt;(--"00:00:01"),BA213&lt;(--"15:00:00")),IF(AND(AZ213&gt;(--"00:00:01"),AZ213&lt;(--"15:00:00")),BA213-AZ213,BA213+1-AZ213),BA213-AZ213)</f>
        <v>7.6388888888888618E-3</v>
      </c>
      <c r="BV213" s="299">
        <f>AV213</f>
        <v>0</v>
      </c>
      <c r="BW213" s="301"/>
      <c r="BX213" s="299" t="str">
        <f>IF(AV213="T Status",IF(AV213&lt;&gt;T213,"X",""),"")</f>
        <v/>
      </c>
      <c r="BY213" s="301"/>
      <c r="BZ213" s="299" t="str">
        <f>IF(X213&lt;&gt;"",IF(CC213="X","Driver Delay",IF(CA213="X","Paperwork Delay",IF(CB213="X","Late freight late sort",IF(CD213="X","Chiamare Control Room",IF(CE213="X","Chiamare Control Room",IF(CF213="X","Chiamare Control Room","")))))),"")</f>
        <v>Late freight late sort</v>
      </c>
      <c r="CA213" s="302" t="str">
        <f>IF(K213="",IF(IF(AND(G213&gt;(--"00:00:01"),G213&lt;(--"15:00:00")),IF(AND(AT213&gt;(--"08:00:00"),AT213&lt;(--"23:59:59")),G213+1-AT213,G213-AT213),G213-AT213)&gt;(--"00:20:00"),"","X"),"")</f>
        <v/>
      </c>
      <c r="CB213" s="299" t="str">
        <f>IF(K213="",IF(BP213&gt;=(--"00:20:00"),"","X"),"")</f>
        <v>X</v>
      </c>
      <c r="CC213" s="299" t="str">
        <f>IF(OR(AV213="Autista non presente",AV213="Dati driver non presenti"),"X","")</f>
        <v/>
      </c>
      <c r="CD213" s="299" t="str">
        <f>IF(K213="",IF(AND(CC213="",BS213&lt;(--"00:20:00")),"X",""),"")</f>
        <v>X</v>
      </c>
      <c r="CE213" s="299" t="str">
        <f>IF(K213="",IF(BT213&gt;(--"00:15:00"),"X",""),IF(AZ213&lt;&gt;"",IF(G213-AZ213&gt;(--"00:30:00"),"X",""),""))</f>
        <v/>
      </c>
      <c r="CF213" s="299" t="str">
        <f>IF(AND(CA213="",CB213="",CC213="",CD213="",CE213=""),"X","")</f>
        <v/>
      </c>
      <c r="CG213" s="301"/>
      <c r="CH213" s="299" t="str">
        <f>IF(BT213&gt;(--"00:15:00"),"X","")</f>
        <v/>
      </c>
      <c r="CI213" s="302" t="str">
        <f>AY213</f>
        <v/>
      </c>
      <c r="CJ213" s="299" t="str">
        <f>IF(AND(CH213&lt;&gt;"",CI213&lt;&gt;"",LEFT(B213,3)="ITD"),AP213,"")</f>
        <v/>
      </c>
      <c r="CK213" s="305" t="str">
        <f>IF(CJ213&lt;&gt;"",BT213,"")</f>
        <v/>
      </c>
      <c r="CL213" s="301"/>
      <c r="CM213" s="305" t="str">
        <f>IFERROR(VLOOKUP(Q213,'Elenco Casse'!$D$4:$F$292,3,FALSE),"")</f>
        <v/>
      </c>
      <c r="CN213" s="301"/>
      <c r="CO213" s="305" t="str">
        <f>IFERROR(VLOOKUP(S213,'Elenco Casse'!$D$4:$F$292,3,FALSE),"")</f>
        <v/>
      </c>
      <c r="CP213" s="305" t="str">
        <f>IFERROR(IF(VLOOKUP($E213,Outlist!$A$5:$S$120,19,FALSE)&lt;&gt;0,"Y",""),"")</f>
        <v/>
      </c>
      <c r="CQ213" s="301"/>
      <c r="CR213" s="305" t="str">
        <f>CONCATENATE($B213,$E213,$G213)</f>
        <v>ITD12019NT30.940972222222222</v>
      </c>
      <c r="CS213" s="301"/>
      <c r="CT213" s="305" t="e">
        <f>VLOOKUP(Out_Table[[#This Row],[Destination             ORANGE (From Planning)]],Outlist!$A$5:$W$120,22,FALSE)</f>
        <v>#N/A</v>
      </c>
    </row>
    <row r="214" spans="1:98" s="20" customFormat="1" ht="30.75">
      <c r="A214" s="305" t="str">
        <f>$CR214</f>
        <v>ITD12022NT30.833333333333333</v>
      </c>
      <c r="B214" s="284" t="s">
        <v>1184</v>
      </c>
      <c r="C214" s="290" t="str">
        <f>IFERROR(IF(LEFT(B214,3)='STAT 77'!$X$2,_xlfn.XLOOKUP(B214,'STAT 77'!C:C,'STAT 77'!B:B),_xlfn.XLOOKUP(B214,'STAT 77'!B:B,'STAT 77'!C:C)),"NON TROVATO")</f>
        <v>ITD30744</v>
      </c>
      <c r="D214" s="25" t="s">
        <v>810</v>
      </c>
      <c r="E214" s="290" t="s">
        <v>811</v>
      </c>
      <c r="F214" s="290" t="str">
        <f>IFERROR(VLOOKUP(E214,'Cambio O2P'!C:E,2,FALSE),"")</f>
        <v>ZJYH</v>
      </c>
      <c r="G214" s="285">
        <v>0.83333333333333337</v>
      </c>
      <c r="H214" s="293" t="str">
        <f ca="1">IFERROR(IF(AND('INformazioni per calcoli'!$AB$3&lt;(--"14:30"),'INformazioni per calcoli'!$AB$3&gt;(--"10:00")),"",IF($B214="","",IF($X214&lt;&gt;"","Mezzo Chiuso",IF($W214="","Non al Carico",IF($G214-'INformazioni per calcoli'!$AB$5-'INformazioni per calcoli'!$AB$3+$J214&lt;0,"LFLS",IF($K214&lt;&gt;"","Safe Parking",IF($W214&lt;&gt;"",IF($E214="MXP",$G214-'INformazioni per calcoli'!$AB$6-'INformazioni per calcoli'!$AB$3+$J214,$G214-'INformazioni per calcoli'!$AB$5-'INformazioni per calcoli'!$AB$3+$J214),"Non al carico"))))))),"")</f>
        <v>Mezzo Chiuso</v>
      </c>
      <c r="I214" s="17" t="str">
        <f ca="1">IFERROR(IF($H214&lt;&gt;"",IF($H214="Safe Parking","",IF($W214&lt;&gt;"",IF(AND($U214="X",$V214="X"),$H214-(--"00:30"),""),IF($X214&lt;&gt;"","Mezzo Chiuso","Non al carico"))),""),"")</f>
        <v/>
      </c>
      <c r="J214" s="306">
        <f ca="1">IFERROR(IF($B214&lt;&gt;"",IF(AND('INformazioni per calcoli'!$AB$3&lt;(--"15:00"),'INformazioni per calcoli'!$AB$3&gt;(--"00:00")),0,IF($G214&lt;(--"18:30"),"+1",0)),""),"")</f>
        <v>0</v>
      </c>
      <c r="K214" s="27"/>
      <c r="L214" s="25" t="s">
        <v>692</v>
      </c>
      <c r="M214" s="25" t="str">
        <f>IFERROR(_xlfn.XLOOKUP($Q214,'Elenco Casse'!$D:$D,'Elenco Casse'!$E:$E),"")</f>
        <v>Canguro S.P.A.</v>
      </c>
      <c r="N214" s="25">
        <f>IFERROR(_xlfn.XLOOKUP($Q214,'Elenco Casse'!$D:$D,'Elenco Casse'!$F:$F),"")</f>
        <v>0</v>
      </c>
      <c r="O214" s="286" t="s">
        <v>418</v>
      </c>
      <c r="P214" s="295" t="str">
        <f>IFERROR(_xlfn.XLOOKUP($Q214,'Elenco Casse'!$D:$D,'Elenco Casse'!$G:$G),"")</f>
        <v>trailer 80 m3 2/3 axes</v>
      </c>
      <c r="Q214" s="355" t="s">
        <v>1185</v>
      </c>
      <c r="R214" s="23" t="s">
        <v>420</v>
      </c>
      <c r="S214" s="25" t="s">
        <v>421</v>
      </c>
      <c r="T214" s="25" t="s">
        <v>726</v>
      </c>
      <c r="U214" s="23" t="str">
        <f>IF(ISNUMBER(SEARCH("Parcel",$T214)),"X","")</f>
        <v/>
      </c>
      <c r="V214" s="23" t="str">
        <f>IF(ISNUMBER(SEARCH("Freight",$T214)),"X","")</f>
        <v>X</v>
      </c>
      <c r="W214" s="26">
        <v>841</v>
      </c>
      <c r="X214" s="27">
        <v>0.74583333333333335</v>
      </c>
      <c r="Y214" s="25" t="s">
        <v>864</v>
      </c>
      <c r="Z214" s="25"/>
      <c r="AA214" s="25" t="s">
        <v>487</v>
      </c>
      <c r="AB214" s="57">
        <v>1</v>
      </c>
      <c r="AC214" s="25"/>
      <c r="AD214" s="25"/>
      <c r="AE214" s="57"/>
      <c r="AF214" s="57"/>
      <c r="AG214" s="25"/>
      <c r="AH214" s="57"/>
      <c r="AI214" s="339"/>
      <c r="AJ214" s="339"/>
      <c r="AK214" s="297" t="str">
        <f>IF(X214&lt;&gt;"",CONCATENATE(IF(AA214&lt;&gt;"",CONCATENATE(Z214," ",AA214," ",BI214),""),IF(AD214&lt;&gt;"",CONCATENATE(","," ",AC214," ",AD214," ",BJ214),""),IF(AG214&lt;&gt;"",CONCATENATE(","," ",AF214," ",AG214," ",BK214),""),IF(AJ214&lt;&gt;"",CONCATENATE(","," ","DD"," ",BL214),"")," ",IF(AI214&lt;&gt;"",CONCATENATE(" - ",AI214," Bag"),"")),"")</f>
        <v xml:space="preserve"> FRT 14 </v>
      </c>
      <c r="AL214" s="287" t="s">
        <v>421</v>
      </c>
      <c r="AM214" s="287"/>
      <c r="AN214" s="287"/>
      <c r="AO214" s="287"/>
      <c r="AP214" s="370" t="str">
        <f>IFERROR(VLOOKUP($E211,Outlist!$A$5:$V$120,20,FALSE),"")</f>
        <v/>
      </c>
      <c r="AQ214" s="288" t="s">
        <v>1186</v>
      </c>
      <c r="AS214" s="24"/>
      <c r="AT214" s="24">
        <v>0.46180555555555558</v>
      </c>
      <c r="AU214" s="27">
        <v>0.80555555555555558</v>
      </c>
      <c r="AV214" s="27"/>
      <c r="AW214" s="20" t="s">
        <v>443</v>
      </c>
      <c r="AX214" s="20" t="str">
        <f>IFERROR(IF(Out_Table[[#This Row],[Cancellazione linea]]="Cancellata","yes",""),"")</f>
        <v/>
      </c>
      <c r="AY214" s="72" t="str">
        <f>IF(BA214="",BZ214,IF(AND(BA214&lt;(--"23:59:59"),BA214&gt;(--"15:00:00"),G214&lt;(--"14:00:00"),G214&gt;(--"00:00:01")),"",IF(BA214&gt;G214,BZ214,"")))</f>
        <v/>
      </c>
      <c r="AZ214" s="27">
        <v>0.80902777777777779</v>
      </c>
      <c r="BA214" s="32">
        <v>0.81874999999999998</v>
      </c>
      <c r="BB214" s="72"/>
      <c r="BC214" s="72" t="str">
        <f>IFERROR(VLOOKUP(Out_Table[[#This Row],[Aggiornamento STATUS]],'INformazioni per calcoli'!$Y$70:$AA$76,2,FALSE),"")</f>
        <v/>
      </c>
      <c r="BD214" s="289"/>
      <c r="BE214" s="289"/>
      <c r="BF214" s="47" t="str">
        <f>LEFT($E214,3)</f>
        <v>NT3</v>
      </c>
      <c r="BG214" s="298" t="str">
        <f>IF(Out_Table[[#This Row],[Ora Uscita    (GH)]]&lt;&gt;"","x","")</f>
        <v>x</v>
      </c>
      <c r="BH214" s="299">
        <f>VLOOKUP($O214,'INformazioni per calcoli'!$Y$20:$AA$23,3,FALSE)</f>
        <v>14</v>
      </c>
      <c r="BI214" s="299">
        <f>MROUND(Out_Table[[#This Row],[Mtr. Trailer]]*AB214,0.5)</f>
        <v>14</v>
      </c>
      <c r="BJ214" s="299">
        <f>MROUND(Out_Table[[#This Row],[Mtr. Trailer]]*AE214,0.5)</f>
        <v>0</v>
      </c>
      <c r="BK214" s="299">
        <f>MROUND(Out_Table[[#This Row],[Mtr. Trailer]]*AH214,0.5)</f>
        <v>0</v>
      </c>
      <c r="BL214" s="300">
        <f>Out_Table[[#This Row],[Double Deck trailer N° bumpers]]</f>
        <v>0</v>
      </c>
      <c r="BM214" s="301"/>
      <c r="BN214" s="299" t="str">
        <f>B214</f>
        <v>ITD12022</v>
      </c>
      <c r="BO214" s="299" t="str">
        <f>E214</f>
        <v>NT3</v>
      </c>
      <c r="BP214" s="302">
        <f>IF(AND(G214&gt;(--"00:00:01"),G214&lt;(--"15:00:00")),IF(AND(X214&gt;(--"00:00:01"),X214&lt;(--"15:00:00")),G214-X214,G214+1-X214),G214-X214)</f>
        <v>8.7500000000000022E-2</v>
      </c>
      <c r="BQ214" s="303">
        <f>AE214+AF214+AH214+AJ214</f>
        <v>0</v>
      </c>
      <c r="BR214" s="304" t="str">
        <f>IF(OR(BP214&lt;=(--"00:20:00"),BQ214&gt;=100%),"OK","Not OK")</f>
        <v>Not OK</v>
      </c>
      <c r="BS214" s="302">
        <f>IF(AND(G214&gt;(--"00:00:01"),G214&lt;(--"15:00:00")),IF(AND(AU214&gt;(--"00:00:01"),AU214&lt;(--"15:00:00")),G214-AU214,G214+1-AU214),G214-AU214)</f>
        <v>2.777777777777779E-2</v>
      </c>
      <c r="BT214" s="302">
        <f>IF(AND(AZ214&gt;(--"00:00:01"),AZ214&lt;(--"15:00:00")),IF(AND(AU214&gt;(--"00:00:01"),AU214&lt;(--"15:00:00")),AZ214-AU214,AZ214+1-AU214),AZ214-AU214)</f>
        <v>3.4722222222222099E-3</v>
      </c>
      <c r="BU214" s="302">
        <f>IF(AND(BA214&gt;(--"00:00:01"),BA214&lt;(--"15:00:00")),IF(AND(AZ214&gt;(--"00:00:01"),AZ214&lt;(--"15:00:00")),BA214-AZ214,BA214+1-AZ214),BA214-AZ214)</f>
        <v>9.7222222222221877E-3</v>
      </c>
      <c r="BV214" s="299">
        <f>AV214</f>
        <v>0</v>
      </c>
      <c r="BW214" s="301"/>
      <c r="BX214" s="299" t="str">
        <f>IF(AV214="T Status",IF(AV214&lt;&gt;T214,"X",""),"")</f>
        <v/>
      </c>
      <c r="BY214" s="301"/>
      <c r="BZ214" s="299" t="str">
        <f>IF(X214&lt;&gt;"",IF(CC214="X","Driver Delay",IF(CA214="X","Paperwork Delay",IF(CB214="X","Late freight late sort",IF(CD214="X","Chiamare Control Room",IF(CE214="X","Chiamare Control Room",IF(CF214="X","Chiamare Control Room","")))))),"")</f>
        <v>Chiamare Control Room</v>
      </c>
      <c r="CA214" s="302" t="str">
        <f>IF(K214="",IF(IF(AND(G214&gt;(--"00:00:01"),G214&lt;(--"15:00:00")),IF(AND(AT214&gt;(--"08:00:00"),AT214&lt;(--"23:59:59")),G214+1-AT214,G214-AT214),G214-AT214)&gt;(--"00:20:00"),"","X"),"")</f>
        <v/>
      </c>
      <c r="CB214" s="299" t="str">
        <f>IF(K214="",IF(BP214&gt;=(--"00:20:00"),"","X"),"")</f>
        <v/>
      </c>
      <c r="CC214" s="299" t="str">
        <f>IF(OR(AV214="Autista non presente",AV214="Dati driver non presenti"),"X","")</f>
        <v/>
      </c>
      <c r="CD214" s="299" t="str">
        <f>IF(K214="",IF(AND(CC214="",BS214&lt;(--"00:20:00")),"X",""),"")</f>
        <v/>
      </c>
      <c r="CE214" s="299" t="str">
        <f>IF(K214="",IF(BT214&gt;(--"00:15:00"),"X",""),IF(AZ214&lt;&gt;"",IF(G214-AZ214&gt;(--"00:30:00"),"X",""),""))</f>
        <v/>
      </c>
      <c r="CF214" s="299" t="str">
        <f>IF(AND(CA214="",CB214="",CC214="",CD214="",CE214=""),"X","")</f>
        <v>X</v>
      </c>
      <c r="CG214" s="301"/>
      <c r="CH214" s="299" t="str">
        <f>IF(BT214&gt;(--"00:15:00"),"X","")</f>
        <v/>
      </c>
      <c r="CI214" s="302" t="str">
        <f>AY214</f>
        <v/>
      </c>
      <c r="CJ214" s="299" t="str">
        <f>IF(AND(CH214&lt;&gt;"",CI214&lt;&gt;"",LEFT(B214,3)="ITD"),AP214,"")</f>
        <v/>
      </c>
      <c r="CK214" s="305" t="str">
        <f>IF(CJ214&lt;&gt;"",BT214,"")</f>
        <v/>
      </c>
      <c r="CL214" s="301"/>
      <c r="CM214" s="305">
        <f>IFERROR(VLOOKUP(Q214,'Elenco Casse'!$D$4:$F$292,3,FALSE),"")</f>
        <v>0</v>
      </c>
      <c r="CN214" s="301"/>
      <c r="CO214" s="305" t="str">
        <f>IFERROR(VLOOKUP(S214,'Elenco Casse'!$D$4:$F$292,3,FALSE),"")</f>
        <v/>
      </c>
      <c r="CP214" s="305" t="str">
        <f>IFERROR(IF(VLOOKUP($E214,Outlist!$A$5:$S$120,19,FALSE)&lt;&gt;0,"Y",""),"")</f>
        <v/>
      </c>
      <c r="CQ214" s="301"/>
      <c r="CR214" s="305" t="str">
        <f>CONCATENATE($B214,$E214,$G214)</f>
        <v>ITD12022NT30.833333333333333</v>
      </c>
      <c r="CS214" s="301"/>
      <c r="CT214" s="305" t="e">
        <f>VLOOKUP(Out_Table[[#This Row],[Destination             ORANGE (From Planning)]],Outlist!$A$5:$W$120,22,FALSE)</f>
        <v>#N/A</v>
      </c>
    </row>
    <row r="215" spans="1:98" s="20" customFormat="1" ht="30.75">
      <c r="A215" s="305" t="str">
        <f>$CR215</f>
        <v>ITD12021NT30.940972222222222</v>
      </c>
      <c r="B215" s="284" t="s">
        <v>1187</v>
      </c>
      <c r="C215" s="290" t="str">
        <f>IFERROR(IF(LEFT(B215,3)='STAT 77'!$X$2,_xlfn.XLOOKUP(B215,'STAT 77'!C:C,'STAT 77'!B:B),_xlfn.XLOOKUP(B215,'STAT 77'!B:B,'STAT 77'!C:C)),"NON TROVATO")</f>
        <v>ITD30743</v>
      </c>
      <c r="D215" s="25" t="s">
        <v>810</v>
      </c>
      <c r="E215" s="290" t="s">
        <v>811</v>
      </c>
      <c r="F215" s="290" t="str">
        <f>IFERROR(VLOOKUP(E215,'Cambio O2P'!C:E,2,FALSE),"")</f>
        <v>ZJYH</v>
      </c>
      <c r="G215" s="285">
        <v>0.94097222222222221</v>
      </c>
      <c r="H215" s="293" t="str">
        <f ca="1">IFERROR(IF(AND('INformazioni per calcoli'!$AB$3&lt;(--"14:30"),'INformazioni per calcoli'!$AB$3&gt;(--"10:00")),"",IF($B215="","",IF($X215&lt;&gt;"","Mezzo Chiuso",IF($W215="","Non al Carico",IF($G215-'INformazioni per calcoli'!$AB$5-'INformazioni per calcoli'!$AB$3+$J215&lt;0,"LFLS",IF($K215&lt;&gt;"","Safe Parking",IF($W215&lt;&gt;"",IF($E215="MXP",$G215-'INformazioni per calcoli'!$AB$6-'INformazioni per calcoli'!$AB$3+$J215,$G215-'INformazioni per calcoli'!$AB$5-'INformazioni per calcoli'!$AB$3+$J215),"Non al carico"))))))),"")</f>
        <v>Mezzo Chiuso</v>
      </c>
      <c r="I215" s="17" t="str">
        <f ca="1">IFERROR(IF($H215&lt;&gt;"",IF($H215="Safe Parking","",IF($W215&lt;&gt;"",IF(AND($U215="X",$V215="X"),$H215-(--"00:30"),""),IF($X215&lt;&gt;"","Mezzo Chiuso","Non al carico"))),""),"")</f>
        <v/>
      </c>
      <c r="J215" s="306">
        <f ca="1">IFERROR(IF($B215&lt;&gt;"",IF(AND('INformazioni per calcoli'!$AB$3&lt;(--"15:00"),'INformazioni per calcoli'!$AB$3&gt;(--"00:00")),0,IF($G215&lt;(--"18:30"),"+1",0)),""),"")</f>
        <v>0</v>
      </c>
      <c r="K215" s="17"/>
      <c r="L215" s="25" t="s">
        <v>812</v>
      </c>
      <c r="M215" s="25" t="str">
        <f>IFERROR(_xlfn.XLOOKUP($Q215,'Elenco Casse'!$D:$D,'Elenco Casse'!$E:$E),"")</f>
        <v>Matelda Srl</v>
      </c>
      <c r="N215" s="25">
        <f>IFERROR(_xlfn.XLOOKUP($Q215,'Elenco Casse'!$D:$D,'Elenco Casse'!$F:$F),"")</f>
        <v>0</v>
      </c>
      <c r="O215" s="286" t="s">
        <v>418</v>
      </c>
      <c r="P215" s="295" t="str">
        <f>IFERROR(_xlfn.XLOOKUP($Q215,'Elenco Casse'!$D:$D,'Elenco Casse'!$G:$G),"")</f>
        <v>trailer 80 m3 2/3 axes</v>
      </c>
      <c r="Q215" s="355" t="s">
        <v>1188</v>
      </c>
      <c r="R215" s="23" t="s">
        <v>420</v>
      </c>
      <c r="S215" s="25" t="s">
        <v>421</v>
      </c>
      <c r="T215" s="25" t="s">
        <v>460</v>
      </c>
      <c r="U215" s="23"/>
      <c r="V215" s="23" t="s">
        <v>500</v>
      </c>
      <c r="W215" s="26">
        <v>841</v>
      </c>
      <c r="X215" s="27">
        <v>0.8930555555555556</v>
      </c>
      <c r="Y215" s="25" t="s">
        <v>833</v>
      </c>
      <c r="Z215" s="25"/>
      <c r="AA215" s="25" t="s">
        <v>487</v>
      </c>
      <c r="AB215" s="57">
        <v>1</v>
      </c>
      <c r="AC215" s="25"/>
      <c r="AD215" s="25"/>
      <c r="AE215" s="57"/>
      <c r="AF215" s="57"/>
      <c r="AG215" s="25" t="s">
        <v>488</v>
      </c>
      <c r="AH215" s="57"/>
      <c r="AI215" s="339"/>
      <c r="AJ215" s="339"/>
      <c r="AK215" s="297" t="str">
        <f>IF(X215&lt;&gt;"",CONCATENATE(IF(AA215&lt;&gt;"",CONCATENATE(Z215," ",AA215," ",BI215),""),IF(AD215&lt;&gt;"",CONCATENATE(","," ",AC215," ",AD215," ",BJ215),""),IF(AG215&lt;&gt;"",CONCATENATE(","," ",AF215," ",AG215," ",BK215),""),IF(AJ215&lt;&gt;"",CONCATENATE(","," ","DD"," ",BL215),"")," ",IF(AI215&lt;&gt;"",CONCATENATE(" - ",AI215," Bag"),"")),"")</f>
        <v xml:space="preserve"> FRT 14,  DG 0 </v>
      </c>
      <c r="AL215" s="287" t="s">
        <v>421</v>
      </c>
      <c r="AM215" s="287"/>
      <c r="AN215" s="287"/>
      <c r="AO215" s="287"/>
      <c r="AP215" s="370" t="str">
        <f>IFERROR(VLOOKUP($E212,Outlist!$A$5:$V$120,20,FALSE),"")</f>
        <v/>
      </c>
      <c r="AQ215" s="288" t="s">
        <v>1189</v>
      </c>
      <c r="AS215" s="24"/>
      <c r="AT215" s="24">
        <v>0.49375000000000002</v>
      </c>
      <c r="AU215" s="27">
        <v>0.90972222222222221</v>
      </c>
      <c r="AV215" s="27"/>
      <c r="AW215" s="20" t="s">
        <v>443</v>
      </c>
      <c r="AX215" s="20" t="str">
        <f>IFERROR(IF(Out_Table[[#This Row],[Cancellazione linea]]="Cancellata","yes",""),"")</f>
        <v/>
      </c>
      <c r="AY215" s="72" t="str">
        <f>IF(BA215="",BZ215,IF(AND(BA215&lt;(--"23:59:59"),BA215&gt;(--"15:00:00"),G215&lt;(--"14:00:00"),G215&gt;(--"00:00:01")),"",IF(BA215&gt;G215,BZ215,"")))</f>
        <v/>
      </c>
      <c r="AZ215" s="27">
        <v>0.91527777777777775</v>
      </c>
      <c r="BA215" s="32">
        <v>0.9243055555555556</v>
      </c>
      <c r="BB215" s="72"/>
      <c r="BC215" s="72" t="str">
        <f>IFERROR(VLOOKUP(Out_Table[[#This Row],[Aggiornamento STATUS]],'INformazioni per calcoli'!$Y$70:$AA$76,2,FALSE),"")</f>
        <v/>
      </c>
      <c r="BD215" s="289"/>
      <c r="BE215" s="289"/>
      <c r="BF215" s="47" t="str">
        <f>LEFT($E215,3)</f>
        <v>NT3</v>
      </c>
      <c r="BG215" s="298" t="str">
        <f>IF(Out_Table[[#This Row],[Ora Uscita    (GH)]]&lt;&gt;"","x","")</f>
        <v>x</v>
      </c>
      <c r="BH215" s="299">
        <f>VLOOKUP($O215,'INformazioni per calcoli'!$Y$20:$AA$23,3,FALSE)</f>
        <v>14</v>
      </c>
      <c r="BI215" s="299">
        <f>MROUND(Out_Table[[#This Row],[Mtr. Trailer]]*AB215,0.5)</f>
        <v>14</v>
      </c>
      <c r="BJ215" s="299">
        <f>MROUND(Out_Table[[#This Row],[Mtr. Trailer]]*AE215,0.5)</f>
        <v>0</v>
      </c>
      <c r="BK215" s="299">
        <f>MROUND(Out_Table[[#This Row],[Mtr. Trailer]]*AH215,0.5)</f>
        <v>0</v>
      </c>
      <c r="BL215" s="300">
        <f>Out_Table[[#This Row],[Double Deck trailer N° bumpers]]</f>
        <v>0</v>
      </c>
      <c r="BM215" s="301"/>
      <c r="BN215" s="299" t="str">
        <f>B215</f>
        <v>ITD12021</v>
      </c>
      <c r="BO215" s="299" t="str">
        <f>E215</f>
        <v>NT3</v>
      </c>
      <c r="BP215" s="302">
        <f>IF(AND(G215&gt;(--"00:00:01"),G215&lt;(--"15:00:00")),IF(AND(X215&gt;(--"00:00:01"),X215&lt;(--"15:00:00")),G215-X215,G215+1-X215),G215-X215)</f>
        <v>4.7916666666666607E-2</v>
      </c>
      <c r="BQ215" s="303">
        <f>AE215+AF215+AH215+AJ215</f>
        <v>0</v>
      </c>
      <c r="BR215" s="304" t="str">
        <f>IF(OR(BP215&lt;=(--"00:20:00"),BQ215&gt;=100%),"OK","Not OK")</f>
        <v>Not OK</v>
      </c>
      <c r="BS215" s="302">
        <f>IF(AND(G215&gt;(--"00:00:01"),G215&lt;(--"15:00:00")),IF(AND(AU215&gt;(--"00:00:01"),AU215&lt;(--"15:00:00")),G215-AU215,G215+1-AU215),G215-AU215)</f>
        <v>3.125E-2</v>
      </c>
      <c r="BT215" s="302">
        <f>IF(AND(AZ215&gt;(--"00:00:01"),AZ215&lt;(--"15:00:00")),IF(AND(AU215&gt;(--"00:00:01"),AU215&lt;(--"15:00:00")),AZ215-AU215,AZ215+1-AU215),AZ215-AU215)</f>
        <v>5.5555555555555358E-3</v>
      </c>
      <c r="BU215" s="302">
        <f>IF(AND(BA215&gt;(--"00:00:01"),BA215&lt;(--"15:00:00")),IF(AND(AZ215&gt;(--"00:00:01"),AZ215&lt;(--"15:00:00")),BA215-AZ215,BA215+1-AZ215),BA215-AZ215)</f>
        <v>9.0277777777778567E-3</v>
      </c>
      <c r="BV215" s="299">
        <f>AV215</f>
        <v>0</v>
      </c>
      <c r="BW215" s="301"/>
      <c r="BX215" s="299" t="str">
        <f>IF(AV215="T Status",IF(AV215&lt;&gt;T215,"X",""),"")</f>
        <v/>
      </c>
      <c r="BY215" s="301"/>
      <c r="BZ215" s="299" t="str">
        <f>IF(X215&lt;&gt;"",IF(CC215="X","Driver Delay",IF(CA215="X","Paperwork Delay",IF(CB215="X","Late freight late sort",IF(CD215="X","Chiamare Control Room",IF(CE215="X","Chiamare Control Room",IF(CF215="X","Chiamare Control Room","")))))),"")</f>
        <v>Chiamare Control Room</v>
      </c>
      <c r="CA215" s="302" t="str">
        <f>IF(K215="",IF(IF(AND(G215&gt;(--"00:00:01"),G215&lt;(--"15:00:00")),IF(AND(AT215&gt;(--"08:00:00"),AT215&lt;(--"23:59:59")),G215+1-AT215,G215-AT215),G215-AT215)&gt;(--"00:20:00"),"","X"),"")</f>
        <v/>
      </c>
      <c r="CB215" s="299" t="str">
        <f>IF(K215="",IF(BP215&gt;=(--"00:20:00"),"","X"),"")</f>
        <v/>
      </c>
      <c r="CC215" s="299" t="str">
        <f>IF(OR(AV215="Autista non presente",AV215="Dati driver non presenti"),"X","")</f>
        <v/>
      </c>
      <c r="CD215" s="299" t="str">
        <f>IF(K215="",IF(AND(CC215="",BS215&lt;(--"00:20:00")),"X",""),"")</f>
        <v/>
      </c>
      <c r="CE215" s="299" t="str">
        <f>IF(K215="",IF(BT215&gt;(--"00:15:00"),"X",""),IF(AZ215&lt;&gt;"",IF(G215-AZ215&gt;(--"00:30:00"),"X",""),""))</f>
        <v/>
      </c>
      <c r="CF215" s="299" t="str">
        <f>IF(AND(CA215="",CB215="",CC215="",CD215="",CE215=""),"X","")</f>
        <v>X</v>
      </c>
      <c r="CG215" s="301"/>
      <c r="CH215" s="299" t="str">
        <f>IF(BT215&gt;(--"00:15:00"),"X","")</f>
        <v/>
      </c>
      <c r="CI215" s="302" t="str">
        <f>AY215</f>
        <v/>
      </c>
      <c r="CJ215" s="299" t="str">
        <f>IF(AND(CH215&lt;&gt;"",CI215&lt;&gt;"",LEFT(B215,3)="ITD"),AP215,"")</f>
        <v/>
      </c>
      <c r="CK215" s="305" t="str">
        <f>IF(CJ215&lt;&gt;"",BT215,"")</f>
        <v/>
      </c>
      <c r="CL215" s="301"/>
      <c r="CM215" s="305" t="str">
        <f>IFERROR(VLOOKUP(Q215,'Elenco Casse'!$D$4:$F$292,3,FALSE),"")</f>
        <v/>
      </c>
      <c r="CN215" s="301"/>
      <c r="CO215" s="305" t="str">
        <f>IFERROR(VLOOKUP(S215,'Elenco Casse'!$D$4:$F$292,3,FALSE),"")</f>
        <v/>
      </c>
      <c r="CP215" s="305" t="str">
        <f>IFERROR(IF(VLOOKUP($E215,Outlist!$A$5:$S$120,19,FALSE)&lt;&gt;0,"Y",""),"")</f>
        <v/>
      </c>
      <c r="CQ215" s="301"/>
      <c r="CR215" s="305" t="str">
        <f>CONCATENATE($B215,$E215,$G215)</f>
        <v>ITD12021NT30.940972222222222</v>
      </c>
      <c r="CS215" s="301"/>
      <c r="CT215" s="305" t="e">
        <f>VLOOKUP(Out_Table[[#This Row],[Destination             ORANGE (From Planning)]],Outlist!$A$5:$W$120,22,FALSE)</f>
        <v>#N/A</v>
      </c>
    </row>
    <row r="216" spans="1:98" s="20" customFormat="1" ht="15">
      <c r="A216" s="305" t="str">
        <f>$CR216</f>
        <v>ITD12175VNZ0.190972222222222</v>
      </c>
      <c r="B216" s="284" t="s">
        <v>1190</v>
      </c>
      <c r="C216" s="290" t="str">
        <f>IFERROR(IF(LEFT(B216,3)='STAT 77'!$X$2,_xlfn.XLOOKUP(B216,'STAT 77'!C:C,'STAT 77'!B:B),_xlfn.XLOOKUP(B216,'STAT 77'!B:B,'STAT 77'!C:C)),"NON TROVATO")</f>
        <v>ITD30993</v>
      </c>
      <c r="D216" s="25" t="s">
        <v>680</v>
      </c>
      <c r="E216" s="290" t="s">
        <v>681</v>
      </c>
      <c r="F216" s="290" t="str">
        <f>IFERROR(VLOOKUP(E216,'Cambio O2P'!C:E,2,FALSE),"")</f>
        <v>VNZT8</v>
      </c>
      <c r="G216" s="285">
        <v>0.19097222222222221</v>
      </c>
      <c r="H216" s="293">
        <f ca="1">IFERROR(IF(AND('INformazioni per calcoli'!$AB$3&lt;(--"14:30"),'INformazioni per calcoli'!$AB$3&gt;(--"10:00")),"",IF($B216="","",IF($X216&lt;&gt;"","Mezzo Chiuso",IF($W216="","Non al Carico",IF($G216-'INformazioni per calcoli'!$AB$5-'INformazioni per calcoli'!$AB$3+$J216&lt;0,"LFLS",IF($K216&lt;&gt;"","Safe Parking",IF($W216&lt;&gt;"",IF($E216="MXP",$G216-'INformazioni per calcoli'!$AB$6-'INformazioni per calcoli'!$AB$3+$J216,$G216-'INformazioni per calcoli'!$AB$5-'INformazioni per calcoli'!$AB$3+$J216),"Non al carico"))))))),"")</f>
        <v>3.1620370370370354E-2</v>
      </c>
      <c r="I216" s="17" t="str">
        <f ca="1">IFERROR(IF($H216&lt;&gt;"",IF($H216="Safe Parking","",IF($W216&lt;&gt;"",IF(AND($U216="X",$V216="X"),$H216-(--"00:30"),""),IF($X216&lt;&gt;"","Mezzo Chiuso","Non al carico"))),""),"")</f>
        <v/>
      </c>
      <c r="J216" s="306">
        <f ca="1">IFERROR(IF($B216&lt;&gt;"",IF(AND('INformazioni per calcoli'!$AB$3&lt;(--"15:00"),'INformazioni per calcoli'!$AB$3&gt;(--"00:00")),0,IF($G216&lt;(--"18:30"),"+1",0)),""),"")</f>
        <v>0</v>
      </c>
      <c r="K216" s="17"/>
      <c r="L216" s="25" t="s">
        <v>472</v>
      </c>
      <c r="M216" s="25" t="str">
        <f>IFERROR(_xlfn.XLOOKUP($Q216,'Elenco Casse'!$D:$D,'Elenco Casse'!$E:$E),"")</f>
        <v>Autotrasporti Bertoldo Srl</v>
      </c>
      <c r="N216" s="25">
        <f>IFERROR(_xlfn.XLOOKUP($Q216,'Elenco Casse'!$D:$D,'Elenco Casse'!$F:$F),"")</f>
        <v>0</v>
      </c>
      <c r="O216" s="286" t="s">
        <v>418</v>
      </c>
      <c r="P216" s="295" t="str">
        <f>IFERROR(_xlfn.XLOOKUP($Q216,'Elenco Casse'!$D:$D,'Elenco Casse'!$G:$G),"")</f>
        <v>trailer 80 m3 2/3 axles</v>
      </c>
      <c r="Q216" s="355" t="s">
        <v>1191</v>
      </c>
      <c r="R216" s="23" t="s">
        <v>420</v>
      </c>
      <c r="S216" s="25" t="s">
        <v>421</v>
      </c>
      <c r="T216" s="25" t="s">
        <v>1192</v>
      </c>
      <c r="U216" s="23" t="str">
        <f>IF(ISNUMBER(SEARCH("Parcel",$T216)),"X","")</f>
        <v/>
      </c>
      <c r="V216" s="23" t="str">
        <f>IF(ISNUMBER(SEARCH("Freight",$T216)),"X","")</f>
        <v>X</v>
      </c>
      <c r="W216" s="26">
        <v>842</v>
      </c>
      <c r="X216" s="27"/>
      <c r="Y216" s="25"/>
      <c r="Z216" s="25"/>
      <c r="AA216" s="25" t="s">
        <v>487</v>
      </c>
      <c r="AB216" s="57"/>
      <c r="AC216" s="25"/>
      <c r="AD216" s="25"/>
      <c r="AE216" s="57"/>
      <c r="AF216" s="57"/>
      <c r="AG216" s="25" t="s">
        <v>488</v>
      </c>
      <c r="AH216" s="57"/>
      <c r="AI216" s="339"/>
      <c r="AJ216" s="339"/>
      <c r="AK216" s="297" t="str">
        <f>IF(X216&lt;&gt;"",CONCATENATE(IF(AA216&lt;&gt;"",CONCATENATE(Z216," ",AA216," ",BI216),""),IF(AD216&lt;&gt;"",CONCATENATE(","," ",AC216," ",AD216," ",BJ216),""),IF(AG216&lt;&gt;"",CONCATENATE(","," ",AF216," ",AG216," ",BK216),""),IF(AJ216&lt;&gt;"",CONCATENATE(","," ","DD"," ",BL216),"")," ",IF(AI216&lt;&gt;"",CONCATENATE(" - ",AI216," Bag"),"")),"")</f>
        <v/>
      </c>
      <c r="AL216" s="287"/>
      <c r="AM216" s="287"/>
      <c r="AN216" s="287"/>
      <c r="AO216" s="287"/>
      <c r="AP216" s="370" t="str">
        <f>IFERROR(VLOOKUP($E213,Outlist!$A$5:$V$120,20,FALSE),"")</f>
        <v/>
      </c>
      <c r="AQ216" s="288" t="str">
        <f>IFERROR(IF(VLOOKUP($A216,#REF!,8,FALSE)&lt;&gt;"",VLOOKUP($A216,#REF!,8,FALSE),""),"")</f>
        <v/>
      </c>
      <c r="AS216" s="24"/>
      <c r="AT216" s="24">
        <v>0.4513888888888889</v>
      </c>
      <c r="AU216" s="27"/>
      <c r="AV216" s="27"/>
      <c r="AX216" s="20" t="str">
        <f>IFERROR(IF(Out_Table[[#This Row],[Cancellazione linea]]="Cancellata","yes",""),"")</f>
        <v/>
      </c>
      <c r="AY216" s="72" t="str">
        <f>IF(BA216="",BZ216,IF(AND(BA216&lt;(--"23:59:59"),BA216&gt;(--"15:00:00"),G216&lt;(--"14:00:00"),G216&gt;(--"00:00:01")),"",IF(BA216&gt;G216,BZ216,"")))</f>
        <v/>
      </c>
      <c r="AZ216" s="27"/>
      <c r="BA216" s="32"/>
      <c r="BB216" s="72"/>
      <c r="BC216" s="72" t="str">
        <f>IFERROR(VLOOKUP(Out_Table[[#This Row],[Aggiornamento STATUS]],'INformazioni per calcoli'!$Y$70:$AA$76,2,FALSE),"")</f>
        <v/>
      </c>
      <c r="BD216" s="289"/>
      <c r="BE216" s="289"/>
      <c r="BF216" s="47" t="str">
        <f>LEFT($E216,3)</f>
        <v>VNZ</v>
      </c>
      <c r="BG216" s="298" t="str">
        <f>IF(Out_Table[[#This Row],[Ora Uscita    (GH)]]&lt;&gt;"","x","")</f>
        <v/>
      </c>
      <c r="BH216" s="299">
        <f>VLOOKUP($O216,'INformazioni per calcoli'!$Y$20:$AA$23,3,FALSE)</f>
        <v>14</v>
      </c>
      <c r="BI216" s="299">
        <f>MROUND(Out_Table[[#This Row],[Mtr. Trailer]]*AB216,0.5)</f>
        <v>0</v>
      </c>
      <c r="BJ216" s="299">
        <f>MROUND(Out_Table[[#This Row],[Mtr. Trailer]]*AE216,0.5)</f>
        <v>0</v>
      </c>
      <c r="BK216" s="299">
        <f>MROUND(Out_Table[[#This Row],[Mtr. Trailer]]*AH216,0.5)</f>
        <v>0</v>
      </c>
      <c r="BL216" s="300">
        <f>Out_Table[[#This Row],[Double Deck trailer N° bumpers]]</f>
        <v>0</v>
      </c>
      <c r="BM216" s="301"/>
      <c r="BN216" s="299" t="str">
        <f>B216</f>
        <v>ITD12175</v>
      </c>
      <c r="BO216" s="299" t="str">
        <f>E216</f>
        <v>VNZ</v>
      </c>
      <c r="BP216" s="302">
        <f>IF(AND(G216&gt;(--"00:00:01"),G216&lt;(--"15:00:00")),IF(AND(X216&gt;(--"00:00:01"),X216&lt;(--"15:00:00")),G216-X216,G216+1-X216),G216-X216)</f>
        <v>1.1909722222222223</v>
      </c>
      <c r="BQ216" s="303">
        <f>AE216+AF216+AH216+AJ216</f>
        <v>0</v>
      </c>
      <c r="BR216" s="304" t="str">
        <f>IF(OR(BP216&lt;=(--"00:20:00"),BQ216&gt;=100%),"OK","Not OK")</f>
        <v>Not OK</v>
      </c>
      <c r="BS216" s="302">
        <f>IF(AND(G216&gt;(--"00:00:01"),G216&lt;(--"15:00:00")),IF(AND(AU216&gt;(--"00:00:01"),AU216&lt;(--"15:00:00")),G216-AU216,G216+1-AU216),G216-AU216)</f>
        <v>1.1909722222222223</v>
      </c>
      <c r="BT216" s="302">
        <f>IF(AND(AZ216&gt;(--"00:00:01"),AZ216&lt;(--"15:00:00")),IF(AND(AU216&gt;(--"00:00:01"),AU216&lt;(--"15:00:00")),AZ216-AU216,AZ216+1-AU216),AZ216-AU216)</f>
        <v>0</v>
      </c>
      <c r="BU216" s="302">
        <f>IF(AND(BA216&gt;(--"00:00:01"),BA216&lt;(--"15:00:00")),IF(AND(AZ216&gt;(--"00:00:01"),AZ216&lt;(--"15:00:00")),BA216-AZ216,BA216+1-AZ216),BA216-AZ216)</f>
        <v>0</v>
      </c>
      <c r="BV216" s="299">
        <f>AV216</f>
        <v>0</v>
      </c>
      <c r="BW216" s="301"/>
      <c r="BX216" s="299" t="str">
        <f>IF(AV216="T Status",IF(AV216&lt;&gt;T216,"X",""),"")</f>
        <v/>
      </c>
      <c r="BY216" s="301"/>
      <c r="BZ216" s="299" t="str">
        <f>IF(X216&lt;&gt;"",IF(CC216="X","Driver Delay",IF(CA216="X","Paperwork Delay",IF(CB216="X","Late freight late sort",IF(CD216="X","Chiamare Control Room",IF(CE216="X","Chiamare Control Room",IF(CF216="X","Chiamare Control Room","")))))),"")</f>
        <v/>
      </c>
      <c r="CA216" s="302" t="str">
        <f>IF(K216="",IF(IF(AND(G216&gt;(--"00:00:01"),G216&lt;(--"15:00:00")),IF(AND(AT216&gt;(--"08:00:00"),AT216&lt;(--"23:59:59")),G216+1-AT216,G216-AT216),G216-AT216)&gt;(--"00:20:00"),"","X"),"")</f>
        <v/>
      </c>
      <c r="CB216" s="299" t="str">
        <f>IF(K216="",IF(BP216&gt;=(--"00:20:00"),"","X"),"")</f>
        <v/>
      </c>
      <c r="CC216" s="299" t="str">
        <f>IF(OR(AV216="Autista non presente",AV216="Dati driver non presenti"),"X","")</f>
        <v/>
      </c>
      <c r="CD216" s="299" t="str">
        <f>IF(K216="",IF(AND(CC216="",BS216&lt;(--"00:20:00")),"X",""),"")</f>
        <v/>
      </c>
      <c r="CE216" s="299" t="str">
        <f>IF(K216="",IF(BT216&gt;(--"00:15:00"),"X",""),IF(AZ216&lt;&gt;"",IF(G216-AZ216&gt;(--"00:30:00"),"X",""),""))</f>
        <v/>
      </c>
      <c r="CF216" s="299" t="str">
        <f>IF(AND(CA216="",CB216="",CC216="",CD216="",CE216=""),"X","")</f>
        <v>X</v>
      </c>
      <c r="CG216" s="301"/>
      <c r="CH216" s="299" t="str">
        <f>IF(BT216&gt;(--"00:15:00"),"X","")</f>
        <v/>
      </c>
      <c r="CI216" s="302" t="str">
        <f>AY216</f>
        <v/>
      </c>
      <c r="CJ216" s="299" t="str">
        <f>IF(AND(CH216&lt;&gt;"",CI216&lt;&gt;"",LEFT(B216,3)="ITD"),AP216,"")</f>
        <v/>
      </c>
      <c r="CK216" s="305" t="str">
        <f>IF(CJ216&lt;&gt;"",BT216,"")</f>
        <v/>
      </c>
      <c r="CL216" s="301"/>
      <c r="CM216" s="305" t="str">
        <f>IFERROR(VLOOKUP(Q216,'Elenco Casse'!$D$4:$F$292,3,FALSE),"")</f>
        <v/>
      </c>
      <c r="CN216" s="301"/>
      <c r="CO216" s="305" t="str">
        <f>IFERROR(VLOOKUP(S216,'Elenco Casse'!$D$4:$F$292,3,FALSE),"")</f>
        <v/>
      </c>
      <c r="CP216" s="305" t="str">
        <f>IFERROR(IF(VLOOKUP($E216,Outlist!$A$5:$S$120,19,FALSE)&lt;&gt;0,"Y",""),"")</f>
        <v/>
      </c>
      <c r="CQ216" s="301"/>
      <c r="CR216" s="305" t="str">
        <f>CONCATENATE($B216,$E216,$G216)</f>
        <v>ITD12175VNZ0.190972222222222</v>
      </c>
      <c r="CS216" s="301"/>
      <c r="CT216" s="305" t="e">
        <f>VLOOKUP(Out_Table[[#This Row],[Destination             ORANGE (From Planning)]],Outlist!$A$5:$W$120,22,FALSE)</f>
        <v>#N/A</v>
      </c>
    </row>
    <row r="217" spans="1:98" s="20" customFormat="1" ht="15">
      <c r="A217" s="305" t="str">
        <f>$CR217</f>
        <v>ITD12749IBU0.229166666666667</v>
      </c>
      <c r="B217" s="284" t="s">
        <v>1193</v>
      </c>
      <c r="C217" s="290" t="str">
        <f>IFERROR(IF(LEFT(B217,3)='STAT 77'!$X$2,_xlfn.XLOOKUP(B217,'STAT 77'!C:C,'STAT 77'!B:B),_xlfn.XLOOKUP(B217,'STAT 77'!B:B,'STAT 77'!C:C)),"NON TROVATO")</f>
        <v>ITD32212</v>
      </c>
      <c r="D217" s="25" t="s">
        <v>1194</v>
      </c>
      <c r="E217" s="290" t="s">
        <v>859</v>
      </c>
      <c r="F217" s="290" t="str">
        <f>IFERROR(VLOOKUP(E217,'Cambio O2P'!C:E,2,FALSE),"")</f>
        <v>DCIA</v>
      </c>
      <c r="G217" s="285">
        <v>0.22916666666666666</v>
      </c>
      <c r="H217" s="293">
        <f ca="1">IFERROR(IF(AND('INformazioni per calcoli'!$AB$3&lt;(--"14:30"),'INformazioni per calcoli'!$AB$3&gt;(--"10:00")),"",IF($B217="","",IF($X217&lt;&gt;"","Mezzo Chiuso",IF($W217="","Non al Carico",IF($G217-'INformazioni per calcoli'!$AB$5-'INformazioni per calcoli'!$AB$3+$J217&lt;0,"LFLS",IF($K217&lt;&gt;"","Safe Parking",IF($W217&lt;&gt;"",IF($E217="MXP",$G217-'INformazioni per calcoli'!$AB$6-'INformazioni per calcoli'!$AB$3+$J217,$G217-'INformazioni per calcoli'!$AB$5-'INformazioni per calcoli'!$AB$3+$J217),"Non al carico"))))))),"")</f>
        <v>6.9814814814814802E-2</v>
      </c>
      <c r="I217" s="17" t="str">
        <f ca="1">IFERROR(IF($H217&lt;&gt;"",IF($H217="Safe Parking","",IF($W217&lt;&gt;"",IF(AND($U217="X",$V217="X"),$H217-(--"00:30"),""),IF($X217&lt;&gt;"","Mezzo Chiuso","Non al carico"))),""),"")</f>
        <v/>
      </c>
      <c r="J217" s="306">
        <f ca="1">IFERROR(IF($B217&lt;&gt;"",IF(AND('INformazioni per calcoli'!$AB$3&lt;(--"15:00"),'INformazioni per calcoli'!$AB$3&gt;(--"00:00")),0,IF($G217&lt;(--"18:30"),"+1",0)),""),"")</f>
        <v>0</v>
      </c>
      <c r="K217" s="17"/>
      <c r="L217" s="25" t="s">
        <v>430</v>
      </c>
      <c r="M217" s="25" t="str">
        <f>IFERROR(_xlfn.XLOOKUP($Q217,'Elenco Casse'!$D:$D,'Elenco Casse'!$E:$E),"")</f>
        <v>Trans Speedy S.R.L</v>
      </c>
      <c r="N217" s="25">
        <f>IFERROR(_xlfn.XLOOKUP($Q217,'Elenco Casse'!$D:$D,'Elenco Casse'!$F:$F),"")</f>
        <v>0</v>
      </c>
      <c r="O217" s="286" t="s">
        <v>418</v>
      </c>
      <c r="P217" s="295" t="str">
        <f>IFERROR(_xlfn.XLOOKUP($Q217,'Elenco Casse'!$D:$D,'Elenco Casse'!$G:$G),"")</f>
        <v>trailer 80 m3 2/3 axles</v>
      </c>
      <c r="Q217" s="355" t="s">
        <v>1195</v>
      </c>
      <c r="R217" s="23" t="s">
        <v>420</v>
      </c>
      <c r="S217" s="25" t="s">
        <v>421</v>
      </c>
      <c r="T217" s="25" t="s">
        <v>599</v>
      </c>
      <c r="U217" s="23" t="str">
        <f>IF(ISNUMBER(SEARCH("Parcel",$T217)),"X","")</f>
        <v/>
      </c>
      <c r="V217" s="23" t="str">
        <f>IF(ISNUMBER(SEARCH("Freight",$T217)),"X","")</f>
        <v>X</v>
      </c>
      <c r="W217" s="26">
        <v>842</v>
      </c>
      <c r="X217" s="27"/>
      <c r="Y217" s="25" t="s">
        <v>1094</v>
      </c>
      <c r="Z217" s="25"/>
      <c r="AA217" s="25" t="s">
        <v>487</v>
      </c>
      <c r="AB217" s="57"/>
      <c r="AC217" s="25"/>
      <c r="AD217" s="25"/>
      <c r="AE217" s="57"/>
      <c r="AF217" s="57"/>
      <c r="AG217" s="25"/>
      <c r="AH217" s="57"/>
      <c r="AI217" s="339"/>
      <c r="AJ217" s="339"/>
      <c r="AK217" s="297" t="str">
        <f>IF(X217&lt;&gt;"",CONCATENATE(IF(AA217&lt;&gt;"",CONCATENATE(Z217," ",AA217," ",BI217),""),IF(AD217&lt;&gt;"",CONCATENATE(","," ",AC217," ",AD217," ",BJ217),""),IF(AG217&lt;&gt;"",CONCATENATE(","," ",AF217," ",AG217," ",BK217),""),IF(AJ217&lt;&gt;"",CONCATENATE(","," ","DD"," ",BL217),"")," ",IF(AI217&lt;&gt;"",CONCATENATE(" - ",AI217," Bag"),"")),"")</f>
        <v/>
      </c>
      <c r="AL217" s="287"/>
      <c r="AM217" s="287"/>
      <c r="AN217" s="287"/>
      <c r="AO217" s="287"/>
      <c r="AP217" s="370" t="str">
        <f>IFERROR(VLOOKUP(#REF!,Outlist!$A$5:$V$120,20,FALSE),"")</f>
        <v/>
      </c>
      <c r="AQ217" s="288" t="str">
        <f>IFERROR(IF(VLOOKUP($A217,#REF!,8,FALSE)&lt;&gt;"",VLOOKUP($A217,#REF!,8,FALSE),""),"")</f>
        <v/>
      </c>
      <c r="AS217" s="24"/>
      <c r="AT217" s="24">
        <v>7.6388888888888886E-3</v>
      </c>
      <c r="AU217" s="27"/>
      <c r="AV217" s="27"/>
      <c r="AX217" s="20" t="str">
        <f>IFERROR(IF(Out_Table[[#This Row],[Cancellazione linea]]="Cancellata","yes",""),"")</f>
        <v/>
      </c>
      <c r="AY217" s="72" t="str">
        <f>IF(BA217="",BZ217,IF(AND(BA217&lt;(--"23:59:59"),BA217&gt;(--"15:00:00"),G217&lt;(--"14:00:00"),G217&gt;(--"00:00:01")),"",IF(BA217&gt;G217,BZ217,"")))</f>
        <v/>
      </c>
      <c r="AZ217" s="27"/>
      <c r="BA217" s="32"/>
      <c r="BB217" s="72"/>
      <c r="BC217" s="72" t="str">
        <f>IFERROR(VLOOKUP(Out_Table[[#This Row],[Aggiornamento STATUS]],'INformazioni per calcoli'!$Y$70:$AA$76,2,FALSE),"")</f>
        <v/>
      </c>
      <c r="BD217" s="289"/>
      <c r="BE217" s="289"/>
      <c r="BF217" s="47" t="str">
        <f>LEFT($E217,3)</f>
        <v>IBU</v>
      </c>
      <c r="BG217" s="298" t="str">
        <f>IF(Out_Table[[#This Row],[Ora Uscita    (GH)]]&lt;&gt;"","x","")</f>
        <v/>
      </c>
      <c r="BH217" s="299">
        <f>VLOOKUP($O217,'INformazioni per calcoli'!$Y$20:$AA$23,3,FALSE)</f>
        <v>14</v>
      </c>
      <c r="BI217" s="299">
        <f>MROUND(Out_Table[[#This Row],[Mtr. Trailer]]*AB217,0.5)</f>
        <v>0</v>
      </c>
      <c r="BJ217" s="299">
        <f>MROUND(Out_Table[[#This Row],[Mtr. Trailer]]*AE217,0.5)</f>
        <v>0</v>
      </c>
      <c r="BK217" s="299">
        <f>MROUND(Out_Table[[#This Row],[Mtr. Trailer]]*AH217,0.5)</f>
        <v>0</v>
      </c>
      <c r="BL217" s="300">
        <f>Out_Table[[#This Row],[Double Deck trailer N° bumpers]]</f>
        <v>0</v>
      </c>
      <c r="BM217" s="301"/>
      <c r="BN217" s="299" t="str">
        <f>B217</f>
        <v>ITD12749</v>
      </c>
      <c r="BO217" s="299" t="str">
        <f>E217</f>
        <v>IBU</v>
      </c>
      <c r="BP217" s="302">
        <f>IF(AND(G217&gt;(--"00:00:01"),G217&lt;(--"15:00:00")),IF(AND(X217&gt;(--"00:00:01"),X217&lt;(--"15:00:00")),G217-X217,G217+1-X217),G217-X217)</f>
        <v>1.2291666666666667</v>
      </c>
      <c r="BQ217" s="303">
        <f>AE217+AF217+AH217+AJ217</f>
        <v>0</v>
      </c>
      <c r="BR217" s="304" t="str">
        <f>IF(OR(BP217&lt;=(--"00:20:00"),BQ217&gt;=100%),"OK","Not OK")</f>
        <v>Not OK</v>
      </c>
      <c r="BS217" s="302">
        <f>IF(AND(G217&gt;(--"00:00:01"),G217&lt;(--"15:00:00")),IF(AND(AU217&gt;(--"00:00:01"),AU217&lt;(--"15:00:00")),G217-AU217,G217+1-AU217),G217-AU217)</f>
        <v>1.2291666666666667</v>
      </c>
      <c r="BT217" s="302">
        <f>IF(AND(AZ217&gt;(--"00:00:01"),AZ217&lt;(--"15:00:00")),IF(AND(AU217&gt;(--"00:00:01"),AU217&lt;(--"15:00:00")),AZ217-AU217,AZ217+1-AU217),AZ217-AU217)</f>
        <v>0</v>
      </c>
      <c r="BU217" s="302">
        <f>IF(AND(BA217&gt;(--"00:00:01"),BA217&lt;(--"15:00:00")),IF(AND(AZ217&gt;(--"00:00:01"),AZ217&lt;(--"15:00:00")),BA217-AZ217,BA217+1-AZ217),BA217-AZ217)</f>
        <v>0</v>
      </c>
      <c r="BV217" s="299">
        <f>AV217</f>
        <v>0</v>
      </c>
      <c r="BW217" s="301"/>
      <c r="BX217" s="299" t="str">
        <f>IF(AV217="T Status",IF(AV217&lt;&gt;T217,"X",""),"")</f>
        <v/>
      </c>
      <c r="BY217" s="301"/>
      <c r="BZ217" s="299" t="str">
        <f>IF(X217&lt;&gt;"",IF(CC217="X","Driver Delay",IF(CA217="X","Paperwork Delay",IF(CB217="X","Late freight late sort",IF(CD217="X","Chiamare Control Room",IF(CE217="X","Chiamare Control Room",IF(CF217="X","Chiamare Control Room","")))))),"")</f>
        <v/>
      </c>
      <c r="CA217" s="302" t="str">
        <f>IF(K217="",IF(IF(AND(G217&gt;(--"00:00:01"),G217&lt;(--"15:00:00")),IF(AND(AT217&gt;(--"08:00:00"),AT217&lt;(--"23:59:59")),G217+1-AT217,G217-AT217),G217-AT217)&gt;(--"00:20:00"),"","X"),"")</f>
        <v/>
      </c>
      <c r="CB217" s="299" t="str">
        <f>IF(K217="",IF(BP217&gt;=(--"00:20:00"),"","X"),"")</f>
        <v/>
      </c>
      <c r="CC217" s="299" t="str">
        <f>IF(OR(AV217="Autista non presente",AV217="Dati driver non presenti"),"X","")</f>
        <v/>
      </c>
      <c r="CD217" s="299" t="str">
        <f>IF(K217="",IF(AND(CC217="",BS217&lt;(--"00:20:00")),"X",""),"")</f>
        <v/>
      </c>
      <c r="CE217" s="299" t="str">
        <f>IF(K217="",IF(BT217&gt;(--"00:15:00"),"X",""),IF(AZ217&lt;&gt;"",IF(G217-AZ217&gt;(--"00:30:00"),"X",""),""))</f>
        <v/>
      </c>
      <c r="CF217" s="299" t="str">
        <f>IF(AND(CA217="",CB217="",CC217="",CD217="",CE217=""),"X","")</f>
        <v>X</v>
      </c>
      <c r="CG217" s="301"/>
      <c r="CH217" s="299" t="str">
        <f>IF(BT217&gt;(--"00:15:00"),"X","")</f>
        <v/>
      </c>
      <c r="CI217" s="302" t="str">
        <f>AY217</f>
        <v/>
      </c>
      <c r="CJ217" s="299" t="str">
        <f>IF(AND(CH217&lt;&gt;"",CI217&lt;&gt;"",LEFT(B217,3)="ITD"),AP217,"")</f>
        <v/>
      </c>
      <c r="CK217" s="305" t="str">
        <f>IF(CJ217&lt;&gt;"",BT217,"")</f>
        <v/>
      </c>
      <c r="CL217" s="301"/>
      <c r="CM217" s="305" t="str">
        <f>IFERROR(VLOOKUP(Q217,'Elenco Casse'!$D$4:$F$292,3,FALSE),"")</f>
        <v/>
      </c>
      <c r="CN217" s="301"/>
      <c r="CO217" s="305" t="str">
        <f>IFERROR(VLOOKUP(S217,'Elenco Casse'!$D$4:$F$292,3,FALSE),"")</f>
        <v/>
      </c>
      <c r="CP217" s="305" t="str">
        <f>IFERROR(IF(VLOOKUP($E217,Outlist!$A$5:$S$120,19,FALSE)&lt;&gt;0,"Y",""),"")</f>
        <v/>
      </c>
      <c r="CQ217" s="301"/>
      <c r="CR217" s="305" t="str">
        <f>CONCATENATE($B217,$E217,$G217)</f>
        <v>ITD12749IBU0.229166666666667</v>
      </c>
      <c r="CS217" s="301"/>
      <c r="CT217" s="305" t="e">
        <f>VLOOKUP(Out_Table[[#This Row],[Destination             ORANGE (From Planning)]],Outlist!$A$5:$W$120,22,FALSE)</f>
        <v>#N/A</v>
      </c>
    </row>
    <row r="218" spans="1:98" s="20" customFormat="1" ht="15">
      <c r="A218" s="305" t="str">
        <f>$CR218</f>
        <v>ITD12280IBU0.25</v>
      </c>
      <c r="B218" s="284" t="s">
        <v>1196</v>
      </c>
      <c r="C218" s="290" t="str">
        <f>IFERROR(IF(LEFT(B218,3)='STAT 77'!$X$2,_xlfn.XLOOKUP(B218,'STAT 77'!C:C,'STAT 77'!B:B),_xlfn.XLOOKUP(B218,'STAT 77'!B:B,'STAT 77'!C:C)),"NON TROVATO")</f>
        <v>ITD31284</v>
      </c>
      <c r="D218" s="25" t="s">
        <v>1197</v>
      </c>
      <c r="E218" s="290" t="s">
        <v>859</v>
      </c>
      <c r="F218" s="290" t="str">
        <f>IFERROR(VLOOKUP(E218,'Cambio O2P'!C:E,2,FALSE),"")</f>
        <v>DCIA</v>
      </c>
      <c r="G218" s="285">
        <v>0.25</v>
      </c>
      <c r="H218" s="293">
        <f ca="1">IFERROR(IF(AND('INformazioni per calcoli'!$AB$3&lt;(--"14:30"),'INformazioni per calcoli'!$AB$3&gt;(--"10:00")),"",IF($B218="","",IF($X218&lt;&gt;"","Mezzo Chiuso",IF($W218="","Non al Carico",IF($G218-'INformazioni per calcoli'!$AB$5-'INformazioni per calcoli'!$AB$3+$J218&lt;0,"LFLS",IF($K218&lt;&gt;"","Safe Parking",IF($W218&lt;&gt;"",IF($E218="MXP",$G218-'INformazioni per calcoli'!$AB$6-'INformazioni per calcoli'!$AB$3+$J218,$G218-'INformazioni per calcoli'!$AB$5-'INformazioni per calcoli'!$AB$3+$J218),"Non al carico"))))))),"")</f>
        <v>9.0648148148148144E-2</v>
      </c>
      <c r="I218" s="17" t="str">
        <f ca="1">IFERROR(IF($H218&lt;&gt;"",IF($H218="Safe Parking","",IF($W218&lt;&gt;"",IF(AND($U218="X",$V218="X"),$H218-(--"00:30"),""),IF($X218&lt;&gt;"","Mezzo Chiuso","Non al carico"))),""),"")</f>
        <v/>
      </c>
      <c r="J218" s="306">
        <f ca="1">IFERROR(IF($B218&lt;&gt;"",IF(AND('INformazioni per calcoli'!$AB$3&lt;(--"15:00"),'INformazioni per calcoli'!$AB$3&gt;(--"00:00")),0,IF($G218&lt;(--"18:30"),"+1",0)),""),"")</f>
        <v>0</v>
      </c>
      <c r="K218" s="17"/>
      <c r="L218" s="25" t="s">
        <v>52</v>
      </c>
      <c r="M218" s="25" t="str">
        <f>IFERROR(_xlfn.XLOOKUP($Q218,'Elenco Casse'!$D:$D,'Elenco Casse'!$E:$E),"")</f>
        <v/>
      </c>
      <c r="N218" s="25" t="str">
        <f>IFERROR(_xlfn.XLOOKUP($Q218,'Elenco Casse'!$D:$D,'Elenco Casse'!$F:$F),"")</f>
        <v/>
      </c>
      <c r="O218" s="286" t="s">
        <v>418</v>
      </c>
      <c r="P218" s="295" t="str">
        <f>IFERROR(_xlfn.XLOOKUP($Q218,'Elenco Casse'!$D:$D,'Elenco Casse'!$G:$G),"")</f>
        <v/>
      </c>
      <c r="Q218" s="355" t="s">
        <v>1198</v>
      </c>
      <c r="R218" s="23" t="s">
        <v>420</v>
      </c>
      <c r="S218" s="25" t="s">
        <v>421</v>
      </c>
      <c r="T218" s="25" t="s">
        <v>432</v>
      </c>
      <c r="U218" s="23"/>
      <c r="V218" s="23" t="s">
        <v>61</v>
      </c>
      <c r="W218" s="26">
        <v>842</v>
      </c>
      <c r="X218" s="27"/>
      <c r="Y218" s="25"/>
      <c r="Z218" s="25"/>
      <c r="AA218" s="25" t="s">
        <v>487</v>
      </c>
      <c r="AB218" s="57"/>
      <c r="AC218" s="25"/>
      <c r="AD218" s="25"/>
      <c r="AE218" s="57"/>
      <c r="AF218" s="57"/>
      <c r="AG218" s="25" t="s">
        <v>488</v>
      </c>
      <c r="AH218" s="57"/>
      <c r="AI218" s="339"/>
      <c r="AJ218" s="339"/>
      <c r="AK218" s="297" t="str">
        <f>IF(X218&lt;&gt;"",CONCATENATE(IF(AA218&lt;&gt;"",CONCATENATE(Z218," ",AA218," ",BI218),""),IF(AD218&lt;&gt;"",CONCATENATE(","," ",AC218," ",AD218," ",BJ218),""),IF(AG218&lt;&gt;"",CONCATENATE(","," ",AF218," ",AG218," ",BK218),""),IF(AJ218&lt;&gt;"",CONCATENATE(","," ","DD"," ",BL218),"")," ",IF(AI218&lt;&gt;"",CONCATENATE(" - ",AI218," Bag"),"")),"")</f>
        <v/>
      </c>
      <c r="AL218" s="287"/>
      <c r="AM218" s="287"/>
      <c r="AN218" s="287"/>
      <c r="AO218" s="287"/>
      <c r="AP218" s="370" t="str">
        <f>IFERROR(VLOOKUP(#REF!,Outlist!$A$5:$V$120,20,FALSE),"")</f>
        <v/>
      </c>
      <c r="AQ218" s="288" t="str">
        <f>IFERROR(IF(VLOOKUP($A218,#REF!,8,FALSE)&lt;&gt;"",VLOOKUP($A218,#REF!,8,FALSE),""),"")</f>
        <v/>
      </c>
      <c r="AS218" s="24"/>
      <c r="AT218" s="24">
        <v>1.2500000000000001E-2</v>
      </c>
      <c r="AU218" s="27"/>
      <c r="AV218" s="27"/>
      <c r="AX218" s="20" t="str">
        <f>IFERROR(IF(Out_Table[[#This Row],[Cancellazione linea]]="Cancellata","yes",""),"")</f>
        <v/>
      </c>
      <c r="AY218" s="72" t="str">
        <f>IF(BA218="",BZ218,IF(AND(BA218&lt;(--"23:59:59"),BA218&gt;(--"15:00:00"),G218&lt;(--"14:00:00"),G218&gt;(--"00:00:01")),"",IF(BA218&gt;G218,BZ218,"")))</f>
        <v/>
      </c>
      <c r="AZ218" s="27"/>
      <c r="BA218" s="32"/>
      <c r="BB218" s="72"/>
      <c r="BC218" s="72" t="str">
        <f>IFERROR(VLOOKUP(Out_Table[[#This Row],[Aggiornamento STATUS]],'INformazioni per calcoli'!$Y$70:$AA$76,2,FALSE),"")</f>
        <v/>
      </c>
      <c r="BD218" s="289"/>
      <c r="BE218" s="289"/>
      <c r="BF218" s="47" t="str">
        <f>LEFT($E218,3)</f>
        <v>IBU</v>
      </c>
      <c r="BG218" s="298" t="str">
        <f>IF(Out_Table[[#This Row],[Ora Uscita    (GH)]]&lt;&gt;"","x","")</f>
        <v/>
      </c>
      <c r="BH218" s="299">
        <f>VLOOKUP($O218,'INformazioni per calcoli'!$Y$20:$AA$23,3,FALSE)</f>
        <v>14</v>
      </c>
      <c r="BI218" s="299">
        <f>MROUND(Out_Table[[#This Row],[Mtr. Trailer]]*AB218,0.5)</f>
        <v>0</v>
      </c>
      <c r="BJ218" s="299">
        <f>MROUND(Out_Table[[#This Row],[Mtr. Trailer]]*AE218,0.5)</f>
        <v>0</v>
      </c>
      <c r="BK218" s="299">
        <f>MROUND(Out_Table[[#This Row],[Mtr. Trailer]]*AH218,0.5)</f>
        <v>0</v>
      </c>
      <c r="BL218" s="300">
        <f>Out_Table[[#This Row],[Double Deck trailer N° bumpers]]</f>
        <v>0</v>
      </c>
      <c r="BM218" s="301"/>
      <c r="BN218" s="299" t="str">
        <f>B218</f>
        <v>ITD12280</v>
      </c>
      <c r="BO218" s="299" t="str">
        <f>E218</f>
        <v>IBU</v>
      </c>
      <c r="BP218" s="302">
        <f>IF(AND(G218&gt;(--"00:00:01"),G218&lt;(--"15:00:00")),IF(AND(X218&gt;(--"00:00:01"),X218&lt;(--"15:00:00")),G218-X218,G218+1-X218),G218-X218)</f>
        <v>1.25</v>
      </c>
      <c r="BQ218" s="303">
        <f>AE218+AF218+AH218+AJ218</f>
        <v>0</v>
      </c>
      <c r="BR218" s="304" t="str">
        <f>IF(OR(BP218&lt;=(--"00:20:00"),BQ218&gt;=100%),"OK","Not OK")</f>
        <v>Not OK</v>
      </c>
      <c r="BS218" s="302">
        <f>IF(AND(G218&gt;(--"00:00:01"),G218&lt;(--"15:00:00")),IF(AND(AU218&gt;(--"00:00:01"),AU218&lt;(--"15:00:00")),G218-AU218,G218+1-AU218),G218-AU218)</f>
        <v>1.25</v>
      </c>
      <c r="BT218" s="302">
        <f>IF(AND(AZ218&gt;(--"00:00:01"),AZ218&lt;(--"15:00:00")),IF(AND(AU218&gt;(--"00:00:01"),AU218&lt;(--"15:00:00")),AZ218-AU218,AZ218+1-AU218),AZ218-AU218)</f>
        <v>0</v>
      </c>
      <c r="BU218" s="302">
        <f>IF(AND(BA218&gt;(--"00:00:01"),BA218&lt;(--"15:00:00")),IF(AND(AZ218&gt;(--"00:00:01"),AZ218&lt;(--"15:00:00")),BA218-AZ218,BA218+1-AZ218),BA218-AZ218)</f>
        <v>0</v>
      </c>
      <c r="BV218" s="299">
        <f>AV218</f>
        <v>0</v>
      </c>
      <c r="BW218" s="301"/>
      <c r="BX218" s="299" t="str">
        <f>IF(AV218="T Status",IF(AV218&lt;&gt;T218,"X",""),"")</f>
        <v/>
      </c>
      <c r="BY218" s="301"/>
      <c r="BZ218" s="299" t="str">
        <f>IF(X218&lt;&gt;"",IF(CC218="X","Driver Delay",IF(CA218="X","Paperwork Delay",IF(CB218="X","Late freight late sort",IF(CD218="X","Chiamare Control Room",IF(CE218="X","Chiamare Control Room",IF(CF218="X","Chiamare Control Room","")))))),"")</f>
        <v/>
      </c>
      <c r="CA218" s="302" t="str">
        <f>IF(K218="",IF(IF(AND(G218&gt;(--"00:00:01"),G218&lt;(--"15:00:00")),IF(AND(AT218&gt;(--"08:00:00"),AT218&lt;(--"23:59:59")),G218+1-AT218,G218-AT218),G218-AT218)&gt;(--"00:20:00"),"","X"),"")</f>
        <v/>
      </c>
      <c r="CB218" s="299" t="str">
        <f>IF(K218="",IF(BP218&gt;=(--"00:20:00"),"","X"),"")</f>
        <v/>
      </c>
      <c r="CC218" s="299" t="str">
        <f>IF(OR(AV218="Autista non presente",AV218="Dati driver non presenti"),"X","")</f>
        <v/>
      </c>
      <c r="CD218" s="299" t="str">
        <f>IF(K218="",IF(AND(CC218="",BS218&lt;(--"00:20:00")),"X",""),"")</f>
        <v/>
      </c>
      <c r="CE218" s="299" t="str">
        <f>IF(K218="",IF(BT218&gt;(--"00:15:00"),"X",""),IF(AZ218&lt;&gt;"",IF(G218-AZ218&gt;(--"00:30:00"),"X",""),""))</f>
        <v/>
      </c>
      <c r="CF218" s="299" t="str">
        <f>IF(AND(CA218="",CB218="",CC218="",CD218="",CE218=""),"X","")</f>
        <v>X</v>
      </c>
      <c r="CG218" s="301"/>
      <c r="CH218" s="299" t="str">
        <f>IF(BT218&gt;(--"00:15:00"),"X","")</f>
        <v/>
      </c>
      <c r="CI218" s="302" t="str">
        <f>AY218</f>
        <v/>
      </c>
      <c r="CJ218" s="299" t="str">
        <f>IF(AND(CH218&lt;&gt;"",CI218&lt;&gt;"",LEFT(B218,3)="ITD"),AP218,"")</f>
        <v/>
      </c>
      <c r="CK218" s="305" t="str">
        <f>IF(CJ218&lt;&gt;"",BT218,"")</f>
        <v/>
      </c>
      <c r="CL218" s="301"/>
      <c r="CM218" s="305" t="str">
        <f>IFERROR(VLOOKUP(Q218,'Elenco Casse'!$D$4:$F$292,3,FALSE),"")</f>
        <v/>
      </c>
      <c r="CN218" s="301"/>
      <c r="CO218" s="305" t="str">
        <f>IFERROR(VLOOKUP(S218,'Elenco Casse'!$D$4:$F$292,3,FALSE),"")</f>
        <v/>
      </c>
      <c r="CP218" s="305" t="str">
        <f>IFERROR(IF(VLOOKUP($E218,Outlist!$A$5:$S$120,19,FALSE)&lt;&gt;0,"Y",""),"")</f>
        <v/>
      </c>
      <c r="CQ218" s="301"/>
      <c r="CR218" s="305" t="str">
        <f>CONCATENATE($B218,$E218,$G218)</f>
        <v>ITD12280IBU0.25</v>
      </c>
      <c r="CS218" s="301"/>
      <c r="CT218" s="305" t="e">
        <f>VLOOKUP(Out_Table[[#This Row],[Destination             ORANGE (From Planning)]],Outlist!$A$5:$W$120,22,FALSE)</f>
        <v>#N/A</v>
      </c>
    </row>
    <row r="219" spans="1:98" s="20" customFormat="1" ht="30.75">
      <c r="A219" s="305" t="str">
        <f>$CR219</f>
        <v>ERN20363ATH 10.263888888890506</v>
      </c>
      <c r="B219" s="351" t="str">
        <f>IFERROR(VLOOKUP(E219,Outlist!$A$5:$AC$120,2,FALSE),"")</f>
        <v>ERN20363</v>
      </c>
      <c r="C219" s="352" t="str">
        <f>IFERROR(IF(LEFT(B219,3)='STAT 77'!$X$2,_xlfn.XLOOKUP(B219,'STAT 77'!C:C,'STAT 77'!B:B),_xlfn.XLOOKUP(B219,'STAT 77'!B:B,'STAT 77'!C:C)),"NON TROVATO")</f>
        <v>ERN10281</v>
      </c>
      <c r="D219" s="4"/>
      <c r="E219" s="352" t="str">
        <f>IFERROR(IF(Outlist!$A69&lt;&gt;"",Outlist!$A69,""),"")</f>
        <v>ATH 1</v>
      </c>
      <c r="F219" s="352" t="str">
        <f>IFERROR(VLOOKUP(E219,'Cambio O2P'!C:E,2,FALSE),"")</f>
        <v/>
      </c>
      <c r="G219" s="353">
        <f>IFERROR(VLOOKUP(E219,Outlist!$A$5:$AC$120,5,FALSE)-INT(VLOOKUP(E219,Outlist!$A$5:$AC$120,5,FALSE)),"")</f>
        <v>0.26388888889050577</v>
      </c>
      <c r="H219" s="294" t="str">
        <f ca="1">IFERROR(IF(AND('INformazioni per calcoli'!$AB$3&lt;(--"14:30"),'INformazioni per calcoli'!$AB$3&gt;(--"10:00")),"",IF($B219="","",IF($X219&lt;&gt;"","Mezzo Chiuso",IF($W219="","Non al Carico",IF($K219="Safe Parking","Safe Parking", IF(OR($BF219='INformazioni per calcoli'!$AF$8,$BF219='INformazioni per calcoli'!$AC$8,$BF219='INformazioni per calcoli'!$AD$8,$BF219='INformazioni per calcoli'!$AE$8,$BF219='INformazioni per calcoli'!$AG$8,$BF219='INformazioni per calcoli'!$AH$8,$BF219='INformazioni per calcoli'!$AI$8,$BF219='INformazioni per calcoli'!$AJ$8),IF($G219-'INformazioni per calcoli'!$AB$6-'INformazioni per calcoli'!$AB$3+$J219&lt;0,"LFLS",$G219-'INformazioni per calcoli'!$AB$6-'INformazioni per calcoli'!$AB$3+$J219), IF(OR($BF219='INformazioni per calcoli'!$AF$6,$BF219='INformazioni per calcoli'!$AD$6,$BF219='INformazioni per calcoli'!$AE$6,$BF219='INformazioni per calcoli'!$AG$6),IF($G219-'INformazioni per calcoli'!$AB$8-'INformazioni per calcoli'!$AB$3+$J219&lt;0,"LFLS",$G219-'INformazioni per calcoli'!$AB$8-'INformazioni per calcoli'!$AB$3+$J219), IF($G219-'INformazioni per calcoli'!$AB$7-'INformazioni per calcoli'!$AB$3+$J219&lt;0,"LFLS",$G219-'INformazioni per calcoli'!$AB$7-'INformazioni per calcoli'!$AB$3+$J219)))))))),"")</f>
        <v>Mezzo Chiuso</v>
      </c>
      <c r="I219" s="17" t="str">
        <f ca="1">IFERROR(IF($H219&lt;&gt;"",IF($H219="Safe Parking","",IF($W219&lt;&gt;"",IF(AND($U219="X",$V219="X"),$H219-(--"00:30"),""),IF($X219&lt;&gt;"","Mezzo Chiuso","Non al carico"))),""),"")</f>
        <v/>
      </c>
      <c r="J219" s="306">
        <f ca="1">IFERROR(IF($B219&lt;&gt;"",IF(AND('INformazioni per calcoli'!$AB$3&lt;(--"15:00"),'INformazioni per calcoli'!$AB$3&gt;(--"00:00")),0,IF($G219&lt;(--"18:30"),"+1",0)),""),"")</f>
        <v>0</v>
      </c>
      <c r="K219" s="27">
        <f>IF(E219&lt;&gt;"",IFERROR(VLOOKUP(E219,Outlist!$A$5:$AC$120,22,FALSE),""),"")</f>
        <v>0</v>
      </c>
      <c r="L219" s="352" t="str">
        <f>IF(E219&lt;&gt;"",IFERROR(VLOOKUP(E219,Outlist!$A$5:$AC$120,3,FALSE),""),"")</f>
        <v>Eurofast International Transports Srl</v>
      </c>
      <c r="M219" s="4" t="str">
        <f>IFERROR(_xlfn.XLOOKUP($Q219,'Elenco Casse'!$D:$D,'Elenco Casse'!$E:$E),"")</f>
        <v/>
      </c>
      <c r="N219" s="4" t="str">
        <f>IFERROR(_xlfn.XLOOKUP($Q219,'Elenco Casse'!$D:$D,'Elenco Casse'!$F:$F),"")</f>
        <v/>
      </c>
      <c r="O219" s="4" t="str">
        <f>IF($L219&lt;&gt;"","TT-2/3","")</f>
        <v>TT-2/3</v>
      </c>
      <c r="P219" s="296" t="str">
        <f>IFERROR(IF(VLOOKUP(E219,Outlist!$A$5:$AC$120,21,FALSE)="YES","Linea Variata",""),"")</f>
        <v/>
      </c>
      <c r="Q219" s="355" t="s">
        <v>1199</v>
      </c>
      <c r="R219" s="23" t="s">
        <v>420</v>
      </c>
      <c r="S219" s="25" t="str">
        <f>IFERROR(IF(VLOOKUP(E219,Outlist!$A$5:$AC$120,7,FALSE)="X","SUBCO",""),"")</f>
        <v/>
      </c>
      <c r="T219" s="25"/>
      <c r="U219" s="23"/>
      <c r="V219" s="23" t="s">
        <v>61</v>
      </c>
      <c r="W219" s="26">
        <v>843</v>
      </c>
      <c r="X219" s="27">
        <v>0.87777777777777777</v>
      </c>
      <c r="Y219" s="25" t="s">
        <v>1200</v>
      </c>
      <c r="Z219" s="25"/>
      <c r="AA219" s="25" t="s">
        <v>487</v>
      </c>
      <c r="AB219" s="57">
        <v>1</v>
      </c>
      <c r="AC219" s="25"/>
      <c r="AD219" s="25"/>
      <c r="AE219" s="57"/>
      <c r="AF219" s="57"/>
      <c r="AG219" s="25"/>
      <c r="AH219" s="57"/>
      <c r="AI219" s="339"/>
      <c r="AJ219" s="339">
        <v>11</v>
      </c>
      <c r="AK219" s="297" t="str">
        <f>IF(X219&lt;&gt;"",CONCATENATE(IF(AA219&lt;&gt;"",CONCATENATE(Z219," ",AA219," ",BI219),""),IF(AD219&lt;&gt;"",CONCATENATE(","," ",AC219," ",AD219," ",BJ219),""),IF(AG219&lt;&gt;"",CONCATENATE(","," ",AF219," ",AG219," ",BK219),""),IF(AJ219&lt;&gt;"",CONCATENATE(","," ","DD"," ",BL219),"")," ",IF(AI219&lt;&gt;"",CONCATENATE(" - ",AI219," Bag"),"")),"")</f>
        <v xml:space="preserve"> FRT 14, DD 11 </v>
      </c>
      <c r="AL219" s="287" t="s">
        <v>421</v>
      </c>
      <c r="AM219" s="287"/>
      <c r="AN219" s="287"/>
      <c r="AO219" s="287"/>
      <c r="AP219" s="370">
        <f>IFERROR(VLOOKUP($E219,Outlist!$A$5:$V$120,20,FALSE),"")</f>
        <v>0</v>
      </c>
      <c r="AQ219" s="288" t="str">
        <f>IFERROR(IF(VLOOKUP($A219,#REF!,8,FALSE)&lt;&gt;"",VLOOKUP($A219,#REF!,8,FALSE),""),"")</f>
        <v/>
      </c>
      <c r="AR219" s="430">
        <v>8.4027777777777785E-2</v>
      </c>
      <c r="AS219" s="24">
        <v>8.9583333333333334E-2</v>
      </c>
      <c r="AT219" s="24">
        <v>9.2361111111111116E-2</v>
      </c>
      <c r="AU219" s="27"/>
      <c r="AV219" s="27"/>
      <c r="AX219" s="20" t="str">
        <f>IFERROR(IF(Out_Table[[#This Row],[Cancellazione linea]]="Cancellata","yes",""),"")</f>
        <v/>
      </c>
      <c r="AY219" s="72"/>
      <c r="AZ219" s="27"/>
      <c r="BA219" s="32"/>
      <c r="BB219" s="72"/>
      <c r="BC219" s="72" t="str">
        <f>IFERROR(VLOOKUP(Out_Table[[#This Row],[Aggiornamento STATUS]],'INformazioni per calcoli'!$Y$70:$AA$76,2,FALSE),"")</f>
        <v/>
      </c>
      <c r="BD219" s="289"/>
      <c r="BE219" s="289"/>
      <c r="BF219" s="47" t="str">
        <f>LEFT($E219,3)</f>
        <v>ATH</v>
      </c>
      <c r="BG219" s="298" t="str">
        <f>IF(Out_Table[[#This Row],[Ora Uscita    (GH)]]&lt;&gt;"","x","")</f>
        <v/>
      </c>
      <c r="BH219" s="299">
        <f>VLOOKUP($O219,'INformazioni per calcoli'!$Y$20:$AA$23,3,FALSE)</f>
        <v>14</v>
      </c>
      <c r="BI219" s="299">
        <f>MROUND(Out_Table[[#This Row],[Mtr. Trailer]]*AB219,0.5)</f>
        <v>14</v>
      </c>
      <c r="BJ219" s="299">
        <f>MROUND(Out_Table[[#This Row],[Mtr. Trailer]]*AE219,0.5)</f>
        <v>0</v>
      </c>
      <c r="BK219" s="299">
        <f>MROUND(Out_Table[[#This Row],[Mtr. Trailer]]*AH219,0.5)</f>
        <v>0</v>
      </c>
      <c r="BL219" s="300">
        <f>Out_Table[[#This Row],[Double Deck trailer N° bumpers]]</f>
        <v>11</v>
      </c>
      <c r="BM219" s="301"/>
      <c r="BN219" s="299" t="str">
        <f>B219</f>
        <v>ERN20363</v>
      </c>
      <c r="BO219" s="299" t="str">
        <f>E219</f>
        <v>ATH 1</v>
      </c>
      <c r="BP219" s="302">
        <f>IF(AND(G219&gt;(--"00:00:01"),G219&lt;(--"15:00:00")),IF(AND(X219&gt;(--"00:00:01"),X219&lt;(--"15:00:00")),G219-X219,G219+1-X219),G219-X219)</f>
        <v>0.386111111112728</v>
      </c>
      <c r="BQ219" s="303">
        <f>AE219+AF219+AH219+AJ219</f>
        <v>11</v>
      </c>
      <c r="BR219" s="304" t="str">
        <f>IF(OR(BP219&lt;=(--"00:20:00"),BQ219&gt;=100%),"OK","Not OK")</f>
        <v>OK</v>
      </c>
      <c r="BS219" s="302">
        <f>IF(AND(G219&gt;(--"00:00:01"),G219&lt;(--"15:00:00")),IF(AND(AU219&gt;(--"00:00:01"),AU219&lt;(--"15:00:00")),G219-AU219,G219+1-AU219),G219-AU219)</f>
        <v>1.2638888888905058</v>
      </c>
      <c r="BT219" s="302">
        <f>IF(AND(AZ219&gt;(--"00:00:01"),AZ219&lt;(--"15:00:00")),IF(AND(AU219&gt;(--"00:00:01"),AU219&lt;(--"15:00:00")),AZ219-AU219,AZ219+1-AU219),AZ219-AU219)</f>
        <v>0</v>
      </c>
      <c r="BU219" s="302">
        <f>IF(AND(BA219&gt;(--"00:00:01"),BA219&lt;(--"15:00:00")),IF(AND(AZ219&gt;(--"00:00:01"),AZ219&lt;(--"15:00:00")),BA219-AZ219,BA219+1-AZ219),BA219-AZ219)</f>
        <v>0</v>
      </c>
      <c r="BV219" s="299">
        <f>AV219</f>
        <v>0</v>
      </c>
      <c r="BW219" s="301"/>
      <c r="BX219" s="299" t="str">
        <f>IF(AV219="T Status",IF(AV219&lt;&gt;T219,"X",""),"")</f>
        <v/>
      </c>
      <c r="BY219" s="301"/>
      <c r="BZ219" s="299" t="str">
        <f>IF(X219&lt;&gt;"",IF(CC219="X","Driver Delay",IF(CA219="X","Paperwork Delay",IF(CB219="X","Late freight late sort",IF(CD219="X","Chiamare Control Room",IF(CE219="X","Chiamare Control Room",IF(CF219="X","Chiamare Control Room","")))))),"")</f>
        <v>Chiamare Control Room</v>
      </c>
      <c r="CA219" s="302" t="str">
        <f>IF(K219="",IF(IF(AND(G219&gt;(--"00:00:01"),G219&lt;(--"15:00:00")),IF(AND(AT219&gt;(--"08:00:00"),AT219&lt;(--"23:59:59")),G219+1-AT219,G219-AT219),G219-AT219)&gt;(--"00:20:00"),"","X"),"")</f>
        <v/>
      </c>
      <c r="CB219" s="299" t="str">
        <f>IF(K219="",IF(BP219&gt;=(--"00:20:00"),"","X"),"")</f>
        <v/>
      </c>
      <c r="CC219" s="299" t="str">
        <f>IF(OR(AV219="Autista non presente",AV219="Dati driver non presenti"),"X","")</f>
        <v/>
      </c>
      <c r="CD219" s="299" t="str">
        <f>IF(K219="",IF(AND(CC219="",BS219&lt;(--"00:20:00")),"X",""),"")</f>
        <v/>
      </c>
      <c r="CE219" s="299" t="str">
        <f>IF(K219="",IF(BT219&gt;(--"00:15:00"),"X",""),IF(AZ219&lt;&gt;"",IF(G219-AZ219&gt;(--"00:30:00"),"X",""),""))</f>
        <v/>
      </c>
      <c r="CF219" s="299" t="str">
        <f>IF(AND(CA219="",CB219="",CC219="",CD219="",CE219=""),"X","")</f>
        <v>X</v>
      </c>
      <c r="CG219" s="301"/>
      <c r="CH219" s="299" t="str">
        <f>IF(BT219&gt;(--"00:15:00"),"X","")</f>
        <v/>
      </c>
      <c r="CI219" s="302">
        <f>AY219</f>
        <v>0</v>
      </c>
      <c r="CJ219" s="299" t="str">
        <f>IF(AND(CH219&lt;&gt;"",CI219&lt;&gt;"",LEFT(B219,3)="ITD"),AP219,"")</f>
        <v/>
      </c>
      <c r="CK219" s="305" t="str">
        <f>IF(CJ219&lt;&gt;"",BT219,"")</f>
        <v/>
      </c>
      <c r="CL219" s="301"/>
      <c r="CM219" s="305" t="str">
        <f>IFERROR(VLOOKUP(Q219,'Elenco Casse'!$D$4:$F$292,3,FALSE),"")</f>
        <v/>
      </c>
      <c r="CN219" s="301"/>
      <c r="CO219" s="305" t="str">
        <f>IFERROR(VLOOKUP(E219,Outlist!$A$5:$H$120,8,FALSE),"")</f>
        <v>ENBR21018</v>
      </c>
      <c r="CP219" s="305" t="str">
        <f>IFERROR(IF(VLOOKUP($E219,Outlist!$A$5:$S$120,19,FALSE)&lt;&gt;0,"Y",""),"")</f>
        <v/>
      </c>
      <c r="CQ219" s="301"/>
      <c r="CR219" s="305" t="str">
        <f>CONCATENATE($B219,$E219,$G219)</f>
        <v>ERN20363ATH 10.263888888890506</v>
      </c>
      <c r="CS219" s="301"/>
      <c r="CT219" s="305">
        <f>VLOOKUP(Out_Table[[#This Row],[Destination             ORANGE (From Planning)]],Outlist!$A$5:$W$120,22,FALSE)</f>
        <v>0</v>
      </c>
    </row>
    <row r="220" spans="1:98" s="20" customFormat="1" ht="15">
      <c r="A220" s="305" t="str">
        <f>$CR220</f>
        <v/>
      </c>
      <c r="B220" s="351" t="str">
        <f>IFERROR(VLOOKUP(E220,Outlist!$A$5:$AC$120,2,FALSE),"")</f>
        <v/>
      </c>
      <c r="C220" s="352" t="str">
        <f ca="1">IFERROR(IF(LEFT(B220,3)='STAT 77'!$X$2,_xlfn.XLOOKUP(B220,'STAT 77'!C:C,'STAT 77'!B:B),_xlfn.XLOOKUP(B220,'STAT 77'!B:B,'STAT 77'!C:C)),"NON TROVATO")</f>
        <v>NON TROVATO</v>
      </c>
      <c r="D220" s="4"/>
      <c r="E220" s="352" t="str">
        <f>IFERROR(IF(Outlist!$A82&lt;&gt;"",Outlist!$A82,""),"")</f>
        <v/>
      </c>
      <c r="F220" s="352" t="str">
        <f>IFERROR(VLOOKUP(E220,'Cambio O2P'!C:E,2,FALSE),"")</f>
        <v/>
      </c>
      <c r="G220" s="353" t="str">
        <f>IFERROR(VLOOKUP(E220,Outlist!$A$5:$AC$120,5,FALSE)-INT(VLOOKUP(E220,Outlist!$A$5:$AC$120,5,FALSE)),"")</f>
        <v/>
      </c>
      <c r="H220" s="294" t="str">
        <f ca="1">IFERROR(IF(AND('INformazioni per calcoli'!$AB$3&lt;(--"14:30"),'INformazioni per calcoli'!$AB$3&gt;(--"10:00")),"",IF($B220="","",IF($X220&lt;&gt;"","Mezzo Chiuso",IF($W220="","Non al Carico",IF($K220="Safe Parking","Safe Parking", IF(OR($BF220='INformazioni per calcoli'!$AF$8,$BF220='INformazioni per calcoli'!$AC$8,$BF220='INformazioni per calcoli'!$AD$8,$BF220='INformazioni per calcoli'!$AE$8,$BF220='INformazioni per calcoli'!$AG$8,$BF220='INformazioni per calcoli'!$AH$8,$BF220='INformazioni per calcoli'!$AI$8,$BF220='INformazioni per calcoli'!$AJ$8),IF($G220-'INformazioni per calcoli'!$AB$6-'INformazioni per calcoli'!$AB$3+$J220&lt;0,"LFLS",$G220-'INformazioni per calcoli'!$AB$6-'INformazioni per calcoli'!$AB$3+$J220), IF(OR($BF220='INformazioni per calcoli'!$AF$6,$BF220='INformazioni per calcoli'!$AD$6,$BF220='INformazioni per calcoli'!$AE$6,$BF220='INformazioni per calcoli'!$AG$6),IF($G220-'INformazioni per calcoli'!$AB$8-'INformazioni per calcoli'!$AB$3+$J220&lt;0,"LFLS",$G220-'INformazioni per calcoli'!$AB$8-'INformazioni per calcoli'!$AB$3+$J220), IF($G220-'INformazioni per calcoli'!$AB$7-'INformazioni per calcoli'!$AB$3+$J220&lt;0,"LFLS",$G220-'INformazioni per calcoli'!$AB$7-'INformazioni per calcoli'!$AB$3+$J220)))))))),"")</f>
        <v/>
      </c>
      <c r="I220" s="17" t="str">
        <f ca="1">IFERROR(IF($H220&lt;&gt;"",IF($H220="Safe Parking","",IF($W220&lt;&gt;"",IF(AND($U220="X",$V220="X"),$H220-(--"00:30"),""),IF($X220&lt;&gt;"","Mezzo Chiuso","Non al carico"))),""),"")</f>
        <v/>
      </c>
      <c r="J220" s="354" t="str">
        <f>IFERROR(IF($G220="","",IF(INT(VLOOKUP($E220,Outlist!$A$5:$E$120,5,FALSE))&gt;'INformazioni per calcoli'!$AB$2,INT(VLOOKUP($E220,Outlist!$A$5:$E$120,5,FALSE))-INT('INformazioni per calcoli'!$AB$2),0)),"")</f>
        <v/>
      </c>
      <c r="K220" s="27" t="str">
        <f>IF(E220&lt;&gt;"",IFERROR(VLOOKUP(E220,Outlist!$A$5:$AC$120,22,FALSE),""),"")</f>
        <v/>
      </c>
      <c r="L220" s="352" t="str">
        <f>IF(E220&lt;&gt;"",IFERROR(VLOOKUP(E220,Outlist!$A$5:$AC$120,3,FALSE),""),"")</f>
        <v/>
      </c>
      <c r="M220" s="4" t="str">
        <f>IFERROR(_xlfn.XLOOKUP($Q220,'Elenco Casse'!$D:$D,'Elenco Casse'!$E:$E),"")</f>
        <v/>
      </c>
      <c r="N220" s="4" t="str">
        <f>IFERROR(_xlfn.XLOOKUP($Q220,'Elenco Casse'!$D:$D,'Elenco Casse'!$F:$F),"")</f>
        <v/>
      </c>
      <c r="O220" s="4" t="str">
        <f>IF($L220&lt;&gt;"","TT-2/3","")</f>
        <v/>
      </c>
      <c r="P220" s="296" t="str">
        <f>IFERROR(IF(VLOOKUP(E220,Outlist!$A$5:$AC$120,21,FALSE)="YES","Linea Variata",""),"")</f>
        <v/>
      </c>
      <c r="Q220" s="355" t="str">
        <f>IFERROR(VLOOKUP(E220,Outlist!$AK$4:$BH$139,13,FALSE),"")</f>
        <v/>
      </c>
      <c r="R220" s="23"/>
      <c r="S220" s="25" t="str">
        <f>IFERROR(IF(VLOOKUP(E220,Outlist!$A$5:$AC$120,7,FALSE)="X","SUBCO",""),"")</f>
        <v/>
      </c>
      <c r="T220" s="25"/>
      <c r="U220" s="23"/>
      <c r="V220" s="23"/>
      <c r="W220" s="26"/>
      <c r="X220" s="27"/>
      <c r="Y220" s="25" t="str">
        <f>IF(OR(Out_Table[[#This Row],[DOC Del. hr. (RTH)]]&lt;&gt;"",Outlist!S121),"XXX","")</f>
        <v/>
      </c>
      <c r="Z220" s="25"/>
      <c r="AA220" s="25"/>
      <c r="AB220" s="57"/>
      <c r="AC220" s="25"/>
      <c r="AD220" s="25"/>
      <c r="AE220" s="57"/>
      <c r="AF220" s="57"/>
      <c r="AG220" s="25"/>
      <c r="AH220" s="57"/>
      <c r="AI220" s="339"/>
      <c r="AJ220" s="339"/>
      <c r="AK220" s="297" t="str">
        <f>IF(X220&lt;&gt;"",CONCATENATE(IF(AA220&lt;&gt;"",CONCATENATE(Z220," ",AA220," ",BI220),""),IF(AD220&lt;&gt;"",CONCATENATE(","," ",AC220," ",AD220," ",BJ220),""),IF(AG220&lt;&gt;"",CONCATENATE(","," ",AF220," ",AG220," ",BK220),""),IF(AJ220&lt;&gt;"",CONCATENATE(","," ","DD"," ",BL220),"")," ",IF(AI220&lt;&gt;"",CONCATENATE(" - ",AI220," Bag"),"")),"")</f>
        <v/>
      </c>
      <c r="AL220" s="287"/>
      <c r="AM220" s="287"/>
      <c r="AN220" s="287"/>
      <c r="AO220" s="287"/>
      <c r="AP220" s="370" t="str">
        <f>IFERROR(VLOOKUP($E220,Outlist!$A$5:$V$120,20,FALSE),"")</f>
        <v/>
      </c>
      <c r="AQ220" s="288" t="str">
        <f>IFERROR(IF(VLOOKUP($A220,#REF!,8,FALSE)&lt;&gt;"",VLOOKUP($A220,#REF!,8,FALSE),""),"")</f>
        <v/>
      </c>
      <c r="AS220" s="24"/>
      <c r="AT220" s="24"/>
      <c r="AU220" s="27"/>
      <c r="AV220" s="27"/>
      <c r="AX220" s="20" t="str">
        <f>IFERROR(IF(Out_Table[[#This Row],[Cancellazione linea]]="Cancellata","yes",""),"")</f>
        <v/>
      </c>
      <c r="AY220" s="72"/>
      <c r="AZ220" s="27"/>
      <c r="BA220" s="32"/>
      <c r="BB220" s="72"/>
      <c r="BC220" s="72" t="str">
        <f>IFERROR(VLOOKUP(Out_Table[[#This Row],[Aggiornamento STATUS]],'INformazioni per calcoli'!$Y$70:$AA$76,2,FALSE),"")</f>
        <v/>
      </c>
      <c r="BD220" s="289"/>
      <c r="BE220" s="289"/>
      <c r="BF220" s="47" t="str">
        <f>LEFT($E220,3)</f>
        <v/>
      </c>
      <c r="BG220" s="298" t="str">
        <f>IF(Out_Table[[#This Row],[Ora Uscita    (GH)]]&lt;&gt;"","x","")</f>
        <v/>
      </c>
      <c r="BH220" s="299" t="e">
        <f>VLOOKUP($O220,'INformazioni per calcoli'!$Y$20:$AA$23,3,FALSE)</f>
        <v>#N/A</v>
      </c>
      <c r="BI220" s="299" t="e">
        <f>MROUND(Out_Table[[#This Row],[Mtr. Trailer]]*AB220,0.5)</f>
        <v>#N/A</v>
      </c>
      <c r="BJ220" s="299" t="e">
        <f>MROUND(Out_Table[[#This Row],[Mtr. Trailer]]*AE220,0.5)</f>
        <v>#N/A</v>
      </c>
      <c r="BK220" s="299" t="e">
        <f>MROUND(Out_Table[[#This Row],[Mtr. Trailer]]*AH220,0.5)</f>
        <v>#N/A</v>
      </c>
      <c r="BL220" s="300">
        <f>Out_Table[[#This Row],[Double Deck trailer N° bumpers]]</f>
        <v>0</v>
      </c>
      <c r="BM220" s="301"/>
      <c r="BN220" s="299" t="str">
        <f>B220</f>
        <v/>
      </c>
      <c r="BO220" s="299" t="str">
        <f>E220</f>
        <v/>
      </c>
      <c r="BP220" s="302" t="e">
        <f>IF(AND(G220&gt;(--"00:00:01"),G220&lt;(--"15:00:00")),IF(AND(X220&gt;(--"00:00:01"),X220&lt;(--"15:00:00")),G220-X220,G220+1-X220),G220-X220)</f>
        <v>#VALUE!</v>
      </c>
      <c r="BQ220" s="303">
        <f>AE220+AF220+AH220+AJ220</f>
        <v>0</v>
      </c>
      <c r="BR220" s="304" t="e">
        <f>IF(OR(BP220&lt;=(--"00:20:00"),BQ220&gt;=100%),"OK","Not OK")</f>
        <v>#VALUE!</v>
      </c>
      <c r="BS220" s="302" t="e">
        <f>IF(AND(G220&gt;(--"00:00:01"),G220&lt;(--"15:00:00")),IF(AND(AU220&gt;(--"00:00:01"),AU220&lt;(--"15:00:00")),G220-AU220,G220+1-AU220),G220-AU220)</f>
        <v>#VALUE!</v>
      </c>
      <c r="BT220" s="302">
        <f>IF(AND(AZ220&gt;(--"00:00:01"),AZ220&lt;(--"15:00:00")),IF(AND(AU220&gt;(--"00:00:01"),AU220&lt;(--"15:00:00")),AZ220-AU220,AZ220+1-AU220),AZ220-AU220)</f>
        <v>0</v>
      </c>
      <c r="BU220" s="302">
        <f>IF(AND(BA220&gt;(--"00:00:01"),BA220&lt;(--"15:00:00")),IF(AND(AZ220&gt;(--"00:00:01"),AZ220&lt;(--"15:00:00")),BA220-AZ220,BA220+1-AZ220),BA220-AZ220)</f>
        <v>0</v>
      </c>
      <c r="BV220" s="299">
        <f>AV220</f>
        <v>0</v>
      </c>
      <c r="BW220" s="301"/>
      <c r="BX220" s="299" t="str">
        <f>IF(AV220="T Status",IF(AV220&lt;&gt;T220,"X",""),"")</f>
        <v/>
      </c>
      <c r="BY220" s="301"/>
      <c r="BZ220" s="299" t="str">
        <f>IF(X220&lt;&gt;"",IF(CC220="X","Driver Delay",IF(CA220="X","Paperwork Delay",IF(CB220="X","Late freight late sort",IF(CD220="X","Chiamare Control Room",IF(CE220="X","Chiamare Control Room",IF(CF220="X","Chiamare Control Room","")))))),"")</f>
        <v/>
      </c>
      <c r="CA220" s="302" t="e">
        <f>IF(K220="",IF(IF(AND(G220&gt;(--"00:00:01"),G220&lt;(--"15:00:00")),IF(AND(AT220&gt;(--"08:00:00"),AT220&lt;(--"23:59:59")),G220+1-AT220,G220-AT220),G220-AT220)&gt;(--"00:20:00"),"","X"),"")</f>
        <v>#VALUE!</v>
      </c>
      <c r="CB220" s="299" t="e">
        <f>IF(K220="",IF(BP220&gt;=(--"00:20:00"),"","X"),"")</f>
        <v>#VALUE!</v>
      </c>
      <c r="CC220" s="299" t="str">
        <f>IF(OR(AV220="Autista non presente",AV220="Dati driver non presenti"),"X","")</f>
        <v/>
      </c>
      <c r="CD220" s="299" t="e">
        <f>IF(K220="",IF(AND(CC220="",BS220&lt;(--"00:20:00")),"X",""),"")</f>
        <v>#VALUE!</v>
      </c>
      <c r="CE220" s="299" t="str">
        <f>IF(K220="",IF(BT220&gt;(--"00:15:00"),"X",""),IF(AZ220&lt;&gt;"",IF(G220-AZ220&gt;(--"00:30:00"),"X",""),""))</f>
        <v/>
      </c>
      <c r="CF220" s="299" t="e">
        <f>IF(AND(CA220="",CB220="",CC220="",CD220="",CE220=""),"X","")</f>
        <v>#VALUE!</v>
      </c>
      <c r="CG220" s="301"/>
      <c r="CH220" s="299" t="str">
        <f>IF(BT220&gt;(--"00:15:00"),"X","")</f>
        <v/>
      </c>
      <c r="CI220" s="302">
        <f>AY220</f>
        <v>0</v>
      </c>
      <c r="CJ220" s="299" t="str">
        <f>IF(AND(CH220&lt;&gt;"",CI220&lt;&gt;"",LEFT(B220,3)="ITD"),AP220,"")</f>
        <v/>
      </c>
      <c r="CK220" s="305" t="str">
        <f>IF(CJ220&lt;&gt;"",BT220,"")</f>
        <v/>
      </c>
      <c r="CL220" s="301"/>
      <c r="CM220" s="305" t="str">
        <f>IFERROR(VLOOKUP(Q220,'Elenco Casse'!$D$4:$F$292,3,FALSE),"")</f>
        <v/>
      </c>
      <c r="CN220" s="301"/>
      <c r="CO220" s="305" t="str">
        <f>IFERROR(VLOOKUP(E220,Outlist!$A$5:$H$120,8,FALSE),"")</f>
        <v/>
      </c>
      <c r="CP220" s="305" t="str">
        <f>IFERROR(IF(VLOOKUP($E220,Outlist!$A$5:$S$120,19,FALSE)&lt;&gt;0,"Y",""),"")</f>
        <v/>
      </c>
      <c r="CQ220" s="301"/>
      <c r="CR220" s="305" t="str">
        <f>CONCATENATE($B220,$E220,$G220)</f>
        <v/>
      </c>
      <c r="CS220" s="301"/>
      <c r="CT220" s="305" t="e">
        <f>VLOOKUP(Out_Table[[#This Row],[Destination             ORANGE (From Planning)]],Outlist!$A$5:$W$120,22,FALSE)</f>
        <v>#N/A</v>
      </c>
    </row>
    <row r="221" spans="1:98" s="20" customFormat="1" ht="15">
      <c r="A221" s="305" t="str">
        <f>$CR221</f>
        <v/>
      </c>
      <c r="B221" s="351" t="str">
        <f>IFERROR(VLOOKUP(E221,Outlist!$A$5:$AC$120,2,FALSE),"")</f>
        <v/>
      </c>
      <c r="C221" s="352" t="str">
        <f ca="1">IFERROR(IF(LEFT(B221,3)='STAT 77'!$X$2,_xlfn.XLOOKUP(B221,'STAT 77'!C:C,'STAT 77'!B:B),_xlfn.XLOOKUP(B221,'STAT 77'!B:B,'STAT 77'!C:C)),"NON TROVATO")</f>
        <v>NON TROVATO</v>
      </c>
      <c r="D221" s="4"/>
      <c r="E221" s="352" t="str">
        <f>IFERROR(IF(Outlist!$A83&lt;&gt;"",Outlist!$A83,""),"")</f>
        <v/>
      </c>
      <c r="F221" s="352" t="str">
        <f>IFERROR(VLOOKUP(E221,'Cambio O2P'!C:E,2,FALSE),"")</f>
        <v/>
      </c>
      <c r="G221" s="353" t="str">
        <f>IFERROR(VLOOKUP(E221,Outlist!$A$5:$AC$120,5,FALSE)-INT(VLOOKUP(E221,Outlist!$A$5:$AC$120,5,FALSE)),"")</f>
        <v/>
      </c>
      <c r="H221" s="294" t="str">
        <f ca="1">IFERROR(IF(AND('INformazioni per calcoli'!$AB$3&lt;(--"14:30"),'INformazioni per calcoli'!$AB$3&gt;(--"10:00")),"",IF($B221="","",IF($X221&lt;&gt;"","Mezzo Chiuso",IF($W221="","Non al Carico",IF($K221="Safe Parking","Safe Parking", IF(OR($BF221='INformazioni per calcoli'!$AF$8,$BF221='INformazioni per calcoli'!$AC$8,$BF221='INformazioni per calcoli'!$AD$8,$BF221='INformazioni per calcoli'!$AE$8,$BF221='INformazioni per calcoli'!$AG$8,$BF221='INformazioni per calcoli'!$AH$8,$BF221='INformazioni per calcoli'!$AI$8,$BF221='INformazioni per calcoli'!$AJ$8),IF($G221-'INformazioni per calcoli'!$AB$6-'INformazioni per calcoli'!$AB$3+$J221&lt;0,"LFLS",$G221-'INformazioni per calcoli'!$AB$6-'INformazioni per calcoli'!$AB$3+$J221), IF(OR($BF221='INformazioni per calcoli'!$AF$6,$BF221='INformazioni per calcoli'!$AD$6,$BF221='INformazioni per calcoli'!$AE$6,$BF221='INformazioni per calcoli'!$AG$6),IF($G221-'INformazioni per calcoli'!$AB$8-'INformazioni per calcoli'!$AB$3+$J221&lt;0,"LFLS",$G221-'INformazioni per calcoli'!$AB$8-'INformazioni per calcoli'!$AB$3+$J221), IF($G221-'INformazioni per calcoli'!$AB$7-'INformazioni per calcoli'!$AB$3+$J221&lt;0,"LFLS",$G221-'INformazioni per calcoli'!$AB$7-'INformazioni per calcoli'!$AB$3+$J221)))))))),"")</f>
        <v/>
      </c>
      <c r="I221" s="17" t="str">
        <f ca="1">IFERROR(IF($H221&lt;&gt;"",IF($H221="Safe Parking","",IF($W221&lt;&gt;"",IF(AND($U221="X",$V221="X"),$H221-(--"00:30"),""),IF($X221&lt;&gt;"","Mezzo Chiuso","Non al carico"))),""),"")</f>
        <v/>
      </c>
      <c r="J221" s="354" t="str">
        <f>IFERROR(IF($G221="","",IF(INT(VLOOKUP($E221,Outlist!$A$5:$E$120,5,FALSE))&gt;'INformazioni per calcoli'!$AB$2,INT(VLOOKUP($E221,Outlist!$A$5:$E$120,5,FALSE))-INT('INformazioni per calcoli'!$AB$2),0)),"")</f>
        <v/>
      </c>
      <c r="K221" s="27" t="str">
        <f>IF(E221&lt;&gt;"",IFERROR(VLOOKUP(E221,Outlist!$A$5:$AC$120,22,FALSE),""),"")</f>
        <v/>
      </c>
      <c r="L221" s="352" t="str">
        <f>IF(E221&lt;&gt;"",IFERROR(VLOOKUP(E221,Outlist!$A$5:$AC$120,3,FALSE),""),"")</f>
        <v/>
      </c>
      <c r="M221" s="4" t="str">
        <f>IFERROR(_xlfn.XLOOKUP($Q221,'Elenco Casse'!$D:$D,'Elenco Casse'!$E:$E),"")</f>
        <v/>
      </c>
      <c r="N221" s="4" t="str">
        <f>IFERROR(_xlfn.XLOOKUP($Q221,'Elenco Casse'!$D:$D,'Elenco Casse'!$F:$F),"")</f>
        <v/>
      </c>
      <c r="O221" s="4" t="str">
        <f>IF($L221&lt;&gt;"","TT-2/3","")</f>
        <v/>
      </c>
      <c r="P221" s="296" t="str">
        <f>IFERROR(IF(VLOOKUP(E221,Outlist!$A$5:$AC$120,21,FALSE)="YES","Linea Variata",""),"")</f>
        <v/>
      </c>
      <c r="Q221" s="355" t="str">
        <f>IFERROR(VLOOKUP(E221,Outlist!$AK$4:$BH$139,13,FALSE),"")</f>
        <v/>
      </c>
      <c r="R221" s="23"/>
      <c r="S221" s="25" t="str">
        <f>IFERROR(IF(VLOOKUP(E221,Outlist!$A$5:$AC$120,7,FALSE)="X","SUBCO",""),"")</f>
        <v/>
      </c>
      <c r="T221" s="25"/>
      <c r="U221" s="23"/>
      <c r="V221" s="23"/>
      <c r="W221" s="26"/>
      <c r="X221" s="27"/>
      <c r="Y221" s="25" t="str">
        <f>IF(OR(Out_Table[[#This Row],[DOC Del. hr. (RTH)]]&lt;&gt;"",Outlist!S122),"XXX","")</f>
        <v/>
      </c>
      <c r="Z221" s="25"/>
      <c r="AA221" s="25"/>
      <c r="AB221" s="57"/>
      <c r="AC221" s="25"/>
      <c r="AD221" s="25"/>
      <c r="AE221" s="57"/>
      <c r="AF221" s="57"/>
      <c r="AG221" s="25"/>
      <c r="AH221" s="57"/>
      <c r="AI221" s="339"/>
      <c r="AJ221" s="339"/>
      <c r="AK221" s="297" t="str">
        <f>IF(X221&lt;&gt;"",CONCATENATE(IF(AA221&lt;&gt;"",CONCATENATE(Z221," ",AA221," ",BI221),""),IF(AD221&lt;&gt;"",CONCATENATE(","," ",AC221," ",AD221," ",BJ221),""),IF(AG221&lt;&gt;"",CONCATENATE(","," ",AF221," ",AG221," ",BK221),""),IF(AJ221&lt;&gt;"",CONCATENATE(","," ","DD"," ",BL221),"")," ",IF(AI221&lt;&gt;"",CONCATENATE(" - ",AI221," Bag"),"")),"")</f>
        <v/>
      </c>
      <c r="AL221" s="287"/>
      <c r="AM221" s="287"/>
      <c r="AN221" s="287"/>
      <c r="AO221" s="287"/>
      <c r="AP221" s="370" t="str">
        <f>IFERROR(VLOOKUP($E221,Outlist!$A$5:$V$120,20,FALSE),"")</f>
        <v/>
      </c>
      <c r="AQ221" s="288" t="str">
        <f>IFERROR(IF(VLOOKUP($A221,#REF!,8,FALSE)&lt;&gt;"",VLOOKUP($A221,#REF!,8,FALSE),""),"")</f>
        <v/>
      </c>
      <c r="AS221" s="24"/>
      <c r="AT221" s="24"/>
      <c r="AU221" s="27"/>
      <c r="AV221" s="27"/>
      <c r="AX221" s="20" t="str">
        <f>IFERROR(IF(Out_Table[[#This Row],[Cancellazione linea]]="Cancellata","yes",""),"")</f>
        <v/>
      </c>
      <c r="AY221" s="72"/>
      <c r="AZ221" s="27"/>
      <c r="BA221" s="32"/>
      <c r="BB221" s="72"/>
      <c r="BC221" s="72" t="str">
        <f>IFERROR(VLOOKUP(Out_Table[[#This Row],[Aggiornamento STATUS]],'INformazioni per calcoli'!$Y$70:$AA$76,2,FALSE),"")</f>
        <v/>
      </c>
      <c r="BD221" s="289"/>
      <c r="BE221" s="289"/>
      <c r="BF221" s="47" t="str">
        <f>LEFT($E221,3)</f>
        <v/>
      </c>
      <c r="BG221" s="298" t="str">
        <f>IF(Out_Table[[#This Row],[Ora Uscita    (GH)]]&lt;&gt;"","x","")</f>
        <v/>
      </c>
      <c r="BH221" s="299" t="e">
        <f>VLOOKUP($O221,'INformazioni per calcoli'!$Y$20:$AA$23,3,FALSE)</f>
        <v>#N/A</v>
      </c>
      <c r="BI221" s="299" t="e">
        <f>MROUND(Out_Table[[#This Row],[Mtr. Trailer]]*AB221,0.5)</f>
        <v>#N/A</v>
      </c>
      <c r="BJ221" s="299" t="e">
        <f>MROUND(Out_Table[[#This Row],[Mtr. Trailer]]*AE221,0.5)</f>
        <v>#N/A</v>
      </c>
      <c r="BK221" s="299" t="e">
        <f>MROUND(Out_Table[[#This Row],[Mtr. Trailer]]*AH221,0.5)</f>
        <v>#N/A</v>
      </c>
      <c r="BL221" s="300">
        <f>Out_Table[[#This Row],[Double Deck trailer N° bumpers]]</f>
        <v>0</v>
      </c>
      <c r="BM221" s="301"/>
      <c r="BN221" s="299" t="str">
        <f>B221</f>
        <v/>
      </c>
      <c r="BO221" s="299" t="str">
        <f>E221</f>
        <v/>
      </c>
      <c r="BP221" s="302" t="e">
        <f>IF(AND(G221&gt;(--"00:00:01"),G221&lt;(--"15:00:00")),IF(AND(X221&gt;(--"00:00:01"),X221&lt;(--"15:00:00")),G221-X221,G221+1-X221),G221-X221)</f>
        <v>#VALUE!</v>
      </c>
      <c r="BQ221" s="303">
        <f>AE221+AF221+AH221+AJ221</f>
        <v>0</v>
      </c>
      <c r="BR221" s="304" t="e">
        <f>IF(OR(BP221&lt;=(--"00:20:00"),BQ221&gt;=100%),"OK","Not OK")</f>
        <v>#VALUE!</v>
      </c>
      <c r="BS221" s="302" t="e">
        <f>IF(AND(G221&gt;(--"00:00:01"),G221&lt;(--"15:00:00")),IF(AND(AU221&gt;(--"00:00:01"),AU221&lt;(--"15:00:00")),G221-AU221,G221+1-AU221),G221-AU221)</f>
        <v>#VALUE!</v>
      </c>
      <c r="BT221" s="302">
        <f>IF(AND(AZ221&gt;(--"00:00:01"),AZ221&lt;(--"15:00:00")),IF(AND(AU221&gt;(--"00:00:01"),AU221&lt;(--"15:00:00")),AZ221-AU221,AZ221+1-AU221),AZ221-AU221)</f>
        <v>0</v>
      </c>
      <c r="BU221" s="302">
        <f>IF(AND(BA221&gt;(--"00:00:01"),BA221&lt;(--"15:00:00")),IF(AND(AZ221&gt;(--"00:00:01"),AZ221&lt;(--"15:00:00")),BA221-AZ221,BA221+1-AZ221),BA221-AZ221)</f>
        <v>0</v>
      </c>
      <c r="BV221" s="299">
        <f>AV221</f>
        <v>0</v>
      </c>
      <c r="BW221" s="301"/>
      <c r="BX221" s="299" t="str">
        <f>IF(AV221="T Status",IF(AV221&lt;&gt;T221,"X",""),"")</f>
        <v/>
      </c>
      <c r="BY221" s="301"/>
      <c r="BZ221" s="299" t="str">
        <f>IF(X221&lt;&gt;"",IF(CC221="X","Driver Delay",IF(CA221="X","Paperwork Delay",IF(CB221="X","Late freight late sort",IF(CD221="X","Chiamare Control Room",IF(CE221="X","Chiamare Control Room",IF(CF221="X","Chiamare Control Room","")))))),"")</f>
        <v/>
      </c>
      <c r="CA221" s="302" t="e">
        <f>IF(K221="",IF(IF(AND(G221&gt;(--"00:00:01"),G221&lt;(--"15:00:00")),IF(AND(AT221&gt;(--"08:00:00"),AT221&lt;(--"23:59:59")),G221+1-AT221,G221-AT221),G221-AT221)&gt;(--"00:20:00"),"","X"),"")</f>
        <v>#VALUE!</v>
      </c>
      <c r="CB221" s="299" t="e">
        <f>IF(K221="",IF(BP221&gt;=(--"00:20:00"),"","X"),"")</f>
        <v>#VALUE!</v>
      </c>
      <c r="CC221" s="299" t="str">
        <f>IF(OR(AV221="Autista non presente",AV221="Dati driver non presenti"),"X","")</f>
        <v/>
      </c>
      <c r="CD221" s="299" t="e">
        <f>IF(K221="",IF(AND(CC221="",BS221&lt;(--"00:20:00")),"X",""),"")</f>
        <v>#VALUE!</v>
      </c>
      <c r="CE221" s="299" t="str">
        <f>IF(K221="",IF(BT221&gt;(--"00:15:00"),"X",""),IF(AZ221&lt;&gt;"",IF(G221-AZ221&gt;(--"00:30:00"),"X",""),""))</f>
        <v/>
      </c>
      <c r="CF221" s="299" t="e">
        <f>IF(AND(CA221="",CB221="",CC221="",CD221="",CE221=""),"X","")</f>
        <v>#VALUE!</v>
      </c>
      <c r="CG221" s="301"/>
      <c r="CH221" s="299" t="str">
        <f>IF(BT221&gt;(--"00:15:00"),"X","")</f>
        <v/>
      </c>
      <c r="CI221" s="302">
        <f>AY221</f>
        <v>0</v>
      </c>
      <c r="CJ221" s="299" t="str">
        <f>IF(AND(CH221&lt;&gt;"",CI221&lt;&gt;"",LEFT(B221,3)="ITD"),AP221,"")</f>
        <v/>
      </c>
      <c r="CK221" s="305" t="str">
        <f>IF(CJ221&lt;&gt;"",BT221,"")</f>
        <v/>
      </c>
      <c r="CL221" s="301"/>
      <c r="CM221" s="305" t="str">
        <f>IFERROR(VLOOKUP(Q221,'Elenco Casse'!$D$4:$F$292,3,FALSE),"")</f>
        <v/>
      </c>
      <c r="CN221" s="301"/>
      <c r="CO221" s="305" t="str">
        <f>IFERROR(VLOOKUP(E221,Outlist!$A$5:$H$120,8,FALSE),"")</f>
        <v/>
      </c>
      <c r="CP221" s="305" t="str">
        <f>IFERROR(IF(VLOOKUP($E221,Outlist!$A$5:$S$120,19,FALSE)&lt;&gt;0,"Y",""),"")</f>
        <v/>
      </c>
      <c r="CQ221" s="301"/>
      <c r="CR221" s="305" t="str">
        <f>CONCATENATE($B221,$E221,$G221)</f>
        <v/>
      </c>
      <c r="CS221" s="301"/>
      <c r="CT221" s="305" t="e">
        <f>VLOOKUP(Out_Table[[#This Row],[Destination             ORANGE (From Planning)]],Outlist!$A$5:$W$120,22,FALSE)</f>
        <v>#N/A</v>
      </c>
    </row>
    <row r="222" spans="1:98" s="20" customFormat="1" ht="15">
      <c r="A222" s="305" t="str">
        <f>$CR222</f>
        <v/>
      </c>
      <c r="B222" s="351" t="str">
        <f>IFERROR(VLOOKUP(E222,Outlist!$A$5:$AC$120,2,FALSE),"")</f>
        <v/>
      </c>
      <c r="C222" s="352" t="str">
        <f ca="1">IFERROR(IF(LEFT(B222,3)='STAT 77'!$X$2,_xlfn.XLOOKUP(B222,'STAT 77'!C:C,'STAT 77'!B:B),_xlfn.XLOOKUP(B222,'STAT 77'!B:B,'STAT 77'!C:C)),"NON TROVATO")</f>
        <v>NON TROVATO</v>
      </c>
      <c r="D222" s="4"/>
      <c r="E222" s="352" t="str">
        <f>IFERROR(IF(Outlist!$A84&lt;&gt;"",Outlist!$A84,""),"")</f>
        <v/>
      </c>
      <c r="F222" s="352" t="str">
        <f>IFERROR(VLOOKUP(E222,'Cambio O2P'!C:E,2,FALSE),"")</f>
        <v/>
      </c>
      <c r="G222" s="353" t="str">
        <f>IFERROR(VLOOKUP(E222,Outlist!$A$5:$AC$120,5,FALSE)-INT(VLOOKUP(E222,Outlist!$A$5:$AC$120,5,FALSE)),"")</f>
        <v/>
      </c>
      <c r="H222" s="294" t="str">
        <f ca="1">IFERROR(IF(AND('INformazioni per calcoli'!$AB$3&lt;(--"14:30"),'INformazioni per calcoli'!$AB$3&gt;(--"10:00")),"",IF($B222="","",IF($X222&lt;&gt;"","Mezzo Chiuso",IF($W222="","Non al Carico",IF($K222="Safe Parking","Safe Parking", IF(OR($BF222='INformazioni per calcoli'!$AF$8,$BF222='INformazioni per calcoli'!$AC$8,$BF222='INformazioni per calcoli'!$AD$8,$BF222='INformazioni per calcoli'!$AE$8,$BF222='INformazioni per calcoli'!$AG$8,$BF222='INformazioni per calcoli'!$AH$8,$BF222='INformazioni per calcoli'!$AI$8,$BF222='INformazioni per calcoli'!$AJ$8),IF($G222-'INformazioni per calcoli'!$AB$6-'INformazioni per calcoli'!$AB$3+$J222&lt;0,"LFLS",$G222-'INformazioni per calcoli'!$AB$6-'INformazioni per calcoli'!$AB$3+$J222), IF(OR($BF222='INformazioni per calcoli'!$AF$6,$BF222='INformazioni per calcoli'!$AD$6,$BF222='INformazioni per calcoli'!$AE$6,$BF222='INformazioni per calcoli'!$AG$6),IF($G222-'INformazioni per calcoli'!$AB$8-'INformazioni per calcoli'!$AB$3+$J222&lt;0,"LFLS",$G222-'INformazioni per calcoli'!$AB$8-'INformazioni per calcoli'!$AB$3+$J222), IF($G222-'INformazioni per calcoli'!$AB$7-'INformazioni per calcoli'!$AB$3+$J222&lt;0,"LFLS",$G222-'INformazioni per calcoli'!$AB$7-'INformazioni per calcoli'!$AB$3+$J222)))))))),"")</f>
        <v/>
      </c>
      <c r="I222" s="17" t="str">
        <f ca="1">IFERROR(IF($H222&lt;&gt;"",IF($H222="Safe Parking","",IF($W222&lt;&gt;"",IF(AND($U222="X",$V222="X"),$H222-(--"00:30"),""),IF($X222&lt;&gt;"","Mezzo Chiuso","Non al carico"))),""),"")</f>
        <v/>
      </c>
      <c r="J222" s="354" t="str">
        <f>IFERROR(IF($G222="","",IF(INT(VLOOKUP($E222,Outlist!$A$5:$E$120,5,FALSE))&gt;'INformazioni per calcoli'!$AB$2,INT(VLOOKUP($E222,Outlist!$A$5:$E$120,5,FALSE))-INT('INformazioni per calcoli'!$AB$2),0)),"")</f>
        <v/>
      </c>
      <c r="K222" s="27" t="str">
        <f>IF(E222&lt;&gt;"",IFERROR(VLOOKUP(E222,Outlist!$A$5:$AC$120,22,FALSE),""),"")</f>
        <v/>
      </c>
      <c r="L222" s="352" t="str">
        <f>IF(E222&lt;&gt;"",IFERROR(VLOOKUP(E222,Outlist!$A$5:$AC$120,3,FALSE),""),"")</f>
        <v/>
      </c>
      <c r="M222" s="4" t="str">
        <f>IFERROR(_xlfn.XLOOKUP($Q222,'Elenco Casse'!$D:$D,'Elenco Casse'!$E:$E),"")</f>
        <v/>
      </c>
      <c r="N222" s="4" t="str">
        <f>IFERROR(_xlfn.XLOOKUP($Q222,'Elenco Casse'!$D:$D,'Elenco Casse'!$F:$F),"")</f>
        <v/>
      </c>
      <c r="O222" s="4" t="str">
        <f>IF($L222&lt;&gt;"","TT-2/3","")</f>
        <v/>
      </c>
      <c r="P222" s="296" t="str">
        <f>IFERROR(IF(VLOOKUP(E222,Outlist!$A$5:$AC$120,21,FALSE)="YES","Linea Variata",""),"")</f>
        <v/>
      </c>
      <c r="Q222" s="355" t="str">
        <f>IFERROR(VLOOKUP(E222,Outlist!$AK$4:$BH$139,13,FALSE),"")</f>
        <v/>
      </c>
      <c r="R222" s="23"/>
      <c r="S222" s="25" t="str">
        <f>IFERROR(IF(VLOOKUP(E222,Outlist!$A$5:$AC$120,7,FALSE)="X","SUBCO",""),"")</f>
        <v/>
      </c>
      <c r="T222" s="25"/>
      <c r="U222" s="23"/>
      <c r="V222" s="23"/>
      <c r="W222" s="26"/>
      <c r="X222" s="27"/>
      <c r="Y222" s="25" t="str">
        <f>IF(OR(Out_Table[[#This Row],[DOC Del. hr. (RTH)]]&lt;&gt;"",Outlist!S123),"XXX","")</f>
        <v/>
      </c>
      <c r="Z222" s="25"/>
      <c r="AA222" s="25"/>
      <c r="AB222" s="57"/>
      <c r="AC222" s="25"/>
      <c r="AD222" s="25"/>
      <c r="AE222" s="57"/>
      <c r="AF222" s="57"/>
      <c r="AG222" s="25"/>
      <c r="AH222" s="57"/>
      <c r="AI222" s="339"/>
      <c r="AJ222" s="339"/>
      <c r="AK222" s="297" t="str">
        <f>IF(X222&lt;&gt;"",CONCATENATE(IF(AA222&lt;&gt;"",CONCATENATE(Z222," ",AA222," ",BI222),""),IF(AD222&lt;&gt;"",CONCATENATE(","," ",AC222," ",AD222," ",BJ222),""),IF(AG222&lt;&gt;"",CONCATENATE(","," ",AF222," ",AG222," ",BK222),""),IF(AJ222&lt;&gt;"",CONCATENATE(","," ","DD"," ",BL222),"")," ",IF(AI222&lt;&gt;"",CONCATENATE(" - ",AI222," Bag"),"")),"")</f>
        <v/>
      </c>
      <c r="AL222" s="287"/>
      <c r="AM222" s="287"/>
      <c r="AN222" s="287"/>
      <c r="AO222" s="287"/>
      <c r="AP222" s="370" t="str">
        <f>IFERROR(VLOOKUP($E222,Outlist!$A$5:$V$120,20,FALSE),"")</f>
        <v/>
      </c>
      <c r="AQ222" s="288" t="str">
        <f>IFERROR(IF(VLOOKUP($A222,#REF!,8,FALSE)&lt;&gt;"",VLOOKUP($A222,#REF!,8,FALSE),""),"")</f>
        <v/>
      </c>
      <c r="AS222" s="24"/>
      <c r="AT222" s="24"/>
      <c r="AU222" s="27"/>
      <c r="AV222" s="27"/>
      <c r="AX222" s="20" t="str">
        <f>IFERROR(IF(Out_Table[[#This Row],[Cancellazione linea]]="Cancellata","yes",""),"")</f>
        <v/>
      </c>
      <c r="AY222" s="72"/>
      <c r="AZ222" s="27"/>
      <c r="BA222" s="32"/>
      <c r="BB222" s="72"/>
      <c r="BC222" s="72" t="str">
        <f>IFERROR(VLOOKUP(Out_Table[[#This Row],[Aggiornamento STATUS]],'INformazioni per calcoli'!$Y$70:$AA$76,2,FALSE),"")</f>
        <v/>
      </c>
      <c r="BD222" s="289"/>
      <c r="BE222" s="289"/>
      <c r="BF222" s="47" t="str">
        <f>LEFT($E222,3)</f>
        <v/>
      </c>
      <c r="BG222" s="298" t="str">
        <f>IF(Out_Table[[#This Row],[Ora Uscita    (GH)]]&lt;&gt;"","x","")</f>
        <v/>
      </c>
      <c r="BH222" s="299" t="e">
        <f>VLOOKUP($O222,'INformazioni per calcoli'!$Y$20:$AA$23,3,FALSE)</f>
        <v>#N/A</v>
      </c>
      <c r="BI222" s="299" t="e">
        <f>MROUND(Out_Table[[#This Row],[Mtr. Trailer]]*AB222,0.5)</f>
        <v>#N/A</v>
      </c>
      <c r="BJ222" s="299" t="e">
        <f>MROUND(Out_Table[[#This Row],[Mtr. Trailer]]*AE222,0.5)</f>
        <v>#N/A</v>
      </c>
      <c r="BK222" s="299" t="e">
        <f>MROUND(Out_Table[[#This Row],[Mtr. Trailer]]*AH222,0.5)</f>
        <v>#N/A</v>
      </c>
      <c r="BL222" s="300">
        <f>Out_Table[[#This Row],[Double Deck trailer N° bumpers]]</f>
        <v>0</v>
      </c>
      <c r="BM222" s="301"/>
      <c r="BN222" s="299" t="str">
        <f>B222</f>
        <v/>
      </c>
      <c r="BO222" s="299" t="str">
        <f>E222</f>
        <v/>
      </c>
      <c r="BP222" s="302" t="e">
        <f>IF(AND(G222&gt;(--"00:00:01"),G222&lt;(--"15:00:00")),IF(AND(X222&gt;(--"00:00:01"),X222&lt;(--"15:00:00")),G222-X222,G222+1-X222),G222-X222)</f>
        <v>#VALUE!</v>
      </c>
      <c r="BQ222" s="303">
        <f>AE222+AF222+AH222+AJ222</f>
        <v>0</v>
      </c>
      <c r="BR222" s="304" t="e">
        <f>IF(OR(BP222&lt;=(--"00:20:00"),BQ222&gt;=100%),"OK","Not OK")</f>
        <v>#VALUE!</v>
      </c>
      <c r="BS222" s="302" t="e">
        <f>IF(AND(G222&gt;(--"00:00:01"),G222&lt;(--"15:00:00")),IF(AND(AU222&gt;(--"00:00:01"),AU222&lt;(--"15:00:00")),G222-AU222,G222+1-AU222),G222-AU222)</f>
        <v>#VALUE!</v>
      </c>
      <c r="BT222" s="302">
        <f>IF(AND(AZ222&gt;(--"00:00:01"),AZ222&lt;(--"15:00:00")),IF(AND(AU222&gt;(--"00:00:01"),AU222&lt;(--"15:00:00")),AZ222-AU222,AZ222+1-AU222),AZ222-AU222)</f>
        <v>0</v>
      </c>
      <c r="BU222" s="302">
        <f>IF(AND(BA222&gt;(--"00:00:01"),BA222&lt;(--"15:00:00")),IF(AND(AZ222&gt;(--"00:00:01"),AZ222&lt;(--"15:00:00")),BA222-AZ222,BA222+1-AZ222),BA222-AZ222)</f>
        <v>0</v>
      </c>
      <c r="BV222" s="299">
        <f>AV222</f>
        <v>0</v>
      </c>
      <c r="BW222" s="301"/>
      <c r="BX222" s="299" t="str">
        <f>IF(AV222="T Status",IF(AV222&lt;&gt;T222,"X",""),"")</f>
        <v/>
      </c>
      <c r="BY222" s="301"/>
      <c r="BZ222" s="299" t="str">
        <f>IF(X222&lt;&gt;"",IF(CC222="X","Driver Delay",IF(CA222="X","Paperwork Delay",IF(CB222="X","Late freight late sort",IF(CD222="X","Chiamare Control Room",IF(CE222="X","Chiamare Control Room",IF(CF222="X","Chiamare Control Room","")))))),"")</f>
        <v/>
      </c>
      <c r="CA222" s="302" t="e">
        <f>IF(K222="",IF(IF(AND(G222&gt;(--"00:00:01"),G222&lt;(--"15:00:00")),IF(AND(AT222&gt;(--"08:00:00"),AT222&lt;(--"23:59:59")),G222+1-AT222,G222-AT222),G222-AT222)&gt;(--"00:20:00"),"","X"),"")</f>
        <v>#VALUE!</v>
      </c>
      <c r="CB222" s="299" t="e">
        <f>IF(K222="",IF(BP222&gt;=(--"00:20:00"),"","X"),"")</f>
        <v>#VALUE!</v>
      </c>
      <c r="CC222" s="299" t="str">
        <f>IF(OR(AV222="Autista non presente",AV222="Dati driver non presenti"),"X","")</f>
        <v/>
      </c>
      <c r="CD222" s="299" t="e">
        <f>IF(K222="",IF(AND(CC222="",BS222&lt;(--"00:20:00")),"X",""),"")</f>
        <v>#VALUE!</v>
      </c>
      <c r="CE222" s="299" t="str">
        <f>IF(K222="",IF(BT222&gt;(--"00:15:00"),"X",""),IF(AZ222&lt;&gt;"",IF(G222-AZ222&gt;(--"00:30:00"),"X",""),""))</f>
        <v/>
      </c>
      <c r="CF222" s="299" t="e">
        <f>IF(AND(CA222="",CB222="",CC222="",CD222="",CE222=""),"X","")</f>
        <v>#VALUE!</v>
      </c>
      <c r="CG222" s="301"/>
      <c r="CH222" s="299" t="str">
        <f>IF(BT222&gt;(--"00:15:00"),"X","")</f>
        <v/>
      </c>
      <c r="CI222" s="302">
        <f>AY222</f>
        <v>0</v>
      </c>
      <c r="CJ222" s="299" t="str">
        <f>IF(AND(CH222&lt;&gt;"",CI222&lt;&gt;"",LEFT(B222,3)="ITD"),AP222,"")</f>
        <v/>
      </c>
      <c r="CK222" s="305" t="str">
        <f>IF(CJ222&lt;&gt;"",BT222,"")</f>
        <v/>
      </c>
      <c r="CL222" s="301"/>
      <c r="CM222" s="305" t="str">
        <f>IFERROR(VLOOKUP(Q222,'Elenco Casse'!$D$4:$F$292,3,FALSE),"")</f>
        <v/>
      </c>
      <c r="CN222" s="301"/>
      <c r="CO222" s="305" t="str">
        <f>IFERROR(VLOOKUP(E222,Outlist!$A$5:$H$120,8,FALSE),"")</f>
        <v/>
      </c>
      <c r="CP222" s="305" t="str">
        <f>IFERROR(IF(VLOOKUP($E222,Outlist!$A$5:$S$120,19,FALSE)&lt;&gt;0,"Y",""),"")</f>
        <v/>
      </c>
      <c r="CQ222" s="301"/>
      <c r="CR222" s="305" t="str">
        <f>CONCATENATE($B222,$E222,$G222)</f>
        <v/>
      </c>
      <c r="CS222" s="301"/>
      <c r="CT222" s="305" t="e">
        <f>VLOOKUP(Out_Table[[#This Row],[Destination             ORANGE (From Planning)]],Outlist!$A$5:$W$120,22,FALSE)</f>
        <v>#N/A</v>
      </c>
    </row>
    <row r="223" spans="1:98" s="20" customFormat="1" ht="15">
      <c r="A223" s="305" t="str">
        <f>$CR223</f>
        <v/>
      </c>
      <c r="B223" s="351" t="str">
        <f>IFERROR(VLOOKUP(E223,Outlist!$A$5:$AC$120,2,FALSE),"")</f>
        <v/>
      </c>
      <c r="C223" s="352" t="str">
        <f ca="1">IFERROR(IF(LEFT(B223,3)='STAT 77'!$X$2,_xlfn.XLOOKUP(B223,'STAT 77'!C:C,'STAT 77'!B:B),_xlfn.XLOOKUP(B223,'STAT 77'!B:B,'STAT 77'!C:C)),"NON TROVATO")</f>
        <v>NON TROVATO</v>
      </c>
      <c r="D223" s="4"/>
      <c r="E223" s="352" t="str">
        <f>IFERROR(IF(Outlist!$A85&lt;&gt;"",Outlist!$A85,""),"")</f>
        <v/>
      </c>
      <c r="F223" s="352" t="str">
        <f>IFERROR(VLOOKUP(E223,'Cambio O2P'!C:E,2,FALSE),"")</f>
        <v/>
      </c>
      <c r="G223" s="353" t="str">
        <f>IFERROR(VLOOKUP(E223,Outlist!$A$5:$AC$120,5,FALSE)-INT(VLOOKUP(E223,Outlist!$A$5:$AC$120,5,FALSE)),"")</f>
        <v/>
      </c>
      <c r="H223" s="294" t="str">
        <f ca="1">IFERROR(IF(AND('INformazioni per calcoli'!$AB$3&lt;(--"14:30"),'INformazioni per calcoli'!$AB$3&gt;(--"10:00")),"",IF($B223="","",IF($X223&lt;&gt;"","Mezzo Chiuso",IF($W223="","Non al Carico",IF($K223="Safe Parking","Safe Parking", IF(OR($BF223='INformazioni per calcoli'!$AF$8,$BF223='INformazioni per calcoli'!$AC$8,$BF223='INformazioni per calcoli'!$AD$8,$BF223='INformazioni per calcoli'!$AE$8,$BF223='INformazioni per calcoli'!$AG$8,$BF223='INformazioni per calcoli'!$AH$8,$BF223='INformazioni per calcoli'!$AI$8,$BF223='INformazioni per calcoli'!$AJ$8),IF($G223-'INformazioni per calcoli'!$AB$6-'INformazioni per calcoli'!$AB$3+$J223&lt;0,"LFLS",$G223-'INformazioni per calcoli'!$AB$6-'INformazioni per calcoli'!$AB$3+$J223), IF(OR($BF223='INformazioni per calcoli'!$AF$6,$BF223='INformazioni per calcoli'!$AD$6,$BF223='INformazioni per calcoli'!$AE$6,$BF223='INformazioni per calcoli'!$AG$6),IF($G223-'INformazioni per calcoli'!$AB$8-'INformazioni per calcoli'!$AB$3+$J223&lt;0,"LFLS",$G223-'INformazioni per calcoli'!$AB$8-'INformazioni per calcoli'!$AB$3+$J223), IF($G223-'INformazioni per calcoli'!$AB$7-'INformazioni per calcoli'!$AB$3+$J223&lt;0,"LFLS",$G223-'INformazioni per calcoli'!$AB$7-'INformazioni per calcoli'!$AB$3+$J223)))))))),"")</f>
        <v/>
      </c>
      <c r="I223" s="17" t="str">
        <f ca="1">IFERROR(IF($H223&lt;&gt;"",IF($H223="Safe Parking","",IF($W223&lt;&gt;"",IF(AND($U223="X",$V223="X"),$H223-(--"00:30"),""),IF($X223&lt;&gt;"","Mezzo Chiuso","Non al carico"))),""),"")</f>
        <v/>
      </c>
      <c r="J223" s="354" t="str">
        <f>IFERROR(IF($G223="","",IF(INT(VLOOKUP($E223,Outlist!$A$5:$E$120,5,FALSE))&gt;'INformazioni per calcoli'!$AB$2,INT(VLOOKUP($E223,Outlist!$A$5:$E$120,5,FALSE))-INT('INformazioni per calcoli'!$AB$2),0)),"")</f>
        <v/>
      </c>
      <c r="K223" s="27" t="str">
        <f>IF(E223&lt;&gt;"",IFERROR(VLOOKUP(E223,Outlist!$A$5:$AC$120,22,FALSE),""),"")</f>
        <v/>
      </c>
      <c r="L223" s="352" t="str">
        <f>IF(E223&lt;&gt;"",IFERROR(VLOOKUP(E223,Outlist!$A$5:$AC$120,3,FALSE),""),"")</f>
        <v/>
      </c>
      <c r="M223" s="4" t="str">
        <f>IFERROR(_xlfn.XLOOKUP($Q223,'Elenco Casse'!$D:$D,'Elenco Casse'!$E:$E),"")</f>
        <v/>
      </c>
      <c r="N223" s="4" t="str">
        <f>IFERROR(_xlfn.XLOOKUP($Q223,'Elenco Casse'!$D:$D,'Elenco Casse'!$F:$F),"")</f>
        <v/>
      </c>
      <c r="O223" s="4" t="str">
        <f>IF($L223&lt;&gt;"","TT-2/3","")</f>
        <v/>
      </c>
      <c r="P223" s="296" t="str">
        <f>IFERROR(IF(VLOOKUP(E223,Outlist!$A$5:$AC$120,21,FALSE)="YES","Linea Variata",""),"")</f>
        <v/>
      </c>
      <c r="Q223" s="355" t="str">
        <f>IFERROR(VLOOKUP(E223,Outlist!$AK$4:$BH$139,13,FALSE),"")</f>
        <v/>
      </c>
      <c r="R223" s="23"/>
      <c r="S223" s="25" t="str">
        <f>IFERROR(IF(VLOOKUP(E223,Outlist!$A$5:$AC$120,7,FALSE)="X","SUBCO",""),"")</f>
        <v/>
      </c>
      <c r="T223" s="25"/>
      <c r="U223" s="23"/>
      <c r="V223" s="23"/>
      <c r="W223" s="26"/>
      <c r="X223" s="27"/>
      <c r="Y223" s="25" t="str">
        <f>IF(OR(Out_Table[[#This Row],[DOC Del. hr. (RTH)]]&lt;&gt;"",Outlist!S124),"XXX","")</f>
        <v/>
      </c>
      <c r="Z223" s="25"/>
      <c r="AA223" s="25"/>
      <c r="AB223" s="57"/>
      <c r="AC223" s="25"/>
      <c r="AD223" s="25"/>
      <c r="AE223" s="57"/>
      <c r="AF223" s="57"/>
      <c r="AG223" s="25"/>
      <c r="AH223" s="57"/>
      <c r="AI223" s="339"/>
      <c r="AJ223" s="339"/>
      <c r="AK223" s="297" t="str">
        <f>IF(X223&lt;&gt;"",CONCATENATE(IF(AA223&lt;&gt;"",CONCATENATE(Z223," ",AA223," ",BI223),""),IF(AD223&lt;&gt;"",CONCATENATE(","," ",AC223," ",AD223," ",BJ223),""),IF(AG223&lt;&gt;"",CONCATENATE(","," ",AF223," ",AG223," ",BK223),""),IF(AJ223&lt;&gt;"",CONCATENATE(","," ","DD"," ",BL223),"")," ",IF(AI223&lt;&gt;"",CONCATENATE(" - ",AI223," Bag"),"")),"")</f>
        <v/>
      </c>
      <c r="AL223" s="287"/>
      <c r="AM223" s="287"/>
      <c r="AN223" s="287"/>
      <c r="AO223" s="287"/>
      <c r="AP223" s="370" t="str">
        <f>IFERROR(VLOOKUP($E223,Outlist!$A$5:$V$120,20,FALSE),"")</f>
        <v/>
      </c>
      <c r="AQ223" s="288" t="str">
        <f>IFERROR(IF(VLOOKUP($A223,#REF!,8,FALSE)&lt;&gt;"",VLOOKUP($A223,#REF!,8,FALSE),""),"")</f>
        <v/>
      </c>
      <c r="AS223" s="24"/>
      <c r="AT223" s="24"/>
      <c r="AU223" s="27"/>
      <c r="AV223" s="27"/>
      <c r="AX223" s="20" t="str">
        <f>IFERROR(IF(Out_Table[[#This Row],[Cancellazione linea]]="Cancellata","yes",""),"")</f>
        <v/>
      </c>
      <c r="AY223" s="72"/>
      <c r="AZ223" s="27"/>
      <c r="BA223" s="32"/>
      <c r="BB223" s="72"/>
      <c r="BC223" s="72" t="str">
        <f>IFERROR(VLOOKUP(Out_Table[[#This Row],[Aggiornamento STATUS]],'INformazioni per calcoli'!$Y$70:$AA$76,2,FALSE),"")</f>
        <v/>
      </c>
      <c r="BD223" s="289"/>
      <c r="BE223" s="289"/>
      <c r="BF223" s="47" t="str">
        <f>LEFT($E223,3)</f>
        <v/>
      </c>
      <c r="BG223" s="298" t="str">
        <f>IF(Out_Table[[#This Row],[Ora Uscita    (GH)]]&lt;&gt;"","x","")</f>
        <v/>
      </c>
      <c r="BH223" s="299" t="e">
        <f>VLOOKUP($O223,'INformazioni per calcoli'!$Y$20:$AA$23,3,FALSE)</f>
        <v>#N/A</v>
      </c>
      <c r="BI223" s="299" t="e">
        <f>MROUND(Out_Table[[#This Row],[Mtr. Trailer]]*AB223,0.5)</f>
        <v>#N/A</v>
      </c>
      <c r="BJ223" s="299" t="e">
        <f>MROUND(Out_Table[[#This Row],[Mtr. Trailer]]*AE223,0.5)</f>
        <v>#N/A</v>
      </c>
      <c r="BK223" s="299" t="e">
        <f>MROUND(Out_Table[[#This Row],[Mtr. Trailer]]*AH223,0.5)</f>
        <v>#N/A</v>
      </c>
      <c r="BL223" s="300">
        <f>Out_Table[[#This Row],[Double Deck trailer N° bumpers]]</f>
        <v>0</v>
      </c>
      <c r="BM223" s="301"/>
      <c r="BN223" s="299" t="str">
        <f>B223</f>
        <v/>
      </c>
      <c r="BO223" s="299" t="str">
        <f>E223</f>
        <v/>
      </c>
      <c r="BP223" s="302" t="e">
        <f>IF(AND(G223&gt;(--"00:00:01"),G223&lt;(--"15:00:00")),IF(AND(X223&gt;(--"00:00:01"),X223&lt;(--"15:00:00")),G223-X223,G223+1-X223),G223-X223)</f>
        <v>#VALUE!</v>
      </c>
      <c r="BQ223" s="303">
        <f>AE223+AF223+AH223+AJ223</f>
        <v>0</v>
      </c>
      <c r="BR223" s="304" t="e">
        <f>IF(OR(BP223&lt;=(--"00:20:00"),BQ223&gt;=100%),"OK","Not OK")</f>
        <v>#VALUE!</v>
      </c>
      <c r="BS223" s="302" t="e">
        <f>IF(AND(G223&gt;(--"00:00:01"),G223&lt;(--"15:00:00")),IF(AND(AU223&gt;(--"00:00:01"),AU223&lt;(--"15:00:00")),G223-AU223,G223+1-AU223),G223-AU223)</f>
        <v>#VALUE!</v>
      </c>
      <c r="BT223" s="302">
        <f>IF(AND(AZ223&gt;(--"00:00:01"),AZ223&lt;(--"15:00:00")),IF(AND(AU223&gt;(--"00:00:01"),AU223&lt;(--"15:00:00")),AZ223-AU223,AZ223+1-AU223),AZ223-AU223)</f>
        <v>0</v>
      </c>
      <c r="BU223" s="302">
        <f>IF(AND(BA223&gt;(--"00:00:01"),BA223&lt;(--"15:00:00")),IF(AND(AZ223&gt;(--"00:00:01"),AZ223&lt;(--"15:00:00")),BA223-AZ223,BA223+1-AZ223),BA223-AZ223)</f>
        <v>0</v>
      </c>
      <c r="BV223" s="299">
        <f>AV223</f>
        <v>0</v>
      </c>
      <c r="BW223" s="301"/>
      <c r="BX223" s="299" t="str">
        <f>IF(AV223="T Status",IF(AV223&lt;&gt;T223,"X",""),"")</f>
        <v/>
      </c>
      <c r="BY223" s="301"/>
      <c r="BZ223" s="299" t="str">
        <f>IF(X223&lt;&gt;"",IF(CC223="X","Driver Delay",IF(CA223="X","Paperwork Delay",IF(CB223="X","Late freight late sort",IF(CD223="X","Chiamare Control Room",IF(CE223="X","Chiamare Control Room",IF(CF223="X","Chiamare Control Room","")))))),"")</f>
        <v/>
      </c>
      <c r="CA223" s="302" t="e">
        <f>IF(K223="",IF(IF(AND(G223&gt;(--"00:00:01"),G223&lt;(--"15:00:00")),IF(AND(AT223&gt;(--"08:00:00"),AT223&lt;(--"23:59:59")),G223+1-AT223,G223-AT223),G223-AT223)&gt;(--"00:20:00"),"","X"),"")</f>
        <v>#VALUE!</v>
      </c>
      <c r="CB223" s="299" t="e">
        <f>IF(K223="",IF(BP223&gt;=(--"00:20:00"),"","X"),"")</f>
        <v>#VALUE!</v>
      </c>
      <c r="CC223" s="299" t="str">
        <f>IF(OR(AV223="Autista non presente",AV223="Dati driver non presenti"),"X","")</f>
        <v/>
      </c>
      <c r="CD223" s="299" t="e">
        <f>IF(K223="",IF(AND(CC223="",BS223&lt;(--"00:20:00")),"X",""),"")</f>
        <v>#VALUE!</v>
      </c>
      <c r="CE223" s="299" t="str">
        <f>IF(K223="",IF(BT223&gt;(--"00:15:00"),"X",""),IF(AZ223&lt;&gt;"",IF(G223-AZ223&gt;(--"00:30:00"),"X",""),""))</f>
        <v/>
      </c>
      <c r="CF223" s="299" t="e">
        <f>IF(AND(CA223="",CB223="",CC223="",CD223="",CE223=""),"X","")</f>
        <v>#VALUE!</v>
      </c>
      <c r="CG223" s="301"/>
      <c r="CH223" s="299" t="str">
        <f>IF(BT223&gt;(--"00:15:00"),"X","")</f>
        <v/>
      </c>
      <c r="CI223" s="302">
        <f>AY223</f>
        <v>0</v>
      </c>
      <c r="CJ223" s="299" t="str">
        <f>IF(AND(CH223&lt;&gt;"",CI223&lt;&gt;"",LEFT(B223,3)="ITD"),AP223,"")</f>
        <v/>
      </c>
      <c r="CK223" s="305" t="str">
        <f>IF(CJ223&lt;&gt;"",BT223,"")</f>
        <v/>
      </c>
      <c r="CL223" s="301"/>
      <c r="CM223" s="305" t="str">
        <f>IFERROR(VLOOKUP(Q223,'Elenco Casse'!$D$4:$F$292,3,FALSE),"")</f>
        <v/>
      </c>
      <c r="CN223" s="301"/>
      <c r="CO223" s="305" t="str">
        <f>IFERROR(VLOOKUP(E223,Outlist!$A$5:$H$120,8,FALSE),"")</f>
        <v/>
      </c>
      <c r="CP223" s="305" t="str">
        <f>IFERROR(IF(VLOOKUP($E223,Outlist!$A$5:$S$120,19,FALSE)&lt;&gt;0,"Y",""),"")</f>
        <v/>
      </c>
      <c r="CQ223" s="301"/>
      <c r="CR223" s="305" t="str">
        <f>CONCATENATE($B223,$E223,$G223)</f>
        <v/>
      </c>
      <c r="CS223" s="301"/>
      <c r="CT223" s="305" t="e">
        <f>VLOOKUP(Out_Table[[#This Row],[Destination             ORANGE (From Planning)]],Outlist!$A$5:$W$120,22,FALSE)</f>
        <v>#N/A</v>
      </c>
    </row>
    <row r="224" spans="1:98" s="20" customFormat="1" ht="15">
      <c r="A224" s="305" t="str">
        <f>$CR224</f>
        <v/>
      </c>
      <c r="B224" s="351" t="str">
        <f>IFERROR(VLOOKUP(E224,Outlist!$A$5:$AC$120,2,FALSE),"")</f>
        <v/>
      </c>
      <c r="C224" s="352" t="str">
        <f ca="1">IFERROR(IF(LEFT(B224,3)='STAT 77'!$X$2,_xlfn.XLOOKUP(B224,'STAT 77'!C:C,'STAT 77'!B:B),_xlfn.XLOOKUP(B224,'STAT 77'!B:B,'STAT 77'!C:C)),"NON TROVATO")</f>
        <v>NON TROVATO</v>
      </c>
      <c r="D224" s="4"/>
      <c r="E224" s="352" t="str">
        <f>IFERROR(IF(Outlist!$A86&lt;&gt;"",Outlist!$A86,""),"")</f>
        <v/>
      </c>
      <c r="F224" s="352" t="str">
        <f>IFERROR(VLOOKUP(E224,'Cambio O2P'!C:E,2,FALSE),"")</f>
        <v/>
      </c>
      <c r="G224" s="353" t="str">
        <f>IFERROR(VLOOKUP(E224,Outlist!$A$5:$AC$120,5,FALSE)-INT(VLOOKUP(E224,Outlist!$A$5:$AC$120,5,FALSE)),"")</f>
        <v/>
      </c>
      <c r="H224" s="294" t="str">
        <f ca="1">IFERROR(IF(AND('INformazioni per calcoli'!$AB$3&lt;(--"14:30"),'INformazioni per calcoli'!$AB$3&gt;(--"10:00")),"",IF($B224="","",IF($X224&lt;&gt;"","Mezzo Chiuso",IF($W224="","Non al Carico",IF($K224="Safe Parking","Safe Parking", IF(OR($BF224='INformazioni per calcoli'!$AF$8,$BF224='INformazioni per calcoli'!$AC$8,$BF224='INformazioni per calcoli'!$AD$8,$BF224='INformazioni per calcoli'!$AE$8,$BF224='INformazioni per calcoli'!$AG$8,$BF224='INformazioni per calcoli'!$AH$8,$BF224='INformazioni per calcoli'!$AI$8,$BF224='INformazioni per calcoli'!$AJ$8),IF($G224-'INformazioni per calcoli'!$AB$6-'INformazioni per calcoli'!$AB$3+$J224&lt;0,"LFLS",$G224-'INformazioni per calcoli'!$AB$6-'INformazioni per calcoli'!$AB$3+$J224), IF(OR($BF224='INformazioni per calcoli'!$AF$6,$BF224='INformazioni per calcoli'!$AD$6,$BF224='INformazioni per calcoli'!$AE$6,$BF224='INformazioni per calcoli'!$AG$6),IF($G224-'INformazioni per calcoli'!$AB$8-'INformazioni per calcoli'!$AB$3+$J224&lt;0,"LFLS",$G224-'INformazioni per calcoli'!$AB$8-'INformazioni per calcoli'!$AB$3+$J224), IF($G224-'INformazioni per calcoli'!$AB$7-'INformazioni per calcoli'!$AB$3+$J224&lt;0,"LFLS",$G224-'INformazioni per calcoli'!$AB$7-'INformazioni per calcoli'!$AB$3+$J224)))))))),"")</f>
        <v/>
      </c>
      <c r="I224" s="17" t="str">
        <f ca="1">IFERROR(IF($H224&lt;&gt;"",IF($H224="Safe Parking","",IF($W224&lt;&gt;"",IF(AND($U224="X",$V224="X"),$H224-(--"00:30"),""),IF($X224&lt;&gt;"","Mezzo Chiuso","Non al carico"))),""),"")</f>
        <v/>
      </c>
      <c r="J224" s="354" t="str">
        <f>IFERROR(IF($G224="","",IF(INT(VLOOKUP($E224,Outlist!$A$5:$E$120,5,FALSE))&gt;'INformazioni per calcoli'!$AB$2,INT(VLOOKUP($E224,Outlist!$A$5:$E$120,5,FALSE))-INT('INformazioni per calcoli'!$AB$2),0)),"")</f>
        <v/>
      </c>
      <c r="K224" s="27" t="str">
        <f>IF(E224&lt;&gt;"",IFERROR(VLOOKUP(E224,Outlist!$A$5:$AC$120,22,FALSE),""),"")</f>
        <v/>
      </c>
      <c r="L224" s="352" t="str">
        <f>IF(E224&lt;&gt;"",IFERROR(VLOOKUP(E224,Outlist!$A$5:$AC$120,3,FALSE),""),"")</f>
        <v/>
      </c>
      <c r="M224" s="4" t="str">
        <f>IFERROR(_xlfn.XLOOKUP($Q224,'Elenco Casse'!$D:$D,'Elenco Casse'!$E:$E),"")</f>
        <v/>
      </c>
      <c r="N224" s="4" t="str">
        <f>IFERROR(_xlfn.XLOOKUP($Q224,'Elenco Casse'!$D:$D,'Elenco Casse'!$F:$F),"")</f>
        <v/>
      </c>
      <c r="O224" s="4" t="str">
        <f>IF($L224&lt;&gt;"","TT-2/3","")</f>
        <v/>
      </c>
      <c r="P224" s="296" t="str">
        <f>IFERROR(IF(VLOOKUP(E224,Outlist!$A$5:$AC$120,21,FALSE)="YES","Linea Variata",""),"")</f>
        <v/>
      </c>
      <c r="Q224" s="355" t="str">
        <f>IFERROR(VLOOKUP(E224,Outlist!$AK$4:$BH$139,13,FALSE),"")</f>
        <v/>
      </c>
      <c r="R224" s="23"/>
      <c r="S224" s="25" t="str">
        <f>IFERROR(IF(VLOOKUP(E224,Outlist!$A$5:$AC$120,7,FALSE)="X","SUBCO",""),"")</f>
        <v/>
      </c>
      <c r="T224" s="25"/>
      <c r="U224" s="23"/>
      <c r="V224" s="23"/>
      <c r="W224" s="26"/>
      <c r="X224" s="27"/>
      <c r="Y224" s="25" t="str">
        <f>IF(OR(Out_Table[[#This Row],[DOC Del. hr. (RTH)]]&lt;&gt;"",Outlist!S125),"XXX","")</f>
        <v/>
      </c>
      <c r="Z224" s="25"/>
      <c r="AA224" s="25"/>
      <c r="AB224" s="57"/>
      <c r="AC224" s="25"/>
      <c r="AD224" s="25"/>
      <c r="AE224" s="57"/>
      <c r="AF224" s="57"/>
      <c r="AG224" s="25"/>
      <c r="AH224" s="57"/>
      <c r="AI224" s="339"/>
      <c r="AJ224" s="339"/>
      <c r="AK224" s="297" t="str">
        <f>IF(X224&lt;&gt;"",CONCATENATE(IF(AA224&lt;&gt;"",CONCATENATE(Z224," ",AA224," ",BI224),""),IF(AD224&lt;&gt;"",CONCATENATE(","," ",AC224," ",AD224," ",BJ224),""),IF(AG224&lt;&gt;"",CONCATENATE(","," ",AF224," ",AG224," ",BK224),""),IF(AJ224&lt;&gt;"",CONCATENATE(","," ","DD"," ",BL224),"")," ",IF(AI224&lt;&gt;"",CONCATENATE(" - ",AI224," Bag"),"")),"")</f>
        <v/>
      </c>
      <c r="AL224" s="287"/>
      <c r="AM224" s="287"/>
      <c r="AN224" s="287"/>
      <c r="AO224" s="287"/>
      <c r="AP224" s="370" t="str">
        <f>IFERROR(VLOOKUP($E224,Outlist!$A$5:$V$120,20,FALSE),"")</f>
        <v/>
      </c>
      <c r="AQ224" s="288" t="str">
        <f>IFERROR(IF(VLOOKUP($A224,#REF!,8,FALSE)&lt;&gt;"",VLOOKUP($A224,#REF!,8,FALSE),""),"")</f>
        <v/>
      </c>
      <c r="AS224" s="24"/>
      <c r="AT224" s="24"/>
      <c r="AU224" s="27"/>
      <c r="AV224" s="27"/>
      <c r="AX224" s="20" t="str">
        <f>IFERROR(IF(Out_Table[[#This Row],[Cancellazione linea]]="Cancellata","yes",""),"")</f>
        <v/>
      </c>
      <c r="AY224" s="72"/>
      <c r="AZ224" s="27"/>
      <c r="BA224" s="32"/>
      <c r="BB224" s="72"/>
      <c r="BC224" s="72" t="str">
        <f>IFERROR(VLOOKUP(Out_Table[[#This Row],[Aggiornamento STATUS]],'INformazioni per calcoli'!$Y$70:$AA$76,2,FALSE),"")</f>
        <v/>
      </c>
      <c r="BD224" s="289"/>
      <c r="BE224" s="289"/>
      <c r="BF224" s="47" t="str">
        <f>LEFT($E224,3)</f>
        <v/>
      </c>
      <c r="BG224" s="298" t="str">
        <f>IF(Out_Table[[#This Row],[Ora Uscita    (GH)]]&lt;&gt;"","x","")</f>
        <v/>
      </c>
      <c r="BH224" s="299" t="e">
        <f>VLOOKUP($O224,'INformazioni per calcoli'!$Y$20:$AA$23,3,FALSE)</f>
        <v>#N/A</v>
      </c>
      <c r="BI224" s="299" t="e">
        <f>MROUND(Out_Table[[#This Row],[Mtr. Trailer]]*AB224,0.5)</f>
        <v>#N/A</v>
      </c>
      <c r="BJ224" s="299" t="e">
        <f>MROUND(Out_Table[[#This Row],[Mtr. Trailer]]*AE224,0.5)</f>
        <v>#N/A</v>
      </c>
      <c r="BK224" s="299" t="e">
        <f>MROUND(Out_Table[[#This Row],[Mtr. Trailer]]*AH224,0.5)</f>
        <v>#N/A</v>
      </c>
      <c r="BL224" s="300">
        <f>Out_Table[[#This Row],[Double Deck trailer N° bumpers]]</f>
        <v>0</v>
      </c>
      <c r="BM224" s="301"/>
      <c r="BN224" s="299" t="str">
        <f>B224</f>
        <v/>
      </c>
      <c r="BO224" s="299" t="str">
        <f>E224</f>
        <v/>
      </c>
      <c r="BP224" s="302" t="e">
        <f>IF(AND(G224&gt;(--"00:00:01"),G224&lt;(--"15:00:00")),IF(AND(X224&gt;(--"00:00:01"),X224&lt;(--"15:00:00")),G224-X224,G224+1-X224),G224-X224)</f>
        <v>#VALUE!</v>
      </c>
      <c r="BQ224" s="303">
        <f>AE224+AF224+AH224+AJ224</f>
        <v>0</v>
      </c>
      <c r="BR224" s="304" t="e">
        <f>IF(OR(BP224&lt;=(--"00:20:00"),BQ224&gt;=100%),"OK","Not OK")</f>
        <v>#VALUE!</v>
      </c>
      <c r="BS224" s="302" t="e">
        <f>IF(AND(G224&gt;(--"00:00:01"),G224&lt;(--"15:00:00")),IF(AND(AU224&gt;(--"00:00:01"),AU224&lt;(--"15:00:00")),G224-AU224,G224+1-AU224),G224-AU224)</f>
        <v>#VALUE!</v>
      </c>
      <c r="BT224" s="302">
        <f>IF(AND(AZ224&gt;(--"00:00:01"),AZ224&lt;(--"15:00:00")),IF(AND(AU224&gt;(--"00:00:01"),AU224&lt;(--"15:00:00")),AZ224-AU224,AZ224+1-AU224),AZ224-AU224)</f>
        <v>0</v>
      </c>
      <c r="BU224" s="302">
        <f>IF(AND(BA224&gt;(--"00:00:01"),BA224&lt;(--"15:00:00")),IF(AND(AZ224&gt;(--"00:00:01"),AZ224&lt;(--"15:00:00")),BA224-AZ224,BA224+1-AZ224),BA224-AZ224)</f>
        <v>0</v>
      </c>
      <c r="BV224" s="299">
        <f>AV224</f>
        <v>0</v>
      </c>
      <c r="BW224" s="301"/>
      <c r="BX224" s="299" t="str">
        <f>IF(AV224="T Status",IF(AV224&lt;&gt;T224,"X",""),"")</f>
        <v/>
      </c>
      <c r="BY224" s="301"/>
      <c r="BZ224" s="299" t="str">
        <f>IF(X224&lt;&gt;"",IF(CC224="X","Driver Delay",IF(CA224="X","Paperwork Delay",IF(CB224="X","Late freight late sort",IF(CD224="X","Chiamare Control Room",IF(CE224="X","Chiamare Control Room",IF(CF224="X","Chiamare Control Room","")))))),"")</f>
        <v/>
      </c>
      <c r="CA224" s="302" t="e">
        <f>IF(K224="",IF(IF(AND(G224&gt;(--"00:00:01"),G224&lt;(--"15:00:00")),IF(AND(AT224&gt;(--"08:00:00"),AT224&lt;(--"23:59:59")),G224+1-AT224,G224-AT224),G224-AT224)&gt;(--"00:20:00"),"","X"),"")</f>
        <v>#VALUE!</v>
      </c>
      <c r="CB224" s="299" t="e">
        <f>IF(K224="",IF(BP224&gt;=(--"00:20:00"),"","X"),"")</f>
        <v>#VALUE!</v>
      </c>
      <c r="CC224" s="299" t="str">
        <f>IF(OR(AV224="Autista non presente",AV224="Dati driver non presenti"),"X","")</f>
        <v/>
      </c>
      <c r="CD224" s="299" t="e">
        <f>IF(K224="",IF(AND(CC224="",BS224&lt;(--"00:20:00")),"X",""),"")</f>
        <v>#VALUE!</v>
      </c>
      <c r="CE224" s="299" t="str">
        <f>IF(K224="",IF(BT224&gt;(--"00:15:00"),"X",""),IF(AZ224&lt;&gt;"",IF(G224-AZ224&gt;(--"00:30:00"),"X",""),""))</f>
        <v/>
      </c>
      <c r="CF224" s="299" t="e">
        <f>IF(AND(CA224="",CB224="",CC224="",CD224="",CE224=""),"X","")</f>
        <v>#VALUE!</v>
      </c>
      <c r="CG224" s="301"/>
      <c r="CH224" s="299" t="str">
        <f>IF(BT224&gt;(--"00:15:00"),"X","")</f>
        <v/>
      </c>
      <c r="CI224" s="302">
        <f>AY224</f>
        <v>0</v>
      </c>
      <c r="CJ224" s="299" t="str">
        <f>IF(AND(CH224&lt;&gt;"",CI224&lt;&gt;"",LEFT(B224,3)="ITD"),AP224,"")</f>
        <v/>
      </c>
      <c r="CK224" s="305" t="str">
        <f>IF(CJ224&lt;&gt;"",BT224,"")</f>
        <v/>
      </c>
      <c r="CL224" s="301"/>
      <c r="CM224" s="305" t="str">
        <f>IFERROR(VLOOKUP(Q224,'Elenco Casse'!$D$4:$F$292,3,FALSE),"")</f>
        <v/>
      </c>
      <c r="CN224" s="301"/>
      <c r="CO224" s="305" t="str">
        <f>IFERROR(VLOOKUP(E224,Outlist!$A$5:$H$120,8,FALSE),"")</f>
        <v/>
      </c>
      <c r="CP224" s="305" t="str">
        <f>IFERROR(IF(VLOOKUP($E224,Outlist!$A$5:$S$120,19,FALSE)&lt;&gt;0,"Y",""),"")</f>
        <v/>
      </c>
      <c r="CQ224" s="301"/>
      <c r="CR224" s="305" t="str">
        <f>CONCATENATE($B224,$E224,$G224)</f>
        <v/>
      </c>
      <c r="CS224" s="301"/>
      <c r="CT224" s="305" t="e">
        <f>VLOOKUP(Out_Table[[#This Row],[Destination             ORANGE (From Planning)]],Outlist!$A$5:$W$120,22,FALSE)</f>
        <v>#N/A</v>
      </c>
    </row>
    <row r="225" spans="1:98" s="20" customFormat="1" ht="15">
      <c r="A225" s="305" t="str">
        <f>$CR225</f>
        <v/>
      </c>
      <c r="B225" s="351" t="str">
        <f>IFERROR(VLOOKUP(E225,Outlist!$A$5:$AC$120,2,FALSE),"")</f>
        <v/>
      </c>
      <c r="C225" s="352" t="str">
        <f ca="1">IFERROR(IF(LEFT(B225,3)='STAT 77'!$X$2,_xlfn.XLOOKUP(B225,'STAT 77'!C:C,'STAT 77'!B:B),_xlfn.XLOOKUP(B225,'STAT 77'!B:B,'STAT 77'!C:C)),"NON TROVATO")</f>
        <v>NON TROVATO</v>
      </c>
      <c r="D225" s="4"/>
      <c r="E225" s="352" t="str">
        <f>IFERROR(IF(Outlist!$A87&lt;&gt;"",Outlist!$A87,""),"")</f>
        <v/>
      </c>
      <c r="F225" s="352" t="str">
        <f>IFERROR(VLOOKUP(E225,'Cambio O2P'!C:E,2,FALSE),"")</f>
        <v/>
      </c>
      <c r="G225" s="353" t="str">
        <f>IFERROR(VLOOKUP(E225,Outlist!$A$5:$AC$120,5,FALSE)-INT(VLOOKUP(E225,Outlist!$A$5:$AC$120,5,FALSE)),"")</f>
        <v/>
      </c>
      <c r="H225" s="294" t="str">
        <f ca="1">IFERROR(IF(AND('INformazioni per calcoli'!$AB$3&lt;(--"14:30"),'INformazioni per calcoli'!$AB$3&gt;(--"10:00")),"",IF($B225="","",IF($X225&lt;&gt;"","Mezzo Chiuso",IF($W225="","Non al Carico",IF($K225="Safe Parking","Safe Parking", IF(OR($BF225='INformazioni per calcoli'!$AF$8,$BF225='INformazioni per calcoli'!$AC$8,$BF225='INformazioni per calcoli'!$AD$8,$BF225='INformazioni per calcoli'!$AE$8,$BF225='INformazioni per calcoli'!$AG$8,$BF225='INformazioni per calcoli'!$AH$8,$BF225='INformazioni per calcoli'!$AI$8,$BF225='INformazioni per calcoli'!$AJ$8),IF($G225-'INformazioni per calcoli'!$AB$6-'INformazioni per calcoli'!$AB$3+$J225&lt;0,"LFLS",$G225-'INformazioni per calcoli'!$AB$6-'INformazioni per calcoli'!$AB$3+$J225), IF(OR($BF225='INformazioni per calcoli'!$AF$6,$BF225='INformazioni per calcoli'!$AD$6,$BF225='INformazioni per calcoli'!$AE$6,$BF225='INformazioni per calcoli'!$AG$6),IF($G225-'INformazioni per calcoli'!$AB$8-'INformazioni per calcoli'!$AB$3+$J225&lt;0,"LFLS",$G225-'INformazioni per calcoli'!$AB$8-'INformazioni per calcoli'!$AB$3+$J225), IF($G225-'INformazioni per calcoli'!$AB$7-'INformazioni per calcoli'!$AB$3+$J225&lt;0,"LFLS",$G225-'INformazioni per calcoli'!$AB$7-'INformazioni per calcoli'!$AB$3+$J225)))))))),"")</f>
        <v/>
      </c>
      <c r="I225" s="17" t="str">
        <f ca="1">IFERROR(IF($H225&lt;&gt;"",IF($H225="Safe Parking","",IF($W225&lt;&gt;"",IF(AND($U225="X",$V225="X"),$H225-(--"00:30"),""),IF($X225&lt;&gt;"","Mezzo Chiuso","Non al carico"))),""),"")</f>
        <v/>
      </c>
      <c r="J225" s="354" t="str">
        <f>IFERROR(IF($G225="","",IF(INT(VLOOKUP($E225,Outlist!$A$5:$E$120,5,FALSE))&gt;'INformazioni per calcoli'!$AB$2,INT(VLOOKUP($E225,Outlist!$A$5:$E$120,5,FALSE))-INT('INformazioni per calcoli'!$AB$2),0)),"")</f>
        <v/>
      </c>
      <c r="K225" s="27" t="str">
        <f>IF(E225&lt;&gt;"",IFERROR(VLOOKUP(E225,Outlist!$A$5:$AC$120,22,FALSE),""),"")</f>
        <v/>
      </c>
      <c r="L225" s="352" t="str">
        <f>IF(E225&lt;&gt;"",IFERROR(VLOOKUP(E225,Outlist!$A$5:$AC$120,3,FALSE),""),"")</f>
        <v/>
      </c>
      <c r="M225" s="4" t="str">
        <f>IFERROR(_xlfn.XLOOKUP($Q225,'Elenco Casse'!$D:$D,'Elenco Casse'!$E:$E),"")</f>
        <v/>
      </c>
      <c r="N225" s="4" t="str">
        <f>IFERROR(_xlfn.XLOOKUP($Q225,'Elenco Casse'!$D:$D,'Elenco Casse'!$F:$F),"")</f>
        <v/>
      </c>
      <c r="O225" s="4" t="str">
        <f>IF($L225&lt;&gt;"","TT-2/3","")</f>
        <v/>
      </c>
      <c r="P225" s="296" t="str">
        <f>IFERROR(IF(VLOOKUP(E225,Outlist!$A$5:$AC$120,21,FALSE)="YES","Linea Variata",""),"")</f>
        <v/>
      </c>
      <c r="Q225" s="355" t="str">
        <f>IFERROR(VLOOKUP(E225,Outlist!$AK$4:$BH$139,13,FALSE),"")</f>
        <v/>
      </c>
      <c r="R225" s="23"/>
      <c r="S225" s="25" t="str">
        <f>IFERROR(IF(VLOOKUP(E225,Outlist!$A$5:$AC$120,7,FALSE)="X","SUBCO",""),"")</f>
        <v/>
      </c>
      <c r="T225" s="25"/>
      <c r="U225" s="23"/>
      <c r="V225" s="23"/>
      <c r="W225" s="26"/>
      <c r="X225" s="27"/>
      <c r="Y225" s="25" t="str">
        <f>IF(OR(Out_Table[[#This Row],[DOC Del. hr. (RTH)]]&lt;&gt;"",Outlist!S126),"XXX","")</f>
        <v/>
      </c>
      <c r="Z225" s="25"/>
      <c r="AA225" s="25"/>
      <c r="AB225" s="57"/>
      <c r="AC225" s="25"/>
      <c r="AD225" s="25"/>
      <c r="AE225" s="57"/>
      <c r="AF225" s="57"/>
      <c r="AG225" s="25"/>
      <c r="AH225" s="57"/>
      <c r="AI225" s="339"/>
      <c r="AJ225" s="339"/>
      <c r="AK225" s="297" t="str">
        <f>IF(X225&lt;&gt;"",CONCATENATE(IF(AA225&lt;&gt;"",CONCATENATE(Z225," ",AA225," ",BI225),""),IF(AD225&lt;&gt;"",CONCATENATE(","," ",AC225," ",AD225," ",BJ225),""),IF(AG225&lt;&gt;"",CONCATENATE(","," ",AF225," ",AG225," ",BK225),""),IF(AJ225&lt;&gt;"",CONCATENATE(","," ","DD"," ",BL225),"")," ",IF(AI225&lt;&gt;"",CONCATENATE(" - ",AI225," Bag"),"")),"")</f>
        <v/>
      </c>
      <c r="AL225" s="287"/>
      <c r="AM225" s="287"/>
      <c r="AN225" s="287"/>
      <c r="AO225" s="287"/>
      <c r="AP225" s="370" t="str">
        <f>IFERROR(VLOOKUP($E225,Outlist!$A$5:$V$120,20,FALSE),"")</f>
        <v/>
      </c>
      <c r="AQ225" s="288" t="str">
        <f>IFERROR(IF(VLOOKUP($A225,#REF!,8,FALSE)&lt;&gt;"",VLOOKUP($A225,#REF!,8,FALSE),""),"")</f>
        <v/>
      </c>
      <c r="AS225" s="24"/>
      <c r="AT225" s="24"/>
      <c r="AU225" s="27"/>
      <c r="AV225" s="27"/>
      <c r="AX225" s="20" t="str">
        <f>IFERROR(IF(Out_Table[[#This Row],[Cancellazione linea]]="Cancellata","yes",""),"")</f>
        <v/>
      </c>
      <c r="AY225" s="72"/>
      <c r="AZ225" s="27"/>
      <c r="BA225" s="32"/>
      <c r="BB225" s="72"/>
      <c r="BC225" s="72" t="str">
        <f>IFERROR(VLOOKUP(Out_Table[[#This Row],[Aggiornamento STATUS]],'INformazioni per calcoli'!$Y$70:$AA$76,2,FALSE),"")</f>
        <v/>
      </c>
      <c r="BD225" s="289"/>
      <c r="BE225" s="289"/>
      <c r="BF225" s="47" t="str">
        <f>LEFT($E225,3)</f>
        <v/>
      </c>
      <c r="BG225" s="298" t="str">
        <f>IF(Out_Table[[#This Row],[Ora Uscita    (GH)]]&lt;&gt;"","x","")</f>
        <v/>
      </c>
      <c r="BH225" s="299" t="e">
        <f>VLOOKUP($O225,'INformazioni per calcoli'!$Y$20:$AA$23,3,FALSE)</f>
        <v>#N/A</v>
      </c>
      <c r="BI225" s="299" t="e">
        <f>MROUND(Out_Table[[#This Row],[Mtr. Trailer]]*AB225,0.5)</f>
        <v>#N/A</v>
      </c>
      <c r="BJ225" s="299" t="e">
        <f>MROUND(Out_Table[[#This Row],[Mtr. Trailer]]*AE225,0.5)</f>
        <v>#N/A</v>
      </c>
      <c r="BK225" s="299" t="e">
        <f>MROUND(Out_Table[[#This Row],[Mtr. Trailer]]*AH225,0.5)</f>
        <v>#N/A</v>
      </c>
      <c r="BL225" s="300">
        <f>Out_Table[[#This Row],[Double Deck trailer N° bumpers]]</f>
        <v>0</v>
      </c>
      <c r="BM225" s="301"/>
      <c r="BN225" s="299" t="str">
        <f>B225</f>
        <v/>
      </c>
      <c r="BO225" s="299" t="str">
        <f>E225</f>
        <v/>
      </c>
      <c r="BP225" s="302" t="e">
        <f>IF(AND(G225&gt;(--"00:00:01"),G225&lt;(--"15:00:00")),IF(AND(X225&gt;(--"00:00:01"),X225&lt;(--"15:00:00")),G225-X225,G225+1-X225),G225-X225)</f>
        <v>#VALUE!</v>
      </c>
      <c r="BQ225" s="303">
        <f>AE225+AF225+AH225+AJ225</f>
        <v>0</v>
      </c>
      <c r="BR225" s="304" t="e">
        <f>IF(OR(BP225&lt;=(--"00:20:00"),BQ225&gt;=100%),"OK","Not OK")</f>
        <v>#VALUE!</v>
      </c>
      <c r="BS225" s="302" t="e">
        <f>IF(AND(G225&gt;(--"00:00:01"),G225&lt;(--"15:00:00")),IF(AND(AU225&gt;(--"00:00:01"),AU225&lt;(--"15:00:00")),G225-AU225,G225+1-AU225),G225-AU225)</f>
        <v>#VALUE!</v>
      </c>
      <c r="BT225" s="302">
        <f>IF(AND(AZ225&gt;(--"00:00:01"),AZ225&lt;(--"15:00:00")),IF(AND(AU225&gt;(--"00:00:01"),AU225&lt;(--"15:00:00")),AZ225-AU225,AZ225+1-AU225),AZ225-AU225)</f>
        <v>0</v>
      </c>
      <c r="BU225" s="302">
        <f>IF(AND(BA225&gt;(--"00:00:01"),BA225&lt;(--"15:00:00")),IF(AND(AZ225&gt;(--"00:00:01"),AZ225&lt;(--"15:00:00")),BA225-AZ225,BA225+1-AZ225),BA225-AZ225)</f>
        <v>0</v>
      </c>
      <c r="BV225" s="299">
        <f>AV225</f>
        <v>0</v>
      </c>
      <c r="BW225" s="301"/>
      <c r="BX225" s="299" t="str">
        <f>IF(AV225="T Status",IF(AV225&lt;&gt;T225,"X",""),"")</f>
        <v/>
      </c>
      <c r="BY225" s="301"/>
      <c r="BZ225" s="299" t="str">
        <f>IF(X225&lt;&gt;"",IF(CC225="X","Driver Delay",IF(CA225="X","Paperwork Delay",IF(CB225="X","Late freight late sort",IF(CD225="X","Chiamare Control Room",IF(CE225="X","Chiamare Control Room",IF(CF225="X","Chiamare Control Room","")))))),"")</f>
        <v/>
      </c>
      <c r="CA225" s="302" t="e">
        <f>IF(K225="",IF(IF(AND(G225&gt;(--"00:00:01"),G225&lt;(--"15:00:00")),IF(AND(AT225&gt;(--"08:00:00"),AT225&lt;(--"23:59:59")),G225+1-AT225,G225-AT225),G225-AT225)&gt;(--"00:20:00"),"","X"),"")</f>
        <v>#VALUE!</v>
      </c>
      <c r="CB225" s="299" t="e">
        <f>IF(K225="",IF(BP225&gt;=(--"00:20:00"),"","X"),"")</f>
        <v>#VALUE!</v>
      </c>
      <c r="CC225" s="299" t="str">
        <f>IF(OR(AV225="Autista non presente",AV225="Dati driver non presenti"),"X","")</f>
        <v/>
      </c>
      <c r="CD225" s="299" t="e">
        <f>IF(K225="",IF(AND(CC225="",BS225&lt;(--"00:20:00")),"X",""),"")</f>
        <v>#VALUE!</v>
      </c>
      <c r="CE225" s="299" t="str">
        <f>IF(K225="",IF(BT225&gt;(--"00:15:00"),"X",""),IF(AZ225&lt;&gt;"",IF(G225-AZ225&gt;(--"00:30:00"),"X",""),""))</f>
        <v/>
      </c>
      <c r="CF225" s="299" t="e">
        <f>IF(AND(CA225="",CB225="",CC225="",CD225="",CE225=""),"X","")</f>
        <v>#VALUE!</v>
      </c>
      <c r="CG225" s="301"/>
      <c r="CH225" s="299" t="str">
        <f>IF(BT225&gt;(--"00:15:00"),"X","")</f>
        <v/>
      </c>
      <c r="CI225" s="302">
        <f>AY225</f>
        <v>0</v>
      </c>
      <c r="CJ225" s="299" t="str">
        <f>IF(AND(CH225&lt;&gt;"",CI225&lt;&gt;"",LEFT(B225,3)="ITD"),AP225,"")</f>
        <v/>
      </c>
      <c r="CK225" s="305" t="str">
        <f>IF(CJ225&lt;&gt;"",BT225,"")</f>
        <v/>
      </c>
      <c r="CL225" s="301"/>
      <c r="CM225" s="305" t="str">
        <f>IFERROR(VLOOKUP(Q225,'Elenco Casse'!$D$4:$F$292,3,FALSE),"")</f>
        <v/>
      </c>
      <c r="CN225" s="301"/>
      <c r="CO225" s="305" t="str">
        <f>IFERROR(VLOOKUP(E225,Outlist!$A$5:$H$120,8,FALSE),"")</f>
        <v/>
      </c>
      <c r="CP225" s="305" t="str">
        <f>IFERROR(IF(VLOOKUP($E225,Outlist!$A$5:$S$120,19,FALSE)&lt;&gt;0,"Y",""),"")</f>
        <v/>
      </c>
      <c r="CQ225" s="301"/>
      <c r="CR225" s="305" t="str">
        <f>CONCATENATE($B225,$E225,$G225)</f>
        <v/>
      </c>
      <c r="CS225" s="301"/>
      <c r="CT225" s="305" t="e">
        <f>VLOOKUP(Out_Table[[#This Row],[Destination             ORANGE (From Planning)]],Outlist!$A$5:$W$120,22,FALSE)</f>
        <v>#N/A</v>
      </c>
    </row>
    <row r="226" spans="1:98" s="20" customFormat="1" ht="15">
      <c r="A226" s="305" t="str">
        <f>$CR226</f>
        <v/>
      </c>
      <c r="B226" s="351" t="str">
        <f>IFERROR(VLOOKUP(E226,Outlist!$A$5:$AC$120,2,FALSE),"")</f>
        <v/>
      </c>
      <c r="C226" s="352" t="str">
        <f ca="1">IFERROR(IF(LEFT(B226,3)='STAT 77'!$X$2,_xlfn.XLOOKUP(B226,'STAT 77'!C:C,'STAT 77'!B:B),_xlfn.XLOOKUP(B226,'STAT 77'!B:B,'STAT 77'!C:C)),"NON TROVATO")</f>
        <v>NON TROVATO</v>
      </c>
      <c r="D226" s="4"/>
      <c r="E226" s="352" t="str">
        <f>IFERROR(IF(Outlist!$A88&lt;&gt;"",Outlist!$A88,""),"")</f>
        <v/>
      </c>
      <c r="F226" s="352" t="str">
        <f>IFERROR(VLOOKUP(E226,'Cambio O2P'!C:E,2,FALSE),"")</f>
        <v/>
      </c>
      <c r="G226" s="353" t="str">
        <f>IFERROR(VLOOKUP(E226,Outlist!$A$5:$AC$120,5,FALSE)-INT(VLOOKUP(E226,Outlist!$A$5:$AC$120,5,FALSE)),"")</f>
        <v/>
      </c>
      <c r="H226" s="294" t="str">
        <f ca="1">IFERROR(IF(AND('INformazioni per calcoli'!$AB$3&lt;(--"14:30"),'INformazioni per calcoli'!$AB$3&gt;(--"10:00")),"",IF($B226="","",IF($X226&lt;&gt;"","Mezzo Chiuso",IF($W226="","Non al Carico",IF($K226="Safe Parking","Safe Parking", IF(OR($BF226='INformazioni per calcoli'!$AF$8,$BF226='INformazioni per calcoli'!$AC$8,$BF226='INformazioni per calcoli'!$AD$8,$BF226='INformazioni per calcoli'!$AE$8,$BF226='INformazioni per calcoli'!$AG$8,$BF226='INformazioni per calcoli'!$AH$8,$BF226='INformazioni per calcoli'!$AI$8,$BF226='INformazioni per calcoli'!$AJ$8),IF($G226-'INformazioni per calcoli'!$AB$6-'INformazioni per calcoli'!$AB$3+$J226&lt;0,"LFLS",$G226-'INformazioni per calcoli'!$AB$6-'INformazioni per calcoli'!$AB$3+$J226), IF(OR($BF226='INformazioni per calcoli'!$AF$6,$BF226='INformazioni per calcoli'!$AD$6,$BF226='INformazioni per calcoli'!$AE$6,$BF226='INformazioni per calcoli'!$AG$6),IF($G226-'INformazioni per calcoli'!$AB$8-'INformazioni per calcoli'!$AB$3+$J226&lt;0,"LFLS",$G226-'INformazioni per calcoli'!$AB$8-'INformazioni per calcoli'!$AB$3+$J226), IF($G226-'INformazioni per calcoli'!$AB$7-'INformazioni per calcoli'!$AB$3+$J226&lt;0,"LFLS",$G226-'INformazioni per calcoli'!$AB$7-'INformazioni per calcoli'!$AB$3+$J226)))))))),"")</f>
        <v/>
      </c>
      <c r="I226" s="17" t="str">
        <f ca="1">IFERROR(IF($H226&lt;&gt;"",IF($H226="Safe Parking","",IF($W226&lt;&gt;"",IF(AND($U226="X",$V226="X"),$H226-(--"00:30"),""),IF($X226&lt;&gt;"","Mezzo Chiuso","Non al carico"))),""),"")</f>
        <v/>
      </c>
      <c r="J226" s="354" t="str">
        <f>IFERROR(IF($G226="","",IF(INT(VLOOKUP($E226,Outlist!$A$5:$E$120,5,FALSE))&gt;'INformazioni per calcoli'!$AB$2,INT(VLOOKUP($E226,Outlist!$A$5:$E$120,5,FALSE))-INT('INformazioni per calcoli'!$AB$2),0)),"")</f>
        <v/>
      </c>
      <c r="K226" s="27" t="str">
        <f>IF(E226&lt;&gt;"",IFERROR(VLOOKUP(E226,Outlist!$A$5:$AC$120,22,FALSE),""),"")</f>
        <v/>
      </c>
      <c r="L226" s="352" t="str">
        <f>IF(E226&lt;&gt;"",IFERROR(VLOOKUP(E226,Outlist!$A$5:$AC$120,3,FALSE),""),"")</f>
        <v/>
      </c>
      <c r="M226" s="4" t="str">
        <f>IFERROR(_xlfn.XLOOKUP($Q226,'Elenco Casse'!$D:$D,'Elenco Casse'!$E:$E),"")</f>
        <v/>
      </c>
      <c r="N226" s="4" t="str">
        <f>IFERROR(_xlfn.XLOOKUP($Q226,'Elenco Casse'!$D:$D,'Elenco Casse'!$F:$F),"")</f>
        <v/>
      </c>
      <c r="O226" s="4" t="str">
        <f>IF($L226&lt;&gt;"","TT-2/3","")</f>
        <v/>
      </c>
      <c r="P226" s="296" t="str">
        <f>IFERROR(IF(VLOOKUP(E226,Outlist!$A$5:$AC$120,21,FALSE)="YES","Linea Variata",""),"")</f>
        <v/>
      </c>
      <c r="Q226" s="355" t="str">
        <f>IFERROR(VLOOKUP(E226,Outlist!$AK$4:$BH$139,13,FALSE),"")</f>
        <v/>
      </c>
      <c r="R226" s="23"/>
      <c r="S226" s="25" t="str">
        <f>IFERROR(IF(VLOOKUP(E226,Outlist!$A$5:$AC$120,7,FALSE)="X","SUBCO",""),"")</f>
        <v/>
      </c>
      <c r="T226" s="25"/>
      <c r="U226" s="23"/>
      <c r="V226" s="23"/>
      <c r="W226" s="26"/>
      <c r="X226" s="27"/>
      <c r="Y226" s="25" t="str">
        <f>IF(OR(Out_Table[[#This Row],[DOC Del. hr. (RTH)]]&lt;&gt;"",Outlist!S127),"XXX","")</f>
        <v/>
      </c>
      <c r="Z226" s="25"/>
      <c r="AA226" s="25"/>
      <c r="AB226" s="57"/>
      <c r="AC226" s="25"/>
      <c r="AD226" s="25"/>
      <c r="AE226" s="57"/>
      <c r="AF226" s="57"/>
      <c r="AG226" s="25"/>
      <c r="AH226" s="57"/>
      <c r="AI226" s="339"/>
      <c r="AJ226" s="339"/>
      <c r="AK226" s="297" t="str">
        <f>IF(X226&lt;&gt;"",CONCATENATE(IF(AA226&lt;&gt;"",CONCATENATE(Z226," ",AA226," ",BI226),""),IF(AD226&lt;&gt;"",CONCATENATE(","," ",AC226," ",AD226," ",BJ226),""),IF(AG226&lt;&gt;"",CONCATENATE(","," ",AF226," ",AG226," ",BK226),""),IF(AJ226&lt;&gt;"",CONCATENATE(","," ","DD"," ",BL226),"")," ",IF(AI226&lt;&gt;"",CONCATENATE(" - ",AI226," Bag"),"")),"")</f>
        <v/>
      </c>
      <c r="AL226" s="287"/>
      <c r="AM226" s="287"/>
      <c r="AN226" s="287"/>
      <c r="AO226" s="287"/>
      <c r="AP226" s="370" t="str">
        <f>IFERROR(VLOOKUP($E226,Outlist!$A$5:$V$120,20,FALSE),"")</f>
        <v/>
      </c>
      <c r="AQ226" s="288" t="str">
        <f>IFERROR(IF(VLOOKUP($A226,#REF!,8,FALSE)&lt;&gt;"",VLOOKUP($A226,#REF!,8,FALSE),""),"")</f>
        <v/>
      </c>
      <c r="AS226" s="24"/>
      <c r="AT226" s="24"/>
      <c r="AU226" s="27"/>
      <c r="AV226" s="27"/>
      <c r="AX226" s="20" t="str">
        <f>IFERROR(IF(Out_Table[[#This Row],[Cancellazione linea]]="Cancellata","yes",""),"")</f>
        <v/>
      </c>
      <c r="AY226" s="72"/>
      <c r="AZ226" s="27"/>
      <c r="BA226" s="32"/>
      <c r="BB226" s="72"/>
      <c r="BC226" s="72" t="str">
        <f>IFERROR(VLOOKUP(Out_Table[[#This Row],[Aggiornamento STATUS]],'INformazioni per calcoli'!$Y$70:$AA$76,2,FALSE),"")</f>
        <v/>
      </c>
      <c r="BD226" s="289"/>
      <c r="BE226" s="289"/>
      <c r="BF226" s="47" t="str">
        <f>LEFT($E226,3)</f>
        <v/>
      </c>
      <c r="BG226" s="298" t="str">
        <f>IF(Out_Table[[#This Row],[Ora Uscita    (GH)]]&lt;&gt;"","x","")</f>
        <v/>
      </c>
      <c r="BH226" s="299" t="e">
        <f>VLOOKUP($O226,'INformazioni per calcoli'!$Y$20:$AA$23,3,FALSE)</f>
        <v>#N/A</v>
      </c>
      <c r="BI226" s="299" t="e">
        <f>MROUND(Out_Table[[#This Row],[Mtr. Trailer]]*AB226,0.5)</f>
        <v>#N/A</v>
      </c>
      <c r="BJ226" s="299" t="e">
        <f>MROUND(Out_Table[[#This Row],[Mtr. Trailer]]*AE226,0.5)</f>
        <v>#N/A</v>
      </c>
      <c r="BK226" s="299" t="e">
        <f>MROUND(Out_Table[[#This Row],[Mtr. Trailer]]*AH226,0.5)</f>
        <v>#N/A</v>
      </c>
      <c r="BL226" s="300">
        <f>Out_Table[[#This Row],[Double Deck trailer N° bumpers]]</f>
        <v>0</v>
      </c>
      <c r="BM226" s="301"/>
      <c r="BN226" s="299" t="str">
        <f>B226</f>
        <v/>
      </c>
      <c r="BO226" s="299" t="str">
        <f>E226</f>
        <v/>
      </c>
      <c r="BP226" s="302" t="e">
        <f>IF(AND(G226&gt;(--"00:00:01"),G226&lt;(--"15:00:00")),IF(AND(X226&gt;(--"00:00:01"),X226&lt;(--"15:00:00")),G226-X226,G226+1-X226),G226-X226)</f>
        <v>#VALUE!</v>
      </c>
      <c r="BQ226" s="303">
        <f>AE226+AF226+AH226+AJ226</f>
        <v>0</v>
      </c>
      <c r="BR226" s="304" t="e">
        <f>IF(OR(BP226&lt;=(--"00:20:00"),BQ226&gt;=100%),"OK","Not OK")</f>
        <v>#VALUE!</v>
      </c>
      <c r="BS226" s="302" t="e">
        <f>IF(AND(G226&gt;(--"00:00:01"),G226&lt;(--"15:00:00")),IF(AND(AU226&gt;(--"00:00:01"),AU226&lt;(--"15:00:00")),G226-AU226,G226+1-AU226),G226-AU226)</f>
        <v>#VALUE!</v>
      </c>
      <c r="BT226" s="302">
        <f>IF(AND(AZ226&gt;(--"00:00:01"),AZ226&lt;(--"15:00:00")),IF(AND(AU226&gt;(--"00:00:01"),AU226&lt;(--"15:00:00")),AZ226-AU226,AZ226+1-AU226),AZ226-AU226)</f>
        <v>0</v>
      </c>
      <c r="BU226" s="302">
        <f>IF(AND(BA226&gt;(--"00:00:01"),BA226&lt;(--"15:00:00")),IF(AND(AZ226&gt;(--"00:00:01"),AZ226&lt;(--"15:00:00")),BA226-AZ226,BA226+1-AZ226),BA226-AZ226)</f>
        <v>0</v>
      </c>
      <c r="BV226" s="299">
        <f>AV226</f>
        <v>0</v>
      </c>
      <c r="BW226" s="301"/>
      <c r="BX226" s="299" t="str">
        <f>IF(AV226="T Status",IF(AV226&lt;&gt;T226,"X",""),"")</f>
        <v/>
      </c>
      <c r="BY226" s="301"/>
      <c r="BZ226" s="299" t="str">
        <f>IF(X226&lt;&gt;"",IF(CC226="X","Driver Delay",IF(CA226="X","Paperwork Delay",IF(CB226="X","Late freight late sort",IF(CD226="X","Chiamare Control Room",IF(CE226="X","Chiamare Control Room",IF(CF226="X","Chiamare Control Room","")))))),"")</f>
        <v/>
      </c>
      <c r="CA226" s="302" t="e">
        <f>IF(K226="",IF(IF(AND(G226&gt;(--"00:00:01"),G226&lt;(--"15:00:00")),IF(AND(AT226&gt;(--"08:00:00"),AT226&lt;(--"23:59:59")),G226+1-AT226,G226-AT226),G226-AT226)&gt;(--"00:20:00"),"","X"),"")</f>
        <v>#VALUE!</v>
      </c>
      <c r="CB226" s="299" t="e">
        <f>IF(K226="",IF(BP226&gt;=(--"00:20:00"),"","X"),"")</f>
        <v>#VALUE!</v>
      </c>
      <c r="CC226" s="299" t="str">
        <f>IF(OR(AV226="Autista non presente",AV226="Dati driver non presenti"),"X","")</f>
        <v/>
      </c>
      <c r="CD226" s="299" t="e">
        <f>IF(K226="",IF(AND(CC226="",BS226&lt;(--"00:20:00")),"X",""),"")</f>
        <v>#VALUE!</v>
      </c>
      <c r="CE226" s="299" t="str">
        <f>IF(K226="",IF(BT226&gt;(--"00:15:00"),"X",""),IF(AZ226&lt;&gt;"",IF(G226-AZ226&gt;(--"00:30:00"),"X",""),""))</f>
        <v/>
      </c>
      <c r="CF226" s="299" t="e">
        <f>IF(AND(CA226="",CB226="",CC226="",CD226="",CE226=""),"X","")</f>
        <v>#VALUE!</v>
      </c>
      <c r="CG226" s="301"/>
      <c r="CH226" s="299" t="str">
        <f>IF(BT226&gt;(--"00:15:00"),"X","")</f>
        <v/>
      </c>
      <c r="CI226" s="302">
        <f>AY226</f>
        <v>0</v>
      </c>
      <c r="CJ226" s="299" t="str">
        <f>IF(AND(CH226&lt;&gt;"",CI226&lt;&gt;"",LEFT(B226,3)="ITD"),AP226,"")</f>
        <v/>
      </c>
      <c r="CK226" s="305" t="str">
        <f>IF(CJ226&lt;&gt;"",BT226,"")</f>
        <v/>
      </c>
      <c r="CL226" s="301"/>
      <c r="CM226" s="305" t="str">
        <f>IFERROR(VLOOKUP(Q226,'Elenco Casse'!$D$4:$F$292,3,FALSE),"")</f>
        <v/>
      </c>
      <c r="CN226" s="301"/>
      <c r="CO226" s="305" t="str">
        <f>IFERROR(VLOOKUP(E226,Outlist!$A$5:$H$120,8,FALSE),"")</f>
        <v/>
      </c>
      <c r="CP226" s="305" t="str">
        <f>IFERROR(IF(VLOOKUP($E226,Outlist!$A$5:$S$120,19,FALSE)&lt;&gt;0,"Y",""),"")</f>
        <v/>
      </c>
      <c r="CQ226" s="301"/>
      <c r="CR226" s="305" t="str">
        <f>CONCATENATE($B226,$E226,$G226)</f>
        <v/>
      </c>
      <c r="CS226" s="301"/>
      <c r="CT226" s="305" t="e">
        <f>VLOOKUP(Out_Table[[#This Row],[Destination             ORANGE (From Planning)]],Outlist!$A$5:$W$120,22,FALSE)</f>
        <v>#N/A</v>
      </c>
    </row>
    <row r="227" spans="1:98" s="20" customFormat="1" ht="15">
      <c r="A227" s="305" t="str">
        <f>$CR227</f>
        <v/>
      </c>
      <c r="B227" s="351" t="str">
        <f>IFERROR(VLOOKUP(E227,Outlist!$A$5:$AC$120,2,FALSE),"")</f>
        <v/>
      </c>
      <c r="C227" s="352" t="str">
        <f ca="1">IFERROR(IF(LEFT(B227,3)='STAT 77'!$X$2,_xlfn.XLOOKUP(B227,'STAT 77'!C:C,'STAT 77'!B:B),_xlfn.XLOOKUP(B227,'STAT 77'!B:B,'STAT 77'!C:C)),"NON TROVATO")</f>
        <v>NON TROVATO</v>
      </c>
      <c r="D227" s="4"/>
      <c r="E227" s="352" t="str">
        <f>IFERROR(IF(Outlist!$A89&lt;&gt;"",Outlist!$A89,""),"")</f>
        <v/>
      </c>
      <c r="F227" s="352" t="str">
        <f>IFERROR(VLOOKUP(E227,'Cambio O2P'!C:E,2,FALSE),"")</f>
        <v/>
      </c>
      <c r="G227" s="353" t="str">
        <f>IFERROR(VLOOKUP(E227,Outlist!$A$5:$AC$120,5,FALSE)-INT(VLOOKUP(E227,Outlist!$A$5:$AC$120,5,FALSE)),"")</f>
        <v/>
      </c>
      <c r="H227" s="294" t="str">
        <f ca="1">IFERROR(IF(AND('INformazioni per calcoli'!$AB$3&lt;(--"14:30"),'INformazioni per calcoli'!$AB$3&gt;(--"10:00")),"",IF($B227="","",IF($X227&lt;&gt;"","Mezzo Chiuso",IF($W227="","Non al Carico",IF($K227="Safe Parking","Safe Parking", IF(OR($BF227='INformazioni per calcoli'!$AF$8,$BF227='INformazioni per calcoli'!$AC$8,$BF227='INformazioni per calcoli'!$AD$8,$BF227='INformazioni per calcoli'!$AE$8,$BF227='INformazioni per calcoli'!$AG$8,$BF227='INformazioni per calcoli'!$AH$8,$BF227='INformazioni per calcoli'!$AI$8,$BF227='INformazioni per calcoli'!$AJ$8),IF($G227-'INformazioni per calcoli'!$AB$6-'INformazioni per calcoli'!$AB$3+$J227&lt;0,"LFLS",$G227-'INformazioni per calcoli'!$AB$6-'INformazioni per calcoli'!$AB$3+$J227), IF(OR($BF227='INformazioni per calcoli'!$AF$6,$BF227='INformazioni per calcoli'!$AD$6,$BF227='INformazioni per calcoli'!$AE$6,$BF227='INformazioni per calcoli'!$AG$6),IF($G227-'INformazioni per calcoli'!$AB$8-'INformazioni per calcoli'!$AB$3+$J227&lt;0,"LFLS",$G227-'INformazioni per calcoli'!$AB$8-'INformazioni per calcoli'!$AB$3+$J227), IF($G227-'INformazioni per calcoli'!$AB$7-'INformazioni per calcoli'!$AB$3+$J227&lt;0,"LFLS",$G227-'INformazioni per calcoli'!$AB$7-'INformazioni per calcoli'!$AB$3+$J227)))))))),"")</f>
        <v/>
      </c>
      <c r="I227" s="17" t="str">
        <f ca="1">IFERROR(IF($H227&lt;&gt;"",IF($H227="Safe Parking","",IF($W227&lt;&gt;"",IF(AND($U227="X",$V227="X"),$H227-(--"00:30"),""),IF($X227&lt;&gt;"","Mezzo Chiuso","Non al carico"))),""),"")</f>
        <v/>
      </c>
      <c r="J227" s="354" t="str">
        <f>IFERROR(IF($G227="","",IF(INT(VLOOKUP($E227,Outlist!$A$5:$E$120,5,FALSE))&gt;'INformazioni per calcoli'!$AB$2,INT(VLOOKUP($E227,Outlist!$A$5:$E$120,5,FALSE))-INT('INformazioni per calcoli'!$AB$2),0)),"")</f>
        <v/>
      </c>
      <c r="K227" s="27" t="str">
        <f>IF(E227&lt;&gt;"",IFERROR(VLOOKUP(E227,Outlist!$A$5:$AC$120,22,FALSE),""),"")</f>
        <v/>
      </c>
      <c r="L227" s="352" t="str">
        <f>IF(E227&lt;&gt;"",IFERROR(VLOOKUP(E227,Outlist!$A$5:$AC$120,3,FALSE),""),"")</f>
        <v/>
      </c>
      <c r="M227" s="4" t="str">
        <f>IFERROR(_xlfn.XLOOKUP($Q227,'Elenco Casse'!$D:$D,'Elenco Casse'!$E:$E),"")</f>
        <v/>
      </c>
      <c r="N227" s="4" t="str">
        <f>IFERROR(_xlfn.XLOOKUP($Q227,'Elenco Casse'!$D:$D,'Elenco Casse'!$F:$F),"")</f>
        <v/>
      </c>
      <c r="O227" s="4" t="str">
        <f>IF($L227&lt;&gt;"","TT-2/3","")</f>
        <v/>
      </c>
      <c r="P227" s="296" t="str">
        <f>IFERROR(IF(VLOOKUP(E227,Outlist!$A$5:$AC$120,21,FALSE)="YES","Linea Variata",""),"")</f>
        <v/>
      </c>
      <c r="Q227" s="355" t="str">
        <f>IFERROR(VLOOKUP(E227,Outlist!$AK$4:$BH$139,13,FALSE),"")</f>
        <v/>
      </c>
      <c r="R227" s="23"/>
      <c r="S227" s="25" t="str">
        <f>IFERROR(IF(VLOOKUP(E227,Outlist!$A$5:$AC$120,7,FALSE)="X","SUBCO",""),"")</f>
        <v/>
      </c>
      <c r="T227" s="25"/>
      <c r="U227" s="23"/>
      <c r="V227" s="23"/>
      <c r="W227" s="26"/>
      <c r="X227" s="27"/>
      <c r="Y227" s="25" t="str">
        <f>IF(OR(Out_Table[[#This Row],[DOC Del. hr. (RTH)]]&lt;&gt;"",Outlist!S128),"XXX","")</f>
        <v/>
      </c>
      <c r="Z227" s="25"/>
      <c r="AA227" s="25"/>
      <c r="AB227" s="57"/>
      <c r="AC227" s="25"/>
      <c r="AD227" s="25"/>
      <c r="AE227" s="57"/>
      <c r="AF227" s="57"/>
      <c r="AG227" s="25"/>
      <c r="AH227" s="57"/>
      <c r="AI227" s="339"/>
      <c r="AJ227" s="339"/>
      <c r="AK227" s="297" t="str">
        <f>IF(X227&lt;&gt;"",CONCATENATE(IF(AA227&lt;&gt;"",CONCATENATE(Z227," ",AA227," ",BI227),""),IF(AD227&lt;&gt;"",CONCATENATE(","," ",AC227," ",AD227," ",BJ227),""),IF(AG227&lt;&gt;"",CONCATENATE(","," ",AF227," ",AG227," ",BK227),""),IF(AJ227&lt;&gt;"",CONCATENATE(","," ","DD"," ",BL227),"")," ",IF(AI227&lt;&gt;"",CONCATENATE(" - ",AI227," Bag"),"")),"")</f>
        <v/>
      </c>
      <c r="AL227" s="287"/>
      <c r="AM227" s="287"/>
      <c r="AN227" s="287"/>
      <c r="AO227" s="287"/>
      <c r="AP227" s="370" t="str">
        <f>IFERROR(VLOOKUP($E227,Outlist!$A$5:$V$120,20,FALSE),"")</f>
        <v/>
      </c>
      <c r="AQ227" s="288" t="str">
        <f>IFERROR(IF(VLOOKUP($A227,#REF!,8,FALSE)&lt;&gt;"",VLOOKUP($A227,#REF!,8,FALSE),""),"")</f>
        <v/>
      </c>
      <c r="AS227" s="24"/>
      <c r="AT227" s="24"/>
      <c r="AU227" s="27"/>
      <c r="AV227" s="27"/>
      <c r="AX227" s="20" t="str">
        <f>IFERROR(IF(Out_Table[[#This Row],[Cancellazione linea]]="Cancellata","yes",""),"")</f>
        <v/>
      </c>
      <c r="AY227" s="72"/>
      <c r="AZ227" s="27"/>
      <c r="BA227" s="32"/>
      <c r="BB227" s="72"/>
      <c r="BC227" s="72" t="str">
        <f>IFERROR(VLOOKUP(Out_Table[[#This Row],[Aggiornamento STATUS]],'INformazioni per calcoli'!$Y$70:$AA$76,2,FALSE),"")</f>
        <v/>
      </c>
      <c r="BD227" s="289"/>
      <c r="BE227" s="289"/>
      <c r="BF227" s="47" t="str">
        <f>LEFT($E227,3)</f>
        <v/>
      </c>
      <c r="BG227" s="298" t="str">
        <f>IF(Out_Table[[#This Row],[Ora Uscita    (GH)]]&lt;&gt;"","x","")</f>
        <v/>
      </c>
      <c r="BH227" s="299" t="e">
        <f>VLOOKUP($O227,'INformazioni per calcoli'!$Y$20:$AA$23,3,FALSE)</f>
        <v>#N/A</v>
      </c>
      <c r="BI227" s="299" t="e">
        <f>MROUND(Out_Table[[#This Row],[Mtr. Trailer]]*AB227,0.5)</f>
        <v>#N/A</v>
      </c>
      <c r="BJ227" s="299" t="e">
        <f>MROUND(Out_Table[[#This Row],[Mtr. Trailer]]*AE227,0.5)</f>
        <v>#N/A</v>
      </c>
      <c r="BK227" s="299" t="e">
        <f>MROUND(Out_Table[[#This Row],[Mtr. Trailer]]*AH227,0.5)</f>
        <v>#N/A</v>
      </c>
      <c r="BL227" s="300">
        <f>Out_Table[[#This Row],[Double Deck trailer N° bumpers]]</f>
        <v>0</v>
      </c>
      <c r="BM227" s="301"/>
      <c r="BN227" s="299" t="str">
        <f>B227</f>
        <v/>
      </c>
      <c r="BO227" s="299" t="str">
        <f>E227</f>
        <v/>
      </c>
      <c r="BP227" s="302" t="e">
        <f>IF(AND(G227&gt;(--"00:00:01"),G227&lt;(--"15:00:00")),IF(AND(X227&gt;(--"00:00:01"),X227&lt;(--"15:00:00")),G227-X227,G227+1-X227),G227-X227)</f>
        <v>#VALUE!</v>
      </c>
      <c r="BQ227" s="303">
        <f>AE227+AF227+AH227+AJ227</f>
        <v>0</v>
      </c>
      <c r="BR227" s="304" t="e">
        <f>IF(OR(BP227&lt;=(--"00:20:00"),BQ227&gt;=100%),"OK","Not OK")</f>
        <v>#VALUE!</v>
      </c>
      <c r="BS227" s="302" t="e">
        <f>IF(AND(G227&gt;(--"00:00:01"),G227&lt;(--"15:00:00")),IF(AND(AU227&gt;(--"00:00:01"),AU227&lt;(--"15:00:00")),G227-AU227,G227+1-AU227),G227-AU227)</f>
        <v>#VALUE!</v>
      </c>
      <c r="BT227" s="302">
        <f>IF(AND(AZ227&gt;(--"00:00:01"),AZ227&lt;(--"15:00:00")),IF(AND(AU227&gt;(--"00:00:01"),AU227&lt;(--"15:00:00")),AZ227-AU227,AZ227+1-AU227),AZ227-AU227)</f>
        <v>0</v>
      </c>
      <c r="BU227" s="302">
        <f>IF(AND(BA227&gt;(--"00:00:01"),BA227&lt;(--"15:00:00")),IF(AND(AZ227&gt;(--"00:00:01"),AZ227&lt;(--"15:00:00")),BA227-AZ227,BA227+1-AZ227),BA227-AZ227)</f>
        <v>0</v>
      </c>
      <c r="BV227" s="299">
        <f>AV227</f>
        <v>0</v>
      </c>
      <c r="BW227" s="301"/>
      <c r="BX227" s="299" t="str">
        <f>IF(AV227="T Status",IF(AV227&lt;&gt;T227,"X",""),"")</f>
        <v/>
      </c>
      <c r="BY227" s="301"/>
      <c r="BZ227" s="299" t="str">
        <f>IF(X227&lt;&gt;"",IF(CC227="X","Driver Delay",IF(CA227="X","Paperwork Delay",IF(CB227="X","Late freight late sort",IF(CD227="X","Chiamare Control Room",IF(CE227="X","Chiamare Control Room",IF(CF227="X","Chiamare Control Room","")))))),"")</f>
        <v/>
      </c>
      <c r="CA227" s="302" t="e">
        <f>IF(K227="",IF(IF(AND(G227&gt;(--"00:00:01"),G227&lt;(--"15:00:00")),IF(AND(AT227&gt;(--"08:00:00"),AT227&lt;(--"23:59:59")),G227+1-AT227,G227-AT227),G227-AT227)&gt;(--"00:20:00"),"","X"),"")</f>
        <v>#VALUE!</v>
      </c>
      <c r="CB227" s="299" t="e">
        <f>IF(K227="",IF(BP227&gt;=(--"00:20:00"),"","X"),"")</f>
        <v>#VALUE!</v>
      </c>
      <c r="CC227" s="299" t="str">
        <f>IF(OR(AV227="Autista non presente",AV227="Dati driver non presenti"),"X","")</f>
        <v/>
      </c>
      <c r="CD227" s="299" t="e">
        <f>IF(K227="",IF(AND(CC227="",BS227&lt;(--"00:20:00")),"X",""),"")</f>
        <v>#VALUE!</v>
      </c>
      <c r="CE227" s="299" t="str">
        <f>IF(K227="",IF(BT227&gt;(--"00:15:00"),"X",""),IF(AZ227&lt;&gt;"",IF(G227-AZ227&gt;(--"00:30:00"),"X",""),""))</f>
        <v/>
      </c>
      <c r="CF227" s="299" t="e">
        <f>IF(AND(CA227="",CB227="",CC227="",CD227="",CE227=""),"X","")</f>
        <v>#VALUE!</v>
      </c>
      <c r="CG227" s="301"/>
      <c r="CH227" s="299" t="str">
        <f>IF(BT227&gt;(--"00:15:00"),"X","")</f>
        <v/>
      </c>
      <c r="CI227" s="302">
        <f>AY227</f>
        <v>0</v>
      </c>
      <c r="CJ227" s="299" t="str">
        <f>IF(AND(CH227&lt;&gt;"",CI227&lt;&gt;"",LEFT(B227,3)="ITD"),AP227,"")</f>
        <v/>
      </c>
      <c r="CK227" s="305" t="str">
        <f>IF(CJ227&lt;&gt;"",BT227,"")</f>
        <v/>
      </c>
      <c r="CL227" s="301"/>
      <c r="CM227" s="305" t="str">
        <f>IFERROR(VLOOKUP(Q227,'Elenco Casse'!$D$4:$F$292,3,FALSE),"")</f>
        <v/>
      </c>
      <c r="CN227" s="301"/>
      <c r="CO227" s="305" t="str">
        <f>IFERROR(VLOOKUP(E227,Outlist!$A$5:$H$120,8,FALSE),"")</f>
        <v/>
      </c>
      <c r="CP227" s="305" t="str">
        <f>IFERROR(IF(VLOOKUP($E227,Outlist!$A$5:$S$120,19,FALSE)&lt;&gt;0,"Y",""),"")</f>
        <v/>
      </c>
      <c r="CQ227" s="301"/>
      <c r="CR227" s="305" t="str">
        <f>CONCATENATE($B227,$E227,$G227)</f>
        <v/>
      </c>
      <c r="CS227" s="301"/>
      <c r="CT227" s="305" t="e">
        <f>VLOOKUP(Out_Table[[#This Row],[Destination             ORANGE (From Planning)]],Outlist!$A$5:$W$120,22,FALSE)</f>
        <v>#N/A</v>
      </c>
    </row>
    <row r="228" spans="1:98" s="20" customFormat="1" ht="15">
      <c r="A228" s="305" t="str">
        <f>$CR228</f>
        <v/>
      </c>
      <c r="B228" s="351" t="str">
        <f>IFERROR(VLOOKUP(E228,Outlist!$A$5:$AC$120,2,FALSE),"")</f>
        <v/>
      </c>
      <c r="C228" s="352" t="str">
        <f ca="1">IFERROR(IF(LEFT(B228,3)='STAT 77'!$X$2,_xlfn.XLOOKUP(B228,'STAT 77'!C:C,'STAT 77'!B:B),_xlfn.XLOOKUP(B228,'STAT 77'!B:B,'STAT 77'!C:C)),"NON TROVATO")</f>
        <v>NON TROVATO</v>
      </c>
      <c r="D228" s="4"/>
      <c r="E228" s="352" t="str">
        <f>IFERROR(IF(Outlist!$A90&lt;&gt;"",Outlist!$A90,""),"")</f>
        <v/>
      </c>
      <c r="F228" s="352" t="str">
        <f>IFERROR(VLOOKUP(E228,'Cambio O2P'!C:E,2,FALSE),"")</f>
        <v/>
      </c>
      <c r="G228" s="353" t="str">
        <f>IFERROR(VLOOKUP(E228,Outlist!$A$5:$AC$120,5,FALSE)-INT(VLOOKUP(E228,Outlist!$A$5:$AC$120,5,FALSE)),"")</f>
        <v/>
      </c>
      <c r="H228" s="294" t="str">
        <f ca="1">IFERROR(IF(AND('INformazioni per calcoli'!$AB$3&lt;(--"14:30"),'INformazioni per calcoli'!$AB$3&gt;(--"10:00")),"",IF($B228="","",IF($X228&lt;&gt;"","Mezzo Chiuso",IF($W228="","Non al Carico",IF($K228="Safe Parking","Safe Parking", IF(OR($BF228='INformazioni per calcoli'!$AF$8,$BF228='INformazioni per calcoli'!$AC$8,$BF228='INformazioni per calcoli'!$AD$8,$BF228='INformazioni per calcoli'!$AE$8,$BF228='INformazioni per calcoli'!$AG$8,$BF228='INformazioni per calcoli'!$AH$8,$BF228='INformazioni per calcoli'!$AI$8,$BF228='INformazioni per calcoli'!$AJ$8),IF($G228-'INformazioni per calcoli'!$AB$6-'INformazioni per calcoli'!$AB$3+$J228&lt;0,"LFLS",$G228-'INformazioni per calcoli'!$AB$6-'INformazioni per calcoli'!$AB$3+$J228), IF(OR($BF228='INformazioni per calcoli'!$AF$6,$BF228='INformazioni per calcoli'!$AD$6,$BF228='INformazioni per calcoli'!$AE$6,$BF228='INformazioni per calcoli'!$AG$6),IF($G228-'INformazioni per calcoli'!$AB$8-'INformazioni per calcoli'!$AB$3+$J228&lt;0,"LFLS",$G228-'INformazioni per calcoli'!$AB$8-'INformazioni per calcoli'!$AB$3+$J228), IF($G228-'INformazioni per calcoli'!$AB$7-'INformazioni per calcoli'!$AB$3+$J228&lt;0,"LFLS",$G228-'INformazioni per calcoli'!$AB$7-'INformazioni per calcoli'!$AB$3+$J228)))))))),"")</f>
        <v/>
      </c>
      <c r="I228" s="17" t="str">
        <f ca="1">IFERROR(IF($H228&lt;&gt;"",IF($H228="Safe Parking","",IF($W228&lt;&gt;"",IF(AND($U228="X",$V228="X"),$H228-(--"00:30"),""),IF($X228&lt;&gt;"","Mezzo Chiuso","Non al carico"))),""),"")</f>
        <v/>
      </c>
      <c r="J228" s="354" t="str">
        <f>IFERROR(IF($G228="","",IF(INT(VLOOKUP($E228,Outlist!$A$5:$E$120,5,FALSE))&gt;'INformazioni per calcoli'!$AB$2,INT(VLOOKUP($E228,Outlist!$A$5:$E$120,5,FALSE))-INT('INformazioni per calcoli'!$AB$2),0)),"")</f>
        <v/>
      </c>
      <c r="K228" s="27" t="str">
        <f>IF(E228&lt;&gt;"",IFERROR(VLOOKUP(E228,Outlist!$A$5:$AC$120,22,FALSE),""),"")</f>
        <v/>
      </c>
      <c r="L228" s="352" t="str">
        <f>IF(E228&lt;&gt;"",IFERROR(VLOOKUP(E228,Outlist!$A$5:$AC$120,3,FALSE),""),"")</f>
        <v/>
      </c>
      <c r="M228" s="4" t="str">
        <f>IFERROR(_xlfn.XLOOKUP($Q228,'Elenco Casse'!$D:$D,'Elenco Casse'!$E:$E),"")</f>
        <v/>
      </c>
      <c r="N228" s="4" t="str">
        <f>IFERROR(_xlfn.XLOOKUP($Q228,'Elenco Casse'!$D:$D,'Elenco Casse'!$F:$F),"")</f>
        <v/>
      </c>
      <c r="O228" s="4" t="str">
        <f>IF($L228&lt;&gt;"","TT-2/3","")</f>
        <v/>
      </c>
      <c r="P228" s="296" t="str">
        <f>IFERROR(IF(VLOOKUP(E228,Outlist!$A$5:$AC$120,21,FALSE)="YES","Linea Variata",""),"")</f>
        <v/>
      </c>
      <c r="Q228" s="355" t="str">
        <f>IFERROR(VLOOKUP(E228,Outlist!$AK$4:$BH$139,13,FALSE),"")</f>
        <v/>
      </c>
      <c r="R228" s="23"/>
      <c r="S228" s="25" t="str">
        <f>IFERROR(IF(VLOOKUP(E228,Outlist!$A$5:$AC$120,7,FALSE)="X","SUBCO",""),"")</f>
        <v/>
      </c>
      <c r="T228" s="25"/>
      <c r="U228" s="23"/>
      <c r="V228" s="23"/>
      <c r="W228" s="26"/>
      <c r="X228" s="27"/>
      <c r="Y228" s="25" t="str">
        <f>IF(OR(Out_Table[[#This Row],[DOC Del. hr. (RTH)]]&lt;&gt;"",Outlist!S129),"XXX","")</f>
        <v/>
      </c>
      <c r="Z228" s="25"/>
      <c r="AA228" s="25"/>
      <c r="AB228" s="57"/>
      <c r="AC228" s="25"/>
      <c r="AD228" s="25"/>
      <c r="AE228" s="57"/>
      <c r="AF228" s="57"/>
      <c r="AG228" s="25"/>
      <c r="AH228" s="57"/>
      <c r="AI228" s="339"/>
      <c r="AJ228" s="339"/>
      <c r="AK228" s="297" t="str">
        <f>IF(X228&lt;&gt;"",CONCATENATE(IF(AA228&lt;&gt;"",CONCATENATE(Z228," ",AA228," ",BI228),""),IF(AD228&lt;&gt;"",CONCATENATE(","," ",AC228," ",AD228," ",BJ228),""),IF(AG228&lt;&gt;"",CONCATENATE(","," ",AF228," ",AG228," ",BK228),""),IF(AJ228&lt;&gt;"",CONCATENATE(","," ","DD"," ",BL228),"")," ",IF(AI228&lt;&gt;"",CONCATENATE(" - ",AI228," Bag"),"")),"")</f>
        <v/>
      </c>
      <c r="AL228" s="287"/>
      <c r="AM228" s="287"/>
      <c r="AN228" s="287"/>
      <c r="AO228" s="287"/>
      <c r="AP228" s="370" t="str">
        <f>IFERROR(VLOOKUP($E228,Outlist!$A$5:$V$120,20,FALSE),"")</f>
        <v/>
      </c>
      <c r="AQ228" s="288" t="str">
        <f>IFERROR(IF(VLOOKUP($A228,#REF!,8,FALSE)&lt;&gt;"",VLOOKUP($A228,#REF!,8,FALSE),""),"")</f>
        <v/>
      </c>
      <c r="AS228" s="24"/>
      <c r="AT228" s="24"/>
      <c r="AU228" s="27"/>
      <c r="AV228" s="27"/>
      <c r="AX228" s="20" t="str">
        <f>IFERROR(IF(Out_Table[[#This Row],[Cancellazione linea]]="Cancellata","yes",""),"")</f>
        <v/>
      </c>
      <c r="AY228" s="72"/>
      <c r="AZ228" s="27"/>
      <c r="BA228" s="32"/>
      <c r="BB228" s="72"/>
      <c r="BC228" s="72" t="str">
        <f>IFERROR(VLOOKUP(Out_Table[[#This Row],[Aggiornamento STATUS]],'INformazioni per calcoli'!$Y$70:$AA$76,2,FALSE),"")</f>
        <v/>
      </c>
      <c r="BD228" s="289"/>
      <c r="BE228" s="289"/>
      <c r="BF228" s="47" t="str">
        <f>LEFT($E228,3)</f>
        <v/>
      </c>
      <c r="BG228" s="298" t="str">
        <f>IF(Out_Table[[#This Row],[Ora Uscita    (GH)]]&lt;&gt;"","x","")</f>
        <v/>
      </c>
      <c r="BH228" s="299" t="e">
        <f>VLOOKUP($O228,'INformazioni per calcoli'!$Y$20:$AA$23,3,FALSE)</f>
        <v>#N/A</v>
      </c>
      <c r="BI228" s="299" t="e">
        <f>MROUND(Out_Table[[#This Row],[Mtr. Trailer]]*AB228,0.5)</f>
        <v>#N/A</v>
      </c>
      <c r="BJ228" s="299" t="e">
        <f>MROUND(Out_Table[[#This Row],[Mtr. Trailer]]*AE228,0.5)</f>
        <v>#N/A</v>
      </c>
      <c r="BK228" s="299" t="e">
        <f>MROUND(Out_Table[[#This Row],[Mtr. Trailer]]*AH228,0.5)</f>
        <v>#N/A</v>
      </c>
      <c r="BL228" s="300">
        <f>Out_Table[[#This Row],[Double Deck trailer N° bumpers]]</f>
        <v>0</v>
      </c>
      <c r="BM228" s="301"/>
      <c r="BN228" s="299" t="str">
        <f>B228</f>
        <v/>
      </c>
      <c r="BO228" s="299" t="str">
        <f>E228</f>
        <v/>
      </c>
      <c r="BP228" s="302" t="e">
        <f>IF(AND(G228&gt;(--"00:00:01"),G228&lt;(--"15:00:00")),IF(AND(X228&gt;(--"00:00:01"),X228&lt;(--"15:00:00")),G228-X228,G228+1-X228),G228-X228)</f>
        <v>#VALUE!</v>
      </c>
      <c r="BQ228" s="303">
        <f>AE228+AF228+AH228+AJ228</f>
        <v>0</v>
      </c>
      <c r="BR228" s="304" t="e">
        <f>IF(OR(BP228&lt;=(--"00:20:00"),BQ228&gt;=100%),"OK","Not OK")</f>
        <v>#VALUE!</v>
      </c>
      <c r="BS228" s="302" t="e">
        <f>IF(AND(G228&gt;(--"00:00:01"),G228&lt;(--"15:00:00")),IF(AND(AU228&gt;(--"00:00:01"),AU228&lt;(--"15:00:00")),G228-AU228,G228+1-AU228),G228-AU228)</f>
        <v>#VALUE!</v>
      </c>
      <c r="BT228" s="302">
        <f>IF(AND(AZ228&gt;(--"00:00:01"),AZ228&lt;(--"15:00:00")),IF(AND(AU228&gt;(--"00:00:01"),AU228&lt;(--"15:00:00")),AZ228-AU228,AZ228+1-AU228),AZ228-AU228)</f>
        <v>0</v>
      </c>
      <c r="BU228" s="302">
        <f>IF(AND(BA228&gt;(--"00:00:01"),BA228&lt;(--"15:00:00")),IF(AND(AZ228&gt;(--"00:00:01"),AZ228&lt;(--"15:00:00")),BA228-AZ228,BA228+1-AZ228),BA228-AZ228)</f>
        <v>0</v>
      </c>
      <c r="BV228" s="299">
        <f>AV228</f>
        <v>0</v>
      </c>
      <c r="BW228" s="301"/>
      <c r="BX228" s="299" t="str">
        <f>IF(AV228="T Status",IF(AV228&lt;&gt;T228,"X",""),"")</f>
        <v/>
      </c>
      <c r="BY228" s="301"/>
      <c r="BZ228" s="299" t="str">
        <f>IF(X228&lt;&gt;"",IF(CC228="X","Driver Delay",IF(CA228="X","Paperwork Delay",IF(CB228="X","Late freight late sort",IF(CD228="X","Chiamare Control Room",IF(CE228="X","Chiamare Control Room",IF(CF228="X","Chiamare Control Room","")))))),"")</f>
        <v/>
      </c>
      <c r="CA228" s="302" t="e">
        <f>IF(K228="",IF(IF(AND(G228&gt;(--"00:00:01"),G228&lt;(--"15:00:00")),IF(AND(AT228&gt;(--"08:00:00"),AT228&lt;(--"23:59:59")),G228+1-AT228,G228-AT228),G228-AT228)&gt;(--"00:20:00"),"","X"),"")</f>
        <v>#VALUE!</v>
      </c>
      <c r="CB228" s="299" t="e">
        <f>IF(K228="",IF(BP228&gt;=(--"00:20:00"),"","X"),"")</f>
        <v>#VALUE!</v>
      </c>
      <c r="CC228" s="299" t="str">
        <f>IF(OR(AV228="Autista non presente",AV228="Dati driver non presenti"),"X","")</f>
        <v/>
      </c>
      <c r="CD228" s="299" t="e">
        <f>IF(K228="",IF(AND(CC228="",BS228&lt;(--"00:20:00")),"X",""),"")</f>
        <v>#VALUE!</v>
      </c>
      <c r="CE228" s="299" t="str">
        <f>IF(K228="",IF(BT228&gt;(--"00:15:00"),"X",""),IF(AZ228&lt;&gt;"",IF(G228-AZ228&gt;(--"00:30:00"),"X",""),""))</f>
        <v/>
      </c>
      <c r="CF228" s="299" t="e">
        <f>IF(AND(CA228="",CB228="",CC228="",CD228="",CE228=""),"X","")</f>
        <v>#VALUE!</v>
      </c>
      <c r="CG228" s="301"/>
      <c r="CH228" s="299" t="str">
        <f>IF(BT228&gt;(--"00:15:00"),"X","")</f>
        <v/>
      </c>
      <c r="CI228" s="302">
        <f>AY228</f>
        <v>0</v>
      </c>
      <c r="CJ228" s="299" t="str">
        <f>IF(AND(CH228&lt;&gt;"",CI228&lt;&gt;"",LEFT(B228,3)="ITD"),AP228,"")</f>
        <v/>
      </c>
      <c r="CK228" s="305" t="str">
        <f>IF(CJ228&lt;&gt;"",BT228,"")</f>
        <v/>
      </c>
      <c r="CL228" s="301"/>
      <c r="CM228" s="305" t="str">
        <f>IFERROR(VLOOKUP(Q228,'Elenco Casse'!$D$4:$F$292,3,FALSE),"")</f>
        <v/>
      </c>
      <c r="CN228" s="301"/>
      <c r="CO228" s="305" t="str">
        <f>IFERROR(VLOOKUP(E228,Outlist!$A$5:$H$120,8,FALSE),"")</f>
        <v/>
      </c>
      <c r="CP228" s="305" t="str">
        <f>IFERROR(IF(VLOOKUP($E228,Outlist!$A$5:$S$120,19,FALSE)&lt;&gt;0,"Y",""),"")</f>
        <v/>
      </c>
      <c r="CQ228" s="301"/>
      <c r="CR228" s="305" t="str">
        <f>CONCATENATE($B228,$E228,$G228)</f>
        <v/>
      </c>
      <c r="CS228" s="301"/>
      <c r="CT228" s="305" t="e">
        <f>VLOOKUP(Out_Table[[#This Row],[Destination             ORANGE (From Planning)]],Outlist!$A$5:$W$120,22,FALSE)</f>
        <v>#N/A</v>
      </c>
    </row>
    <row r="229" spans="1:98" s="20" customFormat="1" ht="15">
      <c r="A229" s="305" t="str">
        <f>$CR229</f>
        <v/>
      </c>
      <c r="B229" s="351" t="str">
        <f>IFERROR(VLOOKUP(E229,Outlist!$A$5:$AC$120,2,FALSE),"")</f>
        <v/>
      </c>
      <c r="C229" s="352" t="str">
        <f ca="1">IFERROR(IF(LEFT(B229,3)='STAT 77'!$X$2,_xlfn.XLOOKUP(B229,'STAT 77'!C:C,'STAT 77'!B:B),_xlfn.XLOOKUP(B229,'STAT 77'!B:B,'STAT 77'!C:C)),"NON TROVATO")</f>
        <v>NON TROVATO</v>
      </c>
      <c r="D229" s="4"/>
      <c r="E229" s="352" t="str">
        <f>IFERROR(IF(Outlist!$A91&lt;&gt;"",Outlist!$A91,""),"")</f>
        <v/>
      </c>
      <c r="F229" s="352" t="str">
        <f>IFERROR(VLOOKUP(E229,'Cambio O2P'!C:E,2,FALSE),"")</f>
        <v/>
      </c>
      <c r="G229" s="353" t="str">
        <f>IFERROR(VLOOKUP(E229,Outlist!$A$5:$AC$120,5,FALSE)-INT(VLOOKUP(E229,Outlist!$A$5:$AC$120,5,FALSE)),"")</f>
        <v/>
      </c>
      <c r="H229" s="294" t="str">
        <f ca="1">IFERROR(IF(AND('INformazioni per calcoli'!$AB$3&lt;(--"14:30"),'INformazioni per calcoli'!$AB$3&gt;(--"10:00")),"",IF($B229="","",IF($X229&lt;&gt;"","Mezzo Chiuso",IF($W229="","Non al Carico",IF($K229="Safe Parking","Safe Parking", IF(OR($BF229='INformazioni per calcoli'!$AF$8,$BF229='INformazioni per calcoli'!$AC$8,$BF229='INformazioni per calcoli'!$AD$8,$BF229='INformazioni per calcoli'!$AE$8,$BF229='INformazioni per calcoli'!$AG$8,$BF229='INformazioni per calcoli'!$AH$8,$BF229='INformazioni per calcoli'!$AI$8,$BF229='INformazioni per calcoli'!$AJ$8),IF($G229-'INformazioni per calcoli'!$AB$6-'INformazioni per calcoli'!$AB$3+$J229&lt;0,"LFLS",$G229-'INformazioni per calcoli'!$AB$6-'INformazioni per calcoli'!$AB$3+$J229), IF(OR($BF229='INformazioni per calcoli'!$AF$6,$BF229='INformazioni per calcoli'!$AD$6,$BF229='INformazioni per calcoli'!$AE$6,$BF229='INformazioni per calcoli'!$AG$6),IF($G229-'INformazioni per calcoli'!$AB$8-'INformazioni per calcoli'!$AB$3+$J229&lt;0,"LFLS",$G229-'INformazioni per calcoli'!$AB$8-'INformazioni per calcoli'!$AB$3+$J229), IF($G229-'INformazioni per calcoli'!$AB$7-'INformazioni per calcoli'!$AB$3+$J229&lt;0,"LFLS",$G229-'INformazioni per calcoli'!$AB$7-'INformazioni per calcoli'!$AB$3+$J229)))))))),"")</f>
        <v/>
      </c>
      <c r="I229" s="17" t="str">
        <f ca="1">IFERROR(IF($H229&lt;&gt;"",IF($H229="Safe Parking","",IF($W229&lt;&gt;"",IF(AND($U229="X",$V229="X"),$H229-(--"00:30"),""),IF($X229&lt;&gt;"","Mezzo Chiuso","Non al carico"))),""),"")</f>
        <v/>
      </c>
      <c r="J229" s="354" t="str">
        <f>IFERROR(IF($G229="","",IF(INT(VLOOKUP($E229,Outlist!$A$5:$E$120,5,FALSE))&gt;'INformazioni per calcoli'!$AB$2,INT(VLOOKUP($E229,Outlist!$A$5:$E$120,5,FALSE))-INT('INformazioni per calcoli'!$AB$2),0)),"")</f>
        <v/>
      </c>
      <c r="K229" s="27" t="str">
        <f>IF(E229&lt;&gt;"",IFERROR(VLOOKUP(E229,Outlist!$A$5:$AC$120,22,FALSE),""),"")</f>
        <v/>
      </c>
      <c r="L229" s="352" t="str">
        <f>IF(E229&lt;&gt;"",IFERROR(VLOOKUP(E229,Outlist!$A$5:$AC$120,3,FALSE),""),"")</f>
        <v/>
      </c>
      <c r="M229" s="4" t="str">
        <f>IFERROR(_xlfn.XLOOKUP($Q229,'Elenco Casse'!$D:$D,'Elenco Casse'!$E:$E),"")</f>
        <v/>
      </c>
      <c r="N229" s="4" t="str">
        <f>IFERROR(_xlfn.XLOOKUP($Q229,'Elenco Casse'!$D:$D,'Elenco Casse'!$F:$F),"")</f>
        <v/>
      </c>
      <c r="O229" s="4" t="str">
        <f>IF($L229&lt;&gt;"","TT-2/3","")</f>
        <v/>
      </c>
      <c r="P229" s="296" t="str">
        <f>IFERROR(IF(VLOOKUP(E229,Outlist!$A$5:$AC$120,21,FALSE)="YES","Linea Variata",""),"")</f>
        <v/>
      </c>
      <c r="Q229" s="355" t="str">
        <f>IFERROR(VLOOKUP(E229,Outlist!$AK$4:$BH$139,13,FALSE),"")</f>
        <v/>
      </c>
      <c r="R229" s="23"/>
      <c r="S229" s="25" t="str">
        <f>IFERROR(IF(VLOOKUP(E229,Outlist!$A$5:$AC$120,7,FALSE)="X","SUBCO",""),"")</f>
        <v/>
      </c>
      <c r="T229" s="25"/>
      <c r="U229" s="23"/>
      <c r="V229" s="23"/>
      <c r="W229" s="26"/>
      <c r="X229" s="27"/>
      <c r="Y229" s="25" t="str">
        <f>IF(OR(Out_Table[[#This Row],[DOC Del. hr. (RTH)]]&lt;&gt;"",Outlist!S130),"XXX","")</f>
        <v/>
      </c>
      <c r="Z229" s="25"/>
      <c r="AA229" s="25"/>
      <c r="AB229" s="57"/>
      <c r="AC229" s="25"/>
      <c r="AD229" s="25"/>
      <c r="AE229" s="57"/>
      <c r="AF229" s="57"/>
      <c r="AG229" s="25"/>
      <c r="AH229" s="57"/>
      <c r="AI229" s="339"/>
      <c r="AJ229" s="339"/>
      <c r="AK229" s="297" t="str">
        <f>IF(X229&lt;&gt;"",CONCATENATE(IF(AA229&lt;&gt;"",CONCATENATE(Z229," ",AA229," ",BI229),""),IF(AD229&lt;&gt;"",CONCATENATE(","," ",AC229," ",AD229," ",BJ229),""),IF(AG229&lt;&gt;"",CONCATENATE(","," ",AF229," ",AG229," ",BK229),""),IF(AJ229&lt;&gt;"",CONCATENATE(","," ","DD"," ",BL229),"")," ",IF(AI229&lt;&gt;"",CONCATENATE(" - ",AI229," Bag"),"")),"")</f>
        <v/>
      </c>
      <c r="AL229" s="287"/>
      <c r="AM229" s="287"/>
      <c r="AN229" s="287"/>
      <c r="AO229" s="287"/>
      <c r="AP229" s="370" t="str">
        <f>IFERROR(VLOOKUP($E229,Outlist!$A$5:$V$120,20,FALSE),"")</f>
        <v/>
      </c>
      <c r="AQ229" s="288" t="str">
        <f>IFERROR(IF(VLOOKUP($A229,#REF!,8,FALSE)&lt;&gt;"",VLOOKUP($A229,#REF!,8,FALSE),""),"")</f>
        <v/>
      </c>
      <c r="AS229" s="24"/>
      <c r="AT229" s="24"/>
      <c r="AU229" s="27"/>
      <c r="AV229" s="27"/>
      <c r="AX229" s="20" t="str">
        <f>IFERROR(IF(Out_Table[[#This Row],[Cancellazione linea]]="Cancellata","yes",""),"")</f>
        <v/>
      </c>
      <c r="AY229" s="72"/>
      <c r="AZ229" s="27"/>
      <c r="BA229" s="32"/>
      <c r="BB229" s="72"/>
      <c r="BC229" s="72" t="str">
        <f>IFERROR(VLOOKUP(Out_Table[[#This Row],[Aggiornamento STATUS]],'INformazioni per calcoli'!$Y$70:$AA$76,2,FALSE),"")</f>
        <v/>
      </c>
      <c r="BD229" s="289"/>
      <c r="BE229" s="289"/>
      <c r="BF229" s="47" t="str">
        <f>LEFT($E229,3)</f>
        <v/>
      </c>
      <c r="BG229" s="298" t="str">
        <f>IF(Out_Table[[#This Row],[Ora Uscita    (GH)]]&lt;&gt;"","x","")</f>
        <v/>
      </c>
      <c r="BH229" s="299" t="e">
        <f>VLOOKUP($O229,'INformazioni per calcoli'!$Y$20:$AA$23,3,FALSE)</f>
        <v>#N/A</v>
      </c>
      <c r="BI229" s="299" t="e">
        <f>MROUND(Out_Table[[#This Row],[Mtr. Trailer]]*AB229,0.5)</f>
        <v>#N/A</v>
      </c>
      <c r="BJ229" s="299" t="e">
        <f>MROUND(Out_Table[[#This Row],[Mtr. Trailer]]*AE229,0.5)</f>
        <v>#N/A</v>
      </c>
      <c r="BK229" s="299" t="e">
        <f>MROUND(Out_Table[[#This Row],[Mtr. Trailer]]*AH229,0.5)</f>
        <v>#N/A</v>
      </c>
      <c r="BL229" s="300">
        <f>Out_Table[[#This Row],[Double Deck trailer N° bumpers]]</f>
        <v>0</v>
      </c>
      <c r="BM229" s="301"/>
      <c r="BN229" s="299" t="str">
        <f>B229</f>
        <v/>
      </c>
      <c r="BO229" s="299" t="str">
        <f>E229</f>
        <v/>
      </c>
      <c r="BP229" s="302" t="e">
        <f>IF(AND(G229&gt;(--"00:00:01"),G229&lt;(--"15:00:00")),IF(AND(X229&gt;(--"00:00:01"),X229&lt;(--"15:00:00")),G229-X229,G229+1-X229),G229-X229)</f>
        <v>#VALUE!</v>
      </c>
      <c r="BQ229" s="303">
        <f>AE229+AF229+AH229+AJ229</f>
        <v>0</v>
      </c>
      <c r="BR229" s="304" t="e">
        <f>IF(OR(BP229&lt;=(--"00:20:00"),BQ229&gt;=100%),"OK","Not OK")</f>
        <v>#VALUE!</v>
      </c>
      <c r="BS229" s="302" t="e">
        <f>IF(AND(G229&gt;(--"00:00:01"),G229&lt;(--"15:00:00")),IF(AND(AU229&gt;(--"00:00:01"),AU229&lt;(--"15:00:00")),G229-AU229,G229+1-AU229),G229-AU229)</f>
        <v>#VALUE!</v>
      </c>
      <c r="BT229" s="302">
        <f>IF(AND(AZ229&gt;(--"00:00:01"),AZ229&lt;(--"15:00:00")),IF(AND(AU229&gt;(--"00:00:01"),AU229&lt;(--"15:00:00")),AZ229-AU229,AZ229+1-AU229),AZ229-AU229)</f>
        <v>0</v>
      </c>
      <c r="BU229" s="302">
        <f>IF(AND(BA229&gt;(--"00:00:01"),BA229&lt;(--"15:00:00")),IF(AND(AZ229&gt;(--"00:00:01"),AZ229&lt;(--"15:00:00")),BA229-AZ229,BA229+1-AZ229),BA229-AZ229)</f>
        <v>0</v>
      </c>
      <c r="BV229" s="299">
        <f>AV229</f>
        <v>0</v>
      </c>
      <c r="BW229" s="301"/>
      <c r="BX229" s="299" t="str">
        <f>IF(AV229="T Status",IF(AV229&lt;&gt;T229,"X",""),"")</f>
        <v/>
      </c>
      <c r="BY229" s="301"/>
      <c r="BZ229" s="299" t="str">
        <f>IF(X229&lt;&gt;"",IF(CC229="X","Driver Delay",IF(CA229="X","Paperwork Delay",IF(CB229="X","Late freight late sort",IF(CD229="X","Chiamare Control Room",IF(CE229="X","Chiamare Control Room",IF(CF229="X","Chiamare Control Room","")))))),"")</f>
        <v/>
      </c>
      <c r="CA229" s="302" t="e">
        <f>IF(K229="",IF(IF(AND(G229&gt;(--"00:00:01"),G229&lt;(--"15:00:00")),IF(AND(AT229&gt;(--"08:00:00"),AT229&lt;(--"23:59:59")),G229+1-AT229,G229-AT229),G229-AT229)&gt;(--"00:20:00"),"","X"),"")</f>
        <v>#VALUE!</v>
      </c>
      <c r="CB229" s="299" t="e">
        <f>IF(K229="",IF(BP229&gt;=(--"00:20:00"),"","X"),"")</f>
        <v>#VALUE!</v>
      </c>
      <c r="CC229" s="299" t="str">
        <f>IF(OR(AV229="Autista non presente",AV229="Dati driver non presenti"),"X","")</f>
        <v/>
      </c>
      <c r="CD229" s="299" t="e">
        <f>IF(K229="",IF(AND(CC229="",BS229&lt;(--"00:20:00")),"X",""),"")</f>
        <v>#VALUE!</v>
      </c>
      <c r="CE229" s="299" t="str">
        <f>IF(K229="",IF(BT229&gt;(--"00:15:00"),"X",""),IF(AZ229&lt;&gt;"",IF(G229-AZ229&gt;(--"00:30:00"),"X",""),""))</f>
        <v/>
      </c>
      <c r="CF229" s="299" t="e">
        <f>IF(AND(CA229="",CB229="",CC229="",CD229="",CE229=""),"X","")</f>
        <v>#VALUE!</v>
      </c>
      <c r="CG229" s="301"/>
      <c r="CH229" s="299" t="str">
        <f>IF(BT229&gt;(--"00:15:00"),"X","")</f>
        <v/>
      </c>
      <c r="CI229" s="302">
        <f>AY229</f>
        <v>0</v>
      </c>
      <c r="CJ229" s="299" t="str">
        <f>IF(AND(CH229&lt;&gt;"",CI229&lt;&gt;"",LEFT(B229,3)="ITD"),AP229,"")</f>
        <v/>
      </c>
      <c r="CK229" s="305" t="str">
        <f>IF(CJ229&lt;&gt;"",BT229,"")</f>
        <v/>
      </c>
      <c r="CL229" s="301"/>
      <c r="CM229" s="305" t="str">
        <f>IFERROR(VLOOKUP(Q229,'Elenco Casse'!$D$4:$F$292,3,FALSE),"")</f>
        <v/>
      </c>
      <c r="CN229" s="301"/>
      <c r="CO229" s="305" t="str">
        <f>IFERROR(VLOOKUP(E229,Outlist!$A$5:$H$120,8,FALSE),"")</f>
        <v/>
      </c>
      <c r="CP229" s="305" t="str">
        <f>IFERROR(IF(VLOOKUP($E229,Outlist!$A$5:$S$120,19,FALSE)&lt;&gt;0,"Y",""),"")</f>
        <v/>
      </c>
      <c r="CQ229" s="301"/>
      <c r="CR229" s="305" t="str">
        <f>CONCATENATE($B229,$E229,$G229)</f>
        <v/>
      </c>
      <c r="CS229" s="301"/>
      <c r="CT229" s="305" t="e">
        <f>VLOOKUP(Out_Table[[#This Row],[Destination             ORANGE (From Planning)]],Outlist!$A$5:$W$120,22,FALSE)</f>
        <v>#N/A</v>
      </c>
    </row>
    <row r="230" spans="1:98" s="20" customFormat="1" ht="15">
      <c r="A230" s="305" t="str">
        <f>$CR230</f>
        <v/>
      </c>
      <c r="B230" s="351" t="str">
        <f>IFERROR(VLOOKUP(E230,Outlist!$A$5:$AC$120,2,FALSE),"")</f>
        <v/>
      </c>
      <c r="C230" s="352" t="str">
        <f ca="1">IFERROR(IF(LEFT(B230,3)='STAT 77'!$X$2,_xlfn.XLOOKUP(B230,'STAT 77'!C:C,'STAT 77'!B:B),_xlfn.XLOOKUP(B230,'STAT 77'!B:B,'STAT 77'!C:C)),"NON TROVATO")</f>
        <v>NON TROVATO</v>
      </c>
      <c r="D230" s="4"/>
      <c r="E230" s="352" t="str">
        <f>IFERROR(IF(Outlist!$A92&lt;&gt;"",Outlist!$A92,""),"")</f>
        <v/>
      </c>
      <c r="F230" s="352" t="str">
        <f>IFERROR(VLOOKUP(E230,'Cambio O2P'!C:E,2,FALSE),"")</f>
        <v/>
      </c>
      <c r="G230" s="353" t="str">
        <f>IFERROR(VLOOKUP(E230,Outlist!$A$5:$AC$120,5,FALSE)-INT(VLOOKUP(E230,Outlist!$A$5:$AC$120,5,FALSE)),"")</f>
        <v/>
      </c>
      <c r="H230" s="294" t="str">
        <f ca="1">IFERROR(IF(AND('INformazioni per calcoli'!$AB$3&lt;(--"14:30"),'INformazioni per calcoli'!$AB$3&gt;(--"10:00")),"",IF($B230="","",IF($X230&lt;&gt;"","Mezzo Chiuso",IF($W230="","Non al Carico",IF($K230="Safe Parking","Safe Parking", IF(OR($BF230='INformazioni per calcoli'!$AF$8,$BF230='INformazioni per calcoli'!$AC$8,$BF230='INformazioni per calcoli'!$AD$8,$BF230='INformazioni per calcoli'!$AE$8,$BF230='INformazioni per calcoli'!$AG$8,$BF230='INformazioni per calcoli'!$AH$8,$BF230='INformazioni per calcoli'!$AI$8,$BF230='INformazioni per calcoli'!$AJ$8),IF($G230-'INformazioni per calcoli'!$AB$6-'INformazioni per calcoli'!$AB$3+$J230&lt;0,"LFLS",$G230-'INformazioni per calcoli'!$AB$6-'INformazioni per calcoli'!$AB$3+$J230), IF(OR($BF230='INformazioni per calcoli'!$AF$6,$BF230='INformazioni per calcoli'!$AD$6,$BF230='INformazioni per calcoli'!$AE$6,$BF230='INformazioni per calcoli'!$AG$6),IF($G230-'INformazioni per calcoli'!$AB$8-'INformazioni per calcoli'!$AB$3+$J230&lt;0,"LFLS",$G230-'INformazioni per calcoli'!$AB$8-'INformazioni per calcoli'!$AB$3+$J230), IF($G230-'INformazioni per calcoli'!$AB$7-'INformazioni per calcoli'!$AB$3+$J230&lt;0,"LFLS",$G230-'INformazioni per calcoli'!$AB$7-'INformazioni per calcoli'!$AB$3+$J230)))))))),"")</f>
        <v/>
      </c>
      <c r="I230" s="17" t="str">
        <f ca="1">IFERROR(IF($H230&lt;&gt;"",IF($H230="Safe Parking","",IF($W230&lt;&gt;"",IF(AND($U230="X",$V230="X"),$H230-(--"00:30"),""),IF($X230&lt;&gt;"","Mezzo Chiuso","Non al carico"))),""),"")</f>
        <v/>
      </c>
      <c r="J230" s="354" t="str">
        <f>IFERROR(IF($G230="","",IF(INT(VLOOKUP($E230,Outlist!$A$5:$E$120,5,FALSE))&gt;'INformazioni per calcoli'!$AB$2,INT(VLOOKUP($E230,Outlist!$A$5:$E$120,5,FALSE))-INT('INformazioni per calcoli'!$AB$2),0)),"")</f>
        <v/>
      </c>
      <c r="K230" s="27" t="str">
        <f>IF(E230&lt;&gt;"",IFERROR(VLOOKUP(E230,Outlist!$A$5:$AC$120,22,FALSE),""),"")</f>
        <v/>
      </c>
      <c r="L230" s="352" t="str">
        <f>IF(E230&lt;&gt;"",IFERROR(VLOOKUP(E230,Outlist!$A$5:$AC$120,3,FALSE),""),"")</f>
        <v/>
      </c>
      <c r="M230" s="4" t="str">
        <f>IFERROR(_xlfn.XLOOKUP($Q230,'Elenco Casse'!$D:$D,'Elenco Casse'!$E:$E),"")</f>
        <v/>
      </c>
      <c r="N230" s="4" t="str">
        <f>IFERROR(_xlfn.XLOOKUP($Q230,'Elenco Casse'!$D:$D,'Elenco Casse'!$F:$F),"")</f>
        <v/>
      </c>
      <c r="O230" s="4" t="str">
        <f>IF($L230&lt;&gt;"","TT-2/3","")</f>
        <v/>
      </c>
      <c r="P230" s="296" t="str">
        <f>IFERROR(IF(VLOOKUP(E230,Outlist!$A$5:$AC$120,21,FALSE)="YES","Linea Variata",""),"")</f>
        <v/>
      </c>
      <c r="Q230" s="355" t="str">
        <f>IFERROR(VLOOKUP(E230,Outlist!$AK$4:$BH$139,13,FALSE),"")</f>
        <v/>
      </c>
      <c r="R230" s="23"/>
      <c r="S230" s="25" t="str">
        <f>IFERROR(IF(VLOOKUP(E230,Outlist!$A$5:$AC$120,7,FALSE)="X","SUBCO",""),"")</f>
        <v/>
      </c>
      <c r="T230" s="25"/>
      <c r="U230" s="23"/>
      <c r="V230" s="23"/>
      <c r="W230" s="26"/>
      <c r="X230" s="27"/>
      <c r="Y230" s="25" t="str">
        <f>IF(OR(Out_Table[[#This Row],[DOC Del. hr. (RTH)]]&lt;&gt;"",Outlist!S131),"XXX","")</f>
        <v/>
      </c>
      <c r="Z230" s="25"/>
      <c r="AA230" s="25"/>
      <c r="AB230" s="57"/>
      <c r="AC230" s="25"/>
      <c r="AD230" s="25"/>
      <c r="AE230" s="57"/>
      <c r="AF230" s="57"/>
      <c r="AG230" s="25"/>
      <c r="AH230" s="57"/>
      <c r="AI230" s="339"/>
      <c r="AJ230" s="339"/>
      <c r="AK230" s="297" t="str">
        <f>IF(X230&lt;&gt;"",CONCATENATE(IF(AA230&lt;&gt;"",CONCATENATE(Z230," ",AA230," ",BI230),""),IF(AD230&lt;&gt;"",CONCATENATE(","," ",AC230," ",AD230," ",BJ230),""),IF(AG230&lt;&gt;"",CONCATENATE(","," ",AF230," ",AG230," ",BK230),""),IF(AJ230&lt;&gt;"",CONCATENATE(","," ","DD"," ",BL230),"")," ",IF(AI230&lt;&gt;"",CONCATENATE(" - ",AI230," Bag"),"")),"")</f>
        <v/>
      </c>
      <c r="AL230" s="287"/>
      <c r="AM230" s="287"/>
      <c r="AN230" s="287"/>
      <c r="AO230" s="287"/>
      <c r="AP230" s="370" t="str">
        <f>IFERROR(VLOOKUP($E230,Outlist!$A$5:$V$120,20,FALSE),"")</f>
        <v/>
      </c>
      <c r="AQ230" s="288" t="str">
        <f>IFERROR(IF(VLOOKUP($A230,#REF!,8,FALSE)&lt;&gt;"",VLOOKUP($A230,#REF!,8,FALSE),""),"")</f>
        <v/>
      </c>
      <c r="AS230" s="24"/>
      <c r="AT230" s="24"/>
      <c r="AU230" s="27"/>
      <c r="AV230" s="27"/>
      <c r="AX230" s="20" t="str">
        <f>IFERROR(IF(Out_Table[[#This Row],[Cancellazione linea]]="Cancellata","yes",""),"")</f>
        <v/>
      </c>
      <c r="AY230" s="72"/>
      <c r="AZ230" s="27"/>
      <c r="BA230" s="32"/>
      <c r="BB230" s="72"/>
      <c r="BC230" s="72" t="str">
        <f>IFERROR(VLOOKUP(Out_Table[[#This Row],[Aggiornamento STATUS]],'INformazioni per calcoli'!$Y$70:$AA$76,2,FALSE),"")</f>
        <v/>
      </c>
      <c r="BD230" s="289"/>
      <c r="BE230" s="289"/>
      <c r="BF230" s="47" t="str">
        <f>LEFT($E230,3)</f>
        <v/>
      </c>
      <c r="BG230" s="298" t="str">
        <f>IF(Out_Table[[#This Row],[Ora Uscita    (GH)]]&lt;&gt;"","x","")</f>
        <v/>
      </c>
      <c r="BH230" s="299" t="e">
        <f>VLOOKUP($O230,'INformazioni per calcoli'!$Y$20:$AA$23,3,FALSE)</f>
        <v>#N/A</v>
      </c>
      <c r="BI230" s="299" t="e">
        <f>MROUND(Out_Table[[#This Row],[Mtr. Trailer]]*AB230,0.5)</f>
        <v>#N/A</v>
      </c>
      <c r="BJ230" s="299" t="e">
        <f>MROUND(Out_Table[[#This Row],[Mtr. Trailer]]*AE230,0.5)</f>
        <v>#N/A</v>
      </c>
      <c r="BK230" s="299" t="e">
        <f>MROUND(Out_Table[[#This Row],[Mtr. Trailer]]*AH230,0.5)</f>
        <v>#N/A</v>
      </c>
      <c r="BL230" s="300">
        <f>Out_Table[[#This Row],[Double Deck trailer N° bumpers]]</f>
        <v>0</v>
      </c>
      <c r="BM230" s="301"/>
      <c r="BN230" s="299" t="str">
        <f>B230</f>
        <v/>
      </c>
      <c r="BO230" s="299" t="str">
        <f>E230</f>
        <v/>
      </c>
      <c r="BP230" s="302" t="e">
        <f>IF(AND(G230&gt;(--"00:00:01"),G230&lt;(--"15:00:00")),IF(AND(X230&gt;(--"00:00:01"),X230&lt;(--"15:00:00")),G230-X230,G230+1-X230),G230-X230)</f>
        <v>#VALUE!</v>
      </c>
      <c r="BQ230" s="303">
        <f>AE230+AF230+AH230+AJ230</f>
        <v>0</v>
      </c>
      <c r="BR230" s="304" t="e">
        <f>IF(OR(BP230&lt;=(--"00:20:00"),BQ230&gt;=100%),"OK","Not OK")</f>
        <v>#VALUE!</v>
      </c>
      <c r="BS230" s="302" t="e">
        <f>IF(AND(G230&gt;(--"00:00:01"),G230&lt;(--"15:00:00")),IF(AND(AU230&gt;(--"00:00:01"),AU230&lt;(--"15:00:00")),G230-AU230,G230+1-AU230),G230-AU230)</f>
        <v>#VALUE!</v>
      </c>
      <c r="BT230" s="302">
        <f>IF(AND(AZ230&gt;(--"00:00:01"),AZ230&lt;(--"15:00:00")),IF(AND(AU230&gt;(--"00:00:01"),AU230&lt;(--"15:00:00")),AZ230-AU230,AZ230+1-AU230),AZ230-AU230)</f>
        <v>0</v>
      </c>
      <c r="BU230" s="302">
        <f>IF(AND(BA230&gt;(--"00:00:01"),BA230&lt;(--"15:00:00")),IF(AND(AZ230&gt;(--"00:00:01"),AZ230&lt;(--"15:00:00")),BA230-AZ230,BA230+1-AZ230),BA230-AZ230)</f>
        <v>0</v>
      </c>
      <c r="BV230" s="299">
        <f>AV230</f>
        <v>0</v>
      </c>
      <c r="BW230" s="301"/>
      <c r="BX230" s="299" t="str">
        <f>IF(AV230="T Status",IF(AV230&lt;&gt;T230,"X",""),"")</f>
        <v/>
      </c>
      <c r="BY230" s="301"/>
      <c r="BZ230" s="299" t="str">
        <f>IF(X230&lt;&gt;"",IF(CC230="X","Driver Delay",IF(CA230="X","Paperwork Delay",IF(CB230="X","Late freight late sort",IF(CD230="X","Chiamare Control Room",IF(CE230="X","Chiamare Control Room",IF(CF230="X","Chiamare Control Room","")))))),"")</f>
        <v/>
      </c>
      <c r="CA230" s="302" t="e">
        <f>IF(K230="",IF(IF(AND(G230&gt;(--"00:00:01"),G230&lt;(--"15:00:00")),IF(AND(AT230&gt;(--"08:00:00"),AT230&lt;(--"23:59:59")),G230+1-AT230,G230-AT230),G230-AT230)&gt;(--"00:20:00"),"","X"),"")</f>
        <v>#VALUE!</v>
      </c>
      <c r="CB230" s="299" t="e">
        <f>IF(K230="",IF(BP230&gt;=(--"00:20:00"),"","X"),"")</f>
        <v>#VALUE!</v>
      </c>
      <c r="CC230" s="299" t="str">
        <f>IF(OR(AV230="Autista non presente",AV230="Dati driver non presenti"),"X","")</f>
        <v/>
      </c>
      <c r="CD230" s="299" t="e">
        <f>IF(K230="",IF(AND(CC230="",BS230&lt;(--"00:20:00")),"X",""),"")</f>
        <v>#VALUE!</v>
      </c>
      <c r="CE230" s="299" t="str">
        <f>IF(K230="",IF(BT230&gt;(--"00:15:00"),"X",""),IF(AZ230&lt;&gt;"",IF(G230-AZ230&gt;(--"00:30:00"),"X",""),""))</f>
        <v/>
      </c>
      <c r="CF230" s="299" t="e">
        <f>IF(AND(CA230="",CB230="",CC230="",CD230="",CE230=""),"X","")</f>
        <v>#VALUE!</v>
      </c>
      <c r="CG230" s="301"/>
      <c r="CH230" s="299" t="str">
        <f>IF(BT230&gt;(--"00:15:00"),"X","")</f>
        <v/>
      </c>
      <c r="CI230" s="302">
        <f>AY230</f>
        <v>0</v>
      </c>
      <c r="CJ230" s="299" t="str">
        <f>IF(AND(CH230&lt;&gt;"",CI230&lt;&gt;"",LEFT(B230,3)="ITD"),AP230,"")</f>
        <v/>
      </c>
      <c r="CK230" s="305" t="str">
        <f>IF(CJ230&lt;&gt;"",BT230,"")</f>
        <v/>
      </c>
      <c r="CL230" s="301"/>
      <c r="CM230" s="305" t="str">
        <f>IFERROR(VLOOKUP(Q230,'Elenco Casse'!$D$4:$F$292,3,FALSE),"")</f>
        <v/>
      </c>
      <c r="CN230" s="301"/>
      <c r="CO230" s="305" t="str">
        <f>IFERROR(VLOOKUP(E230,Outlist!$A$5:$H$120,8,FALSE),"")</f>
        <v/>
      </c>
      <c r="CP230" s="305" t="str">
        <f>IFERROR(IF(VLOOKUP($E230,Outlist!$A$5:$S$120,19,FALSE)&lt;&gt;0,"Y",""),"")</f>
        <v/>
      </c>
      <c r="CQ230" s="301"/>
      <c r="CR230" s="305" t="str">
        <f>CONCATENATE($B230,$E230,$G230)</f>
        <v/>
      </c>
      <c r="CS230" s="301"/>
      <c r="CT230" s="305" t="e">
        <f>VLOOKUP(Out_Table[[#This Row],[Destination             ORANGE (From Planning)]],Outlist!$A$5:$W$120,22,FALSE)</f>
        <v>#N/A</v>
      </c>
    </row>
    <row r="231" spans="1:98" s="20" customFormat="1" ht="15">
      <c r="A231" s="305" t="str">
        <f>$CR231</f>
        <v/>
      </c>
      <c r="B231" s="351" t="str">
        <f>IFERROR(VLOOKUP(E231,Outlist!$A$5:$AC$120,2,FALSE),"")</f>
        <v/>
      </c>
      <c r="C231" s="352" t="str">
        <f ca="1">IFERROR(IF(LEFT(B231,3)='STAT 77'!$X$2,_xlfn.XLOOKUP(B231,'STAT 77'!C:C,'STAT 77'!B:B),_xlfn.XLOOKUP(B231,'STAT 77'!B:B,'STAT 77'!C:C)),"NON TROVATO")</f>
        <v>NON TROVATO</v>
      </c>
      <c r="D231" s="4"/>
      <c r="E231" s="352" t="str">
        <f>IFERROR(IF(Outlist!$A93&lt;&gt;"",Outlist!$A93,""),"")</f>
        <v/>
      </c>
      <c r="F231" s="352" t="str">
        <f>IFERROR(VLOOKUP(E231,'Cambio O2P'!C:E,2,FALSE),"")</f>
        <v/>
      </c>
      <c r="G231" s="353" t="str">
        <f>IFERROR(VLOOKUP(E231,Outlist!$A$5:$AC$120,5,FALSE)-INT(VLOOKUP(E231,Outlist!$A$5:$AC$120,5,FALSE)),"")</f>
        <v/>
      </c>
      <c r="H231" s="294" t="str">
        <f ca="1">IFERROR(IF(AND('INformazioni per calcoli'!$AB$3&lt;(--"14:30"),'INformazioni per calcoli'!$AB$3&gt;(--"10:00")),"",IF($B231="","",IF($X231&lt;&gt;"","Mezzo Chiuso",IF($W231="","Non al Carico",IF($K231="Safe Parking","Safe Parking", IF(OR($BF231='INformazioni per calcoli'!$AF$8,$BF231='INformazioni per calcoli'!$AC$8,$BF231='INformazioni per calcoli'!$AD$8,$BF231='INformazioni per calcoli'!$AE$8,$BF231='INformazioni per calcoli'!$AG$8,$BF231='INformazioni per calcoli'!$AH$8,$BF231='INformazioni per calcoli'!$AI$8,$BF231='INformazioni per calcoli'!$AJ$8),IF($G231-'INformazioni per calcoli'!$AB$6-'INformazioni per calcoli'!$AB$3+$J231&lt;0,"LFLS",$G231-'INformazioni per calcoli'!$AB$6-'INformazioni per calcoli'!$AB$3+$J231), IF(OR($BF231='INformazioni per calcoli'!$AF$6,$BF231='INformazioni per calcoli'!$AD$6,$BF231='INformazioni per calcoli'!$AE$6,$BF231='INformazioni per calcoli'!$AG$6),IF($G231-'INformazioni per calcoli'!$AB$8-'INformazioni per calcoli'!$AB$3+$J231&lt;0,"LFLS",$G231-'INformazioni per calcoli'!$AB$8-'INformazioni per calcoli'!$AB$3+$J231), IF($G231-'INformazioni per calcoli'!$AB$7-'INformazioni per calcoli'!$AB$3+$J231&lt;0,"LFLS",$G231-'INformazioni per calcoli'!$AB$7-'INformazioni per calcoli'!$AB$3+$J231)))))))),"")</f>
        <v/>
      </c>
      <c r="I231" s="17" t="str">
        <f ca="1">IFERROR(IF($H231&lt;&gt;"",IF($H231="Safe Parking","",IF($W231&lt;&gt;"",IF(AND($U231="X",$V231="X"),$H231-(--"00:30"),""),IF($X231&lt;&gt;"","Mezzo Chiuso","Non al carico"))),""),"")</f>
        <v/>
      </c>
      <c r="J231" s="354" t="str">
        <f>IFERROR(IF($G231="","",IF(INT(VLOOKUP($E231,Outlist!$A$5:$E$120,5,FALSE))&gt;'INformazioni per calcoli'!$AB$2,INT(VLOOKUP($E231,Outlist!$A$5:$E$120,5,FALSE))-INT('INformazioni per calcoli'!$AB$2),0)),"")</f>
        <v/>
      </c>
      <c r="K231" s="27" t="str">
        <f>IF(E231&lt;&gt;"",IFERROR(VLOOKUP(E231,Outlist!$A$5:$AC$120,22,FALSE),""),"")</f>
        <v/>
      </c>
      <c r="L231" s="352" t="str">
        <f>IF(E231&lt;&gt;"",IFERROR(VLOOKUP(E231,Outlist!$A$5:$AC$120,3,FALSE),""),"")</f>
        <v/>
      </c>
      <c r="M231" s="4" t="str">
        <f>IFERROR(_xlfn.XLOOKUP($Q231,'Elenco Casse'!$D:$D,'Elenco Casse'!$E:$E),"")</f>
        <v/>
      </c>
      <c r="N231" s="4" t="str">
        <f>IFERROR(_xlfn.XLOOKUP($Q231,'Elenco Casse'!$D:$D,'Elenco Casse'!$F:$F),"")</f>
        <v/>
      </c>
      <c r="O231" s="4" t="str">
        <f>IF($L231&lt;&gt;"","TT-2/3","")</f>
        <v/>
      </c>
      <c r="P231" s="296" t="str">
        <f>IFERROR(IF(VLOOKUP(E231,Outlist!$A$5:$AC$120,21,FALSE)="YES","Linea Variata",""),"")</f>
        <v/>
      </c>
      <c r="Q231" s="355" t="str">
        <f>IFERROR(VLOOKUP(E231,Outlist!$AK$4:$BH$139,13,FALSE),"")</f>
        <v/>
      </c>
      <c r="R231" s="23"/>
      <c r="S231" s="25" t="str">
        <f>IFERROR(IF(VLOOKUP(E231,Outlist!$A$5:$AC$120,7,FALSE)="X","SUBCO",""),"")</f>
        <v/>
      </c>
      <c r="T231" s="25"/>
      <c r="U231" s="23"/>
      <c r="V231" s="23"/>
      <c r="W231" s="26"/>
      <c r="X231" s="27"/>
      <c r="Y231" s="25" t="str">
        <f>IF(OR(Out_Table[[#This Row],[DOC Del. hr. (RTH)]]&lt;&gt;"",Outlist!S132),"XXX","")</f>
        <v/>
      </c>
      <c r="Z231" s="25"/>
      <c r="AA231" s="25"/>
      <c r="AB231" s="57"/>
      <c r="AC231" s="25"/>
      <c r="AD231" s="25"/>
      <c r="AE231" s="57"/>
      <c r="AF231" s="57"/>
      <c r="AG231" s="25"/>
      <c r="AH231" s="57"/>
      <c r="AI231" s="339"/>
      <c r="AJ231" s="339"/>
      <c r="AK231" s="297" t="str">
        <f>IF(X231&lt;&gt;"",CONCATENATE(IF(AA231&lt;&gt;"",CONCATENATE(Z231," ",AA231," ",BI231),""),IF(AD231&lt;&gt;"",CONCATENATE(","," ",AC231," ",AD231," ",BJ231),""),IF(AG231&lt;&gt;"",CONCATENATE(","," ",AF231," ",AG231," ",BK231),""),IF(AJ231&lt;&gt;"",CONCATENATE(","," ","DD"," ",BL231),"")," ",IF(AI231&lt;&gt;"",CONCATENATE(" - ",AI231," Bag"),"")),"")</f>
        <v/>
      </c>
      <c r="AL231" s="287"/>
      <c r="AM231" s="287"/>
      <c r="AN231" s="287"/>
      <c r="AO231" s="287"/>
      <c r="AP231" s="370" t="str">
        <f>IFERROR(VLOOKUP($E231,Outlist!$A$5:$V$120,20,FALSE),"")</f>
        <v/>
      </c>
      <c r="AQ231" s="288" t="str">
        <f>IFERROR(IF(VLOOKUP($A231,#REF!,8,FALSE)&lt;&gt;"",VLOOKUP($A231,#REF!,8,FALSE),""),"")</f>
        <v/>
      </c>
      <c r="AS231" s="24"/>
      <c r="AT231" s="24"/>
      <c r="AU231" s="27"/>
      <c r="AV231" s="27"/>
      <c r="AX231" s="20" t="str">
        <f>IFERROR(IF(Out_Table[[#This Row],[Cancellazione linea]]="Cancellata","yes",""),"")</f>
        <v/>
      </c>
      <c r="AY231" s="72"/>
      <c r="AZ231" s="27"/>
      <c r="BA231" s="32"/>
      <c r="BB231" s="72"/>
      <c r="BC231" s="72" t="str">
        <f>IFERROR(VLOOKUP(Out_Table[[#This Row],[Aggiornamento STATUS]],'INformazioni per calcoli'!$Y$70:$AA$76,2,FALSE),"")</f>
        <v/>
      </c>
      <c r="BD231" s="289"/>
      <c r="BE231" s="289"/>
      <c r="BF231" s="47" t="str">
        <f>LEFT($E231,3)</f>
        <v/>
      </c>
      <c r="BG231" s="298" t="str">
        <f>IF(Out_Table[[#This Row],[Ora Uscita    (GH)]]&lt;&gt;"","x","")</f>
        <v/>
      </c>
      <c r="BH231" s="299" t="e">
        <f>VLOOKUP($O231,'INformazioni per calcoli'!$Y$20:$AA$23,3,FALSE)</f>
        <v>#N/A</v>
      </c>
      <c r="BI231" s="299" t="e">
        <f>MROUND(Out_Table[[#This Row],[Mtr. Trailer]]*AB231,0.5)</f>
        <v>#N/A</v>
      </c>
      <c r="BJ231" s="299" t="e">
        <f>MROUND(Out_Table[[#This Row],[Mtr. Trailer]]*AE231,0.5)</f>
        <v>#N/A</v>
      </c>
      <c r="BK231" s="299" t="e">
        <f>MROUND(Out_Table[[#This Row],[Mtr. Trailer]]*AH231,0.5)</f>
        <v>#N/A</v>
      </c>
      <c r="BL231" s="300">
        <f>Out_Table[[#This Row],[Double Deck trailer N° bumpers]]</f>
        <v>0</v>
      </c>
      <c r="BM231" s="301"/>
      <c r="BN231" s="299" t="str">
        <f>B231</f>
        <v/>
      </c>
      <c r="BO231" s="299" t="str">
        <f>E231</f>
        <v/>
      </c>
      <c r="BP231" s="302" t="e">
        <f>IF(AND(G231&gt;(--"00:00:01"),G231&lt;(--"15:00:00")),IF(AND(X231&gt;(--"00:00:01"),X231&lt;(--"15:00:00")),G231-X231,G231+1-X231),G231-X231)</f>
        <v>#VALUE!</v>
      </c>
      <c r="BQ231" s="303">
        <f>AE231+AF231+AH231+AJ231</f>
        <v>0</v>
      </c>
      <c r="BR231" s="304" t="e">
        <f>IF(OR(BP231&lt;=(--"00:20:00"),BQ231&gt;=100%),"OK","Not OK")</f>
        <v>#VALUE!</v>
      </c>
      <c r="BS231" s="302" t="e">
        <f>IF(AND(G231&gt;(--"00:00:01"),G231&lt;(--"15:00:00")),IF(AND(AU231&gt;(--"00:00:01"),AU231&lt;(--"15:00:00")),G231-AU231,G231+1-AU231),G231-AU231)</f>
        <v>#VALUE!</v>
      </c>
      <c r="BT231" s="302">
        <f>IF(AND(AZ231&gt;(--"00:00:01"),AZ231&lt;(--"15:00:00")),IF(AND(AU231&gt;(--"00:00:01"),AU231&lt;(--"15:00:00")),AZ231-AU231,AZ231+1-AU231),AZ231-AU231)</f>
        <v>0</v>
      </c>
      <c r="BU231" s="302">
        <f>IF(AND(BA231&gt;(--"00:00:01"),BA231&lt;(--"15:00:00")),IF(AND(AZ231&gt;(--"00:00:01"),AZ231&lt;(--"15:00:00")),BA231-AZ231,BA231+1-AZ231),BA231-AZ231)</f>
        <v>0</v>
      </c>
      <c r="BV231" s="299">
        <f>AV231</f>
        <v>0</v>
      </c>
      <c r="BW231" s="301"/>
      <c r="BX231" s="299" t="str">
        <f>IF(AV231="T Status",IF(AV231&lt;&gt;T231,"X",""),"")</f>
        <v/>
      </c>
      <c r="BY231" s="301"/>
      <c r="BZ231" s="299" t="str">
        <f>IF(X231&lt;&gt;"",IF(CC231="X","Driver Delay",IF(CA231="X","Paperwork Delay",IF(CB231="X","Late freight late sort",IF(CD231="X","Chiamare Control Room",IF(CE231="X","Chiamare Control Room",IF(CF231="X","Chiamare Control Room","")))))),"")</f>
        <v/>
      </c>
      <c r="CA231" s="302" t="e">
        <f>IF(K231="",IF(IF(AND(G231&gt;(--"00:00:01"),G231&lt;(--"15:00:00")),IF(AND(AT231&gt;(--"08:00:00"),AT231&lt;(--"23:59:59")),G231+1-AT231,G231-AT231),G231-AT231)&gt;(--"00:20:00"),"","X"),"")</f>
        <v>#VALUE!</v>
      </c>
      <c r="CB231" s="299" t="e">
        <f>IF(K231="",IF(BP231&gt;=(--"00:20:00"),"","X"),"")</f>
        <v>#VALUE!</v>
      </c>
      <c r="CC231" s="299" t="str">
        <f>IF(OR(AV231="Autista non presente",AV231="Dati driver non presenti"),"X","")</f>
        <v/>
      </c>
      <c r="CD231" s="299" t="e">
        <f>IF(K231="",IF(AND(CC231="",BS231&lt;(--"00:20:00")),"X",""),"")</f>
        <v>#VALUE!</v>
      </c>
      <c r="CE231" s="299" t="str">
        <f>IF(K231="",IF(BT231&gt;(--"00:15:00"),"X",""),IF(AZ231&lt;&gt;"",IF(G231-AZ231&gt;(--"00:30:00"),"X",""),""))</f>
        <v/>
      </c>
      <c r="CF231" s="299" t="e">
        <f>IF(AND(CA231="",CB231="",CC231="",CD231="",CE231=""),"X","")</f>
        <v>#VALUE!</v>
      </c>
      <c r="CG231" s="301"/>
      <c r="CH231" s="299" t="str">
        <f>IF(BT231&gt;(--"00:15:00"),"X","")</f>
        <v/>
      </c>
      <c r="CI231" s="302">
        <f>AY231</f>
        <v>0</v>
      </c>
      <c r="CJ231" s="299" t="str">
        <f>IF(AND(CH231&lt;&gt;"",CI231&lt;&gt;"",LEFT(B231,3)="ITD"),AP231,"")</f>
        <v/>
      </c>
      <c r="CK231" s="305" t="str">
        <f>IF(CJ231&lt;&gt;"",BT231,"")</f>
        <v/>
      </c>
      <c r="CL231" s="301"/>
      <c r="CM231" s="305" t="str">
        <f>IFERROR(VLOOKUP(Q231,'Elenco Casse'!$D$4:$F$292,3,FALSE),"")</f>
        <v/>
      </c>
      <c r="CN231" s="301"/>
      <c r="CO231" s="305" t="str">
        <f>IFERROR(VLOOKUP(E231,Outlist!$A$5:$H$120,8,FALSE),"")</f>
        <v/>
      </c>
      <c r="CP231" s="305" t="str">
        <f>IFERROR(IF(VLOOKUP($E231,Outlist!$A$5:$S$120,19,FALSE)&lt;&gt;0,"Y",""),"")</f>
        <v/>
      </c>
      <c r="CQ231" s="301"/>
      <c r="CR231" s="305" t="str">
        <f>CONCATENATE($B231,$E231,$G231)</f>
        <v/>
      </c>
      <c r="CS231" s="301"/>
      <c r="CT231" s="305" t="e">
        <f>VLOOKUP(Out_Table[[#This Row],[Destination             ORANGE (From Planning)]],Outlist!$A$5:$W$120,22,FALSE)</f>
        <v>#N/A</v>
      </c>
    </row>
    <row r="232" spans="1:98" s="20" customFormat="1" ht="15">
      <c r="A232" s="305" t="str">
        <f>$CR232</f>
        <v/>
      </c>
      <c r="B232" s="351" t="str">
        <f>IFERROR(VLOOKUP(E232,Outlist!$A$5:$AC$120,2,FALSE),"")</f>
        <v/>
      </c>
      <c r="C232" s="352" t="str">
        <f ca="1">IFERROR(IF(LEFT(B232,3)='STAT 77'!$X$2,_xlfn.XLOOKUP(B232,'STAT 77'!C:C,'STAT 77'!B:B),_xlfn.XLOOKUP(B232,'STAT 77'!B:B,'STAT 77'!C:C)),"NON TROVATO")</f>
        <v>NON TROVATO</v>
      </c>
      <c r="D232" s="4"/>
      <c r="E232" s="352" t="str">
        <f>IFERROR(IF(Outlist!$A94&lt;&gt;"",Outlist!$A94,""),"")</f>
        <v/>
      </c>
      <c r="F232" s="352" t="str">
        <f>IFERROR(VLOOKUP(E232,'Cambio O2P'!C:E,2,FALSE),"")</f>
        <v/>
      </c>
      <c r="G232" s="353" t="str">
        <f>IFERROR(VLOOKUP(E232,Outlist!$A$5:$AC$120,5,FALSE)-INT(VLOOKUP(E232,Outlist!$A$5:$AC$120,5,FALSE)),"")</f>
        <v/>
      </c>
      <c r="H232" s="294" t="str">
        <f ca="1">IFERROR(IF(AND('INformazioni per calcoli'!$AB$3&lt;(--"14:30"),'INformazioni per calcoli'!$AB$3&gt;(--"10:00")),"",IF($B232="","",IF($X232&lt;&gt;"","Mezzo Chiuso",IF($W232="","Non al Carico",IF($K232="Safe Parking","Safe Parking", IF(OR($BF232='INformazioni per calcoli'!$AF$8,$BF232='INformazioni per calcoli'!$AC$8,$BF232='INformazioni per calcoli'!$AD$8,$BF232='INformazioni per calcoli'!$AE$8,$BF232='INformazioni per calcoli'!$AG$8,$BF232='INformazioni per calcoli'!$AH$8,$BF232='INformazioni per calcoli'!$AI$8,$BF232='INformazioni per calcoli'!$AJ$8),IF($G232-'INformazioni per calcoli'!$AB$6-'INformazioni per calcoli'!$AB$3+$J232&lt;0,"LFLS",$G232-'INformazioni per calcoli'!$AB$6-'INformazioni per calcoli'!$AB$3+$J232), IF(OR($BF232='INformazioni per calcoli'!$AF$6,$BF232='INformazioni per calcoli'!$AD$6,$BF232='INformazioni per calcoli'!$AE$6,$BF232='INformazioni per calcoli'!$AG$6),IF($G232-'INformazioni per calcoli'!$AB$8-'INformazioni per calcoli'!$AB$3+$J232&lt;0,"LFLS",$G232-'INformazioni per calcoli'!$AB$8-'INformazioni per calcoli'!$AB$3+$J232), IF($G232-'INformazioni per calcoli'!$AB$7-'INformazioni per calcoli'!$AB$3+$J232&lt;0,"LFLS",$G232-'INformazioni per calcoli'!$AB$7-'INformazioni per calcoli'!$AB$3+$J232)))))))),"")</f>
        <v/>
      </c>
      <c r="I232" s="17" t="str">
        <f ca="1">IFERROR(IF($H232&lt;&gt;"",IF($H232="Safe Parking","",IF($W232&lt;&gt;"",IF(AND($U232="X",$V232="X"),$H232-(--"00:30"),""),IF($X232&lt;&gt;"","Mezzo Chiuso","Non al carico"))),""),"")</f>
        <v/>
      </c>
      <c r="J232" s="354" t="str">
        <f>IFERROR(IF($G232="","",IF(INT(VLOOKUP($E232,Outlist!$A$5:$E$120,5,FALSE))&gt;'INformazioni per calcoli'!$AB$2,INT(VLOOKUP($E232,Outlist!$A$5:$E$120,5,FALSE))-INT('INformazioni per calcoli'!$AB$2),0)),"")</f>
        <v/>
      </c>
      <c r="K232" s="27" t="str">
        <f>IF(E232&lt;&gt;"",IFERROR(VLOOKUP(E232,Outlist!$A$5:$AC$120,22,FALSE),""),"")</f>
        <v/>
      </c>
      <c r="L232" s="352" t="str">
        <f>IF(E232&lt;&gt;"",IFERROR(VLOOKUP(E232,Outlist!$A$5:$AC$120,3,FALSE),""),"")</f>
        <v/>
      </c>
      <c r="M232" s="4" t="str">
        <f>IFERROR(_xlfn.XLOOKUP($Q232,'Elenco Casse'!$D:$D,'Elenco Casse'!$E:$E),"")</f>
        <v/>
      </c>
      <c r="N232" s="4" t="str">
        <f>IFERROR(_xlfn.XLOOKUP($Q232,'Elenco Casse'!$D:$D,'Elenco Casse'!$F:$F),"")</f>
        <v/>
      </c>
      <c r="O232" s="4" t="str">
        <f>IF($L232&lt;&gt;"","TT-2/3","")</f>
        <v/>
      </c>
      <c r="P232" s="296" t="str">
        <f>IFERROR(IF(VLOOKUP(E232,Outlist!$A$5:$AC$120,21,FALSE)="YES","Linea Variata",""),"")</f>
        <v/>
      </c>
      <c r="Q232" s="355" t="str">
        <f>IFERROR(VLOOKUP(E232,Outlist!$AK$4:$BH$139,13,FALSE),"")</f>
        <v/>
      </c>
      <c r="R232" s="23"/>
      <c r="S232" s="25" t="str">
        <f>IFERROR(IF(VLOOKUP(E232,Outlist!$A$5:$AC$120,7,FALSE)="X","SUBCO",""),"")</f>
        <v/>
      </c>
      <c r="T232" s="25"/>
      <c r="U232" s="23"/>
      <c r="V232" s="23"/>
      <c r="W232" s="26"/>
      <c r="X232" s="27"/>
      <c r="Y232" s="25" t="str">
        <f>IF(OR(Out_Table[[#This Row],[DOC Del. hr. (RTH)]]&lt;&gt;"",Outlist!S133),"XXX","")</f>
        <v/>
      </c>
      <c r="Z232" s="25"/>
      <c r="AA232" s="25"/>
      <c r="AB232" s="57"/>
      <c r="AC232" s="25"/>
      <c r="AD232" s="25"/>
      <c r="AE232" s="57"/>
      <c r="AF232" s="57"/>
      <c r="AG232" s="25"/>
      <c r="AH232" s="57"/>
      <c r="AI232" s="339"/>
      <c r="AJ232" s="339"/>
      <c r="AK232" s="297" t="str">
        <f>IF(X232&lt;&gt;"",CONCATENATE(IF(AA232&lt;&gt;"",CONCATENATE(Z232," ",AA232," ",BI232),""),IF(AD232&lt;&gt;"",CONCATENATE(","," ",AC232," ",AD232," ",BJ232),""),IF(AG232&lt;&gt;"",CONCATENATE(","," ",AF232," ",AG232," ",BK232),""),IF(AJ232&lt;&gt;"",CONCATENATE(","," ","DD"," ",BL232),"")," ",IF(AI232&lt;&gt;"",CONCATENATE(" - ",AI232," Bag"),"")),"")</f>
        <v/>
      </c>
      <c r="AL232" s="287"/>
      <c r="AM232" s="287"/>
      <c r="AN232" s="287"/>
      <c r="AO232" s="287"/>
      <c r="AP232" s="370" t="str">
        <f>IFERROR(VLOOKUP($E232,Outlist!$A$5:$V$120,20,FALSE),"")</f>
        <v/>
      </c>
      <c r="AQ232" s="288" t="str">
        <f>IFERROR(IF(VLOOKUP($A232,#REF!,8,FALSE)&lt;&gt;"",VLOOKUP($A232,#REF!,8,FALSE),""),"")</f>
        <v/>
      </c>
      <c r="AS232" s="24"/>
      <c r="AT232" s="24"/>
      <c r="AU232" s="27"/>
      <c r="AV232" s="27"/>
      <c r="AX232" s="20" t="str">
        <f>IFERROR(IF(Out_Table[[#This Row],[Cancellazione linea]]="Cancellata","yes",""),"")</f>
        <v/>
      </c>
      <c r="AY232" s="72"/>
      <c r="AZ232" s="27"/>
      <c r="BA232" s="32"/>
      <c r="BB232" s="72"/>
      <c r="BC232" s="72" t="str">
        <f>IFERROR(VLOOKUP(Out_Table[[#This Row],[Aggiornamento STATUS]],'INformazioni per calcoli'!$Y$70:$AA$76,2,FALSE),"")</f>
        <v/>
      </c>
      <c r="BD232" s="289"/>
      <c r="BE232" s="289"/>
      <c r="BF232" s="47" t="str">
        <f>LEFT($E232,3)</f>
        <v/>
      </c>
      <c r="BG232" s="298" t="str">
        <f>IF(Out_Table[[#This Row],[Ora Uscita    (GH)]]&lt;&gt;"","x","")</f>
        <v/>
      </c>
      <c r="BH232" s="299" t="e">
        <f>VLOOKUP($O232,'INformazioni per calcoli'!$Y$20:$AA$23,3,FALSE)</f>
        <v>#N/A</v>
      </c>
      <c r="BI232" s="299" t="e">
        <f>MROUND(Out_Table[[#This Row],[Mtr. Trailer]]*AB232,0.5)</f>
        <v>#N/A</v>
      </c>
      <c r="BJ232" s="299" t="e">
        <f>MROUND(Out_Table[[#This Row],[Mtr. Trailer]]*AE232,0.5)</f>
        <v>#N/A</v>
      </c>
      <c r="BK232" s="299" t="e">
        <f>MROUND(Out_Table[[#This Row],[Mtr. Trailer]]*AH232,0.5)</f>
        <v>#N/A</v>
      </c>
      <c r="BL232" s="300">
        <f>Out_Table[[#This Row],[Double Deck trailer N° bumpers]]</f>
        <v>0</v>
      </c>
      <c r="BM232" s="301"/>
      <c r="BN232" s="299" t="str">
        <f>B232</f>
        <v/>
      </c>
      <c r="BO232" s="299" t="str">
        <f>E232</f>
        <v/>
      </c>
      <c r="BP232" s="302" t="e">
        <f>IF(AND(G232&gt;(--"00:00:01"),G232&lt;(--"15:00:00")),IF(AND(X232&gt;(--"00:00:01"),X232&lt;(--"15:00:00")),G232-X232,G232+1-X232),G232-X232)</f>
        <v>#VALUE!</v>
      </c>
      <c r="BQ232" s="303">
        <f>AE232+AF232+AH232+AJ232</f>
        <v>0</v>
      </c>
      <c r="BR232" s="304" t="e">
        <f>IF(OR(BP232&lt;=(--"00:20:00"),BQ232&gt;=100%),"OK","Not OK")</f>
        <v>#VALUE!</v>
      </c>
      <c r="BS232" s="302" t="e">
        <f>IF(AND(G232&gt;(--"00:00:01"),G232&lt;(--"15:00:00")),IF(AND(AU232&gt;(--"00:00:01"),AU232&lt;(--"15:00:00")),G232-AU232,G232+1-AU232),G232-AU232)</f>
        <v>#VALUE!</v>
      </c>
      <c r="BT232" s="302">
        <f>IF(AND(AZ232&gt;(--"00:00:01"),AZ232&lt;(--"15:00:00")),IF(AND(AU232&gt;(--"00:00:01"),AU232&lt;(--"15:00:00")),AZ232-AU232,AZ232+1-AU232),AZ232-AU232)</f>
        <v>0</v>
      </c>
      <c r="BU232" s="302">
        <f>IF(AND(BA232&gt;(--"00:00:01"),BA232&lt;(--"15:00:00")),IF(AND(AZ232&gt;(--"00:00:01"),AZ232&lt;(--"15:00:00")),BA232-AZ232,BA232+1-AZ232),BA232-AZ232)</f>
        <v>0</v>
      </c>
      <c r="BV232" s="299">
        <f>AV232</f>
        <v>0</v>
      </c>
      <c r="BW232" s="301"/>
      <c r="BX232" s="299" t="str">
        <f>IF(AV232="T Status",IF(AV232&lt;&gt;T232,"X",""),"")</f>
        <v/>
      </c>
      <c r="BY232" s="301"/>
      <c r="BZ232" s="299" t="str">
        <f>IF(X232&lt;&gt;"",IF(CC232="X","Driver Delay",IF(CA232="X","Paperwork Delay",IF(CB232="X","Late freight late sort",IF(CD232="X","Chiamare Control Room",IF(CE232="X","Chiamare Control Room",IF(CF232="X","Chiamare Control Room","")))))),"")</f>
        <v/>
      </c>
      <c r="CA232" s="302" t="e">
        <f>IF(K232="",IF(IF(AND(G232&gt;(--"00:00:01"),G232&lt;(--"15:00:00")),IF(AND(AT232&gt;(--"08:00:00"),AT232&lt;(--"23:59:59")),G232+1-AT232,G232-AT232),G232-AT232)&gt;(--"00:20:00"),"","X"),"")</f>
        <v>#VALUE!</v>
      </c>
      <c r="CB232" s="299" t="e">
        <f>IF(K232="",IF(BP232&gt;=(--"00:20:00"),"","X"),"")</f>
        <v>#VALUE!</v>
      </c>
      <c r="CC232" s="299" t="str">
        <f>IF(OR(AV232="Autista non presente",AV232="Dati driver non presenti"),"X","")</f>
        <v/>
      </c>
      <c r="CD232" s="299" t="e">
        <f>IF(K232="",IF(AND(CC232="",BS232&lt;(--"00:20:00")),"X",""),"")</f>
        <v>#VALUE!</v>
      </c>
      <c r="CE232" s="299" t="str">
        <f>IF(K232="",IF(BT232&gt;(--"00:15:00"),"X",""),IF(AZ232&lt;&gt;"",IF(G232-AZ232&gt;(--"00:30:00"),"X",""),""))</f>
        <v/>
      </c>
      <c r="CF232" s="299" t="e">
        <f>IF(AND(CA232="",CB232="",CC232="",CD232="",CE232=""),"X","")</f>
        <v>#VALUE!</v>
      </c>
      <c r="CG232" s="301"/>
      <c r="CH232" s="299" t="str">
        <f>IF(BT232&gt;(--"00:15:00"),"X","")</f>
        <v/>
      </c>
      <c r="CI232" s="302">
        <f>AY232</f>
        <v>0</v>
      </c>
      <c r="CJ232" s="299" t="str">
        <f>IF(AND(CH232&lt;&gt;"",CI232&lt;&gt;"",LEFT(B232,3)="ITD"),AP232,"")</f>
        <v/>
      </c>
      <c r="CK232" s="305" t="str">
        <f>IF(CJ232&lt;&gt;"",BT232,"")</f>
        <v/>
      </c>
      <c r="CL232" s="301"/>
      <c r="CM232" s="305" t="str">
        <f>IFERROR(VLOOKUP(Q232,'Elenco Casse'!$D$4:$F$292,3,FALSE),"")</f>
        <v/>
      </c>
      <c r="CN232" s="301"/>
      <c r="CO232" s="305" t="str">
        <f>IFERROR(VLOOKUP(E232,Outlist!$A$5:$H$120,8,FALSE),"")</f>
        <v/>
      </c>
      <c r="CP232" s="305" t="str">
        <f>IFERROR(IF(VLOOKUP($E232,Outlist!$A$5:$S$120,19,FALSE)&lt;&gt;0,"Y",""),"")</f>
        <v/>
      </c>
      <c r="CQ232" s="301"/>
      <c r="CR232" s="305" t="str">
        <f>CONCATENATE($B232,$E232,$G232)</f>
        <v/>
      </c>
      <c r="CS232" s="301"/>
      <c r="CT232" s="305" t="e">
        <f>VLOOKUP(Out_Table[[#This Row],[Destination             ORANGE (From Planning)]],Outlist!$A$5:$W$120,22,FALSE)</f>
        <v>#N/A</v>
      </c>
    </row>
    <row r="233" spans="1:98" s="20" customFormat="1" ht="15">
      <c r="A233" s="305" t="str">
        <f>$CR233</f>
        <v/>
      </c>
      <c r="B233" s="351" t="str">
        <f>IFERROR(VLOOKUP(E233,Outlist!$A$5:$AC$120,2,FALSE),"")</f>
        <v/>
      </c>
      <c r="C233" s="352" t="str">
        <f ca="1">IFERROR(IF(LEFT(B233,3)='STAT 77'!$X$2,_xlfn.XLOOKUP(B233,'STAT 77'!C:C,'STAT 77'!B:B),_xlfn.XLOOKUP(B233,'STAT 77'!B:B,'STAT 77'!C:C)),"NON TROVATO")</f>
        <v>NON TROVATO</v>
      </c>
      <c r="D233" s="4"/>
      <c r="E233" s="352" t="str">
        <f>IFERROR(IF(Outlist!$A95&lt;&gt;"",Outlist!$A95,""),"")</f>
        <v/>
      </c>
      <c r="F233" s="352" t="str">
        <f>IFERROR(VLOOKUP(E233,'Cambio O2P'!C:E,2,FALSE),"")</f>
        <v/>
      </c>
      <c r="G233" s="353" t="str">
        <f>IFERROR(VLOOKUP(E233,Outlist!$A$5:$AC$120,5,FALSE)-INT(VLOOKUP(E233,Outlist!$A$5:$AC$120,5,FALSE)),"")</f>
        <v/>
      </c>
      <c r="H233" s="294" t="str">
        <f ca="1">IFERROR(IF(AND('INformazioni per calcoli'!$AB$3&lt;(--"14:30"),'INformazioni per calcoli'!$AB$3&gt;(--"10:00")),"",IF($B233="","",IF($X233&lt;&gt;"","Mezzo Chiuso",IF($W233="","Non al Carico",IF($K233="Safe Parking","Safe Parking", IF(OR($BF233='INformazioni per calcoli'!$AF$8,$BF233='INformazioni per calcoli'!$AC$8,$BF233='INformazioni per calcoli'!$AD$8,$BF233='INformazioni per calcoli'!$AE$8,$BF233='INformazioni per calcoli'!$AG$8,$BF233='INformazioni per calcoli'!$AH$8,$BF233='INformazioni per calcoli'!$AI$8,$BF233='INformazioni per calcoli'!$AJ$8),IF($G233-'INformazioni per calcoli'!$AB$6-'INformazioni per calcoli'!$AB$3+$J233&lt;0,"LFLS",$G233-'INformazioni per calcoli'!$AB$6-'INformazioni per calcoli'!$AB$3+$J233), IF(OR($BF233='INformazioni per calcoli'!$AF$6,$BF233='INformazioni per calcoli'!$AD$6,$BF233='INformazioni per calcoli'!$AE$6,$BF233='INformazioni per calcoli'!$AG$6),IF($G233-'INformazioni per calcoli'!$AB$8-'INformazioni per calcoli'!$AB$3+$J233&lt;0,"LFLS",$G233-'INformazioni per calcoli'!$AB$8-'INformazioni per calcoli'!$AB$3+$J233), IF($G233-'INformazioni per calcoli'!$AB$7-'INformazioni per calcoli'!$AB$3+$J233&lt;0,"LFLS",$G233-'INformazioni per calcoli'!$AB$7-'INformazioni per calcoli'!$AB$3+$J233)))))))),"")</f>
        <v/>
      </c>
      <c r="I233" s="17" t="str">
        <f ca="1">IFERROR(IF($H233&lt;&gt;"",IF($H233="Safe Parking","",IF($W233&lt;&gt;"",IF(AND($U233="X",$V233="X"),$H233-(--"00:30"),""),IF($X233&lt;&gt;"","Mezzo Chiuso","Non al carico"))),""),"")</f>
        <v/>
      </c>
      <c r="J233" s="354" t="str">
        <f>IFERROR(IF($G233="","",IF(INT(VLOOKUP($E233,Outlist!$A$5:$E$120,5,FALSE))&gt;'INformazioni per calcoli'!$AB$2,INT(VLOOKUP($E233,Outlist!$A$5:$E$120,5,FALSE))-INT('INformazioni per calcoli'!$AB$2),0)),"")</f>
        <v/>
      </c>
      <c r="K233" s="27" t="str">
        <f>IF(E233&lt;&gt;"",IFERROR(VLOOKUP(E233,Outlist!$A$5:$AC$120,22,FALSE),""),"")</f>
        <v/>
      </c>
      <c r="L233" s="352" t="str">
        <f>IF(E233&lt;&gt;"",IFERROR(VLOOKUP(E233,Outlist!$A$5:$AC$120,3,FALSE),""),"")</f>
        <v/>
      </c>
      <c r="M233" s="4" t="str">
        <f>IFERROR(_xlfn.XLOOKUP($Q233,'Elenco Casse'!$D:$D,'Elenco Casse'!$E:$E),"")</f>
        <v/>
      </c>
      <c r="N233" s="4" t="str">
        <f>IFERROR(_xlfn.XLOOKUP($Q233,'Elenco Casse'!$D:$D,'Elenco Casse'!$F:$F),"")</f>
        <v/>
      </c>
      <c r="O233" s="4" t="str">
        <f>IF($L233&lt;&gt;"","TT-2/3","")</f>
        <v/>
      </c>
      <c r="P233" s="296" t="str">
        <f>IFERROR(IF(VLOOKUP(E233,Outlist!$A$5:$AC$120,21,FALSE)="YES","Linea Variata",""),"")</f>
        <v/>
      </c>
      <c r="Q233" s="355" t="str">
        <f>IFERROR(VLOOKUP(E233,Outlist!$AK$4:$BH$139,13,FALSE),"")</f>
        <v/>
      </c>
      <c r="R233" s="23"/>
      <c r="S233" s="25" t="str">
        <f>IFERROR(IF(VLOOKUP(E233,Outlist!$A$5:$AC$120,7,FALSE)="X","SUBCO",""),"")</f>
        <v/>
      </c>
      <c r="T233" s="25"/>
      <c r="U233" s="23"/>
      <c r="V233" s="23"/>
      <c r="W233" s="26"/>
      <c r="X233" s="27"/>
      <c r="Y233" s="25" t="str">
        <f>IF(OR(Out_Table[[#This Row],[DOC Del. hr. (RTH)]]&lt;&gt;"",Outlist!S134),"XXX","")</f>
        <v/>
      </c>
      <c r="Z233" s="25"/>
      <c r="AA233" s="25"/>
      <c r="AB233" s="57"/>
      <c r="AC233" s="25"/>
      <c r="AD233" s="25"/>
      <c r="AE233" s="57"/>
      <c r="AF233" s="57"/>
      <c r="AG233" s="25"/>
      <c r="AH233" s="57"/>
      <c r="AI233" s="339"/>
      <c r="AJ233" s="339"/>
      <c r="AK233" s="297" t="str">
        <f>IF(X233&lt;&gt;"",CONCATENATE(IF(AA233&lt;&gt;"",CONCATENATE(Z233," ",AA233," ",BI233),""),IF(AD233&lt;&gt;"",CONCATENATE(","," ",AC233," ",AD233," ",BJ233),""),IF(AG233&lt;&gt;"",CONCATENATE(","," ",AF233," ",AG233," ",BK233),""),IF(AJ233&lt;&gt;"",CONCATENATE(","," ","DD"," ",BL233),"")," ",IF(AI233&lt;&gt;"",CONCATENATE(" - ",AI233," Bag"),"")),"")</f>
        <v/>
      </c>
      <c r="AL233" s="287"/>
      <c r="AM233" s="287"/>
      <c r="AN233" s="287"/>
      <c r="AO233" s="287"/>
      <c r="AP233" s="370" t="str">
        <f>IFERROR(VLOOKUP($E233,Outlist!$A$5:$V$120,20,FALSE),"")</f>
        <v/>
      </c>
      <c r="AQ233" s="288" t="str">
        <f>IFERROR(IF(VLOOKUP($A233,#REF!,8,FALSE)&lt;&gt;"",VLOOKUP($A233,#REF!,8,FALSE),""),"")</f>
        <v/>
      </c>
      <c r="AS233" s="24"/>
      <c r="AT233" s="24"/>
      <c r="AU233" s="27"/>
      <c r="AV233" s="27"/>
      <c r="AX233" s="20" t="str">
        <f>IFERROR(IF(Out_Table[[#This Row],[Cancellazione linea]]="Cancellata","yes",""),"")</f>
        <v/>
      </c>
      <c r="AY233" s="72"/>
      <c r="AZ233" s="27"/>
      <c r="BA233" s="32"/>
      <c r="BB233" s="72"/>
      <c r="BC233" s="72" t="str">
        <f>IFERROR(VLOOKUP(Out_Table[[#This Row],[Aggiornamento STATUS]],'INformazioni per calcoli'!$Y$70:$AA$76,2,FALSE),"")</f>
        <v/>
      </c>
      <c r="BD233" s="289"/>
      <c r="BE233" s="289"/>
      <c r="BF233" s="47" t="str">
        <f>LEFT($E233,3)</f>
        <v/>
      </c>
      <c r="BG233" s="298" t="str">
        <f>IF(Out_Table[[#This Row],[Ora Uscita    (GH)]]&lt;&gt;"","x","")</f>
        <v/>
      </c>
      <c r="BH233" s="299" t="e">
        <f>VLOOKUP($O233,'INformazioni per calcoli'!$Y$20:$AA$23,3,FALSE)</f>
        <v>#N/A</v>
      </c>
      <c r="BI233" s="299" t="e">
        <f>MROUND(Out_Table[[#This Row],[Mtr. Trailer]]*AB233,0.5)</f>
        <v>#N/A</v>
      </c>
      <c r="BJ233" s="299" t="e">
        <f>MROUND(Out_Table[[#This Row],[Mtr. Trailer]]*AE233,0.5)</f>
        <v>#N/A</v>
      </c>
      <c r="BK233" s="299" t="e">
        <f>MROUND(Out_Table[[#This Row],[Mtr. Trailer]]*AH233,0.5)</f>
        <v>#N/A</v>
      </c>
      <c r="BL233" s="300">
        <f>Out_Table[[#This Row],[Double Deck trailer N° bumpers]]</f>
        <v>0</v>
      </c>
      <c r="BM233" s="301"/>
      <c r="BN233" s="299" t="str">
        <f>B233</f>
        <v/>
      </c>
      <c r="BO233" s="299" t="str">
        <f>E233</f>
        <v/>
      </c>
      <c r="BP233" s="302" t="e">
        <f>IF(AND(G233&gt;(--"00:00:01"),G233&lt;(--"15:00:00")),IF(AND(X233&gt;(--"00:00:01"),X233&lt;(--"15:00:00")),G233-X233,G233+1-X233),G233-X233)</f>
        <v>#VALUE!</v>
      </c>
      <c r="BQ233" s="303">
        <f>AE233+AF233+AH233+AJ233</f>
        <v>0</v>
      </c>
      <c r="BR233" s="304" t="e">
        <f>IF(OR(BP233&lt;=(--"00:20:00"),BQ233&gt;=100%),"OK","Not OK")</f>
        <v>#VALUE!</v>
      </c>
      <c r="BS233" s="302" t="e">
        <f>IF(AND(G233&gt;(--"00:00:01"),G233&lt;(--"15:00:00")),IF(AND(AU233&gt;(--"00:00:01"),AU233&lt;(--"15:00:00")),G233-AU233,G233+1-AU233),G233-AU233)</f>
        <v>#VALUE!</v>
      </c>
      <c r="BT233" s="302">
        <f>IF(AND(AZ233&gt;(--"00:00:01"),AZ233&lt;(--"15:00:00")),IF(AND(AU233&gt;(--"00:00:01"),AU233&lt;(--"15:00:00")),AZ233-AU233,AZ233+1-AU233),AZ233-AU233)</f>
        <v>0</v>
      </c>
      <c r="BU233" s="302">
        <f>IF(AND(BA233&gt;(--"00:00:01"),BA233&lt;(--"15:00:00")),IF(AND(AZ233&gt;(--"00:00:01"),AZ233&lt;(--"15:00:00")),BA233-AZ233,BA233+1-AZ233),BA233-AZ233)</f>
        <v>0</v>
      </c>
      <c r="BV233" s="299">
        <f>AV233</f>
        <v>0</v>
      </c>
      <c r="BW233" s="301"/>
      <c r="BX233" s="299" t="str">
        <f>IF(AV233="T Status",IF(AV233&lt;&gt;T233,"X",""),"")</f>
        <v/>
      </c>
      <c r="BY233" s="301"/>
      <c r="BZ233" s="299" t="str">
        <f>IF(X233&lt;&gt;"",IF(CC233="X","Driver Delay",IF(CA233="X","Paperwork Delay",IF(CB233="X","Late freight late sort",IF(CD233="X","Chiamare Control Room",IF(CE233="X","Chiamare Control Room",IF(CF233="X","Chiamare Control Room","")))))),"")</f>
        <v/>
      </c>
      <c r="CA233" s="302" t="e">
        <f>IF(K233="",IF(IF(AND(G233&gt;(--"00:00:01"),G233&lt;(--"15:00:00")),IF(AND(AT233&gt;(--"08:00:00"),AT233&lt;(--"23:59:59")),G233+1-AT233,G233-AT233),G233-AT233)&gt;(--"00:20:00"),"","X"),"")</f>
        <v>#VALUE!</v>
      </c>
      <c r="CB233" s="299" t="e">
        <f>IF(K233="",IF(BP233&gt;=(--"00:20:00"),"","X"),"")</f>
        <v>#VALUE!</v>
      </c>
      <c r="CC233" s="299" t="str">
        <f>IF(OR(AV233="Autista non presente",AV233="Dati driver non presenti"),"X","")</f>
        <v/>
      </c>
      <c r="CD233" s="299" t="e">
        <f>IF(K233="",IF(AND(CC233="",BS233&lt;(--"00:20:00")),"X",""),"")</f>
        <v>#VALUE!</v>
      </c>
      <c r="CE233" s="299" t="str">
        <f>IF(K233="",IF(BT233&gt;(--"00:15:00"),"X",""),IF(AZ233&lt;&gt;"",IF(G233-AZ233&gt;(--"00:30:00"),"X",""),""))</f>
        <v/>
      </c>
      <c r="CF233" s="299" t="e">
        <f>IF(AND(CA233="",CB233="",CC233="",CD233="",CE233=""),"X","")</f>
        <v>#VALUE!</v>
      </c>
      <c r="CG233" s="301"/>
      <c r="CH233" s="299" t="str">
        <f>IF(BT233&gt;(--"00:15:00"),"X","")</f>
        <v/>
      </c>
      <c r="CI233" s="302">
        <f>AY233</f>
        <v>0</v>
      </c>
      <c r="CJ233" s="299" t="str">
        <f>IF(AND(CH233&lt;&gt;"",CI233&lt;&gt;"",LEFT(B233,3)="ITD"),AP233,"")</f>
        <v/>
      </c>
      <c r="CK233" s="305" t="str">
        <f>IF(CJ233&lt;&gt;"",BT233,"")</f>
        <v/>
      </c>
      <c r="CL233" s="301"/>
      <c r="CM233" s="305" t="str">
        <f>IFERROR(VLOOKUP(Q233,'Elenco Casse'!$D$4:$F$292,3,FALSE),"")</f>
        <v/>
      </c>
      <c r="CN233" s="301"/>
      <c r="CO233" s="305" t="str">
        <f>IFERROR(VLOOKUP(E233,Outlist!$A$5:$H$120,8,FALSE),"")</f>
        <v/>
      </c>
      <c r="CP233" s="305" t="str">
        <f>IFERROR(IF(VLOOKUP($E233,Outlist!$A$5:$S$120,19,FALSE)&lt;&gt;0,"Y",""),"")</f>
        <v/>
      </c>
      <c r="CQ233" s="301"/>
      <c r="CR233" s="305" t="str">
        <f>CONCATENATE($B233,$E233,$G233)</f>
        <v/>
      </c>
      <c r="CS233" s="301"/>
      <c r="CT233" s="305" t="e">
        <f>VLOOKUP(Out_Table[[#This Row],[Destination             ORANGE (From Planning)]],Outlist!$A$5:$W$120,22,FALSE)</f>
        <v>#N/A</v>
      </c>
    </row>
    <row r="234" spans="1:98" s="20" customFormat="1" ht="15">
      <c r="A234" s="305" t="str">
        <f>$CR234</f>
        <v/>
      </c>
      <c r="B234" s="351" t="str">
        <f>IFERROR(VLOOKUP(E234,Outlist!$A$5:$AC$120,2,FALSE),"")</f>
        <v/>
      </c>
      <c r="C234" s="352" t="str">
        <f ca="1">IFERROR(IF(LEFT(B234,3)='STAT 77'!$X$2,_xlfn.XLOOKUP(B234,'STAT 77'!C:C,'STAT 77'!B:B),_xlfn.XLOOKUP(B234,'STAT 77'!B:B,'STAT 77'!C:C)),"NON TROVATO")</f>
        <v>NON TROVATO</v>
      </c>
      <c r="D234" s="4"/>
      <c r="E234" s="352" t="str">
        <f>IFERROR(IF(Outlist!$A96&lt;&gt;"",Outlist!$A96,""),"")</f>
        <v/>
      </c>
      <c r="F234" s="352" t="str">
        <f>IFERROR(VLOOKUP(E234,'Cambio O2P'!C:E,2,FALSE),"")</f>
        <v/>
      </c>
      <c r="G234" s="353" t="str">
        <f>IFERROR(VLOOKUP(E234,Outlist!$A$5:$AC$120,5,FALSE)-INT(VLOOKUP(E234,Outlist!$A$5:$AC$120,5,FALSE)),"")</f>
        <v/>
      </c>
      <c r="H234" s="294" t="str">
        <f ca="1">IFERROR(IF(AND('INformazioni per calcoli'!$AB$3&lt;(--"14:30"),'INformazioni per calcoli'!$AB$3&gt;(--"10:00")),"",IF($B234="","",IF($X234&lt;&gt;"","Mezzo Chiuso",IF($W234="","Non al Carico",IF($K234="Safe Parking","Safe Parking", IF(OR($BF234='INformazioni per calcoli'!$AF$8,$BF234='INformazioni per calcoli'!$AC$8,$BF234='INformazioni per calcoli'!$AD$8,$BF234='INformazioni per calcoli'!$AE$8,$BF234='INformazioni per calcoli'!$AG$8,$BF234='INformazioni per calcoli'!$AH$8,$BF234='INformazioni per calcoli'!$AI$8,$BF234='INformazioni per calcoli'!$AJ$8),IF($G234-'INformazioni per calcoli'!$AB$6-'INformazioni per calcoli'!$AB$3+$J234&lt;0,"LFLS",$G234-'INformazioni per calcoli'!$AB$6-'INformazioni per calcoli'!$AB$3+$J234), IF(OR($BF234='INformazioni per calcoli'!$AF$6,$BF234='INformazioni per calcoli'!$AD$6,$BF234='INformazioni per calcoli'!$AE$6,$BF234='INformazioni per calcoli'!$AG$6),IF($G234-'INformazioni per calcoli'!$AB$8-'INformazioni per calcoli'!$AB$3+$J234&lt;0,"LFLS",$G234-'INformazioni per calcoli'!$AB$8-'INformazioni per calcoli'!$AB$3+$J234), IF($G234-'INformazioni per calcoli'!$AB$7-'INformazioni per calcoli'!$AB$3+$J234&lt;0,"LFLS",$G234-'INformazioni per calcoli'!$AB$7-'INformazioni per calcoli'!$AB$3+$J234)))))))),"")</f>
        <v/>
      </c>
      <c r="I234" s="17" t="str">
        <f ca="1">IFERROR(IF($H234&lt;&gt;"",IF($H234="Safe Parking","",IF($W234&lt;&gt;"",IF(AND($U234="X",$V234="X"),$H234-(--"00:30"),""),IF($X234&lt;&gt;"","Mezzo Chiuso","Non al carico"))),""),"")</f>
        <v/>
      </c>
      <c r="J234" s="354" t="str">
        <f>IFERROR(IF($G234="","",IF(INT(VLOOKUP($E234,Outlist!$A$5:$E$120,5,FALSE))&gt;'INformazioni per calcoli'!$AB$2,INT(VLOOKUP($E234,Outlist!$A$5:$E$120,5,FALSE))-INT('INformazioni per calcoli'!$AB$2),0)),"")</f>
        <v/>
      </c>
      <c r="K234" s="27" t="str">
        <f>IF(E234&lt;&gt;"",IFERROR(VLOOKUP(E234,Outlist!$A$5:$AC$120,22,FALSE),""),"")</f>
        <v/>
      </c>
      <c r="L234" s="352" t="str">
        <f>IF(E234&lt;&gt;"",IFERROR(VLOOKUP(E234,Outlist!$A$5:$AC$120,3,FALSE),""),"")</f>
        <v/>
      </c>
      <c r="M234" s="4" t="str">
        <f>IFERROR(_xlfn.XLOOKUP($Q234,'Elenco Casse'!$D:$D,'Elenco Casse'!$E:$E),"")</f>
        <v/>
      </c>
      <c r="N234" s="4" t="str">
        <f>IFERROR(_xlfn.XLOOKUP($Q234,'Elenco Casse'!$D:$D,'Elenco Casse'!$F:$F),"")</f>
        <v/>
      </c>
      <c r="O234" s="4" t="str">
        <f>IF($L234&lt;&gt;"","TT-2/3","")</f>
        <v/>
      </c>
      <c r="P234" s="296" t="str">
        <f>IFERROR(IF(VLOOKUP(E234,Outlist!$A$5:$AC$120,21,FALSE)="YES","Linea Variata",""),"")</f>
        <v/>
      </c>
      <c r="Q234" s="355" t="str">
        <f>IFERROR(VLOOKUP(E234,Outlist!$AK$4:$BH$139,13,FALSE),"")</f>
        <v/>
      </c>
      <c r="R234" s="23"/>
      <c r="S234" s="25" t="str">
        <f>IFERROR(IF(VLOOKUP(E234,Outlist!$A$5:$AC$120,7,FALSE)="X","SUBCO",""),"")</f>
        <v/>
      </c>
      <c r="T234" s="25"/>
      <c r="U234" s="23"/>
      <c r="V234" s="23"/>
      <c r="W234" s="26"/>
      <c r="X234" s="27"/>
      <c r="Y234" s="25" t="str">
        <f>IF(OR(Out_Table[[#This Row],[DOC Del. hr. (RTH)]]&lt;&gt;"",Outlist!S135),"XXX","")</f>
        <v/>
      </c>
      <c r="Z234" s="25"/>
      <c r="AA234" s="25"/>
      <c r="AB234" s="57"/>
      <c r="AC234" s="25"/>
      <c r="AD234" s="25"/>
      <c r="AE234" s="57"/>
      <c r="AF234" s="57"/>
      <c r="AG234" s="25"/>
      <c r="AH234" s="57"/>
      <c r="AI234" s="339"/>
      <c r="AJ234" s="339"/>
      <c r="AK234" s="297" t="str">
        <f>IF(X234&lt;&gt;"",CONCATENATE(IF(AA234&lt;&gt;"",CONCATENATE(Z234," ",AA234," ",BI234),""),IF(AD234&lt;&gt;"",CONCATENATE(","," ",AC234," ",AD234," ",BJ234),""),IF(AG234&lt;&gt;"",CONCATENATE(","," ",AF234," ",AG234," ",BK234),""),IF(AJ234&lt;&gt;"",CONCATENATE(","," ","DD"," ",BL234),"")," ",IF(AI234&lt;&gt;"",CONCATENATE(" - ",AI234," Bag"),"")),"")</f>
        <v/>
      </c>
      <c r="AL234" s="287"/>
      <c r="AM234" s="287"/>
      <c r="AN234" s="287"/>
      <c r="AO234" s="287"/>
      <c r="AP234" s="370" t="str">
        <f>IFERROR(VLOOKUP($E234,Outlist!$A$5:$V$120,20,FALSE),"")</f>
        <v/>
      </c>
      <c r="AQ234" s="288" t="str">
        <f>IFERROR(IF(VLOOKUP($A234,#REF!,8,FALSE)&lt;&gt;"",VLOOKUP($A234,#REF!,8,FALSE),""),"")</f>
        <v/>
      </c>
      <c r="AS234" s="24"/>
      <c r="AT234" s="24"/>
      <c r="AU234" s="27"/>
      <c r="AV234" s="27"/>
      <c r="AX234" s="20" t="str">
        <f>IFERROR(IF(Out_Table[[#This Row],[Cancellazione linea]]="Cancellata","yes",""),"")</f>
        <v/>
      </c>
      <c r="AY234" s="72"/>
      <c r="AZ234" s="27"/>
      <c r="BA234" s="32"/>
      <c r="BB234" s="72"/>
      <c r="BC234" s="72" t="str">
        <f>IFERROR(VLOOKUP(Out_Table[[#This Row],[Aggiornamento STATUS]],'INformazioni per calcoli'!$Y$70:$AA$76,2,FALSE),"")</f>
        <v/>
      </c>
      <c r="BD234" s="289"/>
      <c r="BE234" s="289"/>
      <c r="BF234" s="47" t="str">
        <f>LEFT($E234,3)</f>
        <v/>
      </c>
      <c r="BG234" s="298" t="str">
        <f>IF(Out_Table[[#This Row],[Ora Uscita    (GH)]]&lt;&gt;"","x","")</f>
        <v/>
      </c>
      <c r="BH234" s="299" t="e">
        <f>VLOOKUP($O234,'INformazioni per calcoli'!$Y$20:$AA$23,3,FALSE)</f>
        <v>#N/A</v>
      </c>
      <c r="BI234" s="299" t="e">
        <f>MROUND(Out_Table[[#This Row],[Mtr. Trailer]]*AB234,0.5)</f>
        <v>#N/A</v>
      </c>
      <c r="BJ234" s="299" t="e">
        <f>MROUND(Out_Table[[#This Row],[Mtr. Trailer]]*AE234,0.5)</f>
        <v>#N/A</v>
      </c>
      <c r="BK234" s="299" t="e">
        <f>MROUND(Out_Table[[#This Row],[Mtr. Trailer]]*AH234,0.5)</f>
        <v>#N/A</v>
      </c>
      <c r="BL234" s="300">
        <f>Out_Table[[#This Row],[Double Deck trailer N° bumpers]]</f>
        <v>0</v>
      </c>
      <c r="BM234" s="301"/>
      <c r="BN234" s="299" t="str">
        <f>B234</f>
        <v/>
      </c>
      <c r="BO234" s="299" t="str">
        <f>E234</f>
        <v/>
      </c>
      <c r="BP234" s="302" t="e">
        <f>IF(AND(G234&gt;(--"00:00:01"),G234&lt;(--"15:00:00")),IF(AND(X234&gt;(--"00:00:01"),X234&lt;(--"15:00:00")),G234-X234,G234+1-X234),G234-X234)</f>
        <v>#VALUE!</v>
      </c>
      <c r="BQ234" s="303">
        <f>AE234+AF234+AH234+AJ234</f>
        <v>0</v>
      </c>
      <c r="BR234" s="304" t="e">
        <f>IF(OR(BP234&lt;=(--"00:20:00"),BQ234&gt;=100%),"OK","Not OK")</f>
        <v>#VALUE!</v>
      </c>
      <c r="BS234" s="302" t="e">
        <f>IF(AND(G234&gt;(--"00:00:01"),G234&lt;(--"15:00:00")),IF(AND(AU234&gt;(--"00:00:01"),AU234&lt;(--"15:00:00")),G234-AU234,G234+1-AU234),G234-AU234)</f>
        <v>#VALUE!</v>
      </c>
      <c r="BT234" s="302">
        <f>IF(AND(AZ234&gt;(--"00:00:01"),AZ234&lt;(--"15:00:00")),IF(AND(AU234&gt;(--"00:00:01"),AU234&lt;(--"15:00:00")),AZ234-AU234,AZ234+1-AU234),AZ234-AU234)</f>
        <v>0</v>
      </c>
      <c r="BU234" s="302">
        <f>IF(AND(BA234&gt;(--"00:00:01"),BA234&lt;(--"15:00:00")),IF(AND(AZ234&gt;(--"00:00:01"),AZ234&lt;(--"15:00:00")),BA234-AZ234,BA234+1-AZ234),BA234-AZ234)</f>
        <v>0</v>
      </c>
      <c r="BV234" s="299">
        <f>AV234</f>
        <v>0</v>
      </c>
      <c r="BW234" s="301"/>
      <c r="BX234" s="299" t="str">
        <f>IF(AV234="T Status",IF(AV234&lt;&gt;T234,"X",""),"")</f>
        <v/>
      </c>
      <c r="BY234" s="301"/>
      <c r="BZ234" s="299" t="str">
        <f>IF(X234&lt;&gt;"",IF(CC234="X","Driver Delay",IF(CA234="X","Paperwork Delay",IF(CB234="X","Late freight late sort",IF(CD234="X","Chiamare Control Room",IF(CE234="X","Chiamare Control Room",IF(CF234="X","Chiamare Control Room","")))))),"")</f>
        <v/>
      </c>
      <c r="CA234" s="302" t="e">
        <f>IF(K234="",IF(IF(AND(G234&gt;(--"00:00:01"),G234&lt;(--"15:00:00")),IF(AND(AT234&gt;(--"08:00:00"),AT234&lt;(--"23:59:59")),G234+1-AT234,G234-AT234),G234-AT234)&gt;(--"00:20:00"),"","X"),"")</f>
        <v>#VALUE!</v>
      </c>
      <c r="CB234" s="299" t="e">
        <f>IF(K234="",IF(BP234&gt;=(--"00:20:00"),"","X"),"")</f>
        <v>#VALUE!</v>
      </c>
      <c r="CC234" s="299" t="str">
        <f>IF(OR(AV234="Autista non presente",AV234="Dati driver non presenti"),"X","")</f>
        <v/>
      </c>
      <c r="CD234" s="299" t="e">
        <f>IF(K234="",IF(AND(CC234="",BS234&lt;(--"00:20:00")),"X",""),"")</f>
        <v>#VALUE!</v>
      </c>
      <c r="CE234" s="299" t="str">
        <f>IF(K234="",IF(BT234&gt;(--"00:15:00"),"X",""),IF(AZ234&lt;&gt;"",IF(G234-AZ234&gt;(--"00:30:00"),"X",""),""))</f>
        <v/>
      </c>
      <c r="CF234" s="299" t="e">
        <f>IF(AND(CA234="",CB234="",CC234="",CD234="",CE234=""),"X","")</f>
        <v>#VALUE!</v>
      </c>
      <c r="CG234" s="301"/>
      <c r="CH234" s="299" t="str">
        <f>IF(BT234&gt;(--"00:15:00"),"X","")</f>
        <v/>
      </c>
      <c r="CI234" s="302">
        <f>AY234</f>
        <v>0</v>
      </c>
      <c r="CJ234" s="299" t="str">
        <f>IF(AND(CH234&lt;&gt;"",CI234&lt;&gt;"",LEFT(B234,3)="ITD"),AP234,"")</f>
        <v/>
      </c>
      <c r="CK234" s="305" t="str">
        <f>IF(CJ234&lt;&gt;"",BT234,"")</f>
        <v/>
      </c>
      <c r="CL234" s="301"/>
      <c r="CM234" s="305" t="str">
        <f>IFERROR(VLOOKUP(Q234,'Elenco Casse'!$D$4:$F$292,3,FALSE),"")</f>
        <v/>
      </c>
      <c r="CN234" s="301"/>
      <c r="CO234" s="305" t="str">
        <f>IFERROR(VLOOKUP(E234,Outlist!$A$5:$H$120,8,FALSE),"")</f>
        <v/>
      </c>
      <c r="CP234" s="305" t="str">
        <f>IFERROR(IF(VLOOKUP($E234,Outlist!$A$5:$S$120,19,FALSE)&lt;&gt;0,"Y",""),"")</f>
        <v/>
      </c>
      <c r="CQ234" s="301"/>
      <c r="CR234" s="305" t="str">
        <f>CONCATENATE($B234,$E234,$G234)</f>
        <v/>
      </c>
      <c r="CS234" s="301"/>
      <c r="CT234" s="305" t="e">
        <f>VLOOKUP(Out_Table[[#This Row],[Destination             ORANGE (From Planning)]],Outlist!$A$5:$W$120,22,FALSE)</f>
        <v>#N/A</v>
      </c>
    </row>
    <row r="235" spans="1:98" s="20" customFormat="1" ht="15">
      <c r="A235" s="305" t="str">
        <f>$CR235</f>
        <v/>
      </c>
      <c r="B235" s="351" t="str">
        <f>IFERROR(VLOOKUP(E235,Outlist!$A$5:$AC$120,2,FALSE),"")</f>
        <v/>
      </c>
      <c r="C235" s="352" t="str">
        <f ca="1">IFERROR(IF(LEFT(B235,3)='STAT 77'!$X$2,_xlfn.XLOOKUP(B235,'STAT 77'!C:C,'STAT 77'!B:B),_xlfn.XLOOKUP(B235,'STAT 77'!B:B,'STAT 77'!C:C)),"NON TROVATO")</f>
        <v>NON TROVATO</v>
      </c>
      <c r="D235" s="4"/>
      <c r="E235" s="352" t="str">
        <f>IFERROR(IF(Outlist!$A97&lt;&gt;"",Outlist!$A97,""),"")</f>
        <v/>
      </c>
      <c r="F235" s="352" t="str">
        <f>IFERROR(VLOOKUP(E235,'Cambio O2P'!C:E,2,FALSE),"")</f>
        <v/>
      </c>
      <c r="G235" s="353" t="str">
        <f>IFERROR(VLOOKUP(E235,Outlist!$A$5:$AC$120,5,FALSE)-INT(VLOOKUP(E235,Outlist!$A$5:$AC$120,5,FALSE)),"")</f>
        <v/>
      </c>
      <c r="H235" s="294" t="str">
        <f ca="1">IFERROR(IF(AND('INformazioni per calcoli'!$AB$3&lt;(--"14:30"),'INformazioni per calcoli'!$AB$3&gt;(--"10:00")),"",IF($B235="","",IF($X235&lt;&gt;"","Mezzo Chiuso",IF($W235="","Non al Carico",IF($K235="Safe Parking","Safe Parking", IF(OR($BF235='INformazioni per calcoli'!$AF$8,$BF235='INformazioni per calcoli'!$AC$8,$BF235='INformazioni per calcoli'!$AD$8,$BF235='INformazioni per calcoli'!$AE$8,$BF235='INformazioni per calcoli'!$AG$8,$BF235='INformazioni per calcoli'!$AH$8,$BF235='INformazioni per calcoli'!$AI$8,$BF235='INformazioni per calcoli'!$AJ$8),IF($G235-'INformazioni per calcoli'!$AB$6-'INformazioni per calcoli'!$AB$3+$J235&lt;0,"LFLS",$G235-'INformazioni per calcoli'!$AB$6-'INformazioni per calcoli'!$AB$3+$J235), IF(OR($BF235='INformazioni per calcoli'!$AF$6,$BF235='INformazioni per calcoli'!$AD$6,$BF235='INformazioni per calcoli'!$AE$6,$BF235='INformazioni per calcoli'!$AG$6),IF($G235-'INformazioni per calcoli'!$AB$8-'INformazioni per calcoli'!$AB$3+$J235&lt;0,"LFLS",$G235-'INformazioni per calcoli'!$AB$8-'INformazioni per calcoli'!$AB$3+$J235), IF($G235-'INformazioni per calcoli'!$AB$7-'INformazioni per calcoli'!$AB$3+$J235&lt;0,"LFLS",$G235-'INformazioni per calcoli'!$AB$7-'INformazioni per calcoli'!$AB$3+$J235)))))))),"")</f>
        <v/>
      </c>
      <c r="I235" s="17" t="str">
        <f ca="1">IFERROR(IF($H235&lt;&gt;"",IF($H235="Safe Parking","",IF($W235&lt;&gt;"",IF(AND($U235="X",$V235="X"),$H235-(--"00:30"),""),IF($X235&lt;&gt;"","Mezzo Chiuso","Non al carico"))),""),"")</f>
        <v/>
      </c>
      <c r="J235" s="354" t="str">
        <f>IFERROR(IF($G235="","",IF(INT(VLOOKUP($E235,Outlist!$A$5:$E$120,5,FALSE))&gt;'INformazioni per calcoli'!$AB$2,INT(VLOOKUP($E235,Outlist!$A$5:$E$120,5,FALSE))-INT('INformazioni per calcoli'!$AB$2),0)),"")</f>
        <v/>
      </c>
      <c r="K235" s="27" t="str">
        <f>IF(E235&lt;&gt;"",IFERROR(VLOOKUP(E235,Outlist!$A$5:$AC$120,22,FALSE),""),"")</f>
        <v/>
      </c>
      <c r="L235" s="352" t="str">
        <f>IF(E235&lt;&gt;"",IFERROR(VLOOKUP(E235,Outlist!$A$5:$AC$120,3,FALSE),""),"")</f>
        <v/>
      </c>
      <c r="M235" s="4" t="str">
        <f>IFERROR(_xlfn.XLOOKUP($Q235,'Elenco Casse'!$D:$D,'Elenco Casse'!$E:$E),"")</f>
        <v/>
      </c>
      <c r="N235" s="4" t="str">
        <f>IFERROR(_xlfn.XLOOKUP($Q235,'Elenco Casse'!$D:$D,'Elenco Casse'!$F:$F),"")</f>
        <v/>
      </c>
      <c r="O235" s="4" t="str">
        <f>IF($L235&lt;&gt;"","TT-2/3","")</f>
        <v/>
      </c>
      <c r="P235" s="296" t="str">
        <f>IFERROR(IF(VLOOKUP(E235,Outlist!$A$5:$AC$120,21,FALSE)="YES","Linea Variata",""),"")</f>
        <v/>
      </c>
      <c r="Q235" s="355" t="str">
        <f>IFERROR(VLOOKUP(E235,Outlist!$AK$4:$BH$139,13,FALSE),"")</f>
        <v/>
      </c>
      <c r="R235" s="23"/>
      <c r="S235" s="25" t="str">
        <f>IFERROR(IF(VLOOKUP(E235,Outlist!$A$5:$AC$120,7,FALSE)="X","SUBCO",""),"")</f>
        <v/>
      </c>
      <c r="T235" s="25"/>
      <c r="U235" s="23"/>
      <c r="V235" s="23"/>
      <c r="W235" s="26"/>
      <c r="X235" s="27"/>
      <c r="Y235" s="25" t="str">
        <f>IF(OR(Out_Table[[#This Row],[DOC Del. hr. (RTH)]]&lt;&gt;"",Outlist!S136),"XXX","")</f>
        <v/>
      </c>
      <c r="Z235" s="25"/>
      <c r="AA235" s="25"/>
      <c r="AB235" s="57"/>
      <c r="AC235" s="25"/>
      <c r="AD235" s="25"/>
      <c r="AE235" s="57"/>
      <c r="AF235" s="57"/>
      <c r="AG235" s="25"/>
      <c r="AH235" s="57"/>
      <c r="AI235" s="339"/>
      <c r="AJ235" s="339"/>
      <c r="AK235" s="297" t="str">
        <f>IF(X235&lt;&gt;"",CONCATENATE(IF(AA235&lt;&gt;"",CONCATENATE(Z235," ",AA235," ",BI235),""),IF(AD235&lt;&gt;"",CONCATENATE(","," ",AC235," ",AD235," ",BJ235),""),IF(AG235&lt;&gt;"",CONCATENATE(","," ",AF235," ",AG235," ",BK235),""),IF(AJ235&lt;&gt;"",CONCATENATE(","," ","DD"," ",BL235),"")," ",IF(AI235&lt;&gt;"",CONCATENATE(" - ",AI235," Bag"),"")),"")</f>
        <v/>
      </c>
      <c r="AL235" s="287"/>
      <c r="AM235" s="287"/>
      <c r="AN235" s="287"/>
      <c r="AO235" s="287"/>
      <c r="AP235" s="370" t="str">
        <f>IFERROR(VLOOKUP($E235,Outlist!$A$5:$V$120,20,FALSE),"")</f>
        <v/>
      </c>
      <c r="AQ235" s="288" t="str">
        <f>IFERROR(IF(VLOOKUP($A235,#REF!,8,FALSE)&lt;&gt;"",VLOOKUP($A235,#REF!,8,FALSE),""),"")</f>
        <v/>
      </c>
      <c r="AS235" s="24"/>
      <c r="AT235" s="24"/>
      <c r="AU235" s="27"/>
      <c r="AV235" s="27"/>
      <c r="AX235" s="20" t="str">
        <f>IFERROR(IF(Out_Table[[#This Row],[Cancellazione linea]]="Cancellata","yes",""),"")</f>
        <v/>
      </c>
      <c r="AY235" s="72"/>
      <c r="AZ235" s="27"/>
      <c r="BA235" s="32"/>
      <c r="BB235" s="72"/>
      <c r="BC235" s="72" t="str">
        <f>IFERROR(VLOOKUP(Out_Table[[#This Row],[Aggiornamento STATUS]],'INformazioni per calcoli'!$Y$70:$AA$76,2,FALSE),"")</f>
        <v/>
      </c>
      <c r="BD235" s="289"/>
      <c r="BE235" s="289"/>
      <c r="BF235" s="47" t="str">
        <f>LEFT($E235,3)</f>
        <v/>
      </c>
      <c r="BG235" s="298" t="str">
        <f>IF(Out_Table[[#This Row],[Ora Uscita    (GH)]]&lt;&gt;"","x","")</f>
        <v/>
      </c>
      <c r="BH235" s="299" t="e">
        <f>VLOOKUP($O235,'INformazioni per calcoli'!$Y$20:$AA$23,3,FALSE)</f>
        <v>#N/A</v>
      </c>
      <c r="BI235" s="299" t="e">
        <f>MROUND(Out_Table[[#This Row],[Mtr. Trailer]]*AB235,0.5)</f>
        <v>#N/A</v>
      </c>
      <c r="BJ235" s="299" t="e">
        <f>MROUND(Out_Table[[#This Row],[Mtr. Trailer]]*AE235,0.5)</f>
        <v>#N/A</v>
      </c>
      <c r="BK235" s="299" t="e">
        <f>MROUND(Out_Table[[#This Row],[Mtr. Trailer]]*AH235,0.5)</f>
        <v>#N/A</v>
      </c>
      <c r="BL235" s="300">
        <f>Out_Table[[#This Row],[Double Deck trailer N° bumpers]]</f>
        <v>0</v>
      </c>
      <c r="BM235" s="301"/>
      <c r="BN235" s="299" t="str">
        <f>B235</f>
        <v/>
      </c>
      <c r="BO235" s="299" t="str">
        <f>E235</f>
        <v/>
      </c>
      <c r="BP235" s="302" t="e">
        <f>IF(AND(G235&gt;(--"00:00:01"),G235&lt;(--"15:00:00")),IF(AND(X235&gt;(--"00:00:01"),X235&lt;(--"15:00:00")),G235-X235,G235+1-X235),G235-X235)</f>
        <v>#VALUE!</v>
      </c>
      <c r="BQ235" s="303">
        <f>AE235+AF235+AH235+AJ235</f>
        <v>0</v>
      </c>
      <c r="BR235" s="304" t="e">
        <f>IF(OR(BP235&lt;=(--"00:20:00"),BQ235&gt;=100%),"OK","Not OK")</f>
        <v>#VALUE!</v>
      </c>
      <c r="BS235" s="302" t="e">
        <f>IF(AND(G235&gt;(--"00:00:01"),G235&lt;(--"15:00:00")),IF(AND(AU235&gt;(--"00:00:01"),AU235&lt;(--"15:00:00")),G235-AU235,G235+1-AU235),G235-AU235)</f>
        <v>#VALUE!</v>
      </c>
      <c r="BT235" s="302">
        <f>IF(AND(AZ235&gt;(--"00:00:01"),AZ235&lt;(--"15:00:00")),IF(AND(AU235&gt;(--"00:00:01"),AU235&lt;(--"15:00:00")),AZ235-AU235,AZ235+1-AU235),AZ235-AU235)</f>
        <v>0</v>
      </c>
      <c r="BU235" s="302">
        <f>IF(AND(BA235&gt;(--"00:00:01"),BA235&lt;(--"15:00:00")),IF(AND(AZ235&gt;(--"00:00:01"),AZ235&lt;(--"15:00:00")),BA235-AZ235,BA235+1-AZ235),BA235-AZ235)</f>
        <v>0</v>
      </c>
      <c r="BV235" s="299">
        <f>AV235</f>
        <v>0</v>
      </c>
      <c r="BW235" s="301"/>
      <c r="BX235" s="299" t="str">
        <f>IF(AV235="T Status",IF(AV235&lt;&gt;T235,"X",""),"")</f>
        <v/>
      </c>
      <c r="BY235" s="301"/>
      <c r="BZ235" s="299" t="str">
        <f>IF(X235&lt;&gt;"",IF(CC235="X","Driver Delay",IF(CA235="X","Paperwork Delay",IF(CB235="X","Late freight late sort",IF(CD235="X","Chiamare Control Room",IF(CE235="X","Chiamare Control Room",IF(CF235="X","Chiamare Control Room","")))))),"")</f>
        <v/>
      </c>
      <c r="CA235" s="302" t="e">
        <f>IF(K235="",IF(IF(AND(G235&gt;(--"00:00:01"),G235&lt;(--"15:00:00")),IF(AND(AT235&gt;(--"08:00:00"),AT235&lt;(--"23:59:59")),G235+1-AT235,G235-AT235),G235-AT235)&gt;(--"00:20:00"),"","X"),"")</f>
        <v>#VALUE!</v>
      </c>
      <c r="CB235" s="299" t="e">
        <f>IF(K235="",IF(BP235&gt;=(--"00:20:00"),"","X"),"")</f>
        <v>#VALUE!</v>
      </c>
      <c r="CC235" s="299" t="str">
        <f>IF(OR(AV235="Autista non presente",AV235="Dati driver non presenti"),"X","")</f>
        <v/>
      </c>
      <c r="CD235" s="299" t="e">
        <f>IF(K235="",IF(AND(CC235="",BS235&lt;(--"00:20:00")),"X",""),"")</f>
        <v>#VALUE!</v>
      </c>
      <c r="CE235" s="299" t="str">
        <f>IF(K235="",IF(BT235&gt;(--"00:15:00"),"X",""),IF(AZ235&lt;&gt;"",IF(G235-AZ235&gt;(--"00:30:00"),"X",""),""))</f>
        <v/>
      </c>
      <c r="CF235" s="299" t="e">
        <f>IF(AND(CA235="",CB235="",CC235="",CD235="",CE235=""),"X","")</f>
        <v>#VALUE!</v>
      </c>
      <c r="CG235" s="301"/>
      <c r="CH235" s="299" t="str">
        <f>IF(BT235&gt;(--"00:15:00"),"X","")</f>
        <v/>
      </c>
      <c r="CI235" s="302">
        <f>AY235</f>
        <v>0</v>
      </c>
      <c r="CJ235" s="299" t="str">
        <f>IF(AND(CH235&lt;&gt;"",CI235&lt;&gt;"",LEFT(B235,3)="ITD"),AP235,"")</f>
        <v/>
      </c>
      <c r="CK235" s="305" t="str">
        <f>IF(CJ235&lt;&gt;"",BT235,"")</f>
        <v/>
      </c>
      <c r="CL235" s="301"/>
      <c r="CM235" s="305" t="str">
        <f>IFERROR(VLOOKUP(Q235,'Elenco Casse'!$D$4:$F$292,3,FALSE),"")</f>
        <v/>
      </c>
      <c r="CN235" s="301"/>
      <c r="CO235" s="305" t="str">
        <f>IFERROR(VLOOKUP(E235,Outlist!$A$5:$H$120,8,FALSE),"")</f>
        <v/>
      </c>
      <c r="CP235" s="305" t="str">
        <f>IFERROR(IF(VLOOKUP($E235,Outlist!$A$5:$S$120,19,FALSE)&lt;&gt;0,"Y",""),"")</f>
        <v/>
      </c>
      <c r="CQ235" s="301"/>
      <c r="CR235" s="305" t="str">
        <f>CONCATENATE($B235,$E235,$G235)</f>
        <v/>
      </c>
      <c r="CS235" s="301"/>
      <c r="CT235" s="305" t="e">
        <f>VLOOKUP(Out_Table[[#This Row],[Destination             ORANGE (From Planning)]],Outlist!$A$5:$W$120,22,FALSE)</f>
        <v>#N/A</v>
      </c>
    </row>
    <row r="236" spans="1:98" s="20" customFormat="1" ht="15">
      <c r="A236" s="305" t="str">
        <f>$CR236</f>
        <v/>
      </c>
      <c r="B236" s="351" t="str">
        <f>IFERROR(VLOOKUP(E236,Outlist!$A$5:$AC$120,2,FALSE),"")</f>
        <v/>
      </c>
      <c r="C236" s="352" t="str">
        <f ca="1">IFERROR(IF(LEFT(B236,3)='STAT 77'!$X$2,_xlfn.XLOOKUP(B236,'STAT 77'!C:C,'STAT 77'!B:B),_xlfn.XLOOKUP(B236,'STAT 77'!B:B,'STAT 77'!C:C)),"NON TROVATO")</f>
        <v>NON TROVATO</v>
      </c>
      <c r="D236" s="4"/>
      <c r="E236" s="352" t="str">
        <f>IFERROR(IF(Outlist!$A98&lt;&gt;"",Outlist!$A98,""),"")</f>
        <v/>
      </c>
      <c r="F236" s="352" t="str">
        <f>IFERROR(VLOOKUP(E236,'Cambio O2P'!C:E,2,FALSE),"")</f>
        <v/>
      </c>
      <c r="G236" s="353" t="str">
        <f>IFERROR(VLOOKUP(E236,Outlist!$A$5:$AC$120,5,FALSE)-INT(VLOOKUP(E236,Outlist!$A$5:$AC$120,5,FALSE)),"")</f>
        <v/>
      </c>
      <c r="H236" s="294" t="str">
        <f ca="1">IFERROR(IF(AND('INformazioni per calcoli'!$AB$3&lt;(--"14:30"),'INformazioni per calcoli'!$AB$3&gt;(--"10:00")),"",IF($B236="","",IF($X236&lt;&gt;"","Mezzo Chiuso",IF($W236="","Non al Carico",IF($K236="Safe Parking","Safe Parking", IF(OR($BF236='INformazioni per calcoli'!$AF$8,$BF236='INformazioni per calcoli'!$AC$8,$BF236='INformazioni per calcoli'!$AD$8,$BF236='INformazioni per calcoli'!$AE$8,$BF236='INformazioni per calcoli'!$AG$8,$BF236='INformazioni per calcoli'!$AH$8,$BF236='INformazioni per calcoli'!$AI$8,$BF236='INformazioni per calcoli'!$AJ$8),IF($G236-'INformazioni per calcoli'!$AB$6-'INformazioni per calcoli'!$AB$3+$J236&lt;0,"LFLS",$G236-'INformazioni per calcoli'!$AB$6-'INformazioni per calcoli'!$AB$3+$J236), IF(OR($BF236='INformazioni per calcoli'!$AF$6,$BF236='INformazioni per calcoli'!$AD$6,$BF236='INformazioni per calcoli'!$AE$6,$BF236='INformazioni per calcoli'!$AG$6),IF($G236-'INformazioni per calcoli'!$AB$8-'INformazioni per calcoli'!$AB$3+$J236&lt;0,"LFLS",$G236-'INformazioni per calcoli'!$AB$8-'INformazioni per calcoli'!$AB$3+$J236), IF($G236-'INformazioni per calcoli'!$AB$7-'INformazioni per calcoli'!$AB$3+$J236&lt;0,"LFLS",$G236-'INformazioni per calcoli'!$AB$7-'INformazioni per calcoli'!$AB$3+$J236)))))))),"")</f>
        <v/>
      </c>
      <c r="I236" s="17" t="str">
        <f ca="1">IFERROR(IF($H236&lt;&gt;"",IF($H236="Safe Parking","",IF($W236&lt;&gt;"",IF(AND($U236="X",$V236="X"),$H236-(--"00:30"),""),IF($X236&lt;&gt;"","Mezzo Chiuso","Non al carico"))),""),"")</f>
        <v/>
      </c>
      <c r="J236" s="354" t="str">
        <f>IFERROR(IF($G236="","",IF(INT(VLOOKUP($E236,Outlist!$A$5:$E$120,5,FALSE))&gt;'INformazioni per calcoli'!$AB$2,INT(VLOOKUP($E236,Outlist!$A$5:$E$120,5,FALSE))-INT('INformazioni per calcoli'!$AB$2),0)),"")</f>
        <v/>
      </c>
      <c r="K236" s="27" t="str">
        <f>IF(E236&lt;&gt;"",IFERROR(VLOOKUP(E236,Outlist!$A$5:$AC$120,22,FALSE),""),"")</f>
        <v/>
      </c>
      <c r="L236" s="352" t="str">
        <f>IF(E236&lt;&gt;"",IFERROR(VLOOKUP(E236,Outlist!$A$5:$AC$120,3,FALSE),""),"")</f>
        <v/>
      </c>
      <c r="M236" s="4" t="str">
        <f>IFERROR(_xlfn.XLOOKUP($Q236,'Elenco Casse'!$D:$D,'Elenco Casse'!$E:$E),"")</f>
        <v/>
      </c>
      <c r="N236" s="4" t="str">
        <f>IFERROR(_xlfn.XLOOKUP($Q236,'Elenco Casse'!$D:$D,'Elenco Casse'!$F:$F),"")</f>
        <v/>
      </c>
      <c r="O236" s="4" t="str">
        <f>IF($L236&lt;&gt;"","TT-2/3","")</f>
        <v/>
      </c>
      <c r="P236" s="296" t="str">
        <f>IFERROR(IF(VLOOKUP(E236,Outlist!$A$5:$AC$120,21,FALSE)="YES","Linea Variata",""),"")</f>
        <v/>
      </c>
      <c r="Q236" s="355" t="str">
        <f>IFERROR(VLOOKUP(E236,Outlist!$AK$4:$BH$139,13,FALSE),"")</f>
        <v/>
      </c>
      <c r="R236" s="23"/>
      <c r="S236" s="25" t="str">
        <f>IFERROR(IF(VLOOKUP(E236,Outlist!$A$5:$AC$120,7,FALSE)="X","SUBCO",""),"")</f>
        <v/>
      </c>
      <c r="T236" s="25"/>
      <c r="U236" s="23"/>
      <c r="V236" s="23"/>
      <c r="W236" s="26"/>
      <c r="X236" s="27"/>
      <c r="Y236" s="25" t="str">
        <f>IF(OR(Out_Table[[#This Row],[DOC Del. hr. (RTH)]]&lt;&gt;"",Outlist!S137),"XXX","")</f>
        <v/>
      </c>
      <c r="Z236" s="25"/>
      <c r="AA236" s="25"/>
      <c r="AB236" s="57"/>
      <c r="AC236" s="25"/>
      <c r="AD236" s="25"/>
      <c r="AE236" s="57"/>
      <c r="AF236" s="57"/>
      <c r="AG236" s="25"/>
      <c r="AH236" s="57"/>
      <c r="AI236" s="339"/>
      <c r="AJ236" s="339"/>
      <c r="AK236" s="297" t="str">
        <f>IF(X236&lt;&gt;"",CONCATENATE(IF(AA236&lt;&gt;"",CONCATENATE(Z236," ",AA236," ",BI236),""),IF(AD236&lt;&gt;"",CONCATENATE(","," ",AC236," ",AD236," ",BJ236),""),IF(AG236&lt;&gt;"",CONCATENATE(","," ",AF236," ",AG236," ",BK236),""),IF(AJ236&lt;&gt;"",CONCATENATE(","," ","DD"," ",BL236),"")," ",IF(AI236&lt;&gt;"",CONCATENATE(" - ",AI236," Bag"),"")),"")</f>
        <v/>
      </c>
      <c r="AL236" s="287"/>
      <c r="AM236" s="287"/>
      <c r="AN236" s="287"/>
      <c r="AO236" s="287"/>
      <c r="AP236" s="370" t="str">
        <f>IFERROR(VLOOKUP($E236,Outlist!$A$5:$V$120,20,FALSE),"")</f>
        <v/>
      </c>
      <c r="AQ236" s="288" t="str">
        <f>IFERROR(IF(VLOOKUP($A236,#REF!,8,FALSE)&lt;&gt;"",VLOOKUP($A236,#REF!,8,FALSE),""),"")</f>
        <v/>
      </c>
      <c r="AS236" s="24"/>
      <c r="AT236" s="24"/>
      <c r="AU236" s="27"/>
      <c r="AV236" s="27"/>
      <c r="AX236" s="20" t="str">
        <f>IFERROR(IF(Out_Table[[#This Row],[Cancellazione linea]]="Cancellata","yes",""),"")</f>
        <v/>
      </c>
      <c r="AY236" s="72"/>
      <c r="AZ236" s="27"/>
      <c r="BA236" s="32"/>
      <c r="BB236" s="72"/>
      <c r="BC236" s="72" t="str">
        <f>IFERROR(VLOOKUP(Out_Table[[#This Row],[Aggiornamento STATUS]],'INformazioni per calcoli'!$Y$70:$AA$76,2,FALSE),"")</f>
        <v/>
      </c>
      <c r="BD236" s="289"/>
      <c r="BE236" s="289"/>
      <c r="BF236" s="47" t="str">
        <f>LEFT($E236,3)</f>
        <v/>
      </c>
      <c r="BG236" s="298" t="str">
        <f>IF(Out_Table[[#This Row],[Ora Uscita    (GH)]]&lt;&gt;"","x","")</f>
        <v/>
      </c>
      <c r="BH236" s="299" t="e">
        <f>VLOOKUP($O236,'INformazioni per calcoli'!$Y$20:$AA$23,3,FALSE)</f>
        <v>#N/A</v>
      </c>
      <c r="BI236" s="299" t="e">
        <f>MROUND(Out_Table[[#This Row],[Mtr. Trailer]]*AB236,0.5)</f>
        <v>#N/A</v>
      </c>
      <c r="BJ236" s="299" t="e">
        <f>MROUND(Out_Table[[#This Row],[Mtr. Trailer]]*AE236,0.5)</f>
        <v>#N/A</v>
      </c>
      <c r="BK236" s="299" t="e">
        <f>MROUND(Out_Table[[#This Row],[Mtr. Trailer]]*AH236,0.5)</f>
        <v>#N/A</v>
      </c>
      <c r="BL236" s="300">
        <f>Out_Table[[#This Row],[Double Deck trailer N° bumpers]]</f>
        <v>0</v>
      </c>
      <c r="BM236" s="301"/>
      <c r="BN236" s="299" t="str">
        <f>B236</f>
        <v/>
      </c>
      <c r="BO236" s="299" t="str">
        <f>E236</f>
        <v/>
      </c>
      <c r="BP236" s="302" t="e">
        <f>IF(AND(G236&gt;(--"00:00:01"),G236&lt;(--"15:00:00")),IF(AND(X236&gt;(--"00:00:01"),X236&lt;(--"15:00:00")),G236-X236,G236+1-X236),G236-X236)</f>
        <v>#VALUE!</v>
      </c>
      <c r="BQ236" s="303">
        <f>AE236+AF236+AH236+AJ236</f>
        <v>0</v>
      </c>
      <c r="BR236" s="304" t="e">
        <f>IF(OR(BP236&lt;=(--"00:20:00"),BQ236&gt;=100%),"OK","Not OK")</f>
        <v>#VALUE!</v>
      </c>
      <c r="BS236" s="302" t="e">
        <f>IF(AND(G236&gt;(--"00:00:01"),G236&lt;(--"15:00:00")),IF(AND(AU236&gt;(--"00:00:01"),AU236&lt;(--"15:00:00")),G236-AU236,G236+1-AU236),G236-AU236)</f>
        <v>#VALUE!</v>
      </c>
      <c r="BT236" s="302">
        <f>IF(AND(AZ236&gt;(--"00:00:01"),AZ236&lt;(--"15:00:00")),IF(AND(AU236&gt;(--"00:00:01"),AU236&lt;(--"15:00:00")),AZ236-AU236,AZ236+1-AU236),AZ236-AU236)</f>
        <v>0</v>
      </c>
      <c r="BU236" s="302">
        <f>IF(AND(BA236&gt;(--"00:00:01"),BA236&lt;(--"15:00:00")),IF(AND(AZ236&gt;(--"00:00:01"),AZ236&lt;(--"15:00:00")),BA236-AZ236,BA236+1-AZ236),BA236-AZ236)</f>
        <v>0</v>
      </c>
      <c r="BV236" s="299">
        <f>AV236</f>
        <v>0</v>
      </c>
      <c r="BW236" s="301"/>
      <c r="BX236" s="299" t="str">
        <f>IF(AV236="T Status",IF(AV236&lt;&gt;T236,"X",""),"")</f>
        <v/>
      </c>
      <c r="BY236" s="301"/>
      <c r="BZ236" s="299" t="str">
        <f>IF(X236&lt;&gt;"",IF(CC236="X","Driver Delay",IF(CA236="X","Paperwork Delay",IF(CB236="X","Late freight late sort",IF(CD236="X","Chiamare Control Room",IF(CE236="X","Chiamare Control Room",IF(CF236="X","Chiamare Control Room","")))))),"")</f>
        <v/>
      </c>
      <c r="CA236" s="302" t="e">
        <f>IF(K236="",IF(IF(AND(G236&gt;(--"00:00:01"),G236&lt;(--"15:00:00")),IF(AND(AT236&gt;(--"08:00:00"),AT236&lt;(--"23:59:59")),G236+1-AT236,G236-AT236),G236-AT236)&gt;(--"00:20:00"),"","X"),"")</f>
        <v>#VALUE!</v>
      </c>
      <c r="CB236" s="299" t="e">
        <f>IF(K236="",IF(BP236&gt;=(--"00:20:00"),"","X"),"")</f>
        <v>#VALUE!</v>
      </c>
      <c r="CC236" s="299" t="str">
        <f>IF(OR(AV236="Autista non presente",AV236="Dati driver non presenti"),"X","")</f>
        <v/>
      </c>
      <c r="CD236" s="299" t="e">
        <f>IF(K236="",IF(AND(CC236="",BS236&lt;(--"00:20:00")),"X",""),"")</f>
        <v>#VALUE!</v>
      </c>
      <c r="CE236" s="299" t="str">
        <f>IF(K236="",IF(BT236&gt;(--"00:15:00"),"X",""),IF(AZ236&lt;&gt;"",IF(G236-AZ236&gt;(--"00:30:00"),"X",""),""))</f>
        <v/>
      </c>
      <c r="CF236" s="299" t="e">
        <f>IF(AND(CA236="",CB236="",CC236="",CD236="",CE236=""),"X","")</f>
        <v>#VALUE!</v>
      </c>
      <c r="CG236" s="301"/>
      <c r="CH236" s="299" t="str">
        <f>IF(BT236&gt;(--"00:15:00"),"X","")</f>
        <v/>
      </c>
      <c r="CI236" s="302">
        <f>AY236</f>
        <v>0</v>
      </c>
      <c r="CJ236" s="299" t="str">
        <f>IF(AND(CH236&lt;&gt;"",CI236&lt;&gt;"",LEFT(B236,3)="ITD"),AP236,"")</f>
        <v/>
      </c>
      <c r="CK236" s="305" t="str">
        <f>IF(CJ236&lt;&gt;"",BT236,"")</f>
        <v/>
      </c>
      <c r="CL236" s="301"/>
      <c r="CM236" s="305" t="str">
        <f>IFERROR(VLOOKUP(Q236,'Elenco Casse'!$D$4:$F$292,3,FALSE),"")</f>
        <v/>
      </c>
      <c r="CN236" s="301"/>
      <c r="CO236" s="305" t="str">
        <f>IFERROR(VLOOKUP(E236,Outlist!$A$5:$H$120,8,FALSE),"")</f>
        <v/>
      </c>
      <c r="CP236" s="305" t="str">
        <f>IFERROR(IF(VLOOKUP($E236,Outlist!$A$5:$S$120,19,FALSE)&lt;&gt;0,"Y",""),"")</f>
        <v/>
      </c>
      <c r="CQ236" s="301"/>
      <c r="CR236" s="305" t="str">
        <f>CONCATENATE($B236,$E236,$G236)</f>
        <v/>
      </c>
      <c r="CS236" s="301"/>
      <c r="CT236" s="305" t="e">
        <f>VLOOKUP(Out_Table[[#This Row],[Destination             ORANGE (From Planning)]],Outlist!$A$5:$W$120,22,FALSE)</f>
        <v>#N/A</v>
      </c>
    </row>
    <row r="237" spans="1:98" s="20" customFormat="1" ht="15">
      <c r="A237" s="305" t="str">
        <f>$CR237</f>
        <v/>
      </c>
      <c r="B237" s="351" t="str">
        <f>IFERROR(VLOOKUP(E237,Outlist!$A$5:$AC$120,2,FALSE),"")</f>
        <v/>
      </c>
      <c r="C237" s="352" t="str">
        <f ca="1">IFERROR(IF(LEFT(B237,3)='STAT 77'!$X$2,_xlfn.XLOOKUP(B237,'STAT 77'!C:C,'STAT 77'!B:B),_xlfn.XLOOKUP(B237,'STAT 77'!B:B,'STAT 77'!C:C)),"NON TROVATO")</f>
        <v>NON TROVATO</v>
      </c>
      <c r="D237" s="4"/>
      <c r="E237" s="352" t="str">
        <f>IFERROR(IF(Outlist!$A99&lt;&gt;"",Outlist!$A99,""),"")</f>
        <v/>
      </c>
      <c r="F237" s="352" t="str">
        <f>IFERROR(VLOOKUP(E237,'Cambio O2P'!C:E,2,FALSE),"")</f>
        <v/>
      </c>
      <c r="G237" s="353" t="str">
        <f>IFERROR(VLOOKUP(E237,Outlist!$A$5:$AC$120,5,FALSE)-INT(VLOOKUP(E237,Outlist!$A$5:$AC$120,5,FALSE)),"")</f>
        <v/>
      </c>
      <c r="H237" s="294" t="str">
        <f ca="1">IFERROR(IF(AND('INformazioni per calcoli'!$AB$3&lt;(--"14:30"),'INformazioni per calcoli'!$AB$3&gt;(--"10:00")),"",IF($B237="","",IF($X237&lt;&gt;"","Mezzo Chiuso",IF($W237="","Non al Carico",IF($K237="Safe Parking","Safe Parking", IF(OR($BF237='INformazioni per calcoli'!$AF$8,$BF237='INformazioni per calcoli'!$AC$8,$BF237='INformazioni per calcoli'!$AD$8,$BF237='INformazioni per calcoli'!$AE$8,$BF237='INformazioni per calcoli'!$AG$8,$BF237='INformazioni per calcoli'!$AH$8,$BF237='INformazioni per calcoli'!$AI$8,$BF237='INformazioni per calcoli'!$AJ$8),IF($G237-'INformazioni per calcoli'!$AB$6-'INformazioni per calcoli'!$AB$3+$J237&lt;0,"LFLS",$G237-'INformazioni per calcoli'!$AB$6-'INformazioni per calcoli'!$AB$3+$J237), IF(OR($BF237='INformazioni per calcoli'!$AF$6,$BF237='INformazioni per calcoli'!$AD$6,$BF237='INformazioni per calcoli'!$AE$6,$BF237='INformazioni per calcoli'!$AG$6),IF($G237-'INformazioni per calcoli'!$AB$8-'INformazioni per calcoli'!$AB$3+$J237&lt;0,"LFLS",$G237-'INformazioni per calcoli'!$AB$8-'INformazioni per calcoli'!$AB$3+$J237), IF($G237-'INformazioni per calcoli'!$AB$7-'INformazioni per calcoli'!$AB$3+$J237&lt;0,"LFLS",$G237-'INformazioni per calcoli'!$AB$7-'INformazioni per calcoli'!$AB$3+$J237)))))))),"")</f>
        <v/>
      </c>
      <c r="I237" s="17" t="str">
        <f ca="1">IFERROR(IF($H237&lt;&gt;"",IF($H237="Safe Parking","",IF($W237&lt;&gt;"",IF(AND($U237="X",$V237="X"),$H237-(--"00:30"),""),IF($X237&lt;&gt;"","Mezzo Chiuso","Non al carico"))),""),"")</f>
        <v/>
      </c>
      <c r="J237" s="354" t="str">
        <f>IFERROR(IF($G237="","",IF(INT(VLOOKUP($E237,Outlist!$A$5:$E$120,5,FALSE))&gt;'INformazioni per calcoli'!$AB$2,INT(VLOOKUP($E237,Outlist!$A$5:$E$120,5,FALSE))-INT('INformazioni per calcoli'!$AB$2),0)),"")</f>
        <v/>
      </c>
      <c r="K237" s="27" t="str">
        <f>IF(E237&lt;&gt;"",IFERROR(VLOOKUP(E237,Outlist!$A$5:$AC$120,22,FALSE),""),"")</f>
        <v/>
      </c>
      <c r="L237" s="352" t="str">
        <f>IF(E237&lt;&gt;"",IFERROR(VLOOKUP(E237,Outlist!$A$5:$AC$120,3,FALSE),""),"")</f>
        <v/>
      </c>
      <c r="M237" s="4" t="str">
        <f>IFERROR(_xlfn.XLOOKUP($Q237,'Elenco Casse'!$D:$D,'Elenco Casse'!$E:$E),"")</f>
        <v/>
      </c>
      <c r="N237" s="4" t="str">
        <f>IFERROR(_xlfn.XLOOKUP($Q237,'Elenco Casse'!$D:$D,'Elenco Casse'!$F:$F),"")</f>
        <v/>
      </c>
      <c r="O237" s="4" t="str">
        <f>IF($L237&lt;&gt;"","TT-2/3","")</f>
        <v/>
      </c>
      <c r="P237" s="296" t="str">
        <f>IFERROR(IF(VLOOKUP(E237,Outlist!$A$5:$AC$120,21,FALSE)="YES","Linea Variata",""),"")</f>
        <v/>
      </c>
      <c r="Q237" s="355" t="str">
        <f>IFERROR(VLOOKUP(E237,Outlist!$AK$4:$BH$139,13,FALSE),"")</f>
        <v/>
      </c>
      <c r="R237" s="23"/>
      <c r="S237" s="25" t="str">
        <f>IFERROR(IF(VLOOKUP(E237,Outlist!$A$5:$AC$120,7,FALSE)="X","SUBCO",""),"")</f>
        <v/>
      </c>
      <c r="T237" s="25"/>
      <c r="U237" s="23"/>
      <c r="V237" s="23"/>
      <c r="W237" s="26"/>
      <c r="X237" s="27"/>
      <c r="Y237" s="25" t="str">
        <f>IF(OR(Out_Table[[#This Row],[DOC Del. hr. (RTH)]]&lt;&gt;"",Outlist!S138),"XXX","")</f>
        <v/>
      </c>
      <c r="Z237" s="25"/>
      <c r="AA237" s="25"/>
      <c r="AB237" s="57"/>
      <c r="AC237" s="25"/>
      <c r="AD237" s="25"/>
      <c r="AE237" s="57"/>
      <c r="AF237" s="57"/>
      <c r="AG237" s="25"/>
      <c r="AH237" s="57"/>
      <c r="AI237" s="339"/>
      <c r="AJ237" s="339"/>
      <c r="AK237" s="297" t="str">
        <f>IF(X237&lt;&gt;"",CONCATENATE(IF(AA237&lt;&gt;"",CONCATENATE(Z237," ",AA237," ",BI237),""),IF(AD237&lt;&gt;"",CONCATENATE(","," ",AC237," ",AD237," ",BJ237),""),IF(AG237&lt;&gt;"",CONCATENATE(","," ",AF237," ",AG237," ",BK237),""),IF(AJ237&lt;&gt;"",CONCATENATE(","," ","DD"," ",BL237),"")," ",IF(AI237&lt;&gt;"",CONCATENATE(" - ",AI237," Bag"),"")),"")</f>
        <v/>
      </c>
      <c r="AL237" s="287"/>
      <c r="AM237" s="287"/>
      <c r="AN237" s="287"/>
      <c r="AO237" s="287"/>
      <c r="AP237" s="370" t="str">
        <f>IFERROR(VLOOKUP($E237,Outlist!$A$5:$V$120,20,FALSE),"")</f>
        <v/>
      </c>
      <c r="AQ237" s="288" t="str">
        <f>IFERROR(IF(VLOOKUP($A237,#REF!,8,FALSE)&lt;&gt;"",VLOOKUP($A237,#REF!,8,FALSE),""),"")</f>
        <v/>
      </c>
      <c r="AS237" s="24"/>
      <c r="AT237" s="24"/>
      <c r="AU237" s="27"/>
      <c r="AV237" s="27"/>
      <c r="AX237" s="20" t="str">
        <f>IFERROR(IF(Out_Table[[#This Row],[Cancellazione linea]]="Cancellata","yes",""),"")</f>
        <v/>
      </c>
      <c r="AY237" s="72"/>
      <c r="AZ237" s="27"/>
      <c r="BA237" s="32"/>
      <c r="BB237" s="72"/>
      <c r="BC237" s="72" t="str">
        <f>IFERROR(VLOOKUP(Out_Table[[#This Row],[Aggiornamento STATUS]],'INformazioni per calcoli'!$Y$70:$AA$76,2,FALSE),"")</f>
        <v/>
      </c>
      <c r="BD237" s="289"/>
      <c r="BE237" s="289"/>
      <c r="BF237" s="47" t="str">
        <f>LEFT($E237,3)</f>
        <v/>
      </c>
      <c r="BG237" s="298" t="str">
        <f>IF(Out_Table[[#This Row],[Ora Uscita    (GH)]]&lt;&gt;"","x","")</f>
        <v/>
      </c>
      <c r="BH237" s="299" t="e">
        <f>VLOOKUP($O237,'INformazioni per calcoli'!$Y$20:$AA$23,3,FALSE)</f>
        <v>#N/A</v>
      </c>
      <c r="BI237" s="299" t="e">
        <f>MROUND(Out_Table[[#This Row],[Mtr. Trailer]]*AB237,0.5)</f>
        <v>#N/A</v>
      </c>
      <c r="BJ237" s="299" t="e">
        <f>MROUND(Out_Table[[#This Row],[Mtr. Trailer]]*AE237,0.5)</f>
        <v>#N/A</v>
      </c>
      <c r="BK237" s="299" t="e">
        <f>MROUND(Out_Table[[#This Row],[Mtr. Trailer]]*AH237,0.5)</f>
        <v>#N/A</v>
      </c>
      <c r="BL237" s="300">
        <f>Out_Table[[#This Row],[Double Deck trailer N° bumpers]]</f>
        <v>0</v>
      </c>
      <c r="BM237" s="301"/>
      <c r="BN237" s="299" t="str">
        <f>B237</f>
        <v/>
      </c>
      <c r="BO237" s="299" t="str">
        <f>E237</f>
        <v/>
      </c>
      <c r="BP237" s="302" t="e">
        <f>IF(AND(G237&gt;(--"00:00:01"),G237&lt;(--"15:00:00")),IF(AND(X237&gt;(--"00:00:01"),X237&lt;(--"15:00:00")),G237-X237,G237+1-X237),G237-X237)</f>
        <v>#VALUE!</v>
      </c>
      <c r="BQ237" s="303">
        <f>AE237+AF237+AH237+AJ237</f>
        <v>0</v>
      </c>
      <c r="BR237" s="304" t="e">
        <f>IF(OR(BP237&lt;=(--"00:20:00"),BQ237&gt;=100%),"OK","Not OK")</f>
        <v>#VALUE!</v>
      </c>
      <c r="BS237" s="302" t="e">
        <f>IF(AND(G237&gt;(--"00:00:01"),G237&lt;(--"15:00:00")),IF(AND(AU237&gt;(--"00:00:01"),AU237&lt;(--"15:00:00")),G237-AU237,G237+1-AU237),G237-AU237)</f>
        <v>#VALUE!</v>
      </c>
      <c r="BT237" s="302">
        <f>IF(AND(AZ237&gt;(--"00:00:01"),AZ237&lt;(--"15:00:00")),IF(AND(AU237&gt;(--"00:00:01"),AU237&lt;(--"15:00:00")),AZ237-AU237,AZ237+1-AU237),AZ237-AU237)</f>
        <v>0</v>
      </c>
      <c r="BU237" s="302">
        <f>IF(AND(BA237&gt;(--"00:00:01"),BA237&lt;(--"15:00:00")),IF(AND(AZ237&gt;(--"00:00:01"),AZ237&lt;(--"15:00:00")),BA237-AZ237,BA237+1-AZ237),BA237-AZ237)</f>
        <v>0</v>
      </c>
      <c r="BV237" s="299">
        <f>AV237</f>
        <v>0</v>
      </c>
      <c r="BW237" s="301"/>
      <c r="BX237" s="299" t="str">
        <f>IF(AV237="T Status",IF(AV237&lt;&gt;T237,"X",""),"")</f>
        <v/>
      </c>
      <c r="BY237" s="301"/>
      <c r="BZ237" s="299" t="str">
        <f>IF(X237&lt;&gt;"",IF(CC237="X","Driver Delay",IF(CA237="X","Paperwork Delay",IF(CB237="X","Late freight late sort",IF(CD237="X","Chiamare Control Room",IF(CE237="X","Chiamare Control Room",IF(CF237="X","Chiamare Control Room","")))))),"")</f>
        <v/>
      </c>
      <c r="CA237" s="302" t="e">
        <f>IF(K237="",IF(IF(AND(G237&gt;(--"00:00:01"),G237&lt;(--"15:00:00")),IF(AND(AT237&gt;(--"08:00:00"),AT237&lt;(--"23:59:59")),G237+1-AT237,G237-AT237),G237-AT237)&gt;(--"00:20:00"),"","X"),"")</f>
        <v>#VALUE!</v>
      </c>
      <c r="CB237" s="299" t="e">
        <f>IF(K237="",IF(BP237&gt;=(--"00:20:00"),"","X"),"")</f>
        <v>#VALUE!</v>
      </c>
      <c r="CC237" s="299" t="str">
        <f>IF(OR(AV237="Autista non presente",AV237="Dati driver non presenti"),"X","")</f>
        <v/>
      </c>
      <c r="CD237" s="299" t="e">
        <f>IF(K237="",IF(AND(CC237="",BS237&lt;(--"00:20:00")),"X",""),"")</f>
        <v>#VALUE!</v>
      </c>
      <c r="CE237" s="299" t="str">
        <f>IF(K237="",IF(BT237&gt;(--"00:15:00"),"X",""),IF(AZ237&lt;&gt;"",IF(G237-AZ237&gt;(--"00:30:00"),"X",""),""))</f>
        <v/>
      </c>
      <c r="CF237" s="299" t="e">
        <f>IF(AND(CA237="",CB237="",CC237="",CD237="",CE237=""),"X","")</f>
        <v>#VALUE!</v>
      </c>
      <c r="CG237" s="301"/>
      <c r="CH237" s="299" t="str">
        <f>IF(BT237&gt;(--"00:15:00"),"X","")</f>
        <v/>
      </c>
      <c r="CI237" s="302">
        <f>AY237</f>
        <v>0</v>
      </c>
      <c r="CJ237" s="299" t="str">
        <f>IF(AND(CH237&lt;&gt;"",CI237&lt;&gt;"",LEFT(B237,3)="ITD"),AP237,"")</f>
        <v/>
      </c>
      <c r="CK237" s="305" t="str">
        <f>IF(CJ237&lt;&gt;"",BT237,"")</f>
        <v/>
      </c>
      <c r="CL237" s="301"/>
      <c r="CM237" s="305" t="str">
        <f>IFERROR(VLOOKUP(Q237,'Elenco Casse'!$D$4:$F$292,3,FALSE),"")</f>
        <v/>
      </c>
      <c r="CN237" s="301"/>
      <c r="CO237" s="305" t="str">
        <f>IFERROR(VLOOKUP(E237,Outlist!$A$5:$H$120,8,FALSE),"")</f>
        <v/>
      </c>
      <c r="CP237" s="305" t="str">
        <f>IFERROR(IF(VLOOKUP($E237,Outlist!$A$5:$S$120,19,FALSE)&lt;&gt;0,"Y",""),"")</f>
        <v/>
      </c>
      <c r="CQ237" s="301"/>
      <c r="CR237" s="305" t="str">
        <f>CONCATENATE($B237,$E237,$G237)</f>
        <v/>
      </c>
      <c r="CS237" s="301"/>
      <c r="CT237" s="305" t="e">
        <f>VLOOKUP(Out_Table[[#This Row],[Destination             ORANGE (From Planning)]],Outlist!$A$5:$W$120,22,FALSE)</f>
        <v>#N/A</v>
      </c>
    </row>
    <row r="238" spans="1:98" s="20" customFormat="1" ht="15">
      <c r="A238" s="305" t="str">
        <f>$CR238</f>
        <v/>
      </c>
      <c r="B238" s="351" t="str">
        <f>IFERROR(VLOOKUP(E238,Outlist!$A$5:$AC$120,2,FALSE),"")</f>
        <v/>
      </c>
      <c r="C238" s="352" t="str">
        <f ca="1">IFERROR(IF(LEFT(B238,3)='STAT 77'!$X$2,_xlfn.XLOOKUP(B238,'STAT 77'!C:C,'STAT 77'!B:B),_xlfn.XLOOKUP(B238,'STAT 77'!B:B,'STAT 77'!C:C)),"NON TROVATO")</f>
        <v>NON TROVATO</v>
      </c>
      <c r="D238" s="4"/>
      <c r="E238" s="352" t="str">
        <f>IFERROR(IF(Outlist!$A100&lt;&gt;"",Outlist!$A100,""),"")</f>
        <v/>
      </c>
      <c r="F238" s="352" t="str">
        <f>IFERROR(VLOOKUP(E238,'Cambio O2P'!C:E,2,FALSE),"")</f>
        <v/>
      </c>
      <c r="G238" s="353" t="str">
        <f>IFERROR(VLOOKUP(E238,Outlist!$A$5:$AC$120,5,FALSE)-INT(VLOOKUP(E238,Outlist!$A$5:$AC$120,5,FALSE)),"")</f>
        <v/>
      </c>
      <c r="H238" s="294" t="str">
        <f ca="1">IFERROR(IF(AND('INformazioni per calcoli'!$AB$3&lt;(--"14:30"),'INformazioni per calcoli'!$AB$3&gt;(--"10:00")),"",IF($B238="","",IF($X238&lt;&gt;"","Mezzo Chiuso",IF($W238="","Non al Carico",IF($K238="Safe Parking","Safe Parking", IF(OR($BF238='INformazioni per calcoli'!$AF$8,$BF238='INformazioni per calcoli'!$AC$8,$BF238='INformazioni per calcoli'!$AD$8,$BF238='INformazioni per calcoli'!$AE$8,$BF238='INformazioni per calcoli'!$AG$8,$BF238='INformazioni per calcoli'!$AH$8,$BF238='INformazioni per calcoli'!$AI$8,$BF238='INformazioni per calcoli'!$AJ$8),IF($G238-'INformazioni per calcoli'!$AB$6-'INformazioni per calcoli'!$AB$3+$J238&lt;0,"LFLS",$G238-'INformazioni per calcoli'!$AB$6-'INformazioni per calcoli'!$AB$3+$J238), IF(OR($BF238='INformazioni per calcoli'!$AF$6,$BF238='INformazioni per calcoli'!$AD$6,$BF238='INformazioni per calcoli'!$AE$6,$BF238='INformazioni per calcoli'!$AG$6),IF($G238-'INformazioni per calcoli'!$AB$8-'INformazioni per calcoli'!$AB$3+$J238&lt;0,"LFLS",$G238-'INformazioni per calcoli'!$AB$8-'INformazioni per calcoli'!$AB$3+$J238), IF($G238-'INformazioni per calcoli'!$AB$7-'INformazioni per calcoli'!$AB$3+$J238&lt;0,"LFLS",$G238-'INformazioni per calcoli'!$AB$7-'INformazioni per calcoli'!$AB$3+$J238)))))))),"")</f>
        <v/>
      </c>
      <c r="I238" s="17" t="str">
        <f ca="1">IFERROR(IF($H238&lt;&gt;"",IF($H238="Safe Parking","",IF($W238&lt;&gt;"",IF(AND($U238="X",$V238="X"),$H238-(--"00:30"),""),IF($X238&lt;&gt;"","Mezzo Chiuso","Non al carico"))),""),"")</f>
        <v/>
      </c>
      <c r="J238" s="354" t="str">
        <f>IFERROR(IF($G238="","",IF(INT(VLOOKUP($E238,Outlist!$A$5:$E$120,5,FALSE))&gt;'INformazioni per calcoli'!$AB$2,INT(VLOOKUP($E238,Outlist!$A$5:$E$120,5,FALSE))-INT('INformazioni per calcoli'!$AB$2),0)),"")</f>
        <v/>
      </c>
      <c r="K238" s="27" t="str">
        <f>IF(E238&lt;&gt;"",IFERROR(VLOOKUP(E238,Outlist!$A$5:$AC$120,22,FALSE),""),"")</f>
        <v/>
      </c>
      <c r="L238" s="352" t="str">
        <f>IF(E238&lt;&gt;"",IFERROR(VLOOKUP(E238,Outlist!$A$5:$AC$120,3,FALSE),""),"")</f>
        <v/>
      </c>
      <c r="M238" s="4" t="str">
        <f>IFERROR(_xlfn.XLOOKUP($Q238,'Elenco Casse'!$D:$D,'Elenco Casse'!$E:$E),"")</f>
        <v/>
      </c>
      <c r="N238" s="4" t="str">
        <f>IFERROR(_xlfn.XLOOKUP($Q238,'Elenco Casse'!$D:$D,'Elenco Casse'!$F:$F),"")</f>
        <v/>
      </c>
      <c r="O238" s="4" t="str">
        <f>IF($L238&lt;&gt;"","TT-2/3","")</f>
        <v/>
      </c>
      <c r="P238" s="296" t="str">
        <f>IFERROR(IF(VLOOKUP(E238,Outlist!$A$5:$AC$120,21,FALSE)="YES","Linea Variata",""),"")</f>
        <v/>
      </c>
      <c r="Q238" s="355" t="str">
        <f>IFERROR(VLOOKUP(E238,Outlist!$AK$4:$BH$139,13,FALSE),"")</f>
        <v/>
      </c>
      <c r="R238" s="23"/>
      <c r="S238" s="25" t="str">
        <f>IFERROR(IF(VLOOKUP(E238,Outlist!$A$5:$AC$120,7,FALSE)="X","SUBCO",""),"")</f>
        <v/>
      </c>
      <c r="T238" s="25"/>
      <c r="U238" s="23"/>
      <c r="V238" s="23"/>
      <c r="W238" s="26"/>
      <c r="X238" s="27"/>
      <c r="Y238" s="25" t="str">
        <f>IF(OR(Out_Table[[#This Row],[DOC Del. hr. (RTH)]]&lt;&gt;"",Outlist!S139),"XXX","")</f>
        <v/>
      </c>
      <c r="Z238" s="25"/>
      <c r="AA238" s="25"/>
      <c r="AB238" s="57"/>
      <c r="AC238" s="25"/>
      <c r="AD238" s="25"/>
      <c r="AE238" s="57"/>
      <c r="AF238" s="57"/>
      <c r="AG238" s="25"/>
      <c r="AH238" s="57"/>
      <c r="AI238" s="339"/>
      <c r="AJ238" s="339"/>
      <c r="AK238" s="297" t="str">
        <f>IF(X238&lt;&gt;"",CONCATENATE(IF(AA238&lt;&gt;"",CONCATENATE(Z238," ",AA238," ",BI238),""),IF(AD238&lt;&gt;"",CONCATENATE(","," ",AC238," ",AD238," ",BJ238),""),IF(AG238&lt;&gt;"",CONCATENATE(","," ",AF238," ",AG238," ",BK238),""),IF(AJ238&lt;&gt;"",CONCATENATE(","," ","DD"," ",BL238),"")," ",IF(AI238&lt;&gt;"",CONCATENATE(" - ",AI238," Bag"),"")),"")</f>
        <v/>
      </c>
      <c r="AL238" s="287"/>
      <c r="AM238" s="287"/>
      <c r="AN238" s="287"/>
      <c r="AO238" s="287"/>
      <c r="AP238" s="370" t="str">
        <f>IFERROR(VLOOKUP($E238,Outlist!$A$5:$V$120,20,FALSE),"")</f>
        <v/>
      </c>
      <c r="AQ238" s="288" t="str">
        <f>IFERROR(IF(VLOOKUP($A238,#REF!,8,FALSE)&lt;&gt;"",VLOOKUP($A238,#REF!,8,FALSE),""),"")</f>
        <v/>
      </c>
      <c r="AS238" s="24"/>
      <c r="AT238" s="24"/>
      <c r="AU238" s="27"/>
      <c r="AV238" s="27"/>
      <c r="AX238" s="20" t="str">
        <f>IFERROR(IF(Out_Table[[#This Row],[Cancellazione linea]]="Cancellata","yes",""),"")</f>
        <v/>
      </c>
      <c r="AY238" s="72"/>
      <c r="AZ238" s="27"/>
      <c r="BA238" s="32"/>
      <c r="BB238" s="72"/>
      <c r="BC238" s="72" t="str">
        <f>IFERROR(VLOOKUP(Out_Table[[#This Row],[Aggiornamento STATUS]],'INformazioni per calcoli'!$Y$70:$AA$76,2,FALSE),"")</f>
        <v/>
      </c>
      <c r="BD238" s="289"/>
      <c r="BE238" s="289"/>
      <c r="BF238" s="47" t="str">
        <f>LEFT($E238,3)</f>
        <v/>
      </c>
      <c r="BG238" s="298" t="str">
        <f>IF(Out_Table[[#This Row],[Ora Uscita    (GH)]]&lt;&gt;"","x","")</f>
        <v/>
      </c>
      <c r="BH238" s="299" t="e">
        <f>VLOOKUP($O238,'INformazioni per calcoli'!$Y$20:$AA$23,3,FALSE)</f>
        <v>#N/A</v>
      </c>
      <c r="BI238" s="299" t="e">
        <f>MROUND(Out_Table[[#This Row],[Mtr. Trailer]]*AB238,0.5)</f>
        <v>#N/A</v>
      </c>
      <c r="BJ238" s="299" t="e">
        <f>MROUND(Out_Table[[#This Row],[Mtr. Trailer]]*AE238,0.5)</f>
        <v>#N/A</v>
      </c>
      <c r="BK238" s="299" t="e">
        <f>MROUND(Out_Table[[#This Row],[Mtr. Trailer]]*AH238,0.5)</f>
        <v>#N/A</v>
      </c>
      <c r="BL238" s="300">
        <f>Out_Table[[#This Row],[Double Deck trailer N° bumpers]]</f>
        <v>0</v>
      </c>
      <c r="BM238" s="301"/>
      <c r="BN238" s="299" t="str">
        <f>B238</f>
        <v/>
      </c>
      <c r="BO238" s="299" t="str">
        <f>E238</f>
        <v/>
      </c>
      <c r="BP238" s="302" t="e">
        <f>IF(AND(G238&gt;(--"00:00:01"),G238&lt;(--"15:00:00")),IF(AND(X238&gt;(--"00:00:01"),X238&lt;(--"15:00:00")),G238-X238,G238+1-X238),G238-X238)</f>
        <v>#VALUE!</v>
      </c>
      <c r="BQ238" s="303">
        <f>AE238+AF238+AH238+AJ238</f>
        <v>0</v>
      </c>
      <c r="BR238" s="304" t="e">
        <f>IF(OR(BP238&lt;=(--"00:20:00"),BQ238&gt;=100%),"OK","Not OK")</f>
        <v>#VALUE!</v>
      </c>
      <c r="BS238" s="302" t="e">
        <f>IF(AND(G238&gt;(--"00:00:01"),G238&lt;(--"15:00:00")),IF(AND(AU238&gt;(--"00:00:01"),AU238&lt;(--"15:00:00")),G238-AU238,G238+1-AU238),G238-AU238)</f>
        <v>#VALUE!</v>
      </c>
      <c r="BT238" s="302">
        <f>IF(AND(AZ238&gt;(--"00:00:01"),AZ238&lt;(--"15:00:00")),IF(AND(AU238&gt;(--"00:00:01"),AU238&lt;(--"15:00:00")),AZ238-AU238,AZ238+1-AU238),AZ238-AU238)</f>
        <v>0</v>
      </c>
      <c r="BU238" s="302">
        <f>IF(AND(BA238&gt;(--"00:00:01"),BA238&lt;(--"15:00:00")),IF(AND(AZ238&gt;(--"00:00:01"),AZ238&lt;(--"15:00:00")),BA238-AZ238,BA238+1-AZ238),BA238-AZ238)</f>
        <v>0</v>
      </c>
      <c r="BV238" s="299">
        <f>AV238</f>
        <v>0</v>
      </c>
      <c r="BW238" s="301"/>
      <c r="BX238" s="299" t="str">
        <f>IF(AV238="T Status",IF(AV238&lt;&gt;T238,"X",""),"")</f>
        <v/>
      </c>
      <c r="BY238" s="301"/>
      <c r="BZ238" s="299" t="str">
        <f>IF(X238&lt;&gt;"",IF(CC238="X","Driver Delay",IF(CA238="X","Paperwork Delay",IF(CB238="X","Late freight late sort",IF(CD238="X","Chiamare Control Room",IF(CE238="X","Chiamare Control Room",IF(CF238="X","Chiamare Control Room","")))))),"")</f>
        <v/>
      </c>
      <c r="CA238" s="302" t="e">
        <f>IF(K238="",IF(IF(AND(G238&gt;(--"00:00:01"),G238&lt;(--"15:00:00")),IF(AND(AT238&gt;(--"08:00:00"),AT238&lt;(--"23:59:59")),G238+1-AT238,G238-AT238),G238-AT238)&gt;(--"00:20:00"),"","X"),"")</f>
        <v>#VALUE!</v>
      </c>
      <c r="CB238" s="299" t="e">
        <f>IF(K238="",IF(BP238&gt;=(--"00:20:00"),"","X"),"")</f>
        <v>#VALUE!</v>
      </c>
      <c r="CC238" s="299" t="str">
        <f>IF(OR(AV238="Autista non presente",AV238="Dati driver non presenti"),"X","")</f>
        <v/>
      </c>
      <c r="CD238" s="299" t="e">
        <f>IF(K238="",IF(AND(CC238="",BS238&lt;(--"00:20:00")),"X",""),"")</f>
        <v>#VALUE!</v>
      </c>
      <c r="CE238" s="299" t="str">
        <f>IF(K238="",IF(BT238&gt;(--"00:15:00"),"X",""),IF(AZ238&lt;&gt;"",IF(G238-AZ238&gt;(--"00:30:00"),"X",""),""))</f>
        <v/>
      </c>
      <c r="CF238" s="299" t="e">
        <f>IF(AND(CA238="",CB238="",CC238="",CD238="",CE238=""),"X","")</f>
        <v>#VALUE!</v>
      </c>
      <c r="CG238" s="301"/>
      <c r="CH238" s="299" t="str">
        <f>IF(BT238&gt;(--"00:15:00"),"X","")</f>
        <v/>
      </c>
      <c r="CI238" s="302">
        <f>AY238</f>
        <v>0</v>
      </c>
      <c r="CJ238" s="299" t="str">
        <f>IF(AND(CH238&lt;&gt;"",CI238&lt;&gt;"",LEFT(B238,3)="ITD"),AP238,"")</f>
        <v/>
      </c>
      <c r="CK238" s="305" t="str">
        <f>IF(CJ238&lt;&gt;"",BT238,"")</f>
        <v/>
      </c>
      <c r="CL238" s="301"/>
      <c r="CM238" s="305" t="str">
        <f>IFERROR(VLOOKUP(Q238,'Elenco Casse'!$D$4:$F$292,3,FALSE),"")</f>
        <v/>
      </c>
      <c r="CN238" s="301"/>
      <c r="CO238" s="305" t="str">
        <f>IFERROR(VLOOKUP(E238,Outlist!$A$5:$H$120,8,FALSE),"")</f>
        <v/>
      </c>
      <c r="CP238" s="305" t="str">
        <f>IFERROR(IF(VLOOKUP($E238,Outlist!$A$5:$S$120,19,FALSE)&lt;&gt;0,"Y",""),"")</f>
        <v/>
      </c>
      <c r="CQ238" s="301"/>
      <c r="CR238" s="305" t="str">
        <f>CONCATENATE($B238,$E238,$G238)</f>
        <v/>
      </c>
      <c r="CS238" s="301"/>
      <c r="CT238" s="305" t="e">
        <f>VLOOKUP(Out_Table[[#This Row],[Destination             ORANGE (From Planning)]],Outlist!$A$5:$W$120,22,FALSE)</f>
        <v>#N/A</v>
      </c>
    </row>
    <row r="239" spans="1:98" s="20" customFormat="1" ht="15">
      <c r="A239" s="305" t="str">
        <f>$CR239</f>
        <v/>
      </c>
      <c r="B239" s="351" t="str">
        <f>IFERROR(VLOOKUP(E239,Outlist!$A$5:$AC$120,2,FALSE),"")</f>
        <v/>
      </c>
      <c r="C239" s="352" t="str">
        <f ca="1">IFERROR(IF(LEFT(B239,3)='STAT 77'!$X$2,_xlfn.XLOOKUP(B239,'STAT 77'!C:C,'STAT 77'!B:B),_xlfn.XLOOKUP(B239,'STAT 77'!B:B,'STAT 77'!C:C)),"NON TROVATO")</f>
        <v>NON TROVATO</v>
      </c>
      <c r="D239" s="4"/>
      <c r="E239" s="352" t="str">
        <f>IFERROR(IF(Outlist!$A101&lt;&gt;"",Outlist!$A101,""),"")</f>
        <v/>
      </c>
      <c r="F239" s="352" t="str">
        <f>IFERROR(VLOOKUP(E239,'Cambio O2P'!C:E,2,FALSE),"")</f>
        <v/>
      </c>
      <c r="G239" s="353" t="str">
        <f>IFERROR(VLOOKUP(E239,Outlist!$A$5:$AC$120,5,FALSE)-INT(VLOOKUP(E239,Outlist!$A$5:$AC$120,5,FALSE)),"")</f>
        <v/>
      </c>
      <c r="H239" s="294" t="str">
        <f ca="1">IFERROR(IF(AND('INformazioni per calcoli'!$AB$3&lt;(--"14:30"),'INformazioni per calcoli'!$AB$3&gt;(--"10:00")),"",IF($B239="","",IF($X239&lt;&gt;"","Mezzo Chiuso",IF($W239="","Non al Carico",IF($K239="Safe Parking","Safe Parking", IF(OR($BF239='INformazioni per calcoli'!$AF$8,$BF239='INformazioni per calcoli'!$AC$8,$BF239='INformazioni per calcoli'!$AD$8,$BF239='INformazioni per calcoli'!$AE$8,$BF239='INformazioni per calcoli'!$AG$8,$BF239='INformazioni per calcoli'!$AH$8,$BF239='INformazioni per calcoli'!$AI$8,$BF239='INformazioni per calcoli'!$AJ$8),IF($G239-'INformazioni per calcoli'!$AB$6-'INformazioni per calcoli'!$AB$3+$J239&lt;0,"LFLS",$G239-'INformazioni per calcoli'!$AB$6-'INformazioni per calcoli'!$AB$3+$J239), IF(OR($BF239='INformazioni per calcoli'!$AF$6,$BF239='INformazioni per calcoli'!$AD$6,$BF239='INformazioni per calcoli'!$AE$6,$BF239='INformazioni per calcoli'!$AG$6),IF($G239-'INformazioni per calcoli'!$AB$8-'INformazioni per calcoli'!$AB$3+$J239&lt;0,"LFLS",$G239-'INformazioni per calcoli'!$AB$8-'INformazioni per calcoli'!$AB$3+$J239), IF($G239-'INformazioni per calcoli'!$AB$7-'INformazioni per calcoli'!$AB$3+$J239&lt;0,"LFLS",$G239-'INformazioni per calcoli'!$AB$7-'INformazioni per calcoli'!$AB$3+$J239)))))))),"")</f>
        <v/>
      </c>
      <c r="I239" s="17" t="str">
        <f ca="1">IFERROR(IF($H239&lt;&gt;"",IF($H239="Safe Parking","",IF($W239&lt;&gt;"",IF(AND($U239="X",$V239="X"),$H239-(--"00:30"),""),IF($X239&lt;&gt;"","Mezzo Chiuso","Non al carico"))),""),"")</f>
        <v/>
      </c>
      <c r="J239" s="354" t="str">
        <f>IFERROR(IF($G239="","",IF(INT(VLOOKUP($E239,Outlist!$A$5:$E$120,5,FALSE))&gt;'INformazioni per calcoli'!$AB$2,INT(VLOOKUP($E239,Outlist!$A$5:$E$120,5,FALSE))-INT('INformazioni per calcoli'!$AB$2),0)),"")</f>
        <v/>
      </c>
      <c r="K239" s="27" t="str">
        <f>IF(E239&lt;&gt;"",IFERROR(VLOOKUP(E239,Outlist!$A$5:$AC$120,22,FALSE),""),"")</f>
        <v/>
      </c>
      <c r="L239" s="352" t="str">
        <f>IF(E239&lt;&gt;"",IFERROR(VLOOKUP(E239,Outlist!$A$5:$AC$120,3,FALSE),""),"")</f>
        <v/>
      </c>
      <c r="M239" s="4" t="str">
        <f>IFERROR(_xlfn.XLOOKUP($Q239,'Elenco Casse'!$D:$D,'Elenco Casse'!$E:$E),"")</f>
        <v/>
      </c>
      <c r="N239" s="4" t="str">
        <f>IFERROR(_xlfn.XLOOKUP($Q239,'Elenco Casse'!$D:$D,'Elenco Casse'!$F:$F),"")</f>
        <v/>
      </c>
      <c r="O239" s="4" t="str">
        <f>IF($L239&lt;&gt;"","TT-2/3","")</f>
        <v/>
      </c>
      <c r="P239" s="296" t="str">
        <f>IFERROR(IF(VLOOKUP(E239,Outlist!$A$5:$AC$120,21,FALSE)="YES","Linea Variata",""),"")</f>
        <v/>
      </c>
      <c r="Q239" s="355" t="str">
        <f>IFERROR(VLOOKUP(E239,Outlist!$AK$4:$BH$139,13,FALSE),"")</f>
        <v/>
      </c>
      <c r="R239" s="23"/>
      <c r="S239" s="25" t="str">
        <f>IFERROR(IF(VLOOKUP(E239,Outlist!$A$5:$AC$120,7,FALSE)="X","SUBCO",""),"")</f>
        <v/>
      </c>
      <c r="T239" s="25"/>
      <c r="U239" s="23"/>
      <c r="V239" s="23"/>
      <c r="W239" s="26"/>
      <c r="X239" s="27"/>
      <c r="Y239" s="25" t="str">
        <f>IF(OR(Out_Table[[#This Row],[DOC Del. hr. (RTH)]]&lt;&gt;"",Outlist!S140),"XXX","")</f>
        <v/>
      </c>
      <c r="Z239" s="25"/>
      <c r="AA239" s="25"/>
      <c r="AB239" s="57"/>
      <c r="AC239" s="25"/>
      <c r="AD239" s="25"/>
      <c r="AE239" s="57"/>
      <c r="AF239" s="57"/>
      <c r="AG239" s="25"/>
      <c r="AH239" s="57"/>
      <c r="AI239" s="339"/>
      <c r="AJ239" s="339"/>
      <c r="AK239" s="297" t="str">
        <f>IF(X239&lt;&gt;"",CONCATENATE(IF(AA239&lt;&gt;"",CONCATENATE(Z239," ",AA239," ",BI239),""),IF(AD239&lt;&gt;"",CONCATENATE(","," ",AC239," ",AD239," ",BJ239),""),IF(AG239&lt;&gt;"",CONCATENATE(","," ",AF239," ",AG239," ",BK239),""),IF(AJ239&lt;&gt;"",CONCATENATE(","," ","DD"," ",BL239),"")," ",IF(AI239&lt;&gt;"",CONCATENATE(" - ",AI239," Bag"),"")),"")</f>
        <v/>
      </c>
      <c r="AL239" s="287"/>
      <c r="AM239" s="287"/>
      <c r="AN239" s="287"/>
      <c r="AO239" s="287"/>
      <c r="AP239" s="370" t="str">
        <f>IFERROR(VLOOKUP($E239,Outlist!$A$5:$V$120,20,FALSE),"")</f>
        <v/>
      </c>
      <c r="AQ239" s="288" t="str">
        <f>IFERROR(IF(VLOOKUP($A239,#REF!,8,FALSE)&lt;&gt;"",VLOOKUP($A239,#REF!,8,FALSE),""),"")</f>
        <v/>
      </c>
      <c r="AS239" s="24"/>
      <c r="AT239" s="24"/>
      <c r="AU239" s="27"/>
      <c r="AV239" s="27"/>
      <c r="AX239" s="20" t="str">
        <f>IFERROR(IF(Out_Table[[#This Row],[Cancellazione linea]]="Cancellata","yes",""),"")</f>
        <v/>
      </c>
      <c r="AY239" s="72"/>
      <c r="AZ239" s="27"/>
      <c r="BA239" s="32"/>
      <c r="BB239" s="72"/>
      <c r="BC239" s="72" t="str">
        <f>IFERROR(VLOOKUP(Out_Table[[#This Row],[Aggiornamento STATUS]],'INformazioni per calcoli'!$Y$70:$AA$76,2,FALSE),"")</f>
        <v/>
      </c>
      <c r="BD239" s="289"/>
      <c r="BE239" s="289"/>
      <c r="BF239" s="47" t="str">
        <f>LEFT($E239,3)</f>
        <v/>
      </c>
      <c r="BG239" s="298" t="str">
        <f>IF(Out_Table[[#This Row],[Ora Uscita    (GH)]]&lt;&gt;"","x","")</f>
        <v/>
      </c>
      <c r="BH239" s="299" t="e">
        <f>VLOOKUP($O239,'INformazioni per calcoli'!$Y$20:$AA$23,3,FALSE)</f>
        <v>#N/A</v>
      </c>
      <c r="BI239" s="299" t="e">
        <f>MROUND(Out_Table[[#This Row],[Mtr. Trailer]]*AB239,0.5)</f>
        <v>#N/A</v>
      </c>
      <c r="BJ239" s="299" t="e">
        <f>MROUND(Out_Table[[#This Row],[Mtr. Trailer]]*AE239,0.5)</f>
        <v>#N/A</v>
      </c>
      <c r="BK239" s="299" t="e">
        <f>MROUND(Out_Table[[#This Row],[Mtr. Trailer]]*AH239,0.5)</f>
        <v>#N/A</v>
      </c>
      <c r="BL239" s="300">
        <f>Out_Table[[#This Row],[Double Deck trailer N° bumpers]]</f>
        <v>0</v>
      </c>
      <c r="BM239" s="301"/>
      <c r="BN239" s="299" t="str">
        <f>B239</f>
        <v/>
      </c>
      <c r="BO239" s="299" t="str">
        <f>E239</f>
        <v/>
      </c>
      <c r="BP239" s="302" t="e">
        <f>IF(AND(G239&gt;(--"00:00:01"),G239&lt;(--"15:00:00")),IF(AND(X239&gt;(--"00:00:01"),X239&lt;(--"15:00:00")),G239-X239,G239+1-X239),G239-X239)</f>
        <v>#VALUE!</v>
      </c>
      <c r="BQ239" s="303">
        <f>AE239+AF239+AH239+AJ239</f>
        <v>0</v>
      </c>
      <c r="BR239" s="304" t="e">
        <f>IF(OR(BP239&lt;=(--"00:20:00"),BQ239&gt;=100%),"OK","Not OK")</f>
        <v>#VALUE!</v>
      </c>
      <c r="BS239" s="302" t="e">
        <f>IF(AND(G239&gt;(--"00:00:01"),G239&lt;(--"15:00:00")),IF(AND(AU239&gt;(--"00:00:01"),AU239&lt;(--"15:00:00")),G239-AU239,G239+1-AU239),G239-AU239)</f>
        <v>#VALUE!</v>
      </c>
      <c r="BT239" s="302">
        <f>IF(AND(AZ239&gt;(--"00:00:01"),AZ239&lt;(--"15:00:00")),IF(AND(AU239&gt;(--"00:00:01"),AU239&lt;(--"15:00:00")),AZ239-AU239,AZ239+1-AU239),AZ239-AU239)</f>
        <v>0</v>
      </c>
      <c r="BU239" s="302">
        <f>IF(AND(BA239&gt;(--"00:00:01"),BA239&lt;(--"15:00:00")),IF(AND(AZ239&gt;(--"00:00:01"),AZ239&lt;(--"15:00:00")),BA239-AZ239,BA239+1-AZ239),BA239-AZ239)</f>
        <v>0</v>
      </c>
      <c r="BV239" s="299">
        <f>AV239</f>
        <v>0</v>
      </c>
      <c r="BW239" s="301"/>
      <c r="BX239" s="299" t="str">
        <f>IF(AV239="T Status",IF(AV239&lt;&gt;T239,"X",""),"")</f>
        <v/>
      </c>
      <c r="BY239" s="301"/>
      <c r="BZ239" s="299" t="str">
        <f>IF(X239&lt;&gt;"",IF(CC239="X","Driver Delay",IF(CA239="X","Paperwork Delay",IF(CB239="X","Late freight late sort",IF(CD239="X","Chiamare Control Room",IF(CE239="X","Chiamare Control Room",IF(CF239="X","Chiamare Control Room","")))))),"")</f>
        <v/>
      </c>
      <c r="CA239" s="302" t="e">
        <f>IF(K239="",IF(IF(AND(G239&gt;(--"00:00:01"),G239&lt;(--"15:00:00")),IF(AND(AT239&gt;(--"08:00:00"),AT239&lt;(--"23:59:59")),G239+1-AT239,G239-AT239),G239-AT239)&gt;(--"00:20:00"),"","X"),"")</f>
        <v>#VALUE!</v>
      </c>
      <c r="CB239" s="299" t="e">
        <f>IF(K239="",IF(BP239&gt;=(--"00:20:00"),"","X"),"")</f>
        <v>#VALUE!</v>
      </c>
      <c r="CC239" s="299" t="str">
        <f>IF(OR(AV239="Autista non presente",AV239="Dati driver non presenti"),"X","")</f>
        <v/>
      </c>
      <c r="CD239" s="299" t="e">
        <f>IF(K239="",IF(AND(CC239="",BS239&lt;(--"00:20:00")),"X",""),"")</f>
        <v>#VALUE!</v>
      </c>
      <c r="CE239" s="299" t="str">
        <f>IF(K239="",IF(BT239&gt;(--"00:15:00"),"X",""),IF(AZ239&lt;&gt;"",IF(G239-AZ239&gt;(--"00:30:00"),"X",""),""))</f>
        <v/>
      </c>
      <c r="CF239" s="299" t="e">
        <f>IF(AND(CA239="",CB239="",CC239="",CD239="",CE239=""),"X","")</f>
        <v>#VALUE!</v>
      </c>
      <c r="CG239" s="301"/>
      <c r="CH239" s="299" t="str">
        <f>IF(BT239&gt;(--"00:15:00"),"X","")</f>
        <v/>
      </c>
      <c r="CI239" s="302">
        <f>AY239</f>
        <v>0</v>
      </c>
      <c r="CJ239" s="299" t="str">
        <f>IF(AND(CH239&lt;&gt;"",CI239&lt;&gt;"",LEFT(B239,3)="ITD"),AP239,"")</f>
        <v/>
      </c>
      <c r="CK239" s="305" t="str">
        <f>IF(CJ239&lt;&gt;"",BT239,"")</f>
        <v/>
      </c>
      <c r="CL239" s="301"/>
      <c r="CM239" s="305" t="str">
        <f>IFERROR(VLOOKUP(Q239,'Elenco Casse'!$D$4:$F$292,3,FALSE),"")</f>
        <v/>
      </c>
      <c r="CN239" s="301"/>
      <c r="CO239" s="305" t="str">
        <f>IFERROR(VLOOKUP(E239,Outlist!$A$5:$H$120,8,FALSE),"")</f>
        <v/>
      </c>
      <c r="CP239" s="305" t="str">
        <f>IFERROR(IF(VLOOKUP($E239,Outlist!$A$5:$S$120,19,FALSE)&lt;&gt;0,"Y",""),"")</f>
        <v/>
      </c>
      <c r="CQ239" s="301"/>
      <c r="CR239" s="305" t="str">
        <f>CONCATENATE($B239,$E239,$G239)</f>
        <v/>
      </c>
      <c r="CS239" s="301"/>
      <c r="CT239" s="305" t="e">
        <f>VLOOKUP(Out_Table[[#This Row],[Destination             ORANGE (From Planning)]],Outlist!$A$5:$W$120,22,FALSE)</f>
        <v>#N/A</v>
      </c>
    </row>
    <row r="240" spans="1:98" s="20" customFormat="1" ht="15">
      <c r="A240" s="305" t="str">
        <f>$CR240</f>
        <v/>
      </c>
      <c r="B240" s="351" t="str">
        <f>IFERROR(VLOOKUP(E240,Outlist!$A$5:$AC$120,2,FALSE),"")</f>
        <v/>
      </c>
      <c r="C240" s="352" t="str">
        <f ca="1">IFERROR(IF(LEFT(B240,3)='STAT 77'!$X$2,_xlfn.XLOOKUP(B240,'STAT 77'!C:C,'STAT 77'!B:B),_xlfn.XLOOKUP(B240,'STAT 77'!B:B,'STAT 77'!C:C)),"NON TROVATO")</f>
        <v>NON TROVATO</v>
      </c>
      <c r="D240" s="4"/>
      <c r="E240" s="352" t="str">
        <f>IFERROR(IF(Outlist!$A102&lt;&gt;"",Outlist!$A102,""),"")</f>
        <v/>
      </c>
      <c r="F240" s="352" t="str">
        <f>IFERROR(VLOOKUP(E240,'Cambio O2P'!C:E,2,FALSE),"")</f>
        <v/>
      </c>
      <c r="G240" s="353" t="str">
        <f>IFERROR(VLOOKUP(E240,Outlist!$A$5:$AC$120,5,FALSE)-INT(VLOOKUP(E240,Outlist!$A$5:$AC$120,5,FALSE)),"")</f>
        <v/>
      </c>
      <c r="H240" s="294" t="str">
        <f ca="1">IFERROR(IF(AND('INformazioni per calcoli'!$AB$3&lt;(--"14:30"),'INformazioni per calcoli'!$AB$3&gt;(--"10:00")),"",IF($B240="","",IF($X240&lt;&gt;"","Mezzo Chiuso",IF($W240="","Non al Carico",IF($K240="Safe Parking","Safe Parking", IF(OR($BF240='INformazioni per calcoli'!$AF$8,$BF240='INformazioni per calcoli'!$AC$8,$BF240='INformazioni per calcoli'!$AD$8,$BF240='INformazioni per calcoli'!$AE$8,$BF240='INformazioni per calcoli'!$AG$8,$BF240='INformazioni per calcoli'!$AH$8,$BF240='INformazioni per calcoli'!$AI$8,$BF240='INformazioni per calcoli'!$AJ$8),IF($G240-'INformazioni per calcoli'!$AB$6-'INformazioni per calcoli'!$AB$3+$J240&lt;0,"LFLS",$G240-'INformazioni per calcoli'!$AB$6-'INformazioni per calcoli'!$AB$3+$J240), IF(OR($BF240='INformazioni per calcoli'!$AF$6,$BF240='INformazioni per calcoli'!$AD$6,$BF240='INformazioni per calcoli'!$AE$6,$BF240='INformazioni per calcoli'!$AG$6),IF($G240-'INformazioni per calcoli'!$AB$8-'INformazioni per calcoli'!$AB$3+$J240&lt;0,"LFLS",$G240-'INformazioni per calcoli'!$AB$8-'INformazioni per calcoli'!$AB$3+$J240), IF($G240-'INformazioni per calcoli'!$AB$7-'INformazioni per calcoli'!$AB$3+$J240&lt;0,"LFLS",$G240-'INformazioni per calcoli'!$AB$7-'INformazioni per calcoli'!$AB$3+$J240)))))))),"")</f>
        <v/>
      </c>
      <c r="I240" s="17" t="str">
        <f ca="1">IFERROR(IF($H240&lt;&gt;"",IF($H240="Safe Parking","",IF($W240&lt;&gt;"",IF(AND($U240="X",$V240="X"),$H240-(--"00:30"),""),IF($X240&lt;&gt;"","Mezzo Chiuso","Non al carico"))),""),"")</f>
        <v/>
      </c>
      <c r="J240" s="354" t="str">
        <f>IFERROR(IF($G240="","",IF(INT(VLOOKUP($E240,Outlist!$A$5:$E$120,5,FALSE))&gt;'INformazioni per calcoli'!$AB$2,INT(VLOOKUP($E240,Outlist!$A$5:$E$120,5,FALSE))-INT('INformazioni per calcoli'!$AB$2),0)),"")</f>
        <v/>
      </c>
      <c r="K240" s="27" t="str">
        <f>IF(E240&lt;&gt;"",IFERROR(VLOOKUP(E240,Outlist!$A$5:$AC$120,22,FALSE),""),"")</f>
        <v/>
      </c>
      <c r="L240" s="352" t="str">
        <f>IF(E240&lt;&gt;"",IFERROR(VLOOKUP(E240,Outlist!$A$5:$AC$120,3,FALSE),""),"")</f>
        <v/>
      </c>
      <c r="M240" s="4" t="str">
        <f>IFERROR(_xlfn.XLOOKUP($Q240,'Elenco Casse'!$D:$D,'Elenco Casse'!$E:$E),"")</f>
        <v/>
      </c>
      <c r="N240" s="4" t="str">
        <f>IFERROR(_xlfn.XLOOKUP($Q240,'Elenco Casse'!$D:$D,'Elenco Casse'!$F:$F),"")</f>
        <v/>
      </c>
      <c r="O240" s="4" t="str">
        <f>IF($L240&lt;&gt;"","TT-2/3","")</f>
        <v/>
      </c>
      <c r="P240" s="296" t="str">
        <f>IFERROR(IF(VLOOKUP(E240,Outlist!$A$5:$AC$120,21,FALSE)="YES","Linea Variata",""),"")</f>
        <v/>
      </c>
      <c r="Q240" s="355" t="str">
        <f>IFERROR(VLOOKUP(E240,Outlist!$AK$4:$BH$139,13,FALSE),"")</f>
        <v/>
      </c>
      <c r="R240" s="23"/>
      <c r="S240" s="25" t="str">
        <f>IFERROR(IF(VLOOKUP(E240,Outlist!$A$5:$AC$120,7,FALSE)="X","SUBCO",""),"")</f>
        <v/>
      </c>
      <c r="T240" s="25"/>
      <c r="U240" s="23"/>
      <c r="V240" s="23"/>
      <c r="W240" s="26"/>
      <c r="X240" s="27"/>
      <c r="Y240" s="25" t="str">
        <f>IF(OR(Out_Table[[#This Row],[DOC Del. hr. (RTH)]]&lt;&gt;"",Outlist!S141),"XXX","")</f>
        <v/>
      </c>
      <c r="Z240" s="25"/>
      <c r="AA240" s="25"/>
      <c r="AB240" s="57"/>
      <c r="AC240" s="25"/>
      <c r="AD240" s="25"/>
      <c r="AE240" s="57"/>
      <c r="AF240" s="57"/>
      <c r="AG240" s="25"/>
      <c r="AH240" s="57"/>
      <c r="AI240" s="339"/>
      <c r="AJ240" s="339"/>
      <c r="AK240" s="297" t="str">
        <f>IF(X240&lt;&gt;"",CONCATENATE(IF(AA240&lt;&gt;"",CONCATENATE(Z240," ",AA240," ",BI240),""),IF(AD240&lt;&gt;"",CONCATENATE(","," ",AC240," ",AD240," ",BJ240),""),IF(AG240&lt;&gt;"",CONCATENATE(","," ",AF240," ",AG240," ",BK240),""),IF(AJ240&lt;&gt;"",CONCATENATE(","," ","DD"," ",BL240),"")," ",IF(AI240&lt;&gt;"",CONCATENATE(" - ",AI240," Bag"),"")),"")</f>
        <v/>
      </c>
      <c r="AL240" s="287"/>
      <c r="AM240" s="287"/>
      <c r="AN240" s="287"/>
      <c r="AO240" s="287"/>
      <c r="AP240" s="370" t="str">
        <f>IFERROR(VLOOKUP($E240,Outlist!$A$5:$V$120,20,FALSE),"")</f>
        <v/>
      </c>
      <c r="AQ240" s="288" t="str">
        <f>IFERROR(IF(VLOOKUP($A240,#REF!,8,FALSE)&lt;&gt;"",VLOOKUP($A240,#REF!,8,FALSE),""),"")</f>
        <v/>
      </c>
      <c r="AS240" s="24"/>
      <c r="AT240" s="24"/>
      <c r="AU240" s="27"/>
      <c r="AV240" s="27"/>
      <c r="AX240" s="20" t="str">
        <f>IFERROR(IF(Out_Table[[#This Row],[Cancellazione linea]]="Cancellata","yes",""),"")</f>
        <v/>
      </c>
      <c r="AY240" s="72"/>
      <c r="AZ240" s="27"/>
      <c r="BA240" s="32"/>
      <c r="BB240" s="72"/>
      <c r="BC240" s="72" t="str">
        <f>IFERROR(VLOOKUP(Out_Table[[#This Row],[Aggiornamento STATUS]],'INformazioni per calcoli'!$Y$70:$AA$76,2,FALSE),"")</f>
        <v/>
      </c>
      <c r="BD240" s="289"/>
      <c r="BE240" s="289"/>
      <c r="BF240" s="47" t="str">
        <f>LEFT($E240,3)</f>
        <v/>
      </c>
      <c r="BG240" s="298" t="str">
        <f>IF(Out_Table[[#This Row],[Ora Uscita    (GH)]]&lt;&gt;"","x","")</f>
        <v/>
      </c>
      <c r="BH240" s="299" t="e">
        <f>VLOOKUP($O240,'INformazioni per calcoli'!$Y$20:$AA$23,3,FALSE)</f>
        <v>#N/A</v>
      </c>
      <c r="BI240" s="299" t="e">
        <f>MROUND(Out_Table[[#This Row],[Mtr. Trailer]]*AB240,0.5)</f>
        <v>#N/A</v>
      </c>
      <c r="BJ240" s="299" t="e">
        <f>MROUND(Out_Table[[#This Row],[Mtr. Trailer]]*AE240,0.5)</f>
        <v>#N/A</v>
      </c>
      <c r="BK240" s="299" t="e">
        <f>MROUND(Out_Table[[#This Row],[Mtr. Trailer]]*AH240,0.5)</f>
        <v>#N/A</v>
      </c>
      <c r="BL240" s="300">
        <f>Out_Table[[#This Row],[Double Deck trailer N° bumpers]]</f>
        <v>0</v>
      </c>
      <c r="BM240" s="301"/>
      <c r="BN240" s="299" t="str">
        <f>B240</f>
        <v/>
      </c>
      <c r="BO240" s="299" t="str">
        <f>E240</f>
        <v/>
      </c>
      <c r="BP240" s="302" t="e">
        <f>IF(AND(G240&gt;(--"00:00:01"),G240&lt;(--"15:00:00")),IF(AND(X240&gt;(--"00:00:01"),X240&lt;(--"15:00:00")),G240-X240,G240+1-X240),G240-X240)</f>
        <v>#VALUE!</v>
      </c>
      <c r="BQ240" s="303">
        <f>AE240+AF240+AH240+AJ240</f>
        <v>0</v>
      </c>
      <c r="BR240" s="304" t="e">
        <f>IF(OR(BP240&lt;=(--"00:20:00"),BQ240&gt;=100%),"OK","Not OK")</f>
        <v>#VALUE!</v>
      </c>
      <c r="BS240" s="302" t="e">
        <f>IF(AND(G240&gt;(--"00:00:01"),G240&lt;(--"15:00:00")),IF(AND(AU240&gt;(--"00:00:01"),AU240&lt;(--"15:00:00")),G240-AU240,G240+1-AU240),G240-AU240)</f>
        <v>#VALUE!</v>
      </c>
      <c r="BT240" s="302">
        <f>IF(AND(AZ240&gt;(--"00:00:01"),AZ240&lt;(--"15:00:00")),IF(AND(AU240&gt;(--"00:00:01"),AU240&lt;(--"15:00:00")),AZ240-AU240,AZ240+1-AU240),AZ240-AU240)</f>
        <v>0</v>
      </c>
      <c r="BU240" s="302">
        <f>IF(AND(BA240&gt;(--"00:00:01"),BA240&lt;(--"15:00:00")),IF(AND(AZ240&gt;(--"00:00:01"),AZ240&lt;(--"15:00:00")),BA240-AZ240,BA240+1-AZ240),BA240-AZ240)</f>
        <v>0</v>
      </c>
      <c r="BV240" s="299">
        <f>AV240</f>
        <v>0</v>
      </c>
      <c r="BW240" s="301"/>
      <c r="BX240" s="299" t="str">
        <f>IF(AV240="T Status",IF(AV240&lt;&gt;T240,"X",""),"")</f>
        <v/>
      </c>
      <c r="BY240" s="301"/>
      <c r="BZ240" s="299" t="str">
        <f>IF(X240&lt;&gt;"",IF(CC240="X","Driver Delay",IF(CA240="X","Paperwork Delay",IF(CB240="X","Late freight late sort",IF(CD240="X","Chiamare Control Room",IF(CE240="X","Chiamare Control Room",IF(CF240="X","Chiamare Control Room","")))))),"")</f>
        <v/>
      </c>
      <c r="CA240" s="302" t="e">
        <f>IF(K240="",IF(IF(AND(G240&gt;(--"00:00:01"),G240&lt;(--"15:00:00")),IF(AND(AT240&gt;(--"08:00:00"),AT240&lt;(--"23:59:59")),G240+1-AT240,G240-AT240),G240-AT240)&gt;(--"00:20:00"),"","X"),"")</f>
        <v>#VALUE!</v>
      </c>
      <c r="CB240" s="299" t="e">
        <f>IF(K240="",IF(BP240&gt;=(--"00:20:00"),"","X"),"")</f>
        <v>#VALUE!</v>
      </c>
      <c r="CC240" s="299" t="str">
        <f>IF(OR(AV240="Autista non presente",AV240="Dati driver non presenti"),"X","")</f>
        <v/>
      </c>
      <c r="CD240" s="299" t="e">
        <f>IF(K240="",IF(AND(CC240="",BS240&lt;(--"00:20:00")),"X",""),"")</f>
        <v>#VALUE!</v>
      </c>
      <c r="CE240" s="299" t="str">
        <f>IF(K240="",IF(BT240&gt;(--"00:15:00"),"X",""),IF(AZ240&lt;&gt;"",IF(G240-AZ240&gt;(--"00:30:00"),"X",""),""))</f>
        <v/>
      </c>
      <c r="CF240" s="299" t="e">
        <f>IF(AND(CA240="",CB240="",CC240="",CD240="",CE240=""),"X","")</f>
        <v>#VALUE!</v>
      </c>
      <c r="CG240" s="301"/>
      <c r="CH240" s="299" t="str">
        <f>IF(BT240&gt;(--"00:15:00"),"X","")</f>
        <v/>
      </c>
      <c r="CI240" s="302">
        <f>AY240</f>
        <v>0</v>
      </c>
      <c r="CJ240" s="299" t="str">
        <f>IF(AND(CH240&lt;&gt;"",CI240&lt;&gt;"",LEFT(B240,3)="ITD"),AP240,"")</f>
        <v/>
      </c>
      <c r="CK240" s="305" t="str">
        <f>IF(CJ240&lt;&gt;"",BT240,"")</f>
        <v/>
      </c>
      <c r="CL240" s="301"/>
      <c r="CM240" s="305" t="str">
        <f>IFERROR(VLOOKUP(Q240,'Elenco Casse'!$D$4:$F$292,3,FALSE),"")</f>
        <v/>
      </c>
      <c r="CN240" s="301"/>
      <c r="CO240" s="305" t="str">
        <f>IFERROR(VLOOKUP(E240,Outlist!$A$5:$H$120,8,FALSE),"")</f>
        <v/>
      </c>
      <c r="CP240" s="305" t="str">
        <f>IFERROR(IF(VLOOKUP($E240,Outlist!$A$5:$S$120,19,FALSE)&lt;&gt;0,"Y",""),"")</f>
        <v/>
      </c>
      <c r="CQ240" s="301"/>
      <c r="CR240" s="305" t="str">
        <f>CONCATENATE($B240,$E240,$G240)</f>
        <v/>
      </c>
      <c r="CS240" s="301"/>
      <c r="CT240" s="305" t="e">
        <f>VLOOKUP(Out_Table[[#This Row],[Destination             ORANGE (From Planning)]],Outlist!$A$5:$W$120,22,FALSE)</f>
        <v>#N/A</v>
      </c>
    </row>
    <row r="241" spans="1:98" s="20" customFormat="1" ht="15">
      <c r="A241" s="305" t="str">
        <f>$CR241</f>
        <v/>
      </c>
      <c r="B241" s="351" t="str">
        <f>IFERROR(VLOOKUP(E241,Outlist!$A$5:$AC$120,2,FALSE),"")</f>
        <v/>
      </c>
      <c r="C241" s="352" t="str">
        <f ca="1">IFERROR(IF(LEFT(B241,3)='STAT 77'!$X$2,_xlfn.XLOOKUP(B241,'STAT 77'!C:C,'STAT 77'!B:B),_xlfn.XLOOKUP(B241,'STAT 77'!B:B,'STAT 77'!C:C)),"NON TROVATO")</f>
        <v>NON TROVATO</v>
      </c>
      <c r="D241" s="4"/>
      <c r="E241" s="352" t="str">
        <f>IFERROR(IF(Outlist!$A103&lt;&gt;"",Outlist!$A103,""),"")</f>
        <v/>
      </c>
      <c r="F241" s="352" t="str">
        <f>IFERROR(VLOOKUP(E241,'Cambio O2P'!C:E,2,FALSE),"")</f>
        <v/>
      </c>
      <c r="G241" s="353" t="str">
        <f>IFERROR(VLOOKUP(E241,Outlist!$A$5:$AC$120,5,FALSE)-INT(VLOOKUP(E241,Outlist!$A$5:$AC$120,5,FALSE)),"")</f>
        <v/>
      </c>
      <c r="H241" s="294" t="str">
        <f ca="1">IFERROR(IF(AND('INformazioni per calcoli'!$AB$3&lt;(--"14:30"),'INformazioni per calcoli'!$AB$3&gt;(--"10:00")),"",IF($B241="","",IF($X241&lt;&gt;"","Mezzo Chiuso",IF($W241="","Non al Carico",IF($K241="Safe Parking","Safe Parking", IF(OR($BF241='INformazioni per calcoli'!$AF$8,$BF241='INformazioni per calcoli'!$AC$8,$BF241='INformazioni per calcoli'!$AD$8,$BF241='INformazioni per calcoli'!$AE$8,$BF241='INformazioni per calcoli'!$AG$8,$BF241='INformazioni per calcoli'!$AH$8,$BF241='INformazioni per calcoli'!$AI$8,$BF241='INformazioni per calcoli'!$AJ$8),IF($G241-'INformazioni per calcoli'!$AB$6-'INformazioni per calcoli'!$AB$3+$J241&lt;0,"LFLS",$G241-'INformazioni per calcoli'!$AB$6-'INformazioni per calcoli'!$AB$3+$J241), IF(OR($BF241='INformazioni per calcoli'!$AF$6,$BF241='INformazioni per calcoli'!$AD$6,$BF241='INformazioni per calcoli'!$AE$6,$BF241='INformazioni per calcoli'!$AG$6),IF($G241-'INformazioni per calcoli'!$AB$8-'INformazioni per calcoli'!$AB$3+$J241&lt;0,"LFLS",$G241-'INformazioni per calcoli'!$AB$8-'INformazioni per calcoli'!$AB$3+$J241), IF($G241-'INformazioni per calcoli'!$AB$7-'INformazioni per calcoli'!$AB$3+$J241&lt;0,"LFLS",$G241-'INformazioni per calcoli'!$AB$7-'INformazioni per calcoli'!$AB$3+$J241)))))))),"")</f>
        <v/>
      </c>
      <c r="I241" s="17" t="str">
        <f ca="1">IFERROR(IF($H241&lt;&gt;"",IF($H241="Safe Parking","",IF($W241&lt;&gt;"",IF(AND($U241="X",$V241="X"),$H241-(--"00:30"),""),IF($X241&lt;&gt;"","Mezzo Chiuso","Non al carico"))),""),"")</f>
        <v/>
      </c>
      <c r="J241" s="354" t="str">
        <f>IFERROR(IF($G241="","",IF(INT(VLOOKUP($E241,Outlist!$A$5:$E$120,5,FALSE))&gt;'INformazioni per calcoli'!$AB$2,INT(VLOOKUP($E241,Outlist!$A$5:$E$120,5,FALSE))-INT('INformazioni per calcoli'!$AB$2),0)),"")</f>
        <v/>
      </c>
      <c r="K241" s="27" t="str">
        <f>IF(E241&lt;&gt;"",IFERROR(VLOOKUP(E241,Outlist!$A$5:$AC$120,22,FALSE),""),"")</f>
        <v/>
      </c>
      <c r="L241" s="352" t="str">
        <f>IF(E241&lt;&gt;"",IFERROR(VLOOKUP(E241,Outlist!$A$5:$AC$120,3,FALSE),""),"")</f>
        <v/>
      </c>
      <c r="M241" s="4" t="str">
        <f>IFERROR(_xlfn.XLOOKUP($Q241,'Elenco Casse'!$D:$D,'Elenco Casse'!$E:$E),"")</f>
        <v/>
      </c>
      <c r="N241" s="4" t="str">
        <f>IFERROR(_xlfn.XLOOKUP($Q241,'Elenco Casse'!$D:$D,'Elenco Casse'!$F:$F),"")</f>
        <v/>
      </c>
      <c r="O241" s="4" t="str">
        <f>IF($L241&lt;&gt;"","TT-2/3","")</f>
        <v/>
      </c>
      <c r="P241" s="296" t="str">
        <f>IFERROR(IF(VLOOKUP(E241,Outlist!$A$5:$AC$120,21,FALSE)="YES","Linea Variata",""),"")</f>
        <v/>
      </c>
      <c r="Q241" s="355" t="str">
        <f>IFERROR(VLOOKUP(E241,Outlist!$AK$4:$BH$139,13,FALSE),"")</f>
        <v/>
      </c>
      <c r="R241" s="23"/>
      <c r="S241" s="25" t="str">
        <f>IFERROR(IF(VLOOKUP(E241,Outlist!$A$5:$AC$120,7,FALSE)="X","SUBCO",""),"")</f>
        <v/>
      </c>
      <c r="T241" s="25"/>
      <c r="U241" s="23"/>
      <c r="V241" s="23"/>
      <c r="W241" s="26"/>
      <c r="X241" s="27"/>
      <c r="Y241" s="25" t="str">
        <f>IF(OR(Out_Table[[#This Row],[DOC Del. hr. (RTH)]]&lt;&gt;"",Outlist!S142),"XXX","")</f>
        <v/>
      </c>
      <c r="Z241" s="25"/>
      <c r="AA241" s="25"/>
      <c r="AB241" s="57"/>
      <c r="AC241" s="25"/>
      <c r="AD241" s="25"/>
      <c r="AE241" s="57"/>
      <c r="AF241" s="57"/>
      <c r="AG241" s="25"/>
      <c r="AH241" s="57"/>
      <c r="AI241" s="339"/>
      <c r="AJ241" s="339"/>
      <c r="AK241" s="297" t="str">
        <f>IF(X241&lt;&gt;"",CONCATENATE(IF(AA241&lt;&gt;"",CONCATENATE(Z241," ",AA241," ",BI241),""),IF(AD241&lt;&gt;"",CONCATENATE(","," ",AC241," ",AD241," ",BJ241),""),IF(AG241&lt;&gt;"",CONCATENATE(","," ",AF241," ",AG241," ",BK241),""),IF(AJ241&lt;&gt;"",CONCATENATE(","," ","DD"," ",BL241),"")," ",IF(AI241&lt;&gt;"",CONCATENATE(" - ",AI241," Bag"),"")),"")</f>
        <v/>
      </c>
      <c r="AL241" s="287"/>
      <c r="AM241" s="287"/>
      <c r="AN241" s="287"/>
      <c r="AO241" s="287"/>
      <c r="AP241" s="370" t="str">
        <f>IFERROR(VLOOKUP($E241,Outlist!$A$5:$V$120,20,FALSE),"")</f>
        <v/>
      </c>
      <c r="AQ241" s="288" t="str">
        <f>IFERROR(IF(VLOOKUP($A241,#REF!,8,FALSE)&lt;&gt;"",VLOOKUP($A241,#REF!,8,FALSE),""),"")</f>
        <v/>
      </c>
      <c r="AS241" s="24"/>
      <c r="AT241" s="24"/>
      <c r="AU241" s="27"/>
      <c r="AV241" s="27"/>
      <c r="AX241" s="20" t="str">
        <f>IFERROR(IF(Out_Table[[#This Row],[Cancellazione linea]]="Cancellata","yes",""),"")</f>
        <v/>
      </c>
      <c r="AY241" s="72"/>
      <c r="AZ241" s="27"/>
      <c r="BA241" s="32"/>
      <c r="BB241" s="72"/>
      <c r="BC241" s="72" t="str">
        <f>IFERROR(VLOOKUP(Out_Table[[#This Row],[Aggiornamento STATUS]],'INformazioni per calcoli'!$Y$70:$AA$76,2,FALSE),"")</f>
        <v/>
      </c>
      <c r="BD241" s="289"/>
      <c r="BE241" s="289"/>
      <c r="BF241" s="47" t="str">
        <f>LEFT($E241,3)</f>
        <v/>
      </c>
      <c r="BG241" s="298" t="str">
        <f>IF(Out_Table[[#This Row],[Ora Uscita    (GH)]]&lt;&gt;"","x","")</f>
        <v/>
      </c>
      <c r="BH241" s="299" t="e">
        <f>VLOOKUP($O241,'INformazioni per calcoli'!$Y$20:$AA$23,3,FALSE)</f>
        <v>#N/A</v>
      </c>
      <c r="BI241" s="299" t="e">
        <f>MROUND(Out_Table[[#This Row],[Mtr. Trailer]]*AB241,0.5)</f>
        <v>#N/A</v>
      </c>
      <c r="BJ241" s="299" t="e">
        <f>MROUND(Out_Table[[#This Row],[Mtr. Trailer]]*AE241,0.5)</f>
        <v>#N/A</v>
      </c>
      <c r="BK241" s="299" t="e">
        <f>MROUND(Out_Table[[#This Row],[Mtr. Trailer]]*AH241,0.5)</f>
        <v>#N/A</v>
      </c>
      <c r="BL241" s="300">
        <f>Out_Table[[#This Row],[Double Deck trailer N° bumpers]]</f>
        <v>0</v>
      </c>
      <c r="BM241" s="301"/>
      <c r="BN241" s="299" t="str">
        <f>B241</f>
        <v/>
      </c>
      <c r="BO241" s="299" t="str">
        <f>E241</f>
        <v/>
      </c>
      <c r="BP241" s="302" t="e">
        <f>IF(AND(G241&gt;(--"00:00:01"),G241&lt;(--"15:00:00")),IF(AND(X241&gt;(--"00:00:01"),X241&lt;(--"15:00:00")),G241-X241,G241+1-X241),G241-X241)</f>
        <v>#VALUE!</v>
      </c>
      <c r="BQ241" s="303">
        <f>AE241+AF241+AH241+AJ241</f>
        <v>0</v>
      </c>
      <c r="BR241" s="304" t="e">
        <f>IF(OR(BP241&lt;=(--"00:20:00"),BQ241&gt;=100%),"OK","Not OK")</f>
        <v>#VALUE!</v>
      </c>
      <c r="BS241" s="302" t="e">
        <f>IF(AND(G241&gt;(--"00:00:01"),G241&lt;(--"15:00:00")),IF(AND(AU241&gt;(--"00:00:01"),AU241&lt;(--"15:00:00")),G241-AU241,G241+1-AU241),G241-AU241)</f>
        <v>#VALUE!</v>
      </c>
      <c r="BT241" s="302">
        <f>IF(AND(AZ241&gt;(--"00:00:01"),AZ241&lt;(--"15:00:00")),IF(AND(AU241&gt;(--"00:00:01"),AU241&lt;(--"15:00:00")),AZ241-AU241,AZ241+1-AU241),AZ241-AU241)</f>
        <v>0</v>
      </c>
      <c r="BU241" s="302">
        <f>IF(AND(BA241&gt;(--"00:00:01"),BA241&lt;(--"15:00:00")),IF(AND(AZ241&gt;(--"00:00:01"),AZ241&lt;(--"15:00:00")),BA241-AZ241,BA241+1-AZ241),BA241-AZ241)</f>
        <v>0</v>
      </c>
      <c r="BV241" s="299">
        <f>AV241</f>
        <v>0</v>
      </c>
      <c r="BW241" s="301"/>
      <c r="BX241" s="299" t="str">
        <f>IF(AV241="T Status",IF(AV241&lt;&gt;T241,"X",""),"")</f>
        <v/>
      </c>
      <c r="BY241" s="301"/>
      <c r="BZ241" s="299" t="str">
        <f>IF(X241&lt;&gt;"",IF(CC241="X","Driver Delay",IF(CA241="X","Paperwork Delay",IF(CB241="X","Late freight late sort",IF(CD241="X","Chiamare Control Room",IF(CE241="X","Chiamare Control Room",IF(CF241="X","Chiamare Control Room","")))))),"")</f>
        <v/>
      </c>
      <c r="CA241" s="302" t="e">
        <f>IF(K241="",IF(IF(AND(G241&gt;(--"00:00:01"),G241&lt;(--"15:00:00")),IF(AND(AT241&gt;(--"08:00:00"),AT241&lt;(--"23:59:59")),G241+1-AT241,G241-AT241),G241-AT241)&gt;(--"00:20:00"),"","X"),"")</f>
        <v>#VALUE!</v>
      </c>
      <c r="CB241" s="299" t="e">
        <f>IF(K241="",IF(BP241&gt;=(--"00:20:00"),"","X"),"")</f>
        <v>#VALUE!</v>
      </c>
      <c r="CC241" s="299" t="str">
        <f>IF(OR(AV241="Autista non presente",AV241="Dati driver non presenti"),"X","")</f>
        <v/>
      </c>
      <c r="CD241" s="299" t="e">
        <f>IF(K241="",IF(AND(CC241="",BS241&lt;(--"00:20:00")),"X",""),"")</f>
        <v>#VALUE!</v>
      </c>
      <c r="CE241" s="299" t="str">
        <f>IF(K241="",IF(BT241&gt;(--"00:15:00"),"X",""),IF(AZ241&lt;&gt;"",IF(G241-AZ241&gt;(--"00:30:00"),"X",""),""))</f>
        <v/>
      </c>
      <c r="CF241" s="299" t="e">
        <f>IF(AND(CA241="",CB241="",CC241="",CD241="",CE241=""),"X","")</f>
        <v>#VALUE!</v>
      </c>
      <c r="CG241" s="301"/>
      <c r="CH241" s="299" t="str">
        <f>IF(BT241&gt;(--"00:15:00"),"X","")</f>
        <v/>
      </c>
      <c r="CI241" s="302">
        <f>AY241</f>
        <v>0</v>
      </c>
      <c r="CJ241" s="299" t="str">
        <f>IF(AND(CH241&lt;&gt;"",CI241&lt;&gt;"",LEFT(B241,3)="ITD"),AP241,"")</f>
        <v/>
      </c>
      <c r="CK241" s="305" t="str">
        <f>IF(CJ241&lt;&gt;"",BT241,"")</f>
        <v/>
      </c>
      <c r="CL241" s="301"/>
      <c r="CM241" s="305" t="str">
        <f>IFERROR(VLOOKUP(Q241,'Elenco Casse'!$D$4:$F$292,3,FALSE),"")</f>
        <v/>
      </c>
      <c r="CN241" s="301"/>
      <c r="CO241" s="305" t="str">
        <f>IFERROR(VLOOKUP(E241,Outlist!$A$5:$H$120,8,FALSE),"")</f>
        <v/>
      </c>
      <c r="CP241" s="305" t="str">
        <f>IFERROR(IF(VLOOKUP($E241,Outlist!$A$5:$S$120,19,FALSE)&lt;&gt;0,"Y",""),"")</f>
        <v/>
      </c>
      <c r="CQ241" s="301"/>
      <c r="CR241" s="305" t="str">
        <f>CONCATENATE($B241,$E241,$G241)</f>
        <v/>
      </c>
      <c r="CS241" s="301"/>
      <c r="CT241" s="305" t="e">
        <f>VLOOKUP(Out_Table[[#This Row],[Destination             ORANGE (From Planning)]],Outlist!$A$5:$W$120,22,FALSE)</f>
        <v>#N/A</v>
      </c>
    </row>
    <row r="242" spans="1:98" s="20" customFormat="1" ht="15">
      <c r="A242" s="305" t="str">
        <f>$CR242</f>
        <v/>
      </c>
      <c r="B242" s="351" t="str">
        <f>IFERROR(VLOOKUP(E242,Outlist!$A$5:$AC$120,2,FALSE),"")</f>
        <v/>
      </c>
      <c r="C242" s="352" t="str">
        <f ca="1">IFERROR(IF(LEFT(B242,3)='STAT 77'!$X$2,_xlfn.XLOOKUP(B242,'STAT 77'!C:C,'STAT 77'!B:B),_xlfn.XLOOKUP(B242,'STAT 77'!B:B,'STAT 77'!C:C)),"NON TROVATO")</f>
        <v>NON TROVATO</v>
      </c>
      <c r="D242" s="4"/>
      <c r="E242" s="352" t="str">
        <f>IFERROR(IF(Outlist!$A104&lt;&gt;"",Outlist!$A104,""),"")</f>
        <v/>
      </c>
      <c r="F242" s="352" t="str">
        <f>IFERROR(VLOOKUP(E242,'Cambio O2P'!C:E,2,FALSE),"")</f>
        <v/>
      </c>
      <c r="G242" s="353" t="str">
        <f>IFERROR(VLOOKUP(E242,Outlist!$A$5:$AC$120,5,FALSE)-INT(VLOOKUP(E242,Outlist!$A$5:$AC$120,5,FALSE)),"")</f>
        <v/>
      </c>
      <c r="H242" s="294" t="str">
        <f ca="1">IFERROR(IF(AND('INformazioni per calcoli'!$AB$3&lt;(--"14:30"),'INformazioni per calcoli'!$AB$3&gt;(--"10:00")),"",IF($B242="","",IF($X242&lt;&gt;"","Mezzo Chiuso",IF($W242="","Non al Carico",IF($K242="Safe Parking","Safe Parking", IF(OR($BF242='INformazioni per calcoli'!$AF$8,$BF242='INformazioni per calcoli'!$AC$8,$BF242='INformazioni per calcoli'!$AD$8,$BF242='INformazioni per calcoli'!$AE$8,$BF242='INformazioni per calcoli'!$AG$8,$BF242='INformazioni per calcoli'!$AH$8,$BF242='INformazioni per calcoli'!$AI$8,$BF242='INformazioni per calcoli'!$AJ$8),IF($G242-'INformazioni per calcoli'!$AB$6-'INformazioni per calcoli'!$AB$3+$J242&lt;0,"LFLS",$G242-'INformazioni per calcoli'!$AB$6-'INformazioni per calcoli'!$AB$3+$J242), IF(OR($BF242='INformazioni per calcoli'!$AF$6,$BF242='INformazioni per calcoli'!$AD$6,$BF242='INformazioni per calcoli'!$AE$6,$BF242='INformazioni per calcoli'!$AG$6),IF($G242-'INformazioni per calcoli'!$AB$8-'INformazioni per calcoli'!$AB$3+$J242&lt;0,"LFLS",$G242-'INformazioni per calcoli'!$AB$8-'INformazioni per calcoli'!$AB$3+$J242), IF($G242-'INformazioni per calcoli'!$AB$7-'INformazioni per calcoli'!$AB$3+$J242&lt;0,"LFLS",$G242-'INformazioni per calcoli'!$AB$7-'INformazioni per calcoli'!$AB$3+$J242)))))))),"")</f>
        <v/>
      </c>
      <c r="I242" s="17" t="str">
        <f ca="1">IFERROR(IF($H242&lt;&gt;"",IF($H242="Safe Parking","",IF($W242&lt;&gt;"",IF(AND($U242="X",$V242="X"),$H242-(--"00:30"),""),IF($X242&lt;&gt;"","Mezzo Chiuso","Non al carico"))),""),"")</f>
        <v/>
      </c>
      <c r="J242" s="354" t="str">
        <f>IFERROR(IF($G242="","",IF(INT(VLOOKUP($E242,Outlist!$A$5:$E$120,5,FALSE))&gt;'INformazioni per calcoli'!$AB$2,INT(VLOOKUP($E242,Outlist!$A$5:$E$120,5,FALSE))-INT('INformazioni per calcoli'!$AB$2),0)),"")</f>
        <v/>
      </c>
      <c r="K242" s="27" t="str">
        <f>IF(E242&lt;&gt;"",IFERROR(VLOOKUP(E242,Outlist!$A$5:$AC$120,22,FALSE),""),"")</f>
        <v/>
      </c>
      <c r="L242" s="352" t="str">
        <f>IF(E242&lt;&gt;"",IFERROR(VLOOKUP(E242,Outlist!$A$5:$AC$120,3,FALSE),""),"")</f>
        <v/>
      </c>
      <c r="M242" s="4" t="str">
        <f>IFERROR(_xlfn.XLOOKUP($Q242,'Elenco Casse'!$D:$D,'Elenco Casse'!$E:$E),"")</f>
        <v/>
      </c>
      <c r="N242" s="4" t="str">
        <f>IFERROR(_xlfn.XLOOKUP($Q242,'Elenco Casse'!$D:$D,'Elenco Casse'!$F:$F),"")</f>
        <v/>
      </c>
      <c r="O242" s="4" t="str">
        <f>IF($L242&lt;&gt;"","TT-2/3","")</f>
        <v/>
      </c>
      <c r="P242" s="296" t="str">
        <f>IFERROR(IF(VLOOKUP(E242,Outlist!$A$5:$AC$120,21,FALSE)="YES","Linea Variata",""),"")</f>
        <v/>
      </c>
      <c r="Q242" s="355" t="str">
        <f>IFERROR(VLOOKUP(E242,Outlist!$AK$4:$BH$139,13,FALSE),"")</f>
        <v/>
      </c>
      <c r="R242" s="23"/>
      <c r="S242" s="25" t="str">
        <f>IFERROR(IF(VLOOKUP(E242,Outlist!$A$5:$AC$120,7,FALSE)="X","SUBCO",""),"")</f>
        <v/>
      </c>
      <c r="T242" s="25"/>
      <c r="U242" s="23"/>
      <c r="V242" s="23"/>
      <c r="W242" s="26"/>
      <c r="X242" s="27"/>
      <c r="Y242" s="25" t="str">
        <f>IF(OR(Out_Table[[#This Row],[DOC Del. hr. (RTH)]]&lt;&gt;"",Outlist!S143),"XXX","")</f>
        <v/>
      </c>
      <c r="Z242" s="25"/>
      <c r="AA242" s="25"/>
      <c r="AB242" s="57"/>
      <c r="AC242" s="25"/>
      <c r="AD242" s="25"/>
      <c r="AE242" s="57"/>
      <c r="AF242" s="57"/>
      <c r="AG242" s="25"/>
      <c r="AH242" s="57"/>
      <c r="AI242" s="339"/>
      <c r="AJ242" s="339"/>
      <c r="AK242" s="297" t="str">
        <f>IF(X242&lt;&gt;"",CONCATENATE(IF(AA242&lt;&gt;"",CONCATENATE(Z242," ",AA242," ",BI242),""),IF(AD242&lt;&gt;"",CONCATENATE(","," ",AC242," ",AD242," ",BJ242),""),IF(AG242&lt;&gt;"",CONCATENATE(","," ",AF242," ",AG242," ",BK242),""),IF(AJ242&lt;&gt;"",CONCATENATE(","," ","DD"," ",BL242),"")," ",IF(AI242&lt;&gt;"",CONCATENATE(" - ",AI242," Bag"),"")),"")</f>
        <v/>
      </c>
      <c r="AL242" s="287"/>
      <c r="AM242" s="287"/>
      <c r="AN242" s="287"/>
      <c r="AO242" s="287"/>
      <c r="AP242" s="370" t="str">
        <f>IFERROR(VLOOKUP($E242,Outlist!$A$5:$V$120,20,FALSE),"")</f>
        <v/>
      </c>
      <c r="AQ242" s="288" t="str">
        <f>IFERROR(IF(VLOOKUP($A242,#REF!,8,FALSE)&lt;&gt;"",VLOOKUP($A242,#REF!,8,FALSE),""),"")</f>
        <v/>
      </c>
      <c r="AS242" s="24"/>
      <c r="AT242" s="24"/>
      <c r="AU242" s="27"/>
      <c r="AV242" s="27"/>
      <c r="AX242" s="20" t="str">
        <f>IFERROR(IF(Out_Table[[#This Row],[Cancellazione linea]]="Cancellata","yes",""),"")</f>
        <v/>
      </c>
      <c r="AY242" s="72"/>
      <c r="AZ242" s="27"/>
      <c r="BA242" s="32"/>
      <c r="BB242" s="72"/>
      <c r="BC242" s="72" t="str">
        <f>IFERROR(VLOOKUP(Out_Table[[#This Row],[Aggiornamento STATUS]],'INformazioni per calcoli'!$Y$70:$AA$76,2,FALSE),"")</f>
        <v/>
      </c>
      <c r="BD242" s="289"/>
      <c r="BE242" s="289"/>
      <c r="BF242" s="47" t="str">
        <f>LEFT($E242,3)</f>
        <v/>
      </c>
      <c r="BG242" s="298" t="str">
        <f>IF(Out_Table[[#This Row],[Ora Uscita    (GH)]]&lt;&gt;"","x","")</f>
        <v/>
      </c>
      <c r="BH242" s="299" t="e">
        <f>VLOOKUP($O242,'INformazioni per calcoli'!$Y$20:$AA$23,3,FALSE)</f>
        <v>#N/A</v>
      </c>
      <c r="BI242" s="299" t="e">
        <f>MROUND(Out_Table[[#This Row],[Mtr. Trailer]]*AB242,0.5)</f>
        <v>#N/A</v>
      </c>
      <c r="BJ242" s="299" t="e">
        <f>MROUND(Out_Table[[#This Row],[Mtr. Trailer]]*AE242,0.5)</f>
        <v>#N/A</v>
      </c>
      <c r="BK242" s="299" t="e">
        <f>MROUND(Out_Table[[#This Row],[Mtr. Trailer]]*AH242,0.5)</f>
        <v>#N/A</v>
      </c>
      <c r="BL242" s="300">
        <f>Out_Table[[#This Row],[Double Deck trailer N° bumpers]]</f>
        <v>0</v>
      </c>
      <c r="BM242" s="301"/>
      <c r="BN242" s="299" t="str">
        <f>B242</f>
        <v/>
      </c>
      <c r="BO242" s="299" t="str">
        <f>E242</f>
        <v/>
      </c>
      <c r="BP242" s="302" t="e">
        <f>IF(AND(G242&gt;(--"00:00:01"),G242&lt;(--"15:00:00")),IF(AND(X242&gt;(--"00:00:01"),X242&lt;(--"15:00:00")),G242-X242,G242+1-X242),G242-X242)</f>
        <v>#VALUE!</v>
      </c>
      <c r="BQ242" s="303">
        <f>AE242+AF242+AH242+AJ242</f>
        <v>0</v>
      </c>
      <c r="BR242" s="304" t="e">
        <f>IF(OR(BP242&lt;=(--"00:20:00"),BQ242&gt;=100%),"OK","Not OK")</f>
        <v>#VALUE!</v>
      </c>
      <c r="BS242" s="302" t="e">
        <f>IF(AND(G242&gt;(--"00:00:01"),G242&lt;(--"15:00:00")),IF(AND(AU242&gt;(--"00:00:01"),AU242&lt;(--"15:00:00")),G242-AU242,G242+1-AU242),G242-AU242)</f>
        <v>#VALUE!</v>
      </c>
      <c r="BT242" s="302">
        <f>IF(AND(AZ242&gt;(--"00:00:01"),AZ242&lt;(--"15:00:00")),IF(AND(AU242&gt;(--"00:00:01"),AU242&lt;(--"15:00:00")),AZ242-AU242,AZ242+1-AU242),AZ242-AU242)</f>
        <v>0</v>
      </c>
      <c r="BU242" s="302">
        <f>IF(AND(BA242&gt;(--"00:00:01"),BA242&lt;(--"15:00:00")),IF(AND(AZ242&gt;(--"00:00:01"),AZ242&lt;(--"15:00:00")),BA242-AZ242,BA242+1-AZ242),BA242-AZ242)</f>
        <v>0</v>
      </c>
      <c r="BV242" s="299">
        <f>AV242</f>
        <v>0</v>
      </c>
      <c r="BW242" s="301"/>
      <c r="BX242" s="299" t="str">
        <f>IF(AV242="T Status",IF(AV242&lt;&gt;T242,"X",""),"")</f>
        <v/>
      </c>
      <c r="BY242" s="301"/>
      <c r="BZ242" s="299" t="str">
        <f>IF(X242&lt;&gt;"",IF(CC242="X","Driver Delay",IF(CA242="X","Paperwork Delay",IF(CB242="X","Late freight late sort",IF(CD242="X","Chiamare Control Room",IF(CE242="X","Chiamare Control Room",IF(CF242="X","Chiamare Control Room","")))))),"")</f>
        <v/>
      </c>
      <c r="CA242" s="302" t="e">
        <f>IF(K242="",IF(IF(AND(G242&gt;(--"00:00:01"),G242&lt;(--"15:00:00")),IF(AND(AT242&gt;(--"08:00:00"),AT242&lt;(--"23:59:59")),G242+1-AT242,G242-AT242),G242-AT242)&gt;(--"00:20:00"),"","X"),"")</f>
        <v>#VALUE!</v>
      </c>
      <c r="CB242" s="299" t="e">
        <f>IF(K242="",IF(BP242&gt;=(--"00:20:00"),"","X"),"")</f>
        <v>#VALUE!</v>
      </c>
      <c r="CC242" s="299" t="str">
        <f>IF(OR(AV242="Autista non presente",AV242="Dati driver non presenti"),"X","")</f>
        <v/>
      </c>
      <c r="CD242" s="299" t="e">
        <f>IF(K242="",IF(AND(CC242="",BS242&lt;(--"00:20:00")),"X",""),"")</f>
        <v>#VALUE!</v>
      </c>
      <c r="CE242" s="299" t="str">
        <f>IF(K242="",IF(BT242&gt;(--"00:15:00"),"X",""),IF(AZ242&lt;&gt;"",IF(G242-AZ242&gt;(--"00:30:00"),"X",""),""))</f>
        <v/>
      </c>
      <c r="CF242" s="299" t="e">
        <f>IF(AND(CA242="",CB242="",CC242="",CD242="",CE242=""),"X","")</f>
        <v>#VALUE!</v>
      </c>
      <c r="CG242" s="301"/>
      <c r="CH242" s="299" t="str">
        <f>IF(BT242&gt;(--"00:15:00"),"X","")</f>
        <v/>
      </c>
      <c r="CI242" s="302">
        <f>AY242</f>
        <v>0</v>
      </c>
      <c r="CJ242" s="299" t="str">
        <f>IF(AND(CH242&lt;&gt;"",CI242&lt;&gt;"",LEFT(B242,3)="ITD"),AP242,"")</f>
        <v/>
      </c>
      <c r="CK242" s="305" t="str">
        <f>IF(CJ242&lt;&gt;"",BT242,"")</f>
        <v/>
      </c>
      <c r="CL242" s="301"/>
      <c r="CM242" s="305" t="str">
        <f>IFERROR(VLOOKUP(Q242,'Elenco Casse'!$D$4:$F$292,3,FALSE),"")</f>
        <v/>
      </c>
      <c r="CN242" s="301"/>
      <c r="CO242" s="305" t="str">
        <f>IFERROR(VLOOKUP(E242,Outlist!$A$5:$H$120,8,FALSE),"")</f>
        <v/>
      </c>
      <c r="CP242" s="305" t="str">
        <f>IFERROR(IF(VLOOKUP($E242,Outlist!$A$5:$S$120,19,FALSE)&lt;&gt;0,"Y",""),"")</f>
        <v/>
      </c>
      <c r="CQ242" s="301"/>
      <c r="CR242" s="305" t="str">
        <f>CONCATENATE($B242,$E242,$G242)</f>
        <v/>
      </c>
      <c r="CS242" s="301"/>
      <c r="CT242" s="305" t="e">
        <f>VLOOKUP(Out_Table[[#This Row],[Destination             ORANGE (From Planning)]],Outlist!$A$5:$W$120,22,FALSE)</f>
        <v>#N/A</v>
      </c>
    </row>
    <row r="243" spans="1:98" s="20" customFormat="1" ht="15">
      <c r="A243" s="305" t="str">
        <f>$CR243</f>
        <v/>
      </c>
      <c r="B243" s="351" t="str">
        <f>IFERROR(VLOOKUP(E243,Outlist!$A$5:$AC$120,2,FALSE),"")</f>
        <v/>
      </c>
      <c r="C243" s="352" t="str">
        <f ca="1">IFERROR(IF(LEFT(B243,3)='STAT 77'!$X$2,_xlfn.XLOOKUP(B243,'STAT 77'!C:C,'STAT 77'!B:B),_xlfn.XLOOKUP(B243,'STAT 77'!B:B,'STAT 77'!C:C)),"NON TROVATO")</f>
        <v>NON TROVATO</v>
      </c>
      <c r="D243" s="4"/>
      <c r="E243" s="352" t="str">
        <f>IFERROR(IF(Outlist!$A105&lt;&gt;"",Outlist!$A105,""),"")</f>
        <v/>
      </c>
      <c r="F243" s="352" t="str">
        <f>IFERROR(VLOOKUP(E243,'Cambio O2P'!C:E,2,FALSE),"")</f>
        <v/>
      </c>
      <c r="G243" s="353" t="str">
        <f>IFERROR(VLOOKUP(E243,Outlist!$A$5:$AC$120,5,FALSE)-INT(VLOOKUP(E243,Outlist!$A$5:$AC$120,5,FALSE)),"")</f>
        <v/>
      </c>
      <c r="H243" s="294" t="str">
        <f ca="1">IFERROR(IF(AND('INformazioni per calcoli'!$AB$3&lt;(--"14:30"),'INformazioni per calcoli'!$AB$3&gt;(--"10:00")),"",IF($B243="","",IF($X243&lt;&gt;"","Mezzo Chiuso",IF($W243="","Non al Carico",IF($K243="Safe Parking","Safe Parking", IF(OR($BF243='INformazioni per calcoli'!$AF$8,$BF243='INformazioni per calcoli'!$AC$8,$BF243='INformazioni per calcoli'!$AD$8,$BF243='INformazioni per calcoli'!$AE$8,$BF243='INformazioni per calcoli'!$AG$8,$BF243='INformazioni per calcoli'!$AH$8,$BF243='INformazioni per calcoli'!$AI$8,$BF243='INformazioni per calcoli'!$AJ$8),IF($G243-'INformazioni per calcoli'!$AB$6-'INformazioni per calcoli'!$AB$3+$J243&lt;0,"LFLS",$G243-'INformazioni per calcoli'!$AB$6-'INformazioni per calcoli'!$AB$3+$J243), IF(OR($BF243='INformazioni per calcoli'!$AF$6,$BF243='INformazioni per calcoli'!$AD$6,$BF243='INformazioni per calcoli'!$AE$6,$BF243='INformazioni per calcoli'!$AG$6),IF($G243-'INformazioni per calcoli'!$AB$8-'INformazioni per calcoli'!$AB$3+$J243&lt;0,"LFLS",$G243-'INformazioni per calcoli'!$AB$8-'INformazioni per calcoli'!$AB$3+$J243), IF($G243-'INformazioni per calcoli'!$AB$7-'INformazioni per calcoli'!$AB$3+$J243&lt;0,"LFLS",$G243-'INformazioni per calcoli'!$AB$7-'INformazioni per calcoli'!$AB$3+$J243)))))))),"")</f>
        <v/>
      </c>
      <c r="I243" s="17" t="str">
        <f ca="1">IFERROR(IF($H243&lt;&gt;"",IF($H243="Safe Parking","",IF($W243&lt;&gt;"",IF(AND($U243="X",$V243="X"),$H243-(--"00:30"),""),IF($X243&lt;&gt;"","Mezzo Chiuso","Non al carico"))),""),"")</f>
        <v/>
      </c>
      <c r="J243" s="354" t="str">
        <f>IFERROR(IF($G243="","",IF(INT(VLOOKUP($E243,Outlist!$A$5:$E$120,5,FALSE))&gt;'INformazioni per calcoli'!$AB$2,INT(VLOOKUP($E243,Outlist!$A$5:$E$120,5,FALSE))-INT('INformazioni per calcoli'!$AB$2),0)),"")</f>
        <v/>
      </c>
      <c r="K243" s="27" t="str">
        <f>IF(E243&lt;&gt;"",IFERROR(VLOOKUP(E243,Outlist!$A$5:$AC$120,22,FALSE),""),"")</f>
        <v/>
      </c>
      <c r="L243" s="352" t="str">
        <f>IF(E243&lt;&gt;"",IFERROR(VLOOKUP(E243,Outlist!$A$5:$AC$120,3,FALSE),""),"")</f>
        <v/>
      </c>
      <c r="M243" s="4" t="str">
        <f>IFERROR(_xlfn.XLOOKUP($Q243,'Elenco Casse'!$D:$D,'Elenco Casse'!$E:$E),"")</f>
        <v/>
      </c>
      <c r="N243" s="4" t="str">
        <f>IFERROR(_xlfn.XLOOKUP($Q243,'Elenco Casse'!$D:$D,'Elenco Casse'!$F:$F),"")</f>
        <v/>
      </c>
      <c r="O243" s="4" t="str">
        <f>IF($L243&lt;&gt;"","TT-2/3","")</f>
        <v/>
      </c>
      <c r="P243" s="296" t="str">
        <f>IFERROR(IF(VLOOKUP(E243,Outlist!$A$5:$AC$120,21,FALSE)="YES","Linea Variata",""),"")</f>
        <v/>
      </c>
      <c r="Q243" s="355" t="str">
        <f>IFERROR(VLOOKUP(E243,Outlist!$AK$4:$BH$139,13,FALSE),"")</f>
        <v/>
      </c>
      <c r="R243" s="23"/>
      <c r="S243" s="25" t="str">
        <f>IFERROR(IF(VLOOKUP(E243,Outlist!$A$5:$AC$120,7,FALSE)="X","SUBCO",""),"")</f>
        <v/>
      </c>
      <c r="T243" s="25"/>
      <c r="U243" s="23"/>
      <c r="V243" s="23"/>
      <c r="W243" s="26"/>
      <c r="X243" s="27"/>
      <c r="Y243" s="25" t="str">
        <f>IF(OR(Out_Table[[#This Row],[DOC Del. hr. (RTH)]]&lt;&gt;"",Outlist!S144),"XXX","")</f>
        <v/>
      </c>
      <c r="Z243" s="25"/>
      <c r="AA243" s="25"/>
      <c r="AB243" s="57"/>
      <c r="AC243" s="25"/>
      <c r="AD243" s="25"/>
      <c r="AE243" s="57"/>
      <c r="AF243" s="57"/>
      <c r="AG243" s="25"/>
      <c r="AH243" s="57"/>
      <c r="AI243" s="339"/>
      <c r="AJ243" s="339"/>
      <c r="AK243" s="297" t="str">
        <f>IF(X243&lt;&gt;"",CONCATENATE(IF(AA243&lt;&gt;"",CONCATENATE(Z243," ",AA243," ",BI243),""),IF(AD243&lt;&gt;"",CONCATENATE(","," ",AC243," ",AD243," ",BJ243),""),IF(AG243&lt;&gt;"",CONCATENATE(","," ",AF243," ",AG243," ",BK243),""),IF(AJ243&lt;&gt;"",CONCATENATE(","," ","DD"," ",BL243),"")," ",IF(AI243&lt;&gt;"",CONCATENATE(" - ",AI243," Bag"),"")),"")</f>
        <v/>
      </c>
      <c r="AL243" s="287"/>
      <c r="AM243" s="287"/>
      <c r="AN243" s="287"/>
      <c r="AO243" s="287"/>
      <c r="AP243" s="370" t="str">
        <f>IFERROR(VLOOKUP($E243,Outlist!$A$5:$V$120,20,FALSE),"")</f>
        <v/>
      </c>
      <c r="AQ243" s="288" t="str">
        <f>IFERROR(IF(VLOOKUP($A243,#REF!,8,FALSE)&lt;&gt;"",VLOOKUP($A243,#REF!,8,FALSE),""),"")</f>
        <v/>
      </c>
      <c r="AS243" s="24"/>
      <c r="AT243" s="24"/>
      <c r="AU243" s="27"/>
      <c r="AV243" s="27"/>
      <c r="AX243" s="20" t="str">
        <f>IFERROR(IF(Out_Table[[#This Row],[Cancellazione linea]]="Cancellata","yes",""),"")</f>
        <v/>
      </c>
      <c r="AY243" s="72"/>
      <c r="AZ243" s="27"/>
      <c r="BA243" s="32"/>
      <c r="BB243" s="72"/>
      <c r="BC243" s="72" t="str">
        <f>IFERROR(VLOOKUP(Out_Table[[#This Row],[Aggiornamento STATUS]],'INformazioni per calcoli'!$Y$70:$AA$76,2,FALSE),"")</f>
        <v/>
      </c>
      <c r="BD243" s="289"/>
      <c r="BE243" s="289"/>
      <c r="BF243" s="47" t="str">
        <f>LEFT($E243,3)</f>
        <v/>
      </c>
      <c r="BG243" s="298" t="str">
        <f>IF(Out_Table[[#This Row],[Ora Uscita    (GH)]]&lt;&gt;"","x","")</f>
        <v/>
      </c>
      <c r="BH243" s="299" t="e">
        <f>VLOOKUP($O243,'INformazioni per calcoli'!$Y$20:$AA$23,3,FALSE)</f>
        <v>#N/A</v>
      </c>
      <c r="BI243" s="299" t="e">
        <f>MROUND(Out_Table[[#This Row],[Mtr. Trailer]]*AB243,0.5)</f>
        <v>#N/A</v>
      </c>
      <c r="BJ243" s="299" t="e">
        <f>MROUND(Out_Table[[#This Row],[Mtr. Trailer]]*AE243,0.5)</f>
        <v>#N/A</v>
      </c>
      <c r="BK243" s="299" t="e">
        <f>MROUND(Out_Table[[#This Row],[Mtr. Trailer]]*AH243,0.5)</f>
        <v>#N/A</v>
      </c>
      <c r="BL243" s="300">
        <f>Out_Table[[#This Row],[Double Deck trailer N° bumpers]]</f>
        <v>0</v>
      </c>
      <c r="BM243" s="301"/>
      <c r="BN243" s="299" t="str">
        <f>B243</f>
        <v/>
      </c>
      <c r="BO243" s="299" t="str">
        <f>E243</f>
        <v/>
      </c>
      <c r="BP243" s="302" t="e">
        <f>IF(AND(G243&gt;(--"00:00:01"),G243&lt;(--"15:00:00")),IF(AND(X243&gt;(--"00:00:01"),X243&lt;(--"15:00:00")),G243-X243,G243+1-X243),G243-X243)</f>
        <v>#VALUE!</v>
      </c>
      <c r="BQ243" s="303">
        <f>AE243+AF243+AH243+AJ243</f>
        <v>0</v>
      </c>
      <c r="BR243" s="304" t="e">
        <f>IF(OR(BP243&lt;=(--"00:20:00"),BQ243&gt;=100%),"OK","Not OK")</f>
        <v>#VALUE!</v>
      </c>
      <c r="BS243" s="302" t="e">
        <f>IF(AND(G243&gt;(--"00:00:01"),G243&lt;(--"15:00:00")),IF(AND(AU243&gt;(--"00:00:01"),AU243&lt;(--"15:00:00")),G243-AU243,G243+1-AU243),G243-AU243)</f>
        <v>#VALUE!</v>
      </c>
      <c r="BT243" s="302">
        <f>IF(AND(AZ243&gt;(--"00:00:01"),AZ243&lt;(--"15:00:00")),IF(AND(AU243&gt;(--"00:00:01"),AU243&lt;(--"15:00:00")),AZ243-AU243,AZ243+1-AU243),AZ243-AU243)</f>
        <v>0</v>
      </c>
      <c r="BU243" s="302">
        <f>IF(AND(BA243&gt;(--"00:00:01"),BA243&lt;(--"15:00:00")),IF(AND(AZ243&gt;(--"00:00:01"),AZ243&lt;(--"15:00:00")),BA243-AZ243,BA243+1-AZ243),BA243-AZ243)</f>
        <v>0</v>
      </c>
      <c r="BV243" s="299">
        <f>AV243</f>
        <v>0</v>
      </c>
      <c r="BW243" s="301"/>
      <c r="BX243" s="299" t="str">
        <f>IF(AV243="T Status",IF(AV243&lt;&gt;T243,"X",""),"")</f>
        <v/>
      </c>
      <c r="BY243" s="301"/>
      <c r="BZ243" s="299" t="str">
        <f>IF(X243&lt;&gt;"",IF(CC243="X","Driver Delay",IF(CA243="X","Paperwork Delay",IF(CB243="X","Late freight late sort",IF(CD243="X","Chiamare Control Room",IF(CE243="X","Chiamare Control Room",IF(CF243="X","Chiamare Control Room","")))))),"")</f>
        <v/>
      </c>
      <c r="CA243" s="302" t="e">
        <f>IF(K243="",IF(IF(AND(G243&gt;(--"00:00:01"),G243&lt;(--"15:00:00")),IF(AND(AT243&gt;(--"08:00:00"),AT243&lt;(--"23:59:59")),G243+1-AT243,G243-AT243),G243-AT243)&gt;(--"00:20:00"),"","X"),"")</f>
        <v>#VALUE!</v>
      </c>
      <c r="CB243" s="299" t="e">
        <f>IF(K243="",IF(BP243&gt;=(--"00:20:00"),"","X"),"")</f>
        <v>#VALUE!</v>
      </c>
      <c r="CC243" s="299" t="str">
        <f>IF(OR(AV243="Autista non presente",AV243="Dati driver non presenti"),"X","")</f>
        <v/>
      </c>
      <c r="CD243" s="299" t="e">
        <f>IF(K243="",IF(AND(CC243="",BS243&lt;(--"00:20:00")),"X",""),"")</f>
        <v>#VALUE!</v>
      </c>
      <c r="CE243" s="299" t="str">
        <f>IF(K243="",IF(BT243&gt;(--"00:15:00"),"X",""),IF(AZ243&lt;&gt;"",IF(G243-AZ243&gt;(--"00:30:00"),"X",""),""))</f>
        <v/>
      </c>
      <c r="CF243" s="299" t="e">
        <f>IF(AND(CA243="",CB243="",CC243="",CD243="",CE243=""),"X","")</f>
        <v>#VALUE!</v>
      </c>
      <c r="CG243" s="301"/>
      <c r="CH243" s="299" t="str">
        <f>IF(BT243&gt;(--"00:15:00"),"X","")</f>
        <v/>
      </c>
      <c r="CI243" s="302">
        <f>AY243</f>
        <v>0</v>
      </c>
      <c r="CJ243" s="299" t="str">
        <f>IF(AND(CH243&lt;&gt;"",CI243&lt;&gt;"",LEFT(B243,3)="ITD"),AP243,"")</f>
        <v/>
      </c>
      <c r="CK243" s="305" t="str">
        <f>IF(CJ243&lt;&gt;"",BT243,"")</f>
        <v/>
      </c>
      <c r="CL243" s="301"/>
      <c r="CM243" s="305" t="str">
        <f>IFERROR(VLOOKUP(Q243,'Elenco Casse'!$D$4:$F$292,3,FALSE),"")</f>
        <v/>
      </c>
      <c r="CN243" s="301"/>
      <c r="CO243" s="305" t="str">
        <f>IFERROR(VLOOKUP(E243,Outlist!$A$5:$H$120,8,FALSE),"")</f>
        <v/>
      </c>
      <c r="CP243" s="305" t="str">
        <f>IFERROR(IF(VLOOKUP($E243,Outlist!$A$5:$S$120,19,FALSE)&lt;&gt;0,"Y",""),"")</f>
        <v/>
      </c>
      <c r="CQ243" s="301"/>
      <c r="CR243" s="305" t="str">
        <f>CONCATENATE($B243,$E243,$G243)</f>
        <v/>
      </c>
      <c r="CS243" s="301"/>
      <c r="CT243" s="305" t="e">
        <f>VLOOKUP(Out_Table[[#This Row],[Destination             ORANGE (From Planning)]],Outlist!$A$5:$W$120,22,FALSE)</f>
        <v>#N/A</v>
      </c>
    </row>
    <row r="244" spans="1:98" s="20" customFormat="1" ht="15">
      <c r="A244" s="305" t="str">
        <f>$CR244</f>
        <v/>
      </c>
      <c r="B244" s="351" t="str">
        <f>IFERROR(VLOOKUP(E244,Outlist!$A$5:$AC$120,2,FALSE),"")</f>
        <v/>
      </c>
      <c r="C244" s="352" t="str">
        <f ca="1">IFERROR(IF(LEFT(B244,3)='STAT 77'!$X$2,_xlfn.XLOOKUP(B244,'STAT 77'!C:C,'STAT 77'!B:B),_xlfn.XLOOKUP(B244,'STAT 77'!B:B,'STAT 77'!C:C)),"NON TROVATO")</f>
        <v>NON TROVATO</v>
      </c>
      <c r="D244" s="4"/>
      <c r="E244" s="352" t="str">
        <f>IFERROR(IF(Outlist!$A106&lt;&gt;"",Outlist!$A106,""),"")</f>
        <v/>
      </c>
      <c r="F244" s="352" t="str">
        <f>IFERROR(VLOOKUP(E244,'Cambio O2P'!C:E,2,FALSE),"")</f>
        <v/>
      </c>
      <c r="G244" s="353" t="str">
        <f>IFERROR(VLOOKUP(E244,Outlist!$A$5:$AC$120,5,FALSE)-INT(VLOOKUP(E244,Outlist!$A$5:$AC$120,5,FALSE)),"")</f>
        <v/>
      </c>
      <c r="H244" s="294" t="str">
        <f ca="1">IFERROR(IF(AND('INformazioni per calcoli'!$AB$3&lt;(--"14:30"),'INformazioni per calcoli'!$AB$3&gt;(--"10:00")),"",IF($B244="","",IF($X244&lt;&gt;"","Mezzo Chiuso",IF($W244="","Non al Carico",IF($K244="Safe Parking","Safe Parking", IF(OR($BF244='INformazioni per calcoli'!$AF$8,$BF244='INformazioni per calcoli'!$AC$8,$BF244='INformazioni per calcoli'!$AD$8,$BF244='INformazioni per calcoli'!$AE$8,$BF244='INformazioni per calcoli'!$AG$8,$BF244='INformazioni per calcoli'!$AH$8,$BF244='INformazioni per calcoli'!$AI$8,$BF244='INformazioni per calcoli'!$AJ$8),IF($G244-'INformazioni per calcoli'!$AB$6-'INformazioni per calcoli'!$AB$3+$J244&lt;0,"LFLS",$G244-'INformazioni per calcoli'!$AB$6-'INformazioni per calcoli'!$AB$3+$J244), IF(OR($BF244='INformazioni per calcoli'!$AF$6,$BF244='INformazioni per calcoli'!$AD$6,$BF244='INformazioni per calcoli'!$AE$6,$BF244='INformazioni per calcoli'!$AG$6),IF($G244-'INformazioni per calcoli'!$AB$8-'INformazioni per calcoli'!$AB$3+$J244&lt;0,"LFLS",$G244-'INformazioni per calcoli'!$AB$8-'INformazioni per calcoli'!$AB$3+$J244), IF($G244-'INformazioni per calcoli'!$AB$7-'INformazioni per calcoli'!$AB$3+$J244&lt;0,"LFLS",$G244-'INformazioni per calcoli'!$AB$7-'INformazioni per calcoli'!$AB$3+$J244)))))))),"")</f>
        <v/>
      </c>
      <c r="I244" s="17" t="str">
        <f ca="1">IFERROR(IF($H244&lt;&gt;"",IF($H244="Safe Parking","",IF($W244&lt;&gt;"",IF(AND($U244="X",$V244="X"),$H244-(--"00:30"),""),IF($X244&lt;&gt;"","Mezzo Chiuso","Non al carico"))),""),"")</f>
        <v/>
      </c>
      <c r="J244" s="354" t="str">
        <f>IFERROR(IF($G244="","",IF(INT(VLOOKUP($E244,Outlist!$A$5:$E$120,5,FALSE))&gt;'INformazioni per calcoli'!$AB$2,INT(VLOOKUP($E244,Outlist!$A$5:$E$120,5,FALSE))-INT('INformazioni per calcoli'!$AB$2),0)),"")</f>
        <v/>
      </c>
      <c r="K244" s="27" t="str">
        <f>IF(E244&lt;&gt;"",IFERROR(VLOOKUP(E244,Outlist!$A$5:$AC$120,22,FALSE),""),"")</f>
        <v/>
      </c>
      <c r="L244" s="352" t="str">
        <f>IF(E244&lt;&gt;"",IFERROR(VLOOKUP(E244,Outlist!$A$5:$AC$120,3,FALSE),""),"")</f>
        <v/>
      </c>
      <c r="M244" s="4" t="str">
        <f>IFERROR(_xlfn.XLOOKUP($Q244,'Elenco Casse'!$D:$D,'Elenco Casse'!$E:$E),"")</f>
        <v/>
      </c>
      <c r="N244" s="4" t="str">
        <f>IFERROR(_xlfn.XLOOKUP($Q244,'Elenco Casse'!$D:$D,'Elenco Casse'!$F:$F),"")</f>
        <v/>
      </c>
      <c r="O244" s="4" t="str">
        <f>IF($L244&lt;&gt;"","TT-2/3","")</f>
        <v/>
      </c>
      <c r="P244" s="296" t="str">
        <f>IFERROR(IF(VLOOKUP(E244,Outlist!$A$5:$AC$120,21,FALSE)="YES","Linea Variata",""),"")</f>
        <v/>
      </c>
      <c r="Q244" s="355" t="str">
        <f>IFERROR(VLOOKUP(E244,Outlist!$AK$4:$BH$139,13,FALSE),"")</f>
        <v/>
      </c>
      <c r="R244" s="23"/>
      <c r="S244" s="25" t="str">
        <f>IFERROR(IF(VLOOKUP(E244,Outlist!$A$5:$AC$120,7,FALSE)="X","SUBCO",""),"")</f>
        <v/>
      </c>
      <c r="T244" s="25"/>
      <c r="U244" s="23"/>
      <c r="V244" s="23"/>
      <c r="W244" s="26"/>
      <c r="X244" s="27"/>
      <c r="Y244" s="25" t="str">
        <f>IF(OR(Out_Table[[#This Row],[DOC Del. hr. (RTH)]]&lt;&gt;"",Outlist!S145),"XXX","")</f>
        <v/>
      </c>
      <c r="Z244" s="25"/>
      <c r="AA244" s="25"/>
      <c r="AB244" s="57"/>
      <c r="AC244" s="25"/>
      <c r="AD244" s="25"/>
      <c r="AE244" s="57"/>
      <c r="AF244" s="57"/>
      <c r="AG244" s="25"/>
      <c r="AH244" s="57"/>
      <c r="AI244" s="339"/>
      <c r="AJ244" s="339"/>
      <c r="AK244" s="297" t="str">
        <f>IF(X244&lt;&gt;"",CONCATENATE(IF(AA244&lt;&gt;"",CONCATENATE(Z244," ",AA244," ",BI244),""),IF(AD244&lt;&gt;"",CONCATENATE(","," ",AC244," ",AD244," ",BJ244),""),IF(AG244&lt;&gt;"",CONCATENATE(","," ",AF244," ",AG244," ",BK244),""),IF(AJ244&lt;&gt;"",CONCATENATE(","," ","DD"," ",BL244),"")," ",IF(AI244&lt;&gt;"",CONCATENATE(" - ",AI244," Bag"),"")),"")</f>
        <v/>
      </c>
      <c r="AL244" s="287"/>
      <c r="AM244" s="287"/>
      <c r="AN244" s="287"/>
      <c r="AO244" s="287"/>
      <c r="AP244" s="370" t="str">
        <f>IFERROR(VLOOKUP($E244,Outlist!$A$5:$V$120,20,FALSE),"")</f>
        <v/>
      </c>
      <c r="AQ244" s="288" t="str">
        <f>IFERROR(IF(VLOOKUP($A244,#REF!,8,FALSE)&lt;&gt;"",VLOOKUP($A244,#REF!,8,FALSE),""),"")</f>
        <v/>
      </c>
      <c r="AS244" s="24"/>
      <c r="AT244" s="24"/>
      <c r="AU244" s="27"/>
      <c r="AV244" s="27"/>
      <c r="AX244" s="20" t="str">
        <f>IFERROR(IF(Out_Table[[#This Row],[Cancellazione linea]]="Cancellata","yes",""),"")</f>
        <v/>
      </c>
      <c r="AY244" s="72"/>
      <c r="AZ244" s="27"/>
      <c r="BA244" s="32"/>
      <c r="BB244" s="72"/>
      <c r="BC244" s="72" t="str">
        <f>IFERROR(VLOOKUP(Out_Table[[#This Row],[Aggiornamento STATUS]],'INformazioni per calcoli'!$Y$70:$AA$76,2,FALSE),"")</f>
        <v/>
      </c>
      <c r="BD244" s="289"/>
      <c r="BE244" s="289"/>
      <c r="BF244" s="47" t="str">
        <f>LEFT($E244,3)</f>
        <v/>
      </c>
      <c r="BG244" s="298" t="str">
        <f>IF(Out_Table[[#This Row],[Ora Uscita    (GH)]]&lt;&gt;"","x","")</f>
        <v/>
      </c>
      <c r="BH244" s="299" t="e">
        <f>VLOOKUP($O244,'INformazioni per calcoli'!$Y$20:$AA$23,3,FALSE)</f>
        <v>#N/A</v>
      </c>
      <c r="BI244" s="299" t="e">
        <f>MROUND(Out_Table[[#This Row],[Mtr. Trailer]]*AB244,0.5)</f>
        <v>#N/A</v>
      </c>
      <c r="BJ244" s="299" t="e">
        <f>MROUND(Out_Table[[#This Row],[Mtr. Trailer]]*AE244,0.5)</f>
        <v>#N/A</v>
      </c>
      <c r="BK244" s="299" t="e">
        <f>MROUND(Out_Table[[#This Row],[Mtr. Trailer]]*AH244,0.5)</f>
        <v>#N/A</v>
      </c>
      <c r="BL244" s="300">
        <f>Out_Table[[#This Row],[Double Deck trailer N° bumpers]]</f>
        <v>0</v>
      </c>
      <c r="BM244" s="301"/>
      <c r="BN244" s="299" t="str">
        <f>B244</f>
        <v/>
      </c>
      <c r="BO244" s="299" t="str">
        <f>E244</f>
        <v/>
      </c>
      <c r="BP244" s="302" t="e">
        <f>IF(AND(G244&gt;(--"00:00:01"),G244&lt;(--"15:00:00")),IF(AND(X244&gt;(--"00:00:01"),X244&lt;(--"15:00:00")),G244-X244,G244+1-X244),G244-X244)</f>
        <v>#VALUE!</v>
      </c>
      <c r="BQ244" s="303">
        <f>AE244+AF244+AH244+AJ244</f>
        <v>0</v>
      </c>
      <c r="BR244" s="304" t="e">
        <f>IF(OR(BP244&lt;=(--"00:20:00"),BQ244&gt;=100%),"OK","Not OK")</f>
        <v>#VALUE!</v>
      </c>
      <c r="BS244" s="302" t="e">
        <f>IF(AND(G244&gt;(--"00:00:01"),G244&lt;(--"15:00:00")),IF(AND(AU244&gt;(--"00:00:01"),AU244&lt;(--"15:00:00")),G244-AU244,G244+1-AU244),G244-AU244)</f>
        <v>#VALUE!</v>
      </c>
      <c r="BT244" s="302">
        <f>IF(AND(AZ244&gt;(--"00:00:01"),AZ244&lt;(--"15:00:00")),IF(AND(AU244&gt;(--"00:00:01"),AU244&lt;(--"15:00:00")),AZ244-AU244,AZ244+1-AU244),AZ244-AU244)</f>
        <v>0</v>
      </c>
      <c r="BU244" s="302">
        <f>IF(AND(BA244&gt;(--"00:00:01"),BA244&lt;(--"15:00:00")),IF(AND(AZ244&gt;(--"00:00:01"),AZ244&lt;(--"15:00:00")),BA244-AZ244,BA244+1-AZ244),BA244-AZ244)</f>
        <v>0</v>
      </c>
      <c r="BV244" s="299">
        <f>AV244</f>
        <v>0</v>
      </c>
      <c r="BW244" s="301"/>
      <c r="BX244" s="299" t="str">
        <f>IF(AV244="T Status",IF(AV244&lt;&gt;T244,"X",""),"")</f>
        <v/>
      </c>
      <c r="BY244" s="301"/>
      <c r="BZ244" s="299" t="str">
        <f>IF(X244&lt;&gt;"",IF(CC244="X","Driver Delay",IF(CA244="X","Paperwork Delay",IF(CB244="X","Late freight late sort",IF(CD244="X","Chiamare Control Room",IF(CE244="X","Chiamare Control Room",IF(CF244="X","Chiamare Control Room","")))))),"")</f>
        <v/>
      </c>
      <c r="CA244" s="302" t="e">
        <f>IF(K244="",IF(IF(AND(G244&gt;(--"00:00:01"),G244&lt;(--"15:00:00")),IF(AND(AT244&gt;(--"08:00:00"),AT244&lt;(--"23:59:59")),G244+1-AT244,G244-AT244),G244-AT244)&gt;(--"00:20:00"),"","X"),"")</f>
        <v>#VALUE!</v>
      </c>
      <c r="CB244" s="299" t="e">
        <f>IF(K244="",IF(BP244&gt;=(--"00:20:00"),"","X"),"")</f>
        <v>#VALUE!</v>
      </c>
      <c r="CC244" s="299" t="str">
        <f>IF(OR(AV244="Autista non presente",AV244="Dati driver non presenti"),"X","")</f>
        <v/>
      </c>
      <c r="CD244" s="299" t="e">
        <f>IF(K244="",IF(AND(CC244="",BS244&lt;(--"00:20:00")),"X",""),"")</f>
        <v>#VALUE!</v>
      </c>
      <c r="CE244" s="299" t="str">
        <f>IF(K244="",IF(BT244&gt;(--"00:15:00"),"X",""),IF(AZ244&lt;&gt;"",IF(G244-AZ244&gt;(--"00:30:00"),"X",""),""))</f>
        <v/>
      </c>
      <c r="CF244" s="299" t="e">
        <f>IF(AND(CA244="",CB244="",CC244="",CD244="",CE244=""),"X","")</f>
        <v>#VALUE!</v>
      </c>
      <c r="CG244" s="301"/>
      <c r="CH244" s="299" t="str">
        <f>IF(BT244&gt;(--"00:15:00"),"X","")</f>
        <v/>
      </c>
      <c r="CI244" s="302">
        <f>AY244</f>
        <v>0</v>
      </c>
      <c r="CJ244" s="299" t="str">
        <f>IF(AND(CH244&lt;&gt;"",CI244&lt;&gt;"",LEFT(B244,3)="ITD"),AP244,"")</f>
        <v/>
      </c>
      <c r="CK244" s="305" t="str">
        <f>IF(CJ244&lt;&gt;"",BT244,"")</f>
        <v/>
      </c>
      <c r="CL244" s="301"/>
      <c r="CM244" s="305" t="str">
        <f>IFERROR(VLOOKUP(Q244,'Elenco Casse'!$D$4:$F$292,3,FALSE),"")</f>
        <v/>
      </c>
      <c r="CN244" s="301"/>
      <c r="CO244" s="305" t="str">
        <f>IFERROR(VLOOKUP(E244,Outlist!$A$5:$H$120,8,FALSE),"")</f>
        <v/>
      </c>
      <c r="CP244" s="305" t="str">
        <f>IFERROR(IF(VLOOKUP($E244,Outlist!$A$5:$S$120,19,FALSE)&lt;&gt;0,"Y",""),"")</f>
        <v/>
      </c>
      <c r="CQ244" s="301"/>
      <c r="CR244" s="305" t="str">
        <f>CONCATENATE($B244,$E244,$G244)</f>
        <v/>
      </c>
      <c r="CS244" s="301"/>
      <c r="CT244" s="305" t="e">
        <f>VLOOKUP(Out_Table[[#This Row],[Destination             ORANGE (From Planning)]],Outlist!$A$5:$W$120,22,FALSE)</f>
        <v>#N/A</v>
      </c>
    </row>
    <row r="245" spans="1:98" s="20" customFormat="1" ht="15">
      <c r="A245" s="305" t="str">
        <f>$CR245</f>
        <v/>
      </c>
      <c r="B245" s="351" t="str">
        <f>IFERROR(VLOOKUP(E245,Outlist!$A$5:$AC$120,2,FALSE),"")</f>
        <v/>
      </c>
      <c r="C245" s="352" t="str">
        <f ca="1">IFERROR(IF(LEFT(B245,3)='STAT 77'!$X$2,_xlfn.XLOOKUP(B245,'STAT 77'!C:C,'STAT 77'!B:B),_xlfn.XLOOKUP(B245,'STAT 77'!B:B,'STAT 77'!C:C)),"NON TROVATO")</f>
        <v>NON TROVATO</v>
      </c>
      <c r="D245" s="4"/>
      <c r="E245" s="352" t="str">
        <f>IFERROR(IF(Outlist!$A107&lt;&gt;"",Outlist!$A107,""),"")</f>
        <v/>
      </c>
      <c r="F245" s="352" t="str">
        <f>IFERROR(VLOOKUP(E245,'Cambio O2P'!C:E,2,FALSE),"")</f>
        <v/>
      </c>
      <c r="G245" s="353" t="str">
        <f>IFERROR(VLOOKUP(E245,Outlist!$A$5:$AC$120,5,FALSE)-INT(VLOOKUP(E245,Outlist!$A$5:$AC$120,5,FALSE)),"")</f>
        <v/>
      </c>
      <c r="H245" s="294" t="str">
        <f ca="1">IFERROR(IF(AND('INformazioni per calcoli'!$AB$3&lt;(--"14:30"),'INformazioni per calcoli'!$AB$3&gt;(--"10:00")),"",IF($B245="","",IF($X245&lt;&gt;"","Mezzo Chiuso",IF($W245="","Non al Carico",IF($K245="Safe Parking","Safe Parking", IF(OR($BF245='INformazioni per calcoli'!$AF$8,$BF245='INformazioni per calcoli'!$AC$8,$BF245='INformazioni per calcoli'!$AD$8,$BF245='INformazioni per calcoli'!$AE$8,$BF245='INformazioni per calcoli'!$AG$8,$BF245='INformazioni per calcoli'!$AH$8,$BF245='INformazioni per calcoli'!$AI$8,$BF245='INformazioni per calcoli'!$AJ$8),IF($G245-'INformazioni per calcoli'!$AB$6-'INformazioni per calcoli'!$AB$3+$J245&lt;0,"LFLS",$G245-'INformazioni per calcoli'!$AB$6-'INformazioni per calcoli'!$AB$3+$J245), IF(OR($BF245='INformazioni per calcoli'!$AF$6,$BF245='INformazioni per calcoli'!$AD$6,$BF245='INformazioni per calcoli'!$AE$6,$BF245='INformazioni per calcoli'!$AG$6),IF($G245-'INformazioni per calcoli'!$AB$8-'INformazioni per calcoli'!$AB$3+$J245&lt;0,"LFLS",$G245-'INformazioni per calcoli'!$AB$8-'INformazioni per calcoli'!$AB$3+$J245), IF($G245-'INformazioni per calcoli'!$AB$7-'INformazioni per calcoli'!$AB$3+$J245&lt;0,"LFLS",$G245-'INformazioni per calcoli'!$AB$7-'INformazioni per calcoli'!$AB$3+$J245)))))))),"")</f>
        <v/>
      </c>
      <c r="I245" s="17" t="str">
        <f ca="1">IFERROR(IF($H245&lt;&gt;"",IF($H245="Safe Parking","",IF($W245&lt;&gt;"",IF(AND($U245="X",$V245="X"),$H245-(--"00:30"),""),IF($X245&lt;&gt;"","Mezzo Chiuso","Non al carico"))),""),"")</f>
        <v/>
      </c>
      <c r="J245" s="354" t="str">
        <f>IFERROR(IF($G245="","",IF(INT(VLOOKUP($E245,Outlist!$A$5:$E$120,5,FALSE))&gt;'INformazioni per calcoli'!$AB$2,INT(VLOOKUP($E245,Outlist!$A$5:$E$120,5,FALSE))-INT('INformazioni per calcoli'!$AB$2),0)),"")</f>
        <v/>
      </c>
      <c r="K245" s="27" t="str">
        <f>IF(E245&lt;&gt;"",IFERROR(VLOOKUP(E245,Outlist!$A$5:$AC$120,22,FALSE),""),"")</f>
        <v/>
      </c>
      <c r="L245" s="352" t="str">
        <f>IF(E245&lt;&gt;"",IFERROR(VLOOKUP(E245,Outlist!$A$5:$AC$120,3,FALSE),""),"")</f>
        <v/>
      </c>
      <c r="M245" s="4" t="str">
        <f>IFERROR(_xlfn.XLOOKUP($Q245,'Elenco Casse'!$D:$D,'Elenco Casse'!$E:$E),"")</f>
        <v/>
      </c>
      <c r="N245" s="4" t="str">
        <f>IFERROR(_xlfn.XLOOKUP($Q245,'Elenco Casse'!$D:$D,'Elenco Casse'!$F:$F),"")</f>
        <v/>
      </c>
      <c r="O245" s="4" t="str">
        <f>IF($L245&lt;&gt;"","TT-2/3","")</f>
        <v/>
      </c>
      <c r="P245" s="296" t="str">
        <f>IFERROR(IF(VLOOKUP(E245,Outlist!$A$5:$AC$120,21,FALSE)="YES","Linea Variata",""),"")</f>
        <v/>
      </c>
      <c r="Q245" s="355" t="str">
        <f>IFERROR(VLOOKUP(E245,Outlist!$AK$4:$BH$139,13,FALSE),"")</f>
        <v/>
      </c>
      <c r="R245" s="23"/>
      <c r="S245" s="25" t="str">
        <f>IFERROR(IF(VLOOKUP(E245,Outlist!$A$5:$AC$120,7,FALSE)="X","SUBCO",""),"")</f>
        <v/>
      </c>
      <c r="T245" s="25"/>
      <c r="U245" s="23"/>
      <c r="V245" s="23"/>
      <c r="W245" s="26"/>
      <c r="X245" s="27"/>
      <c r="Y245" s="25" t="str">
        <f>IF(OR(Out_Table[[#This Row],[DOC Del. hr. (RTH)]]&lt;&gt;"",Outlist!S146),"XXX","")</f>
        <v/>
      </c>
      <c r="Z245" s="25"/>
      <c r="AA245" s="25"/>
      <c r="AB245" s="57"/>
      <c r="AC245" s="25"/>
      <c r="AD245" s="25"/>
      <c r="AE245" s="57"/>
      <c r="AF245" s="57"/>
      <c r="AG245" s="25"/>
      <c r="AH245" s="57"/>
      <c r="AI245" s="339"/>
      <c r="AJ245" s="339"/>
      <c r="AK245" s="297" t="str">
        <f>IF(X245&lt;&gt;"",CONCATENATE(IF(AA245&lt;&gt;"",CONCATENATE(Z245," ",AA245," ",BI245),""),IF(AD245&lt;&gt;"",CONCATENATE(","," ",AC245," ",AD245," ",BJ245),""),IF(AG245&lt;&gt;"",CONCATENATE(","," ",AF245," ",AG245," ",BK245),""),IF(AJ245&lt;&gt;"",CONCATENATE(","," ","DD"," ",BL245),"")," ",IF(AI245&lt;&gt;"",CONCATENATE(" - ",AI245," Bag"),"")),"")</f>
        <v/>
      </c>
      <c r="AL245" s="287"/>
      <c r="AM245" s="287"/>
      <c r="AN245" s="287"/>
      <c r="AO245" s="287"/>
      <c r="AP245" s="370" t="str">
        <f>IFERROR(VLOOKUP($E245,Outlist!$A$5:$V$120,20,FALSE),"")</f>
        <v/>
      </c>
      <c r="AQ245" s="288" t="str">
        <f>IFERROR(IF(VLOOKUP($A245,#REF!,8,FALSE)&lt;&gt;"",VLOOKUP($A245,#REF!,8,FALSE),""),"")</f>
        <v/>
      </c>
      <c r="AS245" s="24"/>
      <c r="AT245" s="24"/>
      <c r="AU245" s="27"/>
      <c r="AV245" s="27"/>
      <c r="AX245" s="20" t="str">
        <f>IFERROR(IF(Out_Table[[#This Row],[Cancellazione linea]]="Cancellata","yes",""),"")</f>
        <v/>
      </c>
      <c r="AY245" s="72"/>
      <c r="AZ245" s="27"/>
      <c r="BA245" s="32"/>
      <c r="BB245" s="72"/>
      <c r="BC245" s="72" t="str">
        <f>IFERROR(VLOOKUP(Out_Table[[#This Row],[Aggiornamento STATUS]],'INformazioni per calcoli'!$Y$70:$AA$76,2,FALSE),"")</f>
        <v/>
      </c>
      <c r="BD245" s="289"/>
      <c r="BE245" s="289"/>
      <c r="BF245" s="47" t="str">
        <f>LEFT($E245,3)</f>
        <v/>
      </c>
      <c r="BG245" s="298" t="str">
        <f>IF(Out_Table[[#This Row],[Ora Uscita    (GH)]]&lt;&gt;"","x","")</f>
        <v/>
      </c>
      <c r="BH245" s="299" t="e">
        <f>VLOOKUP($O245,'INformazioni per calcoli'!$Y$20:$AA$23,3,FALSE)</f>
        <v>#N/A</v>
      </c>
      <c r="BI245" s="299" t="e">
        <f>MROUND(Out_Table[[#This Row],[Mtr. Trailer]]*AB245,0.5)</f>
        <v>#N/A</v>
      </c>
      <c r="BJ245" s="299" t="e">
        <f>MROUND(Out_Table[[#This Row],[Mtr. Trailer]]*AE245,0.5)</f>
        <v>#N/A</v>
      </c>
      <c r="BK245" s="299" t="e">
        <f>MROUND(Out_Table[[#This Row],[Mtr. Trailer]]*AH245,0.5)</f>
        <v>#N/A</v>
      </c>
      <c r="BL245" s="300">
        <f>Out_Table[[#This Row],[Double Deck trailer N° bumpers]]</f>
        <v>0</v>
      </c>
      <c r="BM245" s="301"/>
      <c r="BN245" s="299" t="str">
        <f>B245</f>
        <v/>
      </c>
      <c r="BO245" s="299" t="str">
        <f>E245</f>
        <v/>
      </c>
      <c r="BP245" s="302" t="e">
        <f>IF(AND(G245&gt;(--"00:00:01"),G245&lt;(--"15:00:00")),IF(AND(X245&gt;(--"00:00:01"),X245&lt;(--"15:00:00")),G245-X245,G245+1-X245),G245-X245)</f>
        <v>#VALUE!</v>
      </c>
      <c r="BQ245" s="303">
        <f>AE245+AF245+AH245+AJ245</f>
        <v>0</v>
      </c>
      <c r="BR245" s="304" t="e">
        <f>IF(OR(BP245&lt;=(--"00:20:00"),BQ245&gt;=100%),"OK","Not OK")</f>
        <v>#VALUE!</v>
      </c>
      <c r="BS245" s="302" t="e">
        <f>IF(AND(G245&gt;(--"00:00:01"),G245&lt;(--"15:00:00")),IF(AND(AU245&gt;(--"00:00:01"),AU245&lt;(--"15:00:00")),G245-AU245,G245+1-AU245),G245-AU245)</f>
        <v>#VALUE!</v>
      </c>
      <c r="BT245" s="302">
        <f>IF(AND(AZ245&gt;(--"00:00:01"),AZ245&lt;(--"15:00:00")),IF(AND(AU245&gt;(--"00:00:01"),AU245&lt;(--"15:00:00")),AZ245-AU245,AZ245+1-AU245),AZ245-AU245)</f>
        <v>0</v>
      </c>
      <c r="BU245" s="302">
        <f>IF(AND(BA245&gt;(--"00:00:01"),BA245&lt;(--"15:00:00")),IF(AND(AZ245&gt;(--"00:00:01"),AZ245&lt;(--"15:00:00")),BA245-AZ245,BA245+1-AZ245),BA245-AZ245)</f>
        <v>0</v>
      </c>
      <c r="BV245" s="299">
        <f>AV245</f>
        <v>0</v>
      </c>
      <c r="BW245" s="301"/>
      <c r="BX245" s="299" t="str">
        <f>IF(AV245="T Status",IF(AV245&lt;&gt;T245,"X",""),"")</f>
        <v/>
      </c>
      <c r="BY245" s="301"/>
      <c r="BZ245" s="299" t="str">
        <f>IF(X245&lt;&gt;"",IF(CC245="X","Driver Delay",IF(CA245="X","Paperwork Delay",IF(CB245="X","Late freight late sort",IF(CD245="X","Chiamare Control Room",IF(CE245="X","Chiamare Control Room",IF(CF245="X","Chiamare Control Room","")))))),"")</f>
        <v/>
      </c>
      <c r="CA245" s="302" t="e">
        <f>IF(K245="",IF(IF(AND(G245&gt;(--"00:00:01"),G245&lt;(--"15:00:00")),IF(AND(AT245&gt;(--"08:00:00"),AT245&lt;(--"23:59:59")),G245+1-AT245,G245-AT245),G245-AT245)&gt;(--"00:20:00"),"","X"),"")</f>
        <v>#VALUE!</v>
      </c>
      <c r="CB245" s="299" t="e">
        <f>IF(K245="",IF(BP245&gt;=(--"00:20:00"),"","X"),"")</f>
        <v>#VALUE!</v>
      </c>
      <c r="CC245" s="299" t="str">
        <f>IF(OR(AV245="Autista non presente",AV245="Dati driver non presenti"),"X","")</f>
        <v/>
      </c>
      <c r="CD245" s="299" t="e">
        <f>IF(K245="",IF(AND(CC245="",BS245&lt;(--"00:20:00")),"X",""),"")</f>
        <v>#VALUE!</v>
      </c>
      <c r="CE245" s="299" t="str">
        <f>IF(K245="",IF(BT245&gt;(--"00:15:00"),"X",""),IF(AZ245&lt;&gt;"",IF(G245-AZ245&gt;(--"00:30:00"),"X",""),""))</f>
        <v/>
      </c>
      <c r="CF245" s="299" t="e">
        <f>IF(AND(CA245="",CB245="",CC245="",CD245="",CE245=""),"X","")</f>
        <v>#VALUE!</v>
      </c>
      <c r="CG245" s="301"/>
      <c r="CH245" s="299" t="str">
        <f>IF(BT245&gt;(--"00:15:00"),"X","")</f>
        <v/>
      </c>
      <c r="CI245" s="302">
        <f>AY245</f>
        <v>0</v>
      </c>
      <c r="CJ245" s="299" t="str">
        <f>IF(AND(CH245&lt;&gt;"",CI245&lt;&gt;"",LEFT(B245,3)="ITD"),AP245,"")</f>
        <v/>
      </c>
      <c r="CK245" s="305" t="str">
        <f>IF(CJ245&lt;&gt;"",BT245,"")</f>
        <v/>
      </c>
      <c r="CL245" s="301"/>
      <c r="CM245" s="305" t="str">
        <f>IFERROR(VLOOKUP(Q245,'Elenco Casse'!$D$4:$F$292,3,FALSE),"")</f>
        <v/>
      </c>
      <c r="CN245" s="301"/>
      <c r="CO245" s="305" t="str">
        <f>IFERROR(VLOOKUP(E245,Outlist!$A$5:$H$120,8,FALSE),"")</f>
        <v/>
      </c>
      <c r="CP245" s="305" t="str">
        <f>IFERROR(IF(VLOOKUP($E245,Outlist!$A$5:$S$120,19,FALSE)&lt;&gt;0,"Y",""),"")</f>
        <v/>
      </c>
      <c r="CQ245" s="301"/>
      <c r="CR245" s="305" t="str">
        <f>CONCATENATE($B245,$E245,$G245)</f>
        <v/>
      </c>
      <c r="CS245" s="301"/>
      <c r="CT245" s="305" t="e">
        <f>VLOOKUP(Out_Table[[#This Row],[Destination             ORANGE (From Planning)]],Outlist!$A$5:$W$120,22,FALSE)</f>
        <v>#N/A</v>
      </c>
    </row>
    <row r="246" spans="1:98" s="20" customFormat="1" ht="15">
      <c r="A246" s="305" t="str">
        <f>$CR246</f>
        <v/>
      </c>
      <c r="B246" s="351" t="str">
        <f>IFERROR(VLOOKUP(E246,Outlist!$A$5:$AC$120,2,FALSE),"")</f>
        <v/>
      </c>
      <c r="C246" s="352" t="str">
        <f ca="1">IFERROR(IF(LEFT(B246,3)='STAT 77'!$X$2,_xlfn.XLOOKUP(B246,'STAT 77'!C:C,'STAT 77'!B:B),_xlfn.XLOOKUP(B246,'STAT 77'!B:B,'STAT 77'!C:C)),"NON TROVATO")</f>
        <v>NON TROVATO</v>
      </c>
      <c r="D246" s="4"/>
      <c r="E246" s="352" t="str">
        <f>IFERROR(IF(Outlist!$A108&lt;&gt;"",Outlist!$A108,""),"")</f>
        <v/>
      </c>
      <c r="F246" s="352" t="str">
        <f>IFERROR(VLOOKUP(E246,'Cambio O2P'!C:E,2,FALSE),"")</f>
        <v/>
      </c>
      <c r="G246" s="353" t="str">
        <f>IFERROR(VLOOKUP(E246,Outlist!$A$5:$AC$120,5,FALSE)-INT(VLOOKUP(E246,Outlist!$A$5:$AC$120,5,FALSE)),"")</f>
        <v/>
      </c>
      <c r="H246" s="294" t="str">
        <f ca="1">IFERROR(IF(AND('INformazioni per calcoli'!$AB$3&lt;(--"14:30"),'INformazioni per calcoli'!$AB$3&gt;(--"10:00")),"",IF($B246="","",IF($X246&lt;&gt;"","Mezzo Chiuso",IF($W246="","Non al Carico",IF($K246="Safe Parking","Safe Parking", IF(OR($BF246='INformazioni per calcoli'!$AF$8,$BF246='INformazioni per calcoli'!$AC$8,$BF246='INformazioni per calcoli'!$AD$8,$BF246='INformazioni per calcoli'!$AE$8,$BF246='INformazioni per calcoli'!$AG$8,$BF246='INformazioni per calcoli'!$AH$8,$BF246='INformazioni per calcoli'!$AI$8,$BF246='INformazioni per calcoli'!$AJ$8),IF($G246-'INformazioni per calcoli'!$AB$6-'INformazioni per calcoli'!$AB$3+$J246&lt;0,"LFLS",$G246-'INformazioni per calcoli'!$AB$6-'INformazioni per calcoli'!$AB$3+$J246), IF(OR($BF246='INformazioni per calcoli'!$AF$6,$BF246='INformazioni per calcoli'!$AD$6,$BF246='INformazioni per calcoli'!$AE$6,$BF246='INformazioni per calcoli'!$AG$6),IF($G246-'INformazioni per calcoli'!$AB$8-'INformazioni per calcoli'!$AB$3+$J246&lt;0,"LFLS",$G246-'INformazioni per calcoli'!$AB$8-'INformazioni per calcoli'!$AB$3+$J246), IF($G246-'INformazioni per calcoli'!$AB$7-'INformazioni per calcoli'!$AB$3+$J246&lt;0,"LFLS",$G246-'INformazioni per calcoli'!$AB$7-'INformazioni per calcoli'!$AB$3+$J246)))))))),"")</f>
        <v/>
      </c>
      <c r="I246" s="17" t="str">
        <f ca="1">IFERROR(IF($H246&lt;&gt;"",IF($H246="Safe Parking","",IF($W246&lt;&gt;"",IF(AND($U246="X",$V246="X"),$H246-(--"00:30"),""),IF($X246&lt;&gt;"","Mezzo Chiuso","Non al carico"))),""),"")</f>
        <v/>
      </c>
      <c r="J246" s="354" t="str">
        <f>IFERROR(IF($G246="","",IF(INT(VLOOKUP($E246,Outlist!$A$5:$E$120,5,FALSE))&gt;'INformazioni per calcoli'!$AB$2,INT(VLOOKUP($E246,Outlist!$A$5:$E$120,5,FALSE))-INT('INformazioni per calcoli'!$AB$2),0)),"")</f>
        <v/>
      </c>
      <c r="K246" s="27" t="str">
        <f>IF(E246&lt;&gt;"",IFERROR(VLOOKUP(E246,Outlist!$A$5:$AC$120,22,FALSE),""),"")</f>
        <v/>
      </c>
      <c r="L246" s="352" t="str">
        <f>IF(E246&lt;&gt;"",IFERROR(VLOOKUP(E246,Outlist!$A$5:$AC$120,3,FALSE),""),"")</f>
        <v/>
      </c>
      <c r="M246" s="4" t="str">
        <f>IFERROR(_xlfn.XLOOKUP($Q246,'Elenco Casse'!$D:$D,'Elenco Casse'!$E:$E),"")</f>
        <v/>
      </c>
      <c r="N246" s="4" t="str">
        <f>IFERROR(_xlfn.XLOOKUP($Q246,'Elenco Casse'!$D:$D,'Elenco Casse'!$F:$F),"")</f>
        <v/>
      </c>
      <c r="O246" s="4" t="str">
        <f>IF($L246&lt;&gt;"","TT-2/3","")</f>
        <v/>
      </c>
      <c r="P246" s="296" t="str">
        <f>IFERROR(IF(VLOOKUP(E246,Outlist!$A$5:$AC$120,21,FALSE)="YES","Linea Variata",""),"")</f>
        <v/>
      </c>
      <c r="Q246" s="355" t="str">
        <f>IFERROR(VLOOKUP(E246,Outlist!$AK$4:$BH$139,13,FALSE),"")</f>
        <v/>
      </c>
      <c r="R246" s="23"/>
      <c r="S246" s="25" t="str">
        <f>IFERROR(IF(VLOOKUP(E246,Outlist!$A$5:$AC$120,7,FALSE)="X","SUBCO",""),"")</f>
        <v/>
      </c>
      <c r="T246" s="25"/>
      <c r="U246" s="23"/>
      <c r="V246" s="23"/>
      <c r="W246" s="26"/>
      <c r="X246" s="27"/>
      <c r="Y246" s="25" t="str">
        <f>IF(OR(Out_Table[[#This Row],[DOC Del. hr. (RTH)]]&lt;&gt;"",Outlist!S147),"XXX","")</f>
        <v/>
      </c>
      <c r="Z246" s="25"/>
      <c r="AA246" s="25"/>
      <c r="AB246" s="57"/>
      <c r="AC246" s="25"/>
      <c r="AD246" s="25"/>
      <c r="AE246" s="57"/>
      <c r="AF246" s="57"/>
      <c r="AG246" s="25"/>
      <c r="AH246" s="57"/>
      <c r="AI246" s="339"/>
      <c r="AJ246" s="339"/>
      <c r="AK246" s="297" t="str">
        <f>IF(X246&lt;&gt;"",CONCATENATE(IF(AA246&lt;&gt;"",CONCATENATE(Z246," ",AA246," ",BI246),""),IF(AD246&lt;&gt;"",CONCATENATE(","," ",AC246," ",AD246," ",BJ246),""),IF(AG246&lt;&gt;"",CONCATENATE(","," ",AF246," ",AG246," ",BK246),""),IF(AJ246&lt;&gt;"",CONCATENATE(","," ","DD"," ",BL246),"")," ",IF(AI246&lt;&gt;"",CONCATENATE(" - ",AI246," Bag"),"")),"")</f>
        <v/>
      </c>
      <c r="AL246" s="287"/>
      <c r="AM246" s="287"/>
      <c r="AN246" s="287"/>
      <c r="AO246" s="287"/>
      <c r="AP246" s="370" t="str">
        <f>IFERROR(VLOOKUP($E246,Outlist!$A$5:$V$120,20,FALSE),"")</f>
        <v/>
      </c>
      <c r="AQ246" s="288" t="str">
        <f>IFERROR(IF(VLOOKUP($A246,#REF!,8,FALSE)&lt;&gt;"",VLOOKUP($A246,#REF!,8,FALSE),""),"")</f>
        <v/>
      </c>
      <c r="AS246" s="24"/>
      <c r="AT246" s="24"/>
      <c r="AU246" s="27"/>
      <c r="AV246" s="27"/>
      <c r="AX246" s="20" t="str">
        <f>IFERROR(IF(Out_Table[[#This Row],[Cancellazione linea]]="Cancellata","yes",""),"")</f>
        <v/>
      </c>
      <c r="AY246" s="72"/>
      <c r="AZ246" s="27"/>
      <c r="BA246" s="32"/>
      <c r="BB246" s="72"/>
      <c r="BC246" s="72" t="str">
        <f>IFERROR(VLOOKUP(Out_Table[[#This Row],[Aggiornamento STATUS]],'INformazioni per calcoli'!$Y$70:$AA$76,2,FALSE),"")</f>
        <v/>
      </c>
      <c r="BD246" s="289"/>
      <c r="BE246" s="289"/>
      <c r="BF246" s="47" t="str">
        <f>LEFT($E246,3)</f>
        <v/>
      </c>
      <c r="BG246" s="298" t="str">
        <f>IF(Out_Table[[#This Row],[Ora Uscita    (GH)]]&lt;&gt;"","x","")</f>
        <v/>
      </c>
      <c r="BH246" s="299" t="e">
        <f>VLOOKUP($O246,'INformazioni per calcoli'!$Y$20:$AA$23,3,FALSE)</f>
        <v>#N/A</v>
      </c>
      <c r="BI246" s="299" t="e">
        <f>MROUND(Out_Table[[#This Row],[Mtr. Trailer]]*AB246,0.5)</f>
        <v>#N/A</v>
      </c>
      <c r="BJ246" s="299" t="e">
        <f>MROUND(Out_Table[[#This Row],[Mtr. Trailer]]*AE246,0.5)</f>
        <v>#N/A</v>
      </c>
      <c r="BK246" s="299" t="e">
        <f>MROUND(Out_Table[[#This Row],[Mtr. Trailer]]*AH246,0.5)</f>
        <v>#N/A</v>
      </c>
      <c r="BL246" s="300">
        <f>Out_Table[[#This Row],[Double Deck trailer N° bumpers]]</f>
        <v>0</v>
      </c>
      <c r="BM246" s="301"/>
      <c r="BN246" s="299" t="str">
        <f>B246</f>
        <v/>
      </c>
      <c r="BO246" s="299" t="str">
        <f>E246</f>
        <v/>
      </c>
      <c r="BP246" s="302" t="e">
        <f>IF(AND(G246&gt;(--"00:00:01"),G246&lt;(--"15:00:00")),IF(AND(X246&gt;(--"00:00:01"),X246&lt;(--"15:00:00")),G246-X246,G246+1-X246),G246-X246)</f>
        <v>#VALUE!</v>
      </c>
      <c r="BQ246" s="303">
        <f>AE246+AF246+AH246+AJ246</f>
        <v>0</v>
      </c>
      <c r="BR246" s="304" t="e">
        <f>IF(OR(BP246&lt;=(--"00:20:00"),BQ246&gt;=100%),"OK","Not OK")</f>
        <v>#VALUE!</v>
      </c>
      <c r="BS246" s="302" t="e">
        <f>IF(AND(G246&gt;(--"00:00:01"),G246&lt;(--"15:00:00")),IF(AND(AU246&gt;(--"00:00:01"),AU246&lt;(--"15:00:00")),G246-AU246,G246+1-AU246),G246-AU246)</f>
        <v>#VALUE!</v>
      </c>
      <c r="BT246" s="302">
        <f>IF(AND(AZ246&gt;(--"00:00:01"),AZ246&lt;(--"15:00:00")),IF(AND(AU246&gt;(--"00:00:01"),AU246&lt;(--"15:00:00")),AZ246-AU246,AZ246+1-AU246),AZ246-AU246)</f>
        <v>0</v>
      </c>
      <c r="BU246" s="302">
        <f>IF(AND(BA246&gt;(--"00:00:01"),BA246&lt;(--"15:00:00")),IF(AND(AZ246&gt;(--"00:00:01"),AZ246&lt;(--"15:00:00")),BA246-AZ246,BA246+1-AZ246),BA246-AZ246)</f>
        <v>0</v>
      </c>
      <c r="BV246" s="299">
        <f>AV246</f>
        <v>0</v>
      </c>
      <c r="BW246" s="301"/>
      <c r="BX246" s="299" t="str">
        <f>IF(AV246="T Status",IF(AV246&lt;&gt;T246,"X",""),"")</f>
        <v/>
      </c>
      <c r="BY246" s="301"/>
      <c r="BZ246" s="299" t="str">
        <f>IF(X246&lt;&gt;"",IF(CC246="X","Driver Delay",IF(CA246="X","Paperwork Delay",IF(CB246="X","Late freight late sort",IF(CD246="X","Chiamare Control Room",IF(CE246="X","Chiamare Control Room",IF(CF246="X","Chiamare Control Room","")))))),"")</f>
        <v/>
      </c>
      <c r="CA246" s="302" t="e">
        <f>IF(K246="",IF(IF(AND(G246&gt;(--"00:00:01"),G246&lt;(--"15:00:00")),IF(AND(AT246&gt;(--"08:00:00"),AT246&lt;(--"23:59:59")),G246+1-AT246,G246-AT246),G246-AT246)&gt;(--"00:20:00"),"","X"),"")</f>
        <v>#VALUE!</v>
      </c>
      <c r="CB246" s="299" t="e">
        <f>IF(K246="",IF(BP246&gt;=(--"00:20:00"),"","X"),"")</f>
        <v>#VALUE!</v>
      </c>
      <c r="CC246" s="299" t="str">
        <f>IF(OR(AV246="Autista non presente",AV246="Dati driver non presenti"),"X","")</f>
        <v/>
      </c>
      <c r="CD246" s="299" t="e">
        <f>IF(K246="",IF(AND(CC246="",BS246&lt;(--"00:20:00")),"X",""),"")</f>
        <v>#VALUE!</v>
      </c>
      <c r="CE246" s="299" t="str">
        <f>IF(K246="",IF(BT246&gt;(--"00:15:00"),"X",""),IF(AZ246&lt;&gt;"",IF(G246-AZ246&gt;(--"00:30:00"),"X",""),""))</f>
        <v/>
      </c>
      <c r="CF246" s="299" t="e">
        <f>IF(AND(CA246="",CB246="",CC246="",CD246="",CE246=""),"X","")</f>
        <v>#VALUE!</v>
      </c>
      <c r="CG246" s="301"/>
      <c r="CH246" s="299" t="str">
        <f>IF(BT246&gt;(--"00:15:00"),"X","")</f>
        <v/>
      </c>
      <c r="CI246" s="302">
        <f>AY246</f>
        <v>0</v>
      </c>
      <c r="CJ246" s="299" t="str">
        <f>IF(AND(CH246&lt;&gt;"",CI246&lt;&gt;"",LEFT(B246,3)="ITD"),AP246,"")</f>
        <v/>
      </c>
      <c r="CK246" s="305" t="str">
        <f>IF(CJ246&lt;&gt;"",BT246,"")</f>
        <v/>
      </c>
      <c r="CL246" s="301"/>
      <c r="CM246" s="305" t="str">
        <f>IFERROR(VLOOKUP(Q246,'Elenco Casse'!$D$4:$F$292,3,FALSE),"")</f>
        <v/>
      </c>
      <c r="CN246" s="301"/>
      <c r="CO246" s="305" t="str">
        <f>IFERROR(VLOOKUP(E246,Outlist!$A$5:$H$120,8,FALSE),"")</f>
        <v/>
      </c>
      <c r="CP246" s="305" t="str">
        <f>IFERROR(IF(VLOOKUP($E246,Outlist!$A$5:$S$120,19,FALSE)&lt;&gt;0,"Y",""),"")</f>
        <v/>
      </c>
      <c r="CQ246" s="301"/>
      <c r="CR246" s="305" t="str">
        <f>CONCATENATE($B246,$E246,$G246)</f>
        <v/>
      </c>
      <c r="CS246" s="301"/>
      <c r="CT246" s="305" t="e">
        <f>VLOOKUP(Out_Table[[#This Row],[Destination             ORANGE (From Planning)]],Outlist!$A$5:$W$120,22,FALSE)</f>
        <v>#N/A</v>
      </c>
    </row>
    <row r="247" spans="1:98" s="20" customFormat="1" ht="15">
      <c r="A247" s="305" t="str">
        <f>$CR247</f>
        <v/>
      </c>
      <c r="B247" s="351" t="str">
        <f>IFERROR(VLOOKUP(E247,Outlist!$A$5:$AC$120,2,FALSE),"")</f>
        <v/>
      </c>
      <c r="C247" s="352" t="str">
        <f ca="1">IFERROR(IF(LEFT(B247,3)='STAT 77'!$X$2,_xlfn.XLOOKUP(B247,'STAT 77'!C:C,'STAT 77'!B:B),_xlfn.XLOOKUP(B247,'STAT 77'!B:B,'STAT 77'!C:C)),"NON TROVATO")</f>
        <v>NON TROVATO</v>
      </c>
      <c r="D247" s="4"/>
      <c r="E247" s="352" t="str">
        <f>IFERROR(IF(Outlist!$A109&lt;&gt;"",Outlist!$A109,""),"")</f>
        <v/>
      </c>
      <c r="F247" s="352" t="str">
        <f>IFERROR(VLOOKUP(E247,'Cambio O2P'!C:E,2,FALSE),"")</f>
        <v/>
      </c>
      <c r="G247" s="353" t="str">
        <f>IFERROR(VLOOKUP(E247,Outlist!$A$5:$AC$120,5,FALSE)-INT(VLOOKUP(E247,Outlist!$A$5:$AC$120,5,FALSE)),"")</f>
        <v/>
      </c>
      <c r="H247" s="294" t="str">
        <f ca="1">IFERROR(IF(AND('INformazioni per calcoli'!$AB$3&lt;(--"14:30"),'INformazioni per calcoli'!$AB$3&gt;(--"10:00")),"",IF($B247="","",IF($X247&lt;&gt;"","Mezzo Chiuso",IF($W247="","Non al Carico",IF($K247="Safe Parking","Safe Parking", IF(OR($BF247='INformazioni per calcoli'!$AF$8,$BF247='INformazioni per calcoli'!$AC$8,$BF247='INformazioni per calcoli'!$AD$8,$BF247='INformazioni per calcoli'!$AE$8,$BF247='INformazioni per calcoli'!$AG$8,$BF247='INformazioni per calcoli'!$AH$8,$BF247='INformazioni per calcoli'!$AI$8,$BF247='INformazioni per calcoli'!$AJ$8),IF($G247-'INformazioni per calcoli'!$AB$6-'INformazioni per calcoli'!$AB$3+$J247&lt;0,"LFLS",$G247-'INformazioni per calcoli'!$AB$6-'INformazioni per calcoli'!$AB$3+$J247), IF(OR($BF247='INformazioni per calcoli'!$AF$6,$BF247='INformazioni per calcoli'!$AD$6,$BF247='INformazioni per calcoli'!$AE$6,$BF247='INformazioni per calcoli'!$AG$6),IF($G247-'INformazioni per calcoli'!$AB$8-'INformazioni per calcoli'!$AB$3+$J247&lt;0,"LFLS",$G247-'INformazioni per calcoli'!$AB$8-'INformazioni per calcoli'!$AB$3+$J247), IF($G247-'INformazioni per calcoli'!$AB$7-'INformazioni per calcoli'!$AB$3+$J247&lt;0,"LFLS",$G247-'INformazioni per calcoli'!$AB$7-'INformazioni per calcoli'!$AB$3+$J247)))))))),"")</f>
        <v/>
      </c>
      <c r="I247" s="17" t="str">
        <f ca="1">IFERROR(IF($H247&lt;&gt;"",IF($H247="Safe Parking","",IF($W247&lt;&gt;"",IF(AND($U247="X",$V247="X"),$H247-(--"00:30"),""),IF($X247&lt;&gt;"","Mezzo Chiuso","Non al carico"))),""),"")</f>
        <v/>
      </c>
      <c r="J247" s="354" t="str">
        <f>IFERROR(IF($G247="","",IF(INT(VLOOKUP($E247,Outlist!$A$5:$E$120,5,FALSE))&gt;'INformazioni per calcoli'!$AB$2,INT(VLOOKUP($E247,Outlist!$A$5:$E$120,5,FALSE))-INT('INformazioni per calcoli'!$AB$2),0)),"")</f>
        <v/>
      </c>
      <c r="K247" s="27" t="str">
        <f>IF(E247&lt;&gt;"",IFERROR(VLOOKUP(E247,Outlist!$A$5:$AC$120,22,FALSE),""),"")</f>
        <v/>
      </c>
      <c r="L247" s="352" t="str">
        <f>IF(E247&lt;&gt;"",IFERROR(VLOOKUP(E247,Outlist!$A$5:$AC$120,3,FALSE),""),"")</f>
        <v/>
      </c>
      <c r="M247" s="4" t="str">
        <f>IFERROR(_xlfn.XLOOKUP($Q247,'Elenco Casse'!$D:$D,'Elenco Casse'!$E:$E),"")</f>
        <v/>
      </c>
      <c r="N247" s="4" t="str">
        <f>IFERROR(_xlfn.XLOOKUP($Q247,'Elenco Casse'!$D:$D,'Elenco Casse'!$F:$F),"")</f>
        <v/>
      </c>
      <c r="O247" s="4" t="str">
        <f>IF($L247&lt;&gt;"","TT-2/3","")</f>
        <v/>
      </c>
      <c r="P247" s="296" t="str">
        <f>IFERROR(IF(VLOOKUP(E247,Outlist!$A$5:$AC$120,21,FALSE)="YES","Linea Variata",""),"")</f>
        <v/>
      </c>
      <c r="Q247" s="355" t="str">
        <f>IFERROR(VLOOKUP(E247,Outlist!$AK$4:$BH$139,13,FALSE),"")</f>
        <v/>
      </c>
      <c r="R247" s="23"/>
      <c r="S247" s="25" t="str">
        <f>IFERROR(IF(VLOOKUP(E247,Outlist!$A$5:$AC$120,7,FALSE)="X","SUBCO",""),"")</f>
        <v/>
      </c>
      <c r="T247" s="25"/>
      <c r="U247" s="23"/>
      <c r="V247" s="23"/>
      <c r="W247" s="26"/>
      <c r="X247" s="27"/>
      <c r="Y247" s="25" t="str">
        <f>IF(OR(Out_Table[[#This Row],[DOC Del. hr. (RTH)]]&lt;&gt;"",Outlist!S148),"XXX","")</f>
        <v/>
      </c>
      <c r="Z247" s="25"/>
      <c r="AA247" s="25"/>
      <c r="AB247" s="57"/>
      <c r="AC247" s="25"/>
      <c r="AD247" s="25"/>
      <c r="AE247" s="57"/>
      <c r="AF247" s="57"/>
      <c r="AG247" s="25"/>
      <c r="AH247" s="57"/>
      <c r="AI247" s="339"/>
      <c r="AJ247" s="339"/>
      <c r="AK247" s="297" t="str">
        <f>IF(X247&lt;&gt;"",CONCATENATE(IF(AA247&lt;&gt;"",CONCATENATE(Z247," ",AA247," ",BI247),""),IF(AD247&lt;&gt;"",CONCATENATE(","," ",AC247," ",AD247," ",BJ247),""),IF(AG247&lt;&gt;"",CONCATENATE(","," ",AF247," ",AG247," ",BK247),""),IF(AJ247&lt;&gt;"",CONCATENATE(","," ","DD"," ",BL247),"")," ",IF(AI247&lt;&gt;"",CONCATENATE(" - ",AI247," Bag"),"")),"")</f>
        <v/>
      </c>
      <c r="AL247" s="287"/>
      <c r="AM247" s="287"/>
      <c r="AN247" s="287"/>
      <c r="AO247" s="287"/>
      <c r="AP247" s="370" t="str">
        <f>IFERROR(VLOOKUP($E247,Outlist!$A$5:$V$120,20,FALSE),"")</f>
        <v/>
      </c>
      <c r="AQ247" s="288" t="str">
        <f>IFERROR(IF(VLOOKUP($A247,#REF!,8,FALSE)&lt;&gt;"",VLOOKUP($A247,#REF!,8,FALSE),""),"")</f>
        <v/>
      </c>
      <c r="AS247" s="24"/>
      <c r="AT247" s="24"/>
      <c r="AU247" s="27"/>
      <c r="AV247" s="27"/>
      <c r="AX247" s="20" t="str">
        <f>IFERROR(IF(Out_Table[[#This Row],[Cancellazione linea]]="Cancellata","yes",""),"")</f>
        <v/>
      </c>
      <c r="AY247" s="72"/>
      <c r="AZ247" s="27"/>
      <c r="BA247" s="32"/>
      <c r="BB247" s="72"/>
      <c r="BC247" s="72" t="str">
        <f>IFERROR(VLOOKUP(Out_Table[[#This Row],[Aggiornamento STATUS]],'INformazioni per calcoli'!$Y$70:$AA$76,2,FALSE),"")</f>
        <v/>
      </c>
      <c r="BD247" s="289"/>
      <c r="BE247" s="289"/>
      <c r="BF247" s="47" t="str">
        <f>LEFT($E247,3)</f>
        <v/>
      </c>
      <c r="BG247" s="298" t="str">
        <f>IF(Out_Table[[#This Row],[Ora Uscita    (GH)]]&lt;&gt;"","x","")</f>
        <v/>
      </c>
      <c r="BH247" s="299" t="e">
        <f>VLOOKUP($O247,'INformazioni per calcoli'!$Y$20:$AA$23,3,FALSE)</f>
        <v>#N/A</v>
      </c>
      <c r="BI247" s="299" t="e">
        <f>MROUND(Out_Table[[#This Row],[Mtr. Trailer]]*AB247,0.5)</f>
        <v>#N/A</v>
      </c>
      <c r="BJ247" s="299" t="e">
        <f>MROUND(Out_Table[[#This Row],[Mtr. Trailer]]*AE247,0.5)</f>
        <v>#N/A</v>
      </c>
      <c r="BK247" s="299" t="e">
        <f>MROUND(Out_Table[[#This Row],[Mtr. Trailer]]*AH247,0.5)</f>
        <v>#N/A</v>
      </c>
      <c r="BL247" s="300">
        <f>Out_Table[[#This Row],[Double Deck trailer N° bumpers]]</f>
        <v>0</v>
      </c>
      <c r="BM247" s="301"/>
      <c r="BN247" s="299" t="str">
        <f>B247</f>
        <v/>
      </c>
      <c r="BO247" s="299" t="str">
        <f>E247</f>
        <v/>
      </c>
      <c r="BP247" s="302" t="e">
        <f>IF(AND(G247&gt;(--"00:00:01"),G247&lt;(--"15:00:00")),IF(AND(X247&gt;(--"00:00:01"),X247&lt;(--"15:00:00")),G247-X247,G247+1-X247),G247-X247)</f>
        <v>#VALUE!</v>
      </c>
      <c r="BQ247" s="303">
        <f>AE247+AF247+AH247+AJ247</f>
        <v>0</v>
      </c>
      <c r="BR247" s="304" t="e">
        <f>IF(OR(BP247&lt;=(--"00:20:00"),BQ247&gt;=100%),"OK","Not OK")</f>
        <v>#VALUE!</v>
      </c>
      <c r="BS247" s="302" t="e">
        <f>IF(AND(G247&gt;(--"00:00:01"),G247&lt;(--"15:00:00")),IF(AND(AU247&gt;(--"00:00:01"),AU247&lt;(--"15:00:00")),G247-AU247,G247+1-AU247),G247-AU247)</f>
        <v>#VALUE!</v>
      </c>
      <c r="BT247" s="302">
        <f>IF(AND(AZ247&gt;(--"00:00:01"),AZ247&lt;(--"15:00:00")),IF(AND(AU247&gt;(--"00:00:01"),AU247&lt;(--"15:00:00")),AZ247-AU247,AZ247+1-AU247),AZ247-AU247)</f>
        <v>0</v>
      </c>
      <c r="BU247" s="302">
        <f>IF(AND(BA247&gt;(--"00:00:01"),BA247&lt;(--"15:00:00")),IF(AND(AZ247&gt;(--"00:00:01"),AZ247&lt;(--"15:00:00")),BA247-AZ247,BA247+1-AZ247),BA247-AZ247)</f>
        <v>0</v>
      </c>
      <c r="BV247" s="299">
        <f>AV247</f>
        <v>0</v>
      </c>
      <c r="BW247" s="301"/>
      <c r="BX247" s="299" t="str">
        <f>IF(AV247="T Status",IF(AV247&lt;&gt;T247,"X",""),"")</f>
        <v/>
      </c>
      <c r="BY247" s="301"/>
      <c r="BZ247" s="299" t="str">
        <f>IF(X247&lt;&gt;"",IF(CC247="X","Driver Delay",IF(CA247="X","Paperwork Delay",IF(CB247="X","Late freight late sort",IF(CD247="X","Chiamare Control Room",IF(CE247="X","Chiamare Control Room",IF(CF247="X","Chiamare Control Room","")))))),"")</f>
        <v/>
      </c>
      <c r="CA247" s="302" t="e">
        <f>IF(K247="",IF(IF(AND(G247&gt;(--"00:00:01"),G247&lt;(--"15:00:00")),IF(AND(AT247&gt;(--"08:00:00"),AT247&lt;(--"23:59:59")),G247+1-AT247,G247-AT247),G247-AT247)&gt;(--"00:20:00"),"","X"),"")</f>
        <v>#VALUE!</v>
      </c>
      <c r="CB247" s="299" t="e">
        <f>IF(K247="",IF(BP247&gt;=(--"00:20:00"),"","X"),"")</f>
        <v>#VALUE!</v>
      </c>
      <c r="CC247" s="299" t="str">
        <f>IF(OR(AV247="Autista non presente",AV247="Dati driver non presenti"),"X","")</f>
        <v/>
      </c>
      <c r="CD247" s="299" t="e">
        <f>IF(K247="",IF(AND(CC247="",BS247&lt;(--"00:20:00")),"X",""),"")</f>
        <v>#VALUE!</v>
      </c>
      <c r="CE247" s="299" t="str">
        <f>IF(K247="",IF(BT247&gt;(--"00:15:00"),"X",""),IF(AZ247&lt;&gt;"",IF(G247-AZ247&gt;(--"00:30:00"),"X",""),""))</f>
        <v/>
      </c>
      <c r="CF247" s="299" t="e">
        <f>IF(AND(CA247="",CB247="",CC247="",CD247="",CE247=""),"X","")</f>
        <v>#VALUE!</v>
      </c>
      <c r="CG247" s="301"/>
      <c r="CH247" s="299" t="str">
        <f>IF(BT247&gt;(--"00:15:00"),"X","")</f>
        <v/>
      </c>
      <c r="CI247" s="302">
        <f>AY247</f>
        <v>0</v>
      </c>
      <c r="CJ247" s="299" t="str">
        <f>IF(AND(CH247&lt;&gt;"",CI247&lt;&gt;"",LEFT(B247,3)="ITD"),AP247,"")</f>
        <v/>
      </c>
      <c r="CK247" s="305" t="str">
        <f>IF(CJ247&lt;&gt;"",BT247,"")</f>
        <v/>
      </c>
      <c r="CL247" s="301"/>
      <c r="CM247" s="305" t="str">
        <f>IFERROR(VLOOKUP(Q247,'Elenco Casse'!$D$4:$F$292,3,FALSE),"")</f>
        <v/>
      </c>
      <c r="CN247" s="301"/>
      <c r="CO247" s="305" t="str">
        <f>IFERROR(VLOOKUP(E247,Outlist!$A$5:$H$120,8,FALSE),"")</f>
        <v/>
      </c>
      <c r="CP247" s="305" t="str">
        <f>IFERROR(IF(VLOOKUP($E247,Outlist!$A$5:$S$120,19,FALSE)&lt;&gt;0,"Y",""),"")</f>
        <v/>
      </c>
      <c r="CQ247" s="301"/>
      <c r="CR247" s="305" t="str">
        <f>CONCATENATE($B247,$E247,$G247)</f>
        <v/>
      </c>
      <c r="CS247" s="301"/>
      <c r="CT247" s="305" t="e">
        <f>VLOOKUP(Out_Table[[#This Row],[Destination             ORANGE (From Planning)]],Outlist!$A$5:$W$120,22,FALSE)</f>
        <v>#N/A</v>
      </c>
    </row>
    <row r="248" spans="1:98" s="20" customFormat="1" ht="15">
      <c r="A248" s="305" t="str">
        <f>$CR248</f>
        <v/>
      </c>
      <c r="B248" s="351" t="str">
        <f>IFERROR(VLOOKUP(E248,Outlist!$A$5:$AC$120,2,FALSE),"")</f>
        <v/>
      </c>
      <c r="C248" s="352" t="str">
        <f ca="1">IFERROR(IF(LEFT(B248,3)='STAT 77'!$X$2,_xlfn.XLOOKUP(B248,'STAT 77'!C:C,'STAT 77'!B:B),_xlfn.XLOOKUP(B248,'STAT 77'!B:B,'STAT 77'!C:C)),"NON TROVATO")</f>
        <v>NON TROVATO</v>
      </c>
      <c r="D248" s="4"/>
      <c r="E248" s="352" t="str">
        <f>IFERROR(IF(Outlist!$A110&lt;&gt;"",Outlist!$A110,""),"")</f>
        <v/>
      </c>
      <c r="F248" s="352" t="str">
        <f>IFERROR(VLOOKUP(E248,'Cambio O2P'!C:E,2,FALSE),"")</f>
        <v/>
      </c>
      <c r="G248" s="353" t="str">
        <f>IFERROR(VLOOKUP(E248,Outlist!$A$5:$AC$120,5,FALSE)-INT(VLOOKUP(E248,Outlist!$A$5:$AC$120,5,FALSE)),"")</f>
        <v/>
      </c>
      <c r="H248" s="294" t="str">
        <f ca="1">IFERROR(IF(AND('INformazioni per calcoli'!$AB$3&lt;(--"14:30"),'INformazioni per calcoli'!$AB$3&gt;(--"10:00")),"",IF($B248="","",IF($X248&lt;&gt;"","Mezzo Chiuso",IF($W248="","Non al Carico",IF($K248="Safe Parking","Safe Parking", IF(OR($BF248='INformazioni per calcoli'!$AF$8,$BF248='INformazioni per calcoli'!$AC$8,$BF248='INformazioni per calcoli'!$AD$8,$BF248='INformazioni per calcoli'!$AE$8,$BF248='INformazioni per calcoli'!$AG$8,$BF248='INformazioni per calcoli'!$AH$8,$BF248='INformazioni per calcoli'!$AI$8,$BF248='INformazioni per calcoli'!$AJ$8),IF($G248-'INformazioni per calcoli'!$AB$6-'INformazioni per calcoli'!$AB$3+$J248&lt;0,"LFLS",$G248-'INformazioni per calcoli'!$AB$6-'INformazioni per calcoli'!$AB$3+$J248), IF(OR($BF248='INformazioni per calcoli'!$AF$6,$BF248='INformazioni per calcoli'!$AD$6,$BF248='INformazioni per calcoli'!$AE$6,$BF248='INformazioni per calcoli'!$AG$6),IF($G248-'INformazioni per calcoli'!$AB$8-'INformazioni per calcoli'!$AB$3+$J248&lt;0,"LFLS",$G248-'INformazioni per calcoli'!$AB$8-'INformazioni per calcoli'!$AB$3+$J248), IF($G248-'INformazioni per calcoli'!$AB$7-'INformazioni per calcoli'!$AB$3+$J248&lt;0,"LFLS",$G248-'INformazioni per calcoli'!$AB$7-'INformazioni per calcoli'!$AB$3+$J248)))))))),"")</f>
        <v/>
      </c>
      <c r="I248" s="17" t="str">
        <f ca="1">IFERROR(IF($H248&lt;&gt;"",IF($H248="Safe Parking","",IF($W248&lt;&gt;"",IF(AND($U248="X",$V248="X"),$H248-(--"00:30"),""),IF($X248&lt;&gt;"","Mezzo Chiuso","Non al carico"))),""),"")</f>
        <v/>
      </c>
      <c r="J248" s="354" t="str">
        <f>IFERROR(IF($G248="","",IF(INT(VLOOKUP($E248,Outlist!$A$5:$E$120,5,FALSE))&gt;'INformazioni per calcoli'!$AB$2,INT(VLOOKUP($E248,Outlist!$A$5:$E$120,5,FALSE))-INT('INformazioni per calcoli'!$AB$2),0)),"")</f>
        <v/>
      </c>
      <c r="K248" s="27" t="str">
        <f>IF(E248&lt;&gt;"",IFERROR(VLOOKUP(E248,Outlist!$A$5:$AC$120,22,FALSE),""),"")</f>
        <v/>
      </c>
      <c r="L248" s="352" t="str">
        <f>IF(E248&lt;&gt;"",IFERROR(VLOOKUP(E248,Outlist!$A$5:$AC$120,3,FALSE),""),"")</f>
        <v/>
      </c>
      <c r="M248" s="4" t="str">
        <f>IFERROR(_xlfn.XLOOKUP($Q248,'Elenco Casse'!$D:$D,'Elenco Casse'!$E:$E),"")</f>
        <v/>
      </c>
      <c r="N248" s="4" t="str">
        <f>IFERROR(_xlfn.XLOOKUP($Q248,'Elenco Casse'!$D:$D,'Elenco Casse'!$F:$F),"")</f>
        <v/>
      </c>
      <c r="O248" s="4" t="str">
        <f>IF($L248&lt;&gt;"","TT-2/3","")</f>
        <v/>
      </c>
      <c r="P248" s="296" t="str">
        <f>IFERROR(IF(VLOOKUP(E248,Outlist!$A$5:$AC$120,21,FALSE)="YES","Linea Variata",""),"")</f>
        <v/>
      </c>
      <c r="Q248" s="355" t="str">
        <f>IFERROR(VLOOKUP(E248,Outlist!$AK$4:$BH$139,13,FALSE),"")</f>
        <v/>
      </c>
      <c r="R248" s="23"/>
      <c r="S248" s="25" t="str">
        <f>IFERROR(IF(VLOOKUP(E248,Outlist!$A$5:$AC$120,7,FALSE)="X","SUBCO",""),"")</f>
        <v/>
      </c>
      <c r="T248" s="25"/>
      <c r="U248" s="23"/>
      <c r="V248" s="23"/>
      <c r="W248" s="26"/>
      <c r="X248" s="27"/>
      <c r="Y248" s="25" t="str">
        <f>IF(OR(Out_Table[[#This Row],[DOC Del. hr. (RTH)]]&lt;&gt;"",Outlist!S149),"XXX","")</f>
        <v/>
      </c>
      <c r="Z248" s="25"/>
      <c r="AA248" s="25"/>
      <c r="AB248" s="57"/>
      <c r="AC248" s="25"/>
      <c r="AD248" s="25"/>
      <c r="AE248" s="57"/>
      <c r="AF248" s="57"/>
      <c r="AG248" s="25"/>
      <c r="AH248" s="57"/>
      <c r="AI248" s="339"/>
      <c r="AJ248" s="339"/>
      <c r="AK248" s="297" t="str">
        <f>IF(X248&lt;&gt;"",CONCATENATE(IF(AA248&lt;&gt;"",CONCATENATE(Z248," ",AA248," ",BI248),""),IF(AD248&lt;&gt;"",CONCATENATE(","," ",AC248," ",AD248," ",BJ248),""),IF(AG248&lt;&gt;"",CONCATENATE(","," ",AF248," ",AG248," ",BK248),""),IF(AJ248&lt;&gt;"",CONCATENATE(","," ","DD"," ",BL248),"")," ",IF(AI248&lt;&gt;"",CONCATENATE(" - ",AI248," Bag"),"")),"")</f>
        <v/>
      </c>
      <c r="AL248" s="287"/>
      <c r="AM248" s="287"/>
      <c r="AN248" s="287"/>
      <c r="AO248" s="287"/>
      <c r="AP248" s="370" t="str">
        <f>IFERROR(VLOOKUP($E248,Outlist!$A$5:$V$120,20,FALSE),"")</f>
        <v/>
      </c>
      <c r="AQ248" s="288" t="str">
        <f>IFERROR(IF(VLOOKUP($A248,#REF!,8,FALSE)&lt;&gt;"",VLOOKUP($A248,#REF!,8,FALSE),""),"")</f>
        <v/>
      </c>
      <c r="AS248" s="24"/>
      <c r="AT248" s="24"/>
      <c r="AU248" s="27"/>
      <c r="AV248" s="27"/>
      <c r="AX248" s="20" t="str">
        <f>IFERROR(IF(Out_Table[[#This Row],[Cancellazione linea]]="Cancellata","yes",""),"")</f>
        <v/>
      </c>
      <c r="AY248" s="72"/>
      <c r="AZ248" s="27"/>
      <c r="BA248" s="32"/>
      <c r="BB248" s="72"/>
      <c r="BC248" s="72" t="str">
        <f>IFERROR(VLOOKUP(Out_Table[[#This Row],[Aggiornamento STATUS]],'INformazioni per calcoli'!$Y$70:$AA$76,2,FALSE),"")</f>
        <v/>
      </c>
      <c r="BD248" s="289"/>
      <c r="BE248" s="289"/>
      <c r="BF248" s="47" t="str">
        <f>LEFT($E248,3)</f>
        <v/>
      </c>
      <c r="BG248" s="298" t="str">
        <f>IF(Out_Table[[#This Row],[Ora Uscita    (GH)]]&lt;&gt;"","x","")</f>
        <v/>
      </c>
      <c r="BH248" s="299" t="e">
        <f>VLOOKUP($O248,'INformazioni per calcoli'!$Y$20:$AA$23,3,FALSE)</f>
        <v>#N/A</v>
      </c>
      <c r="BI248" s="299" t="e">
        <f>MROUND(Out_Table[[#This Row],[Mtr. Trailer]]*AB248,0.5)</f>
        <v>#N/A</v>
      </c>
      <c r="BJ248" s="299" t="e">
        <f>MROUND(Out_Table[[#This Row],[Mtr. Trailer]]*AE248,0.5)</f>
        <v>#N/A</v>
      </c>
      <c r="BK248" s="299" t="e">
        <f>MROUND(Out_Table[[#This Row],[Mtr. Trailer]]*AH248,0.5)</f>
        <v>#N/A</v>
      </c>
      <c r="BL248" s="300">
        <f>Out_Table[[#This Row],[Double Deck trailer N° bumpers]]</f>
        <v>0</v>
      </c>
      <c r="BM248" s="301"/>
      <c r="BN248" s="299" t="str">
        <f>B248</f>
        <v/>
      </c>
      <c r="BO248" s="299" t="str">
        <f>E248</f>
        <v/>
      </c>
      <c r="BP248" s="302" t="e">
        <f>IF(AND(G248&gt;(--"00:00:01"),G248&lt;(--"15:00:00")),IF(AND(X248&gt;(--"00:00:01"),X248&lt;(--"15:00:00")),G248-X248,G248+1-X248),G248-X248)</f>
        <v>#VALUE!</v>
      </c>
      <c r="BQ248" s="303">
        <f>AE248+AF248+AH248+AJ248</f>
        <v>0</v>
      </c>
      <c r="BR248" s="304" t="e">
        <f>IF(OR(BP248&lt;=(--"00:20:00"),BQ248&gt;=100%),"OK","Not OK")</f>
        <v>#VALUE!</v>
      </c>
      <c r="BS248" s="302" t="e">
        <f>IF(AND(G248&gt;(--"00:00:01"),G248&lt;(--"15:00:00")),IF(AND(AU248&gt;(--"00:00:01"),AU248&lt;(--"15:00:00")),G248-AU248,G248+1-AU248),G248-AU248)</f>
        <v>#VALUE!</v>
      </c>
      <c r="BT248" s="302">
        <f>IF(AND(AZ248&gt;(--"00:00:01"),AZ248&lt;(--"15:00:00")),IF(AND(AU248&gt;(--"00:00:01"),AU248&lt;(--"15:00:00")),AZ248-AU248,AZ248+1-AU248),AZ248-AU248)</f>
        <v>0</v>
      </c>
      <c r="BU248" s="302">
        <f>IF(AND(BA248&gt;(--"00:00:01"),BA248&lt;(--"15:00:00")),IF(AND(AZ248&gt;(--"00:00:01"),AZ248&lt;(--"15:00:00")),BA248-AZ248,BA248+1-AZ248),BA248-AZ248)</f>
        <v>0</v>
      </c>
      <c r="BV248" s="299">
        <f>AV248</f>
        <v>0</v>
      </c>
      <c r="BW248" s="301"/>
      <c r="BX248" s="299" t="str">
        <f>IF(AV248="T Status",IF(AV248&lt;&gt;T248,"X",""),"")</f>
        <v/>
      </c>
      <c r="BY248" s="301"/>
      <c r="BZ248" s="299" t="str">
        <f>IF(X248&lt;&gt;"",IF(CC248="X","Driver Delay",IF(CA248="X","Paperwork Delay",IF(CB248="X","Late freight late sort",IF(CD248="X","Chiamare Control Room",IF(CE248="X","Chiamare Control Room",IF(CF248="X","Chiamare Control Room","")))))),"")</f>
        <v/>
      </c>
      <c r="CA248" s="302" t="e">
        <f>IF(K248="",IF(IF(AND(G248&gt;(--"00:00:01"),G248&lt;(--"15:00:00")),IF(AND(AT248&gt;(--"08:00:00"),AT248&lt;(--"23:59:59")),G248+1-AT248,G248-AT248),G248-AT248)&gt;(--"00:20:00"),"","X"),"")</f>
        <v>#VALUE!</v>
      </c>
      <c r="CB248" s="299" t="e">
        <f>IF(K248="",IF(BP248&gt;=(--"00:20:00"),"","X"),"")</f>
        <v>#VALUE!</v>
      </c>
      <c r="CC248" s="299" t="str">
        <f>IF(OR(AV248="Autista non presente",AV248="Dati driver non presenti"),"X","")</f>
        <v/>
      </c>
      <c r="CD248" s="299" t="e">
        <f>IF(K248="",IF(AND(CC248="",BS248&lt;(--"00:20:00")),"X",""),"")</f>
        <v>#VALUE!</v>
      </c>
      <c r="CE248" s="299" t="str">
        <f>IF(K248="",IF(BT248&gt;(--"00:15:00"),"X",""),IF(AZ248&lt;&gt;"",IF(G248-AZ248&gt;(--"00:30:00"),"X",""),""))</f>
        <v/>
      </c>
      <c r="CF248" s="299" t="e">
        <f>IF(AND(CA248="",CB248="",CC248="",CD248="",CE248=""),"X","")</f>
        <v>#VALUE!</v>
      </c>
      <c r="CG248" s="301"/>
      <c r="CH248" s="299" t="str">
        <f>IF(BT248&gt;(--"00:15:00"),"X","")</f>
        <v/>
      </c>
      <c r="CI248" s="302">
        <f>AY248</f>
        <v>0</v>
      </c>
      <c r="CJ248" s="299" t="str">
        <f>IF(AND(CH248&lt;&gt;"",CI248&lt;&gt;"",LEFT(B248,3)="ITD"),AP248,"")</f>
        <v/>
      </c>
      <c r="CK248" s="305" t="str">
        <f>IF(CJ248&lt;&gt;"",BT248,"")</f>
        <v/>
      </c>
      <c r="CL248" s="301"/>
      <c r="CM248" s="305" t="str">
        <f>IFERROR(VLOOKUP(Q248,'Elenco Casse'!$D$4:$F$292,3,FALSE),"")</f>
        <v/>
      </c>
      <c r="CN248" s="301"/>
      <c r="CO248" s="305" t="str">
        <f>IFERROR(VLOOKUP(E248,Outlist!$A$5:$H$120,8,FALSE),"")</f>
        <v/>
      </c>
      <c r="CP248" s="305" t="str">
        <f>IFERROR(IF(VLOOKUP($E248,Outlist!$A$5:$S$120,19,FALSE)&lt;&gt;0,"Y",""),"")</f>
        <v/>
      </c>
      <c r="CQ248" s="301"/>
      <c r="CR248" s="305" t="str">
        <f>CONCATENATE($B248,$E248,$G248)</f>
        <v/>
      </c>
      <c r="CS248" s="301"/>
      <c r="CT248" s="305" t="e">
        <f>VLOOKUP(Out_Table[[#This Row],[Destination             ORANGE (From Planning)]],Outlist!$A$5:$W$120,22,FALSE)</f>
        <v>#N/A</v>
      </c>
    </row>
    <row r="249" spans="1:98" s="20" customFormat="1" ht="15">
      <c r="A249" s="305" t="str">
        <f>$CR249</f>
        <v/>
      </c>
      <c r="B249" s="351" t="str">
        <f>IFERROR(VLOOKUP(E249,Outlist!$A$5:$AC$120,2,FALSE),"")</f>
        <v/>
      </c>
      <c r="C249" s="352" t="str">
        <f ca="1">IFERROR(IF(LEFT(B249,3)='STAT 77'!$X$2,_xlfn.XLOOKUP(B249,'STAT 77'!C:C,'STAT 77'!B:B),_xlfn.XLOOKUP(B249,'STAT 77'!B:B,'STAT 77'!C:C)),"NON TROVATO")</f>
        <v>NON TROVATO</v>
      </c>
      <c r="D249" s="4"/>
      <c r="E249" s="352" t="str">
        <f>IFERROR(IF(Outlist!$A111&lt;&gt;"",Outlist!$A111,""),"")</f>
        <v/>
      </c>
      <c r="F249" s="352" t="str">
        <f>IFERROR(VLOOKUP(E249,'Cambio O2P'!C:E,2,FALSE),"")</f>
        <v/>
      </c>
      <c r="G249" s="353" t="str">
        <f>IFERROR(VLOOKUP(E249,Outlist!$A$5:$AC$120,5,FALSE)-INT(VLOOKUP(E249,Outlist!$A$5:$AC$120,5,FALSE)),"")</f>
        <v/>
      </c>
      <c r="H249" s="294" t="str">
        <f ca="1">IFERROR(IF(AND('INformazioni per calcoli'!$AB$3&lt;(--"14:30"),'INformazioni per calcoli'!$AB$3&gt;(--"10:00")),"",IF($B249="","",IF($X249&lt;&gt;"","Mezzo Chiuso",IF($W249="","Non al Carico",IF($K249="Safe Parking","Safe Parking", IF(OR($BF249='INformazioni per calcoli'!$AF$8,$BF249='INformazioni per calcoli'!$AC$8,$BF249='INformazioni per calcoli'!$AD$8,$BF249='INformazioni per calcoli'!$AE$8,$BF249='INformazioni per calcoli'!$AG$8,$BF249='INformazioni per calcoli'!$AH$8,$BF249='INformazioni per calcoli'!$AI$8,$BF249='INformazioni per calcoli'!$AJ$8),IF($G249-'INformazioni per calcoli'!$AB$6-'INformazioni per calcoli'!$AB$3+$J249&lt;0,"LFLS",$G249-'INformazioni per calcoli'!$AB$6-'INformazioni per calcoli'!$AB$3+$J249), IF(OR($BF249='INformazioni per calcoli'!$AF$6,$BF249='INformazioni per calcoli'!$AD$6,$BF249='INformazioni per calcoli'!$AE$6,$BF249='INformazioni per calcoli'!$AG$6),IF($G249-'INformazioni per calcoli'!$AB$8-'INformazioni per calcoli'!$AB$3+$J249&lt;0,"LFLS",$G249-'INformazioni per calcoli'!$AB$8-'INformazioni per calcoli'!$AB$3+$J249), IF($G249-'INformazioni per calcoli'!$AB$7-'INformazioni per calcoli'!$AB$3+$J249&lt;0,"LFLS",$G249-'INformazioni per calcoli'!$AB$7-'INformazioni per calcoli'!$AB$3+$J249)))))))),"")</f>
        <v/>
      </c>
      <c r="I249" s="17" t="str">
        <f ca="1">IFERROR(IF($H249&lt;&gt;"",IF($H249="Safe Parking","",IF($W249&lt;&gt;"",IF(AND($U249="X",$V249="X"),$H249-(--"00:30"),""),IF($X249&lt;&gt;"","Mezzo Chiuso","Non al carico"))),""),"")</f>
        <v/>
      </c>
      <c r="J249" s="354" t="str">
        <f>IFERROR(IF($G249="","",IF(INT(VLOOKUP($E249,Outlist!$A$5:$E$120,5,FALSE))&gt;'INformazioni per calcoli'!$AB$2,INT(VLOOKUP($E249,Outlist!$A$5:$E$120,5,FALSE))-INT('INformazioni per calcoli'!$AB$2),0)),"")</f>
        <v/>
      </c>
      <c r="K249" s="27" t="str">
        <f>IF(E249&lt;&gt;"",IFERROR(VLOOKUP(E249,Outlist!$A$5:$AC$120,22,FALSE),""),"")</f>
        <v/>
      </c>
      <c r="L249" s="352" t="str">
        <f>IF(E249&lt;&gt;"",IFERROR(VLOOKUP(E249,Outlist!$A$5:$AC$120,3,FALSE),""),"")</f>
        <v/>
      </c>
      <c r="M249" s="4" t="str">
        <f>IFERROR(_xlfn.XLOOKUP($Q249,'Elenco Casse'!$D:$D,'Elenco Casse'!$E:$E),"")</f>
        <v/>
      </c>
      <c r="N249" s="4" t="str">
        <f>IFERROR(_xlfn.XLOOKUP($Q249,'Elenco Casse'!$D:$D,'Elenco Casse'!$F:$F),"")</f>
        <v/>
      </c>
      <c r="O249" s="4" t="str">
        <f>IF($L249&lt;&gt;"","TT-2/3","")</f>
        <v/>
      </c>
      <c r="P249" s="296" t="str">
        <f>IFERROR(IF(VLOOKUP(E249,Outlist!$A$5:$AC$120,21,FALSE)="YES","Linea Variata",""),"")</f>
        <v/>
      </c>
      <c r="Q249" s="355" t="str">
        <f>IFERROR(VLOOKUP(E249,Outlist!$AK$4:$BH$139,13,FALSE),"")</f>
        <v/>
      </c>
      <c r="R249" s="23"/>
      <c r="S249" s="25" t="str">
        <f>IFERROR(IF(VLOOKUP(E249,Outlist!$A$5:$AC$120,7,FALSE)="X","SUBCO",""),"")</f>
        <v/>
      </c>
      <c r="T249" s="25"/>
      <c r="U249" s="23"/>
      <c r="V249" s="23"/>
      <c r="W249" s="26"/>
      <c r="X249" s="27"/>
      <c r="Y249" s="25" t="str">
        <f>IF(OR(Out_Table[[#This Row],[DOC Del. hr. (RTH)]]&lt;&gt;"",Outlist!S150),"XXX","")</f>
        <v/>
      </c>
      <c r="Z249" s="25"/>
      <c r="AA249" s="25"/>
      <c r="AB249" s="57"/>
      <c r="AC249" s="25"/>
      <c r="AD249" s="25"/>
      <c r="AE249" s="57"/>
      <c r="AF249" s="57"/>
      <c r="AG249" s="25"/>
      <c r="AH249" s="57"/>
      <c r="AI249" s="339"/>
      <c r="AJ249" s="339"/>
      <c r="AK249" s="297" t="str">
        <f>IF(X249&lt;&gt;"",CONCATENATE(IF(AA249&lt;&gt;"",CONCATENATE(Z249," ",AA249," ",BI249),""),IF(AD249&lt;&gt;"",CONCATENATE(","," ",AC249," ",AD249," ",BJ249),""),IF(AG249&lt;&gt;"",CONCATENATE(","," ",AF249," ",AG249," ",BK249),""),IF(AJ249&lt;&gt;"",CONCATENATE(","," ","DD"," ",BL249),"")," ",IF(AI249&lt;&gt;"",CONCATENATE(" - ",AI249," Bag"),"")),"")</f>
        <v/>
      </c>
      <c r="AL249" s="287"/>
      <c r="AM249" s="287"/>
      <c r="AN249" s="287"/>
      <c r="AO249" s="287"/>
      <c r="AP249" s="370" t="str">
        <f>IFERROR(VLOOKUP($E249,Outlist!$A$5:$V$120,20,FALSE),"")</f>
        <v/>
      </c>
      <c r="AQ249" s="288" t="str">
        <f>IFERROR(IF(VLOOKUP($A249,#REF!,8,FALSE)&lt;&gt;"",VLOOKUP($A249,#REF!,8,FALSE),""),"")</f>
        <v/>
      </c>
      <c r="AS249" s="24"/>
      <c r="AT249" s="24"/>
      <c r="AU249" s="27"/>
      <c r="AV249" s="27"/>
      <c r="AX249" s="20" t="str">
        <f>IFERROR(IF(Out_Table[[#This Row],[Cancellazione linea]]="Cancellata","yes",""),"")</f>
        <v/>
      </c>
      <c r="AY249" s="72" t="str">
        <f>IF(BA249="",BZ249,IF(AND(BA249&lt;(--"23:59:59"),BA249&gt;(--"15:00:00"),G249&lt;(--"14:00:00"),G249&gt;(--"00:00:01")),"",IF(BA249&gt;G249,BZ249,"")))</f>
        <v/>
      </c>
      <c r="AZ249" s="27"/>
      <c r="BA249" s="32"/>
      <c r="BB249" s="72"/>
      <c r="BC249" s="72" t="str">
        <f>IFERROR(VLOOKUP(Out_Table[[#This Row],[Aggiornamento STATUS]],'INformazioni per calcoli'!$Y$70:$AA$76,2,FALSE),"")</f>
        <v/>
      </c>
      <c r="BD249" s="289"/>
      <c r="BE249" s="289"/>
      <c r="BF249" s="47" t="str">
        <f>LEFT($E249,3)</f>
        <v/>
      </c>
      <c r="BG249" s="298" t="str">
        <f>IF(Out_Table[[#This Row],[Ora Uscita    (GH)]]&lt;&gt;"","x","")</f>
        <v/>
      </c>
      <c r="BH249" s="299" t="e">
        <f>VLOOKUP($O249,'INformazioni per calcoli'!$Y$20:$AA$23,3,FALSE)</f>
        <v>#N/A</v>
      </c>
      <c r="BI249" s="299" t="e">
        <f>MROUND(Out_Table[[#This Row],[Mtr. Trailer]]*AB249,0.5)</f>
        <v>#N/A</v>
      </c>
      <c r="BJ249" s="299" t="e">
        <f>MROUND(Out_Table[[#This Row],[Mtr. Trailer]]*AE249,0.5)</f>
        <v>#N/A</v>
      </c>
      <c r="BK249" s="299" t="e">
        <f>MROUND(Out_Table[[#This Row],[Mtr. Trailer]]*AH249,0.5)</f>
        <v>#N/A</v>
      </c>
      <c r="BL249" s="300">
        <f>Out_Table[[#This Row],[Double Deck trailer N° bumpers]]</f>
        <v>0</v>
      </c>
      <c r="BM249" s="301"/>
      <c r="BN249" s="299" t="str">
        <f>B249</f>
        <v/>
      </c>
      <c r="BO249" s="299" t="str">
        <f>E249</f>
        <v/>
      </c>
      <c r="BP249" s="302" t="e">
        <f>IF(AND(G249&gt;(--"00:00:01"),G249&lt;(--"15:00:00")),IF(AND(X249&gt;(--"00:00:01"),X249&lt;(--"15:00:00")),G249-X249,G249+1-X249),G249-X249)</f>
        <v>#VALUE!</v>
      </c>
      <c r="BQ249" s="303">
        <f>AE249+AF249+AH249+AJ249</f>
        <v>0</v>
      </c>
      <c r="BR249" s="304" t="e">
        <f>IF(OR(BP249&lt;=(--"00:20:00"),BQ249&gt;=100%),"OK","Not OK")</f>
        <v>#VALUE!</v>
      </c>
      <c r="BS249" s="302" t="e">
        <f>IF(AND(G249&gt;(--"00:00:01"),G249&lt;(--"15:00:00")),IF(AND(AU249&gt;(--"00:00:01"),AU249&lt;(--"15:00:00")),G249-AU249,G249+1-AU249),G249-AU249)</f>
        <v>#VALUE!</v>
      </c>
      <c r="BT249" s="302">
        <f>IF(AND(AZ249&gt;(--"00:00:01"),AZ249&lt;(--"15:00:00")),IF(AND(AU249&gt;(--"00:00:01"),AU249&lt;(--"15:00:00")),AZ249-AU249,AZ249+1-AU249),AZ249-AU249)</f>
        <v>0</v>
      </c>
      <c r="BU249" s="302">
        <f>IF(AND(BA249&gt;(--"00:00:01"),BA249&lt;(--"15:00:00")),IF(AND(AZ249&gt;(--"00:00:01"),AZ249&lt;(--"15:00:00")),BA249-AZ249,BA249+1-AZ249),BA249-AZ249)</f>
        <v>0</v>
      </c>
      <c r="BV249" s="299">
        <f>AV249</f>
        <v>0</v>
      </c>
      <c r="BW249" s="301"/>
      <c r="BX249" s="299" t="str">
        <f>IF(AV249="T Status",IF(AV249&lt;&gt;T249,"X",""),"")</f>
        <v/>
      </c>
      <c r="BY249" s="301"/>
      <c r="BZ249" s="299" t="str">
        <f>IF(X249&lt;&gt;"",IF(CC249="X","Driver Delay",IF(CA249="X","Paperwork Delay",IF(CB249="X","Late freight late sort",IF(CD249="X","Chiamare Control Room",IF(CE249="X","Chiamare Control Room",IF(CF249="X","Chiamare Control Room","")))))),"")</f>
        <v/>
      </c>
      <c r="CA249" s="302" t="e">
        <f>IF(K249="",IF(IF(AND(G249&gt;(--"00:00:01"),G249&lt;(--"15:00:00")),IF(AND(AT249&gt;(--"08:00:00"),AT249&lt;(--"23:59:59")),G249+1-AT249,G249-AT249),G249-AT249)&gt;(--"00:20:00"),"","X"),"")</f>
        <v>#VALUE!</v>
      </c>
      <c r="CB249" s="299" t="e">
        <f>IF(K249="",IF(BP249&gt;=(--"00:20:00"),"","X"),"")</f>
        <v>#VALUE!</v>
      </c>
      <c r="CC249" s="299" t="str">
        <f>IF(OR(AV249="Autista non presente",AV249="Dati driver non presenti"),"X","")</f>
        <v/>
      </c>
      <c r="CD249" s="299" t="e">
        <f>IF(K249="",IF(AND(CC249="",BS249&lt;(--"00:20:00")),"X",""),"")</f>
        <v>#VALUE!</v>
      </c>
      <c r="CE249" s="299" t="str">
        <f>IF(K249="",IF(BT249&gt;(--"00:15:00"),"X",""),IF(AZ249&lt;&gt;"",IF(G249-AZ249&gt;(--"00:30:00"),"X",""),""))</f>
        <v/>
      </c>
      <c r="CF249" s="299" t="e">
        <f>IF(AND(CA249="",CB249="",CC249="",CD249="",CE249=""),"X","")</f>
        <v>#VALUE!</v>
      </c>
      <c r="CG249" s="301"/>
      <c r="CH249" s="299" t="str">
        <f>IF(BT249&gt;(--"00:15:00"),"X","")</f>
        <v/>
      </c>
      <c r="CI249" s="302" t="str">
        <f>AY249</f>
        <v/>
      </c>
      <c r="CJ249" s="299" t="str">
        <f>IF(AND(CH249&lt;&gt;"",CI249&lt;&gt;"",LEFT(B249,3)="ITD"),AP249,"")</f>
        <v/>
      </c>
      <c r="CK249" s="305" t="str">
        <f>IF(CJ249&lt;&gt;"",BT249,"")</f>
        <v/>
      </c>
      <c r="CL249" s="301"/>
      <c r="CM249" s="305" t="str">
        <f>IFERROR(VLOOKUP(Q249,'Elenco Casse'!$D$4:$F$292,3,FALSE),"")</f>
        <v/>
      </c>
      <c r="CN249" s="301"/>
      <c r="CO249" s="305" t="str">
        <f>IFERROR(VLOOKUP(S249,'Elenco Casse'!$D$4:$F$292,3,FALSE),"")</f>
        <v/>
      </c>
      <c r="CP249" s="305" t="str">
        <f>IFERROR(IF(VLOOKUP($E249,Outlist!$A$5:$S$120,19,FALSE)&lt;&gt;0,"Y",""),"")</f>
        <v/>
      </c>
      <c r="CQ249" s="301"/>
      <c r="CR249" s="305" t="str">
        <f>CONCATENATE($B249,$E249,$G249)</f>
        <v/>
      </c>
      <c r="CS249" s="301"/>
      <c r="CT249" s="305" t="e">
        <f>VLOOKUP(Out_Table[[#This Row],[Destination             ORANGE (From Planning)]],Outlist!$A$5:$W$120,22,FALSE)</f>
        <v>#N/A</v>
      </c>
    </row>
    <row r="250" spans="1:98" s="20" customFormat="1" ht="15">
      <c r="A250" s="305" t="str">
        <f>$CR250</f>
        <v/>
      </c>
      <c r="B250" s="351" t="str">
        <f>IFERROR(VLOOKUP(E250,Outlist!$A$5:$AC$120,2,FALSE),"")</f>
        <v/>
      </c>
      <c r="C250" s="352" t="str">
        <f ca="1">IFERROR(IF(LEFT(B250,3)='STAT 77'!$X$2,_xlfn.XLOOKUP(B250,'STAT 77'!C:C,'STAT 77'!B:B),_xlfn.XLOOKUP(B250,'STAT 77'!B:B,'STAT 77'!C:C)),"NON TROVATO")</f>
        <v>NON TROVATO</v>
      </c>
      <c r="D250" s="4"/>
      <c r="E250" s="352" t="str">
        <f>IFERROR(IF(Outlist!$A112&lt;&gt;"",Outlist!$A112,""),"")</f>
        <v/>
      </c>
      <c r="F250" s="352" t="str">
        <f>IFERROR(VLOOKUP(E250,'Cambio O2P'!C:E,2,FALSE),"")</f>
        <v/>
      </c>
      <c r="G250" s="353" t="str">
        <f>IFERROR(VLOOKUP(E250,Outlist!$A$5:$AC$120,5,FALSE)-INT(VLOOKUP(E250,Outlist!$A$5:$AC$120,5,FALSE)),"")</f>
        <v/>
      </c>
      <c r="H250" s="294" t="str">
        <f ca="1">IFERROR(IF(AND('INformazioni per calcoli'!$AB$3&lt;(--"14:30"),'INformazioni per calcoli'!$AB$3&gt;(--"10:00")),"",IF($B250="","",IF($X250&lt;&gt;"","Mezzo Chiuso",IF($W250="","Non al Carico",IF($K250="Safe Parking","Safe Parking", IF(OR($BF250='INformazioni per calcoli'!$AF$8,$BF250='INformazioni per calcoli'!$AC$8,$BF250='INformazioni per calcoli'!$AD$8,$BF250='INformazioni per calcoli'!$AE$8,$BF250='INformazioni per calcoli'!$AG$8,$BF250='INformazioni per calcoli'!$AH$8,$BF250='INformazioni per calcoli'!$AI$8,$BF250='INformazioni per calcoli'!$AJ$8),IF($G250-'INformazioni per calcoli'!$AB$6-'INformazioni per calcoli'!$AB$3+$J250&lt;0,"LFLS",$G250-'INformazioni per calcoli'!$AB$6-'INformazioni per calcoli'!$AB$3+$J250), IF(OR($BF250='INformazioni per calcoli'!$AF$6,$BF250='INformazioni per calcoli'!$AD$6,$BF250='INformazioni per calcoli'!$AE$6,$BF250='INformazioni per calcoli'!$AG$6),IF($G250-'INformazioni per calcoli'!$AB$8-'INformazioni per calcoli'!$AB$3+$J250&lt;0,"LFLS",$G250-'INformazioni per calcoli'!$AB$8-'INformazioni per calcoli'!$AB$3+$J250), IF($G250-'INformazioni per calcoli'!$AB$7-'INformazioni per calcoli'!$AB$3+$J250&lt;0,"LFLS",$G250-'INformazioni per calcoli'!$AB$7-'INformazioni per calcoli'!$AB$3+$J250)))))))),"")</f>
        <v/>
      </c>
      <c r="I250" s="17" t="str">
        <f ca="1">IFERROR(IF($H250&lt;&gt;"",IF($H250="Safe Parking","",IF($W250&lt;&gt;"",IF(AND($U250="X",$V250="X"),$H250-(--"00:30"),""),IF($X250&lt;&gt;"","Mezzo Chiuso","Non al carico"))),""),"")</f>
        <v/>
      </c>
      <c r="J250" s="354" t="str">
        <f>IFERROR(IF($G250="","",IF(INT(VLOOKUP($E250,Outlist!$A$5:$E$120,5,FALSE))&gt;'INformazioni per calcoli'!$AB$2,INT(VLOOKUP($E250,Outlist!$A$5:$E$120,5,FALSE))-INT('INformazioni per calcoli'!$AB$2),0)),"")</f>
        <v/>
      </c>
      <c r="K250" s="27" t="str">
        <f>IF(E250&lt;&gt;"",IFERROR(VLOOKUP(E250,Outlist!$A$5:$AC$120,22,FALSE),""),"")</f>
        <v/>
      </c>
      <c r="L250" s="352" t="str">
        <f>IF(E250&lt;&gt;"",IFERROR(VLOOKUP(E250,Outlist!$A$5:$AC$120,3,FALSE),""),"")</f>
        <v/>
      </c>
      <c r="M250" s="4" t="str">
        <f>IFERROR(_xlfn.XLOOKUP($Q250,'Elenco Casse'!$D:$D,'Elenco Casse'!$E:$E),"")</f>
        <v/>
      </c>
      <c r="N250" s="4" t="str">
        <f>IFERROR(_xlfn.XLOOKUP($Q250,'Elenco Casse'!$D:$D,'Elenco Casse'!$F:$F),"")</f>
        <v/>
      </c>
      <c r="O250" s="4" t="str">
        <f>IF($L250&lt;&gt;"","TT-2/3","")</f>
        <v/>
      </c>
      <c r="P250" s="296" t="str">
        <f>IFERROR(IF(VLOOKUP(E250,Outlist!$A$5:$AC$120,21,FALSE)="YES","Linea Variata",""),"")</f>
        <v/>
      </c>
      <c r="Q250" s="355" t="str">
        <f>IFERROR(VLOOKUP(E250,Outlist!$AK$4:$BH$139,13,FALSE),"")</f>
        <v/>
      </c>
      <c r="R250" s="23"/>
      <c r="S250" s="25" t="str">
        <f>IFERROR(IF(VLOOKUP(E250,Outlist!$A$5:$AC$120,7,FALSE)="X","SUBCO",""),"")</f>
        <v/>
      </c>
      <c r="T250" s="25"/>
      <c r="U250" s="23"/>
      <c r="V250" s="23"/>
      <c r="W250" s="26"/>
      <c r="X250" s="27"/>
      <c r="Y250" s="25" t="str">
        <f>IF(OR(Out_Table[[#This Row],[DOC Del. hr. (RTH)]]&lt;&gt;"",Outlist!S151),"XXX","")</f>
        <v/>
      </c>
      <c r="Z250" s="25"/>
      <c r="AA250" s="25"/>
      <c r="AB250" s="57"/>
      <c r="AC250" s="25"/>
      <c r="AD250" s="25"/>
      <c r="AE250" s="57"/>
      <c r="AF250" s="57"/>
      <c r="AG250" s="25"/>
      <c r="AH250" s="57"/>
      <c r="AI250" s="339"/>
      <c r="AJ250" s="339"/>
      <c r="AK250" s="297" t="str">
        <f>IF(X250&lt;&gt;"",CONCATENATE(IF(AA250&lt;&gt;"",CONCATENATE(Z250," ",AA250," ",BI250),""),IF(AD250&lt;&gt;"",CONCATENATE(","," ",AC250," ",AD250," ",BJ250),""),IF(AG250&lt;&gt;"",CONCATENATE(","," ",AF250," ",AG250," ",BK250),""),IF(AJ250&lt;&gt;"",CONCATENATE(","," ","DD"," ",BL250),"")," ",IF(AI250&lt;&gt;"",CONCATENATE(" - ",AI250," Bag"),"")),"")</f>
        <v/>
      </c>
      <c r="AL250" s="287"/>
      <c r="AM250" s="287"/>
      <c r="AN250" s="287"/>
      <c r="AO250" s="287"/>
      <c r="AP250" s="370" t="str">
        <f>IFERROR(VLOOKUP($E250,Outlist!$A$5:$V$120,20,FALSE),"")</f>
        <v/>
      </c>
      <c r="AQ250" s="288" t="str">
        <f>IFERROR(IF(VLOOKUP($A250,#REF!,8,FALSE)&lt;&gt;"",VLOOKUP($A250,#REF!,8,FALSE),""),"")</f>
        <v/>
      </c>
      <c r="AS250" s="24"/>
      <c r="AT250" s="24"/>
      <c r="AU250" s="27"/>
      <c r="AV250" s="27"/>
      <c r="AX250" s="20" t="str">
        <f>IFERROR(IF(Out_Table[[#This Row],[Cancellazione linea]]="Cancellata","yes",""),"")</f>
        <v/>
      </c>
      <c r="AY250" s="72" t="str">
        <f>IF(BA250="",BZ250,IF(AND(BA250&lt;(--"23:59:59"),BA250&gt;(--"15:00:00"),G250&lt;(--"14:00:00"),G250&gt;(--"00:00:01")),"",IF(BA250&gt;G250,BZ250,"")))</f>
        <v/>
      </c>
      <c r="AZ250" s="27"/>
      <c r="BA250" s="32"/>
      <c r="BB250" s="72"/>
      <c r="BC250" s="72" t="str">
        <f>IFERROR(VLOOKUP(Out_Table[[#This Row],[Aggiornamento STATUS]],'INformazioni per calcoli'!$Y$70:$AA$76,2,FALSE),"")</f>
        <v/>
      </c>
      <c r="BD250" s="289"/>
      <c r="BE250" s="289"/>
      <c r="BF250" s="47" t="str">
        <f>LEFT($E250,3)</f>
        <v/>
      </c>
      <c r="BG250" s="298" t="str">
        <f>IF(Out_Table[[#This Row],[Ora Uscita    (GH)]]&lt;&gt;"","x","")</f>
        <v/>
      </c>
      <c r="BH250" s="299" t="e">
        <f>VLOOKUP($O250,'INformazioni per calcoli'!$Y$20:$AA$23,3,FALSE)</f>
        <v>#N/A</v>
      </c>
      <c r="BI250" s="299" t="e">
        <f>MROUND(Out_Table[[#This Row],[Mtr. Trailer]]*AB250,0.5)</f>
        <v>#N/A</v>
      </c>
      <c r="BJ250" s="299" t="e">
        <f>MROUND(Out_Table[[#This Row],[Mtr. Trailer]]*AE250,0.5)</f>
        <v>#N/A</v>
      </c>
      <c r="BK250" s="299" t="e">
        <f>MROUND(Out_Table[[#This Row],[Mtr. Trailer]]*AH250,0.5)</f>
        <v>#N/A</v>
      </c>
      <c r="BL250" s="300">
        <f>Out_Table[[#This Row],[Double Deck trailer N° bumpers]]</f>
        <v>0</v>
      </c>
      <c r="BM250" s="301"/>
      <c r="BN250" s="299" t="str">
        <f>B250</f>
        <v/>
      </c>
      <c r="BO250" s="299" t="str">
        <f>E250</f>
        <v/>
      </c>
      <c r="BP250" s="302" t="e">
        <f>IF(AND(G250&gt;(--"00:00:01"),G250&lt;(--"15:00:00")),IF(AND(X250&gt;(--"00:00:01"),X250&lt;(--"15:00:00")),G250-X250,G250+1-X250),G250-X250)</f>
        <v>#VALUE!</v>
      </c>
      <c r="BQ250" s="303">
        <f>AE250+AF250+AH250+AJ250</f>
        <v>0</v>
      </c>
      <c r="BR250" s="304" t="e">
        <f>IF(OR(BP250&lt;=(--"00:20:00"),BQ250&gt;=100%),"OK","Not OK")</f>
        <v>#VALUE!</v>
      </c>
      <c r="BS250" s="302" t="e">
        <f>IF(AND(G250&gt;(--"00:00:01"),G250&lt;(--"15:00:00")),IF(AND(AU250&gt;(--"00:00:01"),AU250&lt;(--"15:00:00")),G250-AU250,G250+1-AU250),G250-AU250)</f>
        <v>#VALUE!</v>
      </c>
      <c r="BT250" s="302">
        <f>IF(AND(AZ250&gt;(--"00:00:01"),AZ250&lt;(--"15:00:00")),IF(AND(AU250&gt;(--"00:00:01"),AU250&lt;(--"15:00:00")),AZ250-AU250,AZ250+1-AU250),AZ250-AU250)</f>
        <v>0</v>
      </c>
      <c r="BU250" s="302">
        <f>IF(AND(BA250&gt;(--"00:00:01"),BA250&lt;(--"15:00:00")),IF(AND(AZ250&gt;(--"00:00:01"),AZ250&lt;(--"15:00:00")),BA250-AZ250,BA250+1-AZ250),BA250-AZ250)</f>
        <v>0</v>
      </c>
      <c r="BV250" s="299">
        <f>AV250</f>
        <v>0</v>
      </c>
      <c r="BW250" s="301"/>
      <c r="BX250" s="299" t="str">
        <f>IF(AV250="T Status",IF(AV250&lt;&gt;T250,"X",""),"")</f>
        <v/>
      </c>
      <c r="BY250" s="301"/>
      <c r="BZ250" s="299" t="str">
        <f>IF(X250&lt;&gt;"",IF(CC250="X","Driver Delay",IF(CA250="X","Paperwork Delay",IF(CB250="X","Late freight late sort",IF(CD250="X","Chiamare Control Room",IF(CE250="X","Chiamare Control Room",IF(CF250="X","Chiamare Control Room","")))))),"")</f>
        <v/>
      </c>
      <c r="CA250" s="302" t="e">
        <f>IF(K250="",IF(IF(AND(G250&gt;(--"00:00:01"),G250&lt;(--"15:00:00")),IF(AND(AT250&gt;(--"08:00:00"),AT250&lt;(--"23:59:59")),G250+1-AT250,G250-AT250),G250-AT250)&gt;(--"00:20:00"),"","X"),"")</f>
        <v>#VALUE!</v>
      </c>
      <c r="CB250" s="299" t="e">
        <f>IF(K250="",IF(BP250&gt;=(--"00:20:00"),"","X"),"")</f>
        <v>#VALUE!</v>
      </c>
      <c r="CC250" s="299" t="str">
        <f>IF(OR(AV250="Autista non presente",AV250="Dati driver non presenti"),"X","")</f>
        <v/>
      </c>
      <c r="CD250" s="299" t="e">
        <f>IF(K250="",IF(AND(CC250="",BS250&lt;(--"00:20:00")),"X",""),"")</f>
        <v>#VALUE!</v>
      </c>
      <c r="CE250" s="299" t="str">
        <f>IF(K250="",IF(BT250&gt;(--"00:15:00"),"X",""),IF(AZ250&lt;&gt;"",IF(G250-AZ250&gt;(--"00:30:00"),"X",""),""))</f>
        <v/>
      </c>
      <c r="CF250" s="299" t="e">
        <f>IF(AND(CA250="",CB250="",CC250="",CD250="",CE250=""),"X","")</f>
        <v>#VALUE!</v>
      </c>
      <c r="CG250" s="301"/>
      <c r="CH250" s="299" t="str">
        <f>IF(BT250&gt;(--"00:15:00"),"X","")</f>
        <v/>
      </c>
      <c r="CI250" s="302" t="str">
        <f>AY250</f>
        <v/>
      </c>
      <c r="CJ250" s="299" t="str">
        <f>IF(AND(CH250&lt;&gt;"",CI250&lt;&gt;"",LEFT(B250,3)="ITD"),AP250,"")</f>
        <v/>
      </c>
      <c r="CK250" s="305" t="str">
        <f>IF(CJ250&lt;&gt;"",BT250,"")</f>
        <v/>
      </c>
      <c r="CL250" s="301"/>
      <c r="CM250" s="305" t="str">
        <f>IFERROR(VLOOKUP(Q250,'Elenco Casse'!$D$4:$F$292,3,FALSE),"")</f>
        <v/>
      </c>
      <c r="CN250" s="301"/>
      <c r="CO250" s="305" t="str">
        <f>IFERROR(VLOOKUP(S250,'Elenco Casse'!$D$4:$F$292,3,FALSE),"")</f>
        <v/>
      </c>
      <c r="CP250" s="305" t="str">
        <f>IFERROR(IF(VLOOKUP($E250,Outlist!$A$5:$S$120,19,FALSE)&lt;&gt;0,"Y",""),"")</f>
        <v/>
      </c>
      <c r="CQ250" s="301"/>
      <c r="CR250" s="305" t="str">
        <f>CONCATENATE($B250,$E250,$G250)</f>
        <v/>
      </c>
      <c r="CS250" s="301"/>
      <c r="CT250" s="305" t="e">
        <f>VLOOKUP(Out_Table[[#This Row],[Destination             ORANGE (From Planning)]],Outlist!$A$5:$W$120,22,FALSE)</f>
        <v>#N/A</v>
      </c>
    </row>
    <row r="251" spans="1:98" s="20" customFormat="1" ht="15">
      <c r="A251" s="305" t="str">
        <f>$CR251</f>
        <v/>
      </c>
      <c r="B251" s="351" t="str">
        <f>IFERROR(VLOOKUP(E251,Outlist!$A$5:$AC$120,2,FALSE),"")</f>
        <v/>
      </c>
      <c r="C251" s="352" t="str">
        <f ca="1">IFERROR(IF(LEFT(B251,3)='STAT 77'!$X$2,_xlfn.XLOOKUP(B251,'STAT 77'!C:C,'STAT 77'!B:B),_xlfn.XLOOKUP(B251,'STAT 77'!B:B,'STAT 77'!C:C)),"NON TROVATO")</f>
        <v>NON TROVATO</v>
      </c>
      <c r="D251" s="4"/>
      <c r="E251" s="352" t="str">
        <f>IFERROR(IF(Outlist!$A113&lt;&gt;"",Outlist!$A113,""),"")</f>
        <v/>
      </c>
      <c r="F251" s="352" t="str">
        <f>IFERROR(VLOOKUP(E251,'Cambio O2P'!C:E,2,FALSE),"")</f>
        <v/>
      </c>
      <c r="G251" s="353" t="str">
        <f>IFERROR(VLOOKUP(E251,Outlist!$A$5:$AC$120,5,FALSE)-INT(VLOOKUP(E251,Outlist!$A$5:$AC$120,5,FALSE)),"")</f>
        <v/>
      </c>
      <c r="H251" s="294" t="str">
        <f ca="1">IFERROR(IF(AND('INformazioni per calcoli'!$AB$3&lt;(--"14:30"),'INformazioni per calcoli'!$AB$3&gt;(--"10:00")),"",IF($B251="","",IF($X251&lt;&gt;"","Mezzo Chiuso",IF($W251="","Non al Carico",IF($K251="Safe Parking","Safe Parking", IF(OR($BF251='INformazioni per calcoli'!$AF$8,$BF251='INformazioni per calcoli'!$AC$8,$BF251='INformazioni per calcoli'!$AD$8,$BF251='INformazioni per calcoli'!$AE$8,$BF251='INformazioni per calcoli'!$AG$8,$BF251='INformazioni per calcoli'!$AH$8,$BF251='INformazioni per calcoli'!$AI$8,$BF251='INformazioni per calcoli'!$AJ$8),IF($G251-'INformazioni per calcoli'!$AB$6-'INformazioni per calcoli'!$AB$3+$J251&lt;0,"LFLS",$G251-'INformazioni per calcoli'!$AB$6-'INformazioni per calcoli'!$AB$3+$J251), IF(OR($BF251='INformazioni per calcoli'!$AF$6,$BF251='INformazioni per calcoli'!$AD$6,$BF251='INformazioni per calcoli'!$AE$6,$BF251='INformazioni per calcoli'!$AG$6),IF($G251-'INformazioni per calcoli'!$AB$8-'INformazioni per calcoli'!$AB$3+$J251&lt;0,"LFLS",$G251-'INformazioni per calcoli'!$AB$8-'INformazioni per calcoli'!$AB$3+$J251), IF($G251-'INformazioni per calcoli'!$AB$7-'INformazioni per calcoli'!$AB$3+$J251&lt;0,"LFLS",$G251-'INformazioni per calcoli'!$AB$7-'INformazioni per calcoli'!$AB$3+$J251)))))))),"")</f>
        <v/>
      </c>
      <c r="I251" s="17" t="str">
        <f ca="1">IFERROR(IF($H251&lt;&gt;"",IF($H251="Safe Parking","",IF($W251&lt;&gt;"",IF(AND($U251="X",$V251="X"),$H251-(--"00:30"),""),IF($X251&lt;&gt;"","Mezzo Chiuso","Non al carico"))),""),"")</f>
        <v/>
      </c>
      <c r="J251" s="354" t="str">
        <f>IFERROR(IF($G251="","",IF(INT(VLOOKUP($E251,Outlist!$A$5:$E$120,5,FALSE))&gt;'INformazioni per calcoli'!$AB$2,INT(VLOOKUP($E251,Outlist!$A$5:$E$120,5,FALSE))-INT('INformazioni per calcoli'!$AB$2),0)),"")</f>
        <v/>
      </c>
      <c r="K251" s="27" t="str">
        <f>IF(E251&lt;&gt;"",IFERROR(VLOOKUP(E251,Outlist!$A$5:$AC$120,22,FALSE),""),"")</f>
        <v/>
      </c>
      <c r="L251" s="352" t="str">
        <f>IF(E251&lt;&gt;"",IFERROR(VLOOKUP(E251,Outlist!$A$5:$AC$120,3,FALSE),""),"")</f>
        <v/>
      </c>
      <c r="M251" s="4" t="str">
        <f>IFERROR(_xlfn.XLOOKUP($Q251,'Elenco Casse'!$D:$D,'Elenco Casse'!$E:$E),"")</f>
        <v/>
      </c>
      <c r="N251" s="4" t="str">
        <f>IFERROR(_xlfn.XLOOKUP($Q251,'Elenco Casse'!$D:$D,'Elenco Casse'!$F:$F),"")</f>
        <v/>
      </c>
      <c r="O251" s="4" t="str">
        <f>IF($L251&lt;&gt;"","TT-2/3","")</f>
        <v/>
      </c>
      <c r="P251" s="296" t="str">
        <f>IFERROR(IF(VLOOKUP(E251,Outlist!$A$5:$AC$120,21,FALSE)="YES","Linea Variata",""),"")</f>
        <v/>
      </c>
      <c r="Q251" s="355" t="str">
        <f>IFERROR(VLOOKUP(E251,Outlist!$AK$4:$BH$139,13,FALSE),"")</f>
        <v/>
      </c>
      <c r="R251" s="23"/>
      <c r="S251" s="25" t="str">
        <f>IFERROR(IF(VLOOKUP(E251,Outlist!$A$5:$AC$120,7,FALSE)="X","SUBCO",""),"")</f>
        <v/>
      </c>
      <c r="T251" s="25"/>
      <c r="U251" s="23"/>
      <c r="V251" s="23"/>
      <c r="W251" s="26"/>
      <c r="X251" s="27"/>
      <c r="Y251" s="25" t="str">
        <f>IF(OR(Out_Table[[#This Row],[DOC Del. hr. (RTH)]]&lt;&gt;"",Outlist!S152),"XXX","")</f>
        <v/>
      </c>
      <c r="Z251" s="25"/>
      <c r="AA251" s="25"/>
      <c r="AB251" s="57"/>
      <c r="AC251" s="25"/>
      <c r="AD251" s="25"/>
      <c r="AE251" s="57"/>
      <c r="AF251" s="57"/>
      <c r="AG251" s="25"/>
      <c r="AH251" s="57"/>
      <c r="AI251" s="339"/>
      <c r="AJ251" s="339"/>
      <c r="AK251" s="297" t="str">
        <f>IF(X251&lt;&gt;"",CONCATENATE(IF(AA251&lt;&gt;"",CONCATENATE(Z251," ",AA251," ",BI251),""),IF(AD251&lt;&gt;"",CONCATENATE(","," ",AC251," ",AD251," ",BJ251),""),IF(AG251&lt;&gt;"",CONCATENATE(","," ",AF251," ",AG251," ",BK251),""),IF(AJ251&lt;&gt;"",CONCATENATE(","," ","DD"," ",BL251),"")," ",IF(AI251&lt;&gt;"",CONCATENATE(" - ",AI251," Bag"),"")),"")</f>
        <v/>
      </c>
      <c r="AL251" s="287"/>
      <c r="AM251" s="287"/>
      <c r="AN251" s="287"/>
      <c r="AO251" s="287"/>
      <c r="AP251" s="370" t="str">
        <f>IFERROR(VLOOKUP($E251,Outlist!$A$5:$V$120,20,FALSE),"")</f>
        <v/>
      </c>
      <c r="AQ251" s="288" t="str">
        <f>IFERROR(IF(VLOOKUP($A251,#REF!,8,FALSE)&lt;&gt;"",VLOOKUP($A251,#REF!,8,FALSE),""),"")</f>
        <v/>
      </c>
      <c r="AS251" s="24"/>
      <c r="AT251" s="24"/>
      <c r="AU251" s="27"/>
      <c r="AV251" s="27"/>
      <c r="AX251" s="20" t="str">
        <f>IFERROR(IF(Out_Table[[#This Row],[Cancellazione linea]]="Cancellata","yes",""),"")</f>
        <v/>
      </c>
      <c r="AY251" s="72" t="str">
        <f>IF(BA251="",BZ251,IF(AND(BA251&lt;(--"23:59:59"),BA251&gt;(--"15:00:00"),G251&lt;(--"14:00:00"),G251&gt;(--"00:00:01")),"",IF(BA251&gt;G251,BZ251,"")))</f>
        <v/>
      </c>
      <c r="AZ251" s="27"/>
      <c r="BA251" s="32"/>
      <c r="BB251" s="72"/>
      <c r="BC251" s="72" t="str">
        <f>IFERROR(VLOOKUP(Out_Table[[#This Row],[Aggiornamento STATUS]],'INformazioni per calcoli'!$Y$70:$AA$76,2,FALSE),"")</f>
        <v/>
      </c>
      <c r="BD251" s="289"/>
      <c r="BE251" s="289"/>
      <c r="BF251" s="47" t="str">
        <f>LEFT($E251,3)</f>
        <v/>
      </c>
      <c r="BG251" s="298" t="str">
        <f>IF(Out_Table[[#This Row],[Ora Uscita    (GH)]]&lt;&gt;"","x","")</f>
        <v/>
      </c>
      <c r="BH251" s="299" t="e">
        <f>VLOOKUP($O251,'INformazioni per calcoli'!$Y$20:$AA$23,3,FALSE)</f>
        <v>#N/A</v>
      </c>
      <c r="BI251" s="299" t="e">
        <f>MROUND(Out_Table[[#This Row],[Mtr. Trailer]]*AB251,0.5)</f>
        <v>#N/A</v>
      </c>
      <c r="BJ251" s="299" t="e">
        <f>MROUND(Out_Table[[#This Row],[Mtr. Trailer]]*AE251,0.5)</f>
        <v>#N/A</v>
      </c>
      <c r="BK251" s="299" t="e">
        <f>MROUND(Out_Table[[#This Row],[Mtr. Trailer]]*AH251,0.5)</f>
        <v>#N/A</v>
      </c>
      <c r="BL251" s="300">
        <f>Out_Table[[#This Row],[Double Deck trailer N° bumpers]]</f>
        <v>0</v>
      </c>
      <c r="BM251" s="301"/>
      <c r="BN251" s="299" t="str">
        <f>B251</f>
        <v/>
      </c>
      <c r="BO251" s="299" t="str">
        <f>E251</f>
        <v/>
      </c>
      <c r="BP251" s="302" t="e">
        <f>IF(AND(G251&gt;(--"00:00:01"),G251&lt;(--"15:00:00")),IF(AND(X251&gt;(--"00:00:01"),X251&lt;(--"15:00:00")),G251-X251,G251+1-X251),G251-X251)</f>
        <v>#VALUE!</v>
      </c>
      <c r="BQ251" s="303">
        <f>AE251+AF251+AH251+AJ251</f>
        <v>0</v>
      </c>
      <c r="BR251" s="304" t="e">
        <f>IF(OR(BP251&lt;=(--"00:20:00"),BQ251&gt;=100%),"OK","Not OK")</f>
        <v>#VALUE!</v>
      </c>
      <c r="BS251" s="302" t="e">
        <f>IF(AND(G251&gt;(--"00:00:01"),G251&lt;(--"15:00:00")),IF(AND(AU251&gt;(--"00:00:01"),AU251&lt;(--"15:00:00")),G251-AU251,G251+1-AU251),G251-AU251)</f>
        <v>#VALUE!</v>
      </c>
      <c r="BT251" s="302">
        <f>IF(AND(AZ251&gt;(--"00:00:01"),AZ251&lt;(--"15:00:00")),IF(AND(AU251&gt;(--"00:00:01"),AU251&lt;(--"15:00:00")),AZ251-AU251,AZ251+1-AU251),AZ251-AU251)</f>
        <v>0</v>
      </c>
      <c r="BU251" s="302">
        <f>IF(AND(BA251&gt;(--"00:00:01"),BA251&lt;(--"15:00:00")),IF(AND(AZ251&gt;(--"00:00:01"),AZ251&lt;(--"15:00:00")),BA251-AZ251,BA251+1-AZ251),BA251-AZ251)</f>
        <v>0</v>
      </c>
      <c r="BV251" s="299">
        <f>AV251</f>
        <v>0</v>
      </c>
      <c r="BW251" s="301"/>
      <c r="BX251" s="299" t="str">
        <f>IF(AV251="T Status",IF(AV251&lt;&gt;T251,"X",""),"")</f>
        <v/>
      </c>
      <c r="BY251" s="301"/>
      <c r="BZ251" s="299" t="str">
        <f>IF(X251&lt;&gt;"",IF(CC251="X","Driver Delay",IF(CA251="X","Paperwork Delay",IF(CB251="X","Late freight late sort",IF(CD251="X","Chiamare Control Room",IF(CE251="X","Chiamare Control Room",IF(CF251="X","Chiamare Control Room","")))))),"")</f>
        <v/>
      </c>
      <c r="CA251" s="302" t="e">
        <f>IF(K251="",IF(IF(AND(G251&gt;(--"00:00:01"),G251&lt;(--"15:00:00")),IF(AND(AT251&gt;(--"08:00:00"),AT251&lt;(--"23:59:59")),G251+1-AT251,G251-AT251),G251-AT251)&gt;(--"00:20:00"),"","X"),"")</f>
        <v>#VALUE!</v>
      </c>
      <c r="CB251" s="299" t="e">
        <f>IF(K251="",IF(BP251&gt;=(--"00:20:00"),"","X"),"")</f>
        <v>#VALUE!</v>
      </c>
      <c r="CC251" s="299" t="str">
        <f>IF(OR(AV251="Autista non presente",AV251="Dati driver non presenti"),"X","")</f>
        <v/>
      </c>
      <c r="CD251" s="299" t="e">
        <f>IF(K251="",IF(AND(CC251="",BS251&lt;(--"00:20:00")),"X",""),"")</f>
        <v>#VALUE!</v>
      </c>
      <c r="CE251" s="299" t="str">
        <f>IF(K251="",IF(BT251&gt;(--"00:15:00"),"X",""),IF(AZ251&lt;&gt;"",IF(G251-AZ251&gt;(--"00:30:00"),"X",""),""))</f>
        <v/>
      </c>
      <c r="CF251" s="299" t="e">
        <f>IF(AND(CA251="",CB251="",CC251="",CD251="",CE251=""),"X","")</f>
        <v>#VALUE!</v>
      </c>
      <c r="CG251" s="301"/>
      <c r="CH251" s="299" t="str">
        <f>IF(BT251&gt;(--"00:15:00"),"X","")</f>
        <v/>
      </c>
      <c r="CI251" s="302" t="str">
        <f>AY251</f>
        <v/>
      </c>
      <c r="CJ251" s="299" t="str">
        <f>IF(AND(CH251&lt;&gt;"",CI251&lt;&gt;"",LEFT(B251,3)="ITD"),AP251,"")</f>
        <v/>
      </c>
      <c r="CK251" s="305" t="str">
        <f>IF(CJ251&lt;&gt;"",BT251,"")</f>
        <v/>
      </c>
      <c r="CL251" s="301"/>
      <c r="CM251" s="305" t="str">
        <f>IFERROR(VLOOKUP(Q251,'Elenco Casse'!$D$4:$F$292,3,FALSE),"")</f>
        <v/>
      </c>
      <c r="CN251" s="301"/>
      <c r="CO251" s="305" t="str">
        <f>IFERROR(VLOOKUP(S251,'Elenco Casse'!$D$4:$F$292,3,FALSE),"")</f>
        <v/>
      </c>
      <c r="CP251" s="305" t="str">
        <f>IFERROR(IF(VLOOKUP($E251,Outlist!$A$5:$S$120,19,FALSE)&lt;&gt;0,"Y",""),"")</f>
        <v/>
      </c>
      <c r="CQ251" s="301"/>
      <c r="CR251" s="305" t="str">
        <f>CONCATENATE($B251,$E251,$G251)</f>
        <v/>
      </c>
      <c r="CS251" s="301"/>
      <c r="CT251" s="305" t="e">
        <f>VLOOKUP(Out_Table[[#This Row],[Destination             ORANGE (From Planning)]],Outlist!$A$5:$W$120,22,FALSE)</f>
        <v>#N/A</v>
      </c>
    </row>
    <row r="252" spans="1:98" s="20" customFormat="1" ht="15">
      <c r="A252" s="305" t="str">
        <f>$CR252</f>
        <v/>
      </c>
      <c r="B252" s="351" t="str">
        <f>IFERROR(VLOOKUP(E252,Outlist!$A$5:$AC$120,2,FALSE),"")</f>
        <v/>
      </c>
      <c r="C252" s="352" t="str">
        <f ca="1">IFERROR(IF(LEFT(B252,3)='STAT 77'!$X$2,_xlfn.XLOOKUP(B252,'STAT 77'!C:C,'STAT 77'!B:B),_xlfn.XLOOKUP(B252,'STAT 77'!B:B,'STAT 77'!C:C)),"NON TROVATO")</f>
        <v>NON TROVATO</v>
      </c>
      <c r="D252" s="4"/>
      <c r="E252" s="352" t="str">
        <f>IFERROR(IF(Outlist!$A114&lt;&gt;"",Outlist!$A114,""),"")</f>
        <v/>
      </c>
      <c r="F252" s="352" t="str">
        <f>IFERROR(VLOOKUP(E252,'Cambio O2P'!C:E,2,FALSE),"")</f>
        <v/>
      </c>
      <c r="G252" s="353" t="str">
        <f>IFERROR(VLOOKUP(E252,Outlist!$A$5:$AC$120,5,FALSE)-INT(VLOOKUP(E252,Outlist!$A$5:$AC$120,5,FALSE)),"")</f>
        <v/>
      </c>
      <c r="H252" s="294" t="str">
        <f ca="1">IFERROR(IF(AND('INformazioni per calcoli'!$AB$3&lt;(--"14:30"),'INformazioni per calcoli'!$AB$3&gt;(--"10:00")),"",IF($B252="","",IF($X252&lt;&gt;"","Mezzo Chiuso",IF($W252="","Non al Carico",IF($K252="Safe Parking","Safe Parking", IF(OR($BF252='INformazioni per calcoli'!$AF$8,$BF252='INformazioni per calcoli'!$AC$8,$BF252='INformazioni per calcoli'!$AD$8,$BF252='INformazioni per calcoli'!$AE$8,$BF252='INformazioni per calcoli'!$AG$8,$BF252='INformazioni per calcoli'!$AH$8,$BF252='INformazioni per calcoli'!$AI$8,$BF252='INformazioni per calcoli'!$AJ$8),IF($G252-'INformazioni per calcoli'!$AB$6-'INformazioni per calcoli'!$AB$3+$J252&lt;0,"LFLS",$G252-'INformazioni per calcoli'!$AB$6-'INformazioni per calcoli'!$AB$3+$J252), IF(OR($BF252='INformazioni per calcoli'!$AF$6,$BF252='INformazioni per calcoli'!$AD$6,$BF252='INformazioni per calcoli'!$AE$6,$BF252='INformazioni per calcoli'!$AG$6),IF($G252-'INformazioni per calcoli'!$AB$8-'INformazioni per calcoli'!$AB$3+$J252&lt;0,"LFLS",$G252-'INformazioni per calcoli'!$AB$8-'INformazioni per calcoli'!$AB$3+$J252), IF($G252-'INformazioni per calcoli'!$AB$7-'INformazioni per calcoli'!$AB$3+$J252&lt;0,"LFLS",$G252-'INformazioni per calcoli'!$AB$7-'INformazioni per calcoli'!$AB$3+$J252)))))))),"")</f>
        <v/>
      </c>
      <c r="I252" s="17" t="str">
        <f ca="1">IFERROR(IF($H252&lt;&gt;"",IF($H252="Safe Parking","",IF($W252&lt;&gt;"",IF(AND($U252="X",$V252="X"),$H252-(--"00:30"),""),IF($X252&lt;&gt;"","Mezzo Chiuso","Non al carico"))),""),"")</f>
        <v/>
      </c>
      <c r="J252" s="354" t="str">
        <f>IFERROR(IF($G252="","",IF(INT(VLOOKUP($E252,Outlist!$A$5:$E$120,5,FALSE))&gt;'INformazioni per calcoli'!$AB$2,INT(VLOOKUP($E252,Outlist!$A$5:$E$120,5,FALSE))-INT('INformazioni per calcoli'!$AB$2),0)),"")</f>
        <v/>
      </c>
      <c r="K252" s="27" t="str">
        <f>IF(E252&lt;&gt;"",IFERROR(VLOOKUP(E252,Outlist!$A$5:$AC$120,22,FALSE),""),"")</f>
        <v/>
      </c>
      <c r="L252" s="352" t="str">
        <f>IF(E252&lt;&gt;"",IFERROR(VLOOKUP(E252,Outlist!$A$5:$AC$120,3,FALSE),""),"")</f>
        <v/>
      </c>
      <c r="M252" s="4" t="str">
        <f>IFERROR(_xlfn.XLOOKUP($Q252,'Elenco Casse'!$D:$D,'Elenco Casse'!$E:$E),"")</f>
        <v/>
      </c>
      <c r="N252" s="4" t="str">
        <f>IFERROR(_xlfn.XLOOKUP($Q252,'Elenco Casse'!$D:$D,'Elenco Casse'!$F:$F),"")</f>
        <v/>
      </c>
      <c r="O252" s="4" t="str">
        <f>IF($L252&lt;&gt;"","TT-2/3","")</f>
        <v/>
      </c>
      <c r="P252" s="296" t="str">
        <f>IFERROR(IF(VLOOKUP(E252,Outlist!$A$5:$AC$120,21,FALSE)="YES","Linea Variata",""),"")</f>
        <v/>
      </c>
      <c r="Q252" s="355" t="str">
        <f>IFERROR(VLOOKUP(E252,Outlist!$AK$4:$BH$139,13,FALSE),"")</f>
        <v/>
      </c>
      <c r="R252" s="23"/>
      <c r="S252" s="25" t="str">
        <f>IFERROR(IF(VLOOKUP(E252,Outlist!$A$5:$AC$120,7,FALSE)="X","SUBCO",""),"")</f>
        <v/>
      </c>
      <c r="T252" s="25"/>
      <c r="U252" s="23"/>
      <c r="V252" s="23"/>
      <c r="W252" s="26"/>
      <c r="X252" s="27"/>
      <c r="Y252" s="25" t="str">
        <f>IF(OR(Out_Table[[#This Row],[DOC Del. hr. (RTH)]]&lt;&gt;"",Outlist!S153),"XXX","")</f>
        <v/>
      </c>
      <c r="Z252" s="25"/>
      <c r="AA252" s="25"/>
      <c r="AB252" s="57"/>
      <c r="AC252" s="25"/>
      <c r="AD252" s="25"/>
      <c r="AE252" s="57"/>
      <c r="AF252" s="57"/>
      <c r="AG252" s="25"/>
      <c r="AH252" s="57"/>
      <c r="AI252" s="339"/>
      <c r="AJ252" s="339"/>
      <c r="AK252" s="297" t="str">
        <f>IF(X252&lt;&gt;"",CONCATENATE(IF(AA252&lt;&gt;"",CONCATENATE(Z252," ",AA252," ",BI252),""),IF(AD252&lt;&gt;"",CONCATENATE(","," ",AC252," ",AD252," ",BJ252),""),IF(AG252&lt;&gt;"",CONCATENATE(","," ",AF252," ",AG252," ",BK252),""),IF(AJ252&lt;&gt;"",CONCATENATE(","," ","DD"," ",BL252),"")," ",IF(AI252&lt;&gt;"",CONCATENATE(" - ",AI252," Bag"),"")),"")</f>
        <v/>
      </c>
      <c r="AL252" s="287"/>
      <c r="AM252" s="287"/>
      <c r="AN252" s="287"/>
      <c r="AO252" s="287"/>
      <c r="AP252" s="370" t="str">
        <f>IFERROR(VLOOKUP($E252,Outlist!$A$5:$V$120,20,FALSE),"")</f>
        <v/>
      </c>
      <c r="AQ252" s="288" t="str">
        <f>IFERROR(IF(VLOOKUP($A252,#REF!,8,FALSE)&lt;&gt;"",VLOOKUP($A252,#REF!,8,FALSE),""),"")</f>
        <v/>
      </c>
      <c r="AS252" s="24"/>
      <c r="AT252" s="24"/>
      <c r="AU252" s="27"/>
      <c r="AV252" s="27"/>
      <c r="AX252" s="20" t="str">
        <f>IFERROR(IF(Out_Table[[#This Row],[Cancellazione linea]]="Cancellata","yes",""),"")</f>
        <v/>
      </c>
      <c r="AY252" s="72" t="str">
        <f>IF(BA252="",BZ252,IF(AND(BA252&lt;(--"23:59:59"),BA252&gt;(--"15:00:00"),G252&lt;(--"14:00:00"),G252&gt;(--"00:00:01")),"",IF(BA252&gt;G252,BZ252,"")))</f>
        <v/>
      </c>
      <c r="AZ252" s="27"/>
      <c r="BA252" s="32"/>
      <c r="BB252" s="72"/>
      <c r="BC252" s="72" t="str">
        <f>IFERROR(VLOOKUP(Out_Table[[#This Row],[Aggiornamento STATUS]],'INformazioni per calcoli'!$Y$70:$AA$76,2,FALSE),"")</f>
        <v/>
      </c>
      <c r="BD252" s="289"/>
      <c r="BE252" s="289"/>
      <c r="BF252" s="47" t="str">
        <f>LEFT($E252,3)</f>
        <v/>
      </c>
      <c r="BG252" s="298" t="str">
        <f>IF(Out_Table[[#This Row],[Ora Uscita    (GH)]]&lt;&gt;"","x","")</f>
        <v/>
      </c>
      <c r="BH252" s="299" t="e">
        <f>VLOOKUP($O252,'INformazioni per calcoli'!$Y$20:$AA$23,3,FALSE)</f>
        <v>#N/A</v>
      </c>
      <c r="BI252" s="299" t="e">
        <f>MROUND(Out_Table[[#This Row],[Mtr. Trailer]]*AB252,0.5)</f>
        <v>#N/A</v>
      </c>
      <c r="BJ252" s="299" t="e">
        <f>MROUND(Out_Table[[#This Row],[Mtr. Trailer]]*AE252,0.5)</f>
        <v>#N/A</v>
      </c>
      <c r="BK252" s="299" t="e">
        <f>MROUND(Out_Table[[#This Row],[Mtr. Trailer]]*AH252,0.5)</f>
        <v>#N/A</v>
      </c>
      <c r="BL252" s="300">
        <f>Out_Table[[#This Row],[Double Deck trailer N° bumpers]]</f>
        <v>0</v>
      </c>
      <c r="BM252" s="301"/>
      <c r="BN252" s="299" t="str">
        <f>B252</f>
        <v/>
      </c>
      <c r="BO252" s="299" t="str">
        <f>E252</f>
        <v/>
      </c>
      <c r="BP252" s="302" t="e">
        <f>IF(AND(G252&gt;(--"00:00:01"),G252&lt;(--"15:00:00")),IF(AND(X252&gt;(--"00:00:01"),X252&lt;(--"15:00:00")),G252-X252,G252+1-X252),G252-X252)</f>
        <v>#VALUE!</v>
      </c>
      <c r="BQ252" s="303">
        <f>AE252+AF252+AH252+AJ252</f>
        <v>0</v>
      </c>
      <c r="BR252" s="304" t="e">
        <f>IF(OR(BP252&lt;=(--"00:20:00"),BQ252&gt;=100%),"OK","Not OK")</f>
        <v>#VALUE!</v>
      </c>
      <c r="BS252" s="302" t="e">
        <f>IF(AND(G252&gt;(--"00:00:01"),G252&lt;(--"15:00:00")),IF(AND(AU252&gt;(--"00:00:01"),AU252&lt;(--"15:00:00")),G252-AU252,G252+1-AU252),G252-AU252)</f>
        <v>#VALUE!</v>
      </c>
      <c r="BT252" s="302">
        <f>IF(AND(AZ252&gt;(--"00:00:01"),AZ252&lt;(--"15:00:00")),IF(AND(AU252&gt;(--"00:00:01"),AU252&lt;(--"15:00:00")),AZ252-AU252,AZ252+1-AU252),AZ252-AU252)</f>
        <v>0</v>
      </c>
      <c r="BU252" s="302">
        <f>IF(AND(BA252&gt;(--"00:00:01"),BA252&lt;(--"15:00:00")),IF(AND(AZ252&gt;(--"00:00:01"),AZ252&lt;(--"15:00:00")),BA252-AZ252,BA252+1-AZ252),BA252-AZ252)</f>
        <v>0</v>
      </c>
      <c r="BV252" s="299">
        <f>AV252</f>
        <v>0</v>
      </c>
      <c r="BW252" s="301"/>
      <c r="BX252" s="299" t="str">
        <f>IF(AV252="T Status",IF(AV252&lt;&gt;T252,"X",""),"")</f>
        <v/>
      </c>
      <c r="BY252" s="301"/>
      <c r="BZ252" s="299" t="str">
        <f>IF(X252&lt;&gt;"",IF(CC252="X","Driver Delay",IF(CA252="X","Paperwork Delay",IF(CB252="X","Late freight late sort",IF(CD252="X","Chiamare Control Room",IF(CE252="X","Chiamare Control Room",IF(CF252="X","Chiamare Control Room","")))))),"")</f>
        <v/>
      </c>
      <c r="CA252" s="302" t="e">
        <f>IF(K252="",IF(IF(AND(G252&gt;(--"00:00:01"),G252&lt;(--"15:00:00")),IF(AND(AT252&gt;(--"08:00:00"),AT252&lt;(--"23:59:59")),G252+1-AT252,G252-AT252),G252-AT252)&gt;(--"00:20:00"),"","X"),"")</f>
        <v>#VALUE!</v>
      </c>
      <c r="CB252" s="299" t="e">
        <f>IF(K252="",IF(BP252&gt;=(--"00:20:00"),"","X"),"")</f>
        <v>#VALUE!</v>
      </c>
      <c r="CC252" s="299" t="str">
        <f>IF(OR(AV252="Autista non presente",AV252="Dati driver non presenti"),"X","")</f>
        <v/>
      </c>
      <c r="CD252" s="299" t="e">
        <f>IF(K252="",IF(AND(CC252="",BS252&lt;(--"00:20:00")),"X",""),"")</f>
        <v>#VALUE!</v>
      </c>
      <c r="CE252" s="299" t="str">
        <f>IF(K252="",IF(BT252&gt;(--"00:15:00"),"X",""),IF(AZ252&lt;&gt;"",IF(G252-AZ252&gt;(--"00:30:00"),"X",""),""))</f>
        <v/>
      </c>
      <c r="CF252" s="299" t="e">
        <f>IF(AND(CA252="",CB252="",CC252="",CD252="",CE252=""),"X","")</f>
        <v>#VALUE!</v>
      </c>
      <c r="CG252" s="301"/>
      <c r="CH252" s="299" t="str">
        <f>IF(BT252&gt;(--"00:15:00"),"X","")</f>
        <v/>
      </c>
      <c r="CI252" s="302" t="str">
        <f>AY252</f>
        <v/>
      </c>
      <c r="CJ252" s="299" t="str">
        <f>IF(AND(CH252&lt;&gt;"",CI252&lt;&gt;"",LEFT(B252,3)="ITD"),AP252,"")</f>
        <v/>
      </c>
      <c r="CK252" s="305" t="str">
        <f>IF(CJ252&lt;&gt;"",BT252,"")</f>
        <v/>
      </c>
      <c r="CL252" s="301"/>
      <c r="CM252" s="305" t="str">
        <f>IFERROR(VLOOKUP(Q252,'Elenco Casse'!$D$4:$F$292,3,FALSE),"")</f>
        <v/>
      </c>
      <c r="CN252" s="301"/>
      <c r="CO252" s="305" t="str">
        <f>IFERROR(VLOOKUP(S252,'Elenco Casse'!$D$4:$F$292,3,FALSE),"")</f>
        <v/>
      </c>
      <c r="CP252" s="305" t="str">
        <f>IFERROR(IF(VLOOKUP($E252,Outlist!$A$5:$S$120,19,FALSE)&lt;&gt;0,"Y",""),"")</f>
        <v/>
      </c>
      <c r="CQ252" s="301"/>
      <c r="CR252" s="305" t="str">
        <f>CONCATENATE($B252,$E252,$G252)</f>
        <v/>
      </c>
      <c r="CS252" s="301"/>
      <c r="CT252" s="305" t="e">
        <f>VLOOKUP(Out_Table[[#This Row],[Destination             ORANGE (From Planning)]],Outlist!$A$5:$W$120,22,FALSE)</f>
        <v>#N/A</v>
      </c>
    </row>
    <row r="253" spans="1:98" s="20" customFormat="1" ht="15">
      <c r="A253" s="305" t="str">
        <f>$CR253</f>
        <v/>
      </c>
      <c r="B253" s="351" t="str">
        <f>IFERROR(VLOOKUP(E253,Outlist!$A$5:$AC$120,2,FALSE),"")</f>
        <v/>
      </c>
      <c r="C253" s="352" t="str">
        <f ca="1">IFERROR(IF(LEFT(B253,3)='STAT 77'!$X$2,_xlfn.XLOOKUP(B253,'STAT 77'!C:C,'STAT 77'!B:B),_xlfn.XLOOKUP(B253,'STAT 77'!B:B,'STAT 77'!C:C)),"NON TROVATO")</f>
        <v>NON TROVATO</v>
      </c>
      <c r="D253" s="4"/>
      <c r="E253" s="352" t="str">
        <f>IFERROR(IF(Outlist!$A115&lt;&gt;"",Outlist!$A115,""),"")</f>
        <v/>
      </c>
      <c r="F253" s="352" t="str">
        <f>IFERROR(VLOOKUP(E253,'Cambio O2P'!C:E,2,FALSE),"")</f>
        <v/>
      </c>
      <c r="G253" s="353" t="str">
        <f>IFERROR(VLOOKUP(E253,Outlist!$A$5:$AC$120,5,FALSE)-INT(VLOOKUP(E253,Outlist!$A$5:$AC$120,5,FALSE)),"")</f>
        <v/>
      </c>
      <c r="H253" s="294" t="str">
        <f ca="1">IFERROR(IF(AND('INformazioni per calcoli'!$AB$3&lt;(--"14:30"),'INformazioni per calcoli'!$AB$3&gt;(--"10:00")),"",IF($B253="","",IF($X253&lt;&gt;"","Mezzo Chiuso",IF($W253="","Non al Carico",IF($K253="Safe Parking","Safe Parking", IF(OR($BF253='INformazioni per calcoli'!$AF$8,$BF253='INformazioni per calcoli'!$AC$8,$BF253='INformazioni per calcoli'!$AD$8,$BF253='INformazioni per calcoli'!$AE$8,$BF253='INformazioni per calcoli'!$AG$8,$BF253='INformazioni per calcoli'!$AH$8,$BF253='INformazioni per calcoli'!$AI$8,$BF253='INformazioni per calcoli'!$AJ$8),IF($G253-'INformazioni per calcoli'!$AB$6-'INformazioni per calcoli'!$AB$3+$J253&lt;0,"LFLS",$G253-'INformazioni per calcoli'!$AB$6-'INformazioni per calcoli'!$AB$3+$J253), IF(OR($BF253='INformazioni per calcoli'!$AF$6,$BF253='INformazioni per calcoli'!$AD$6,$BF253='INformazioni per calcoli'!$AE$6,$BF253='INformazioni per calcoli'!$AG$6),IF($G253-'INformazioni per calcoli'!$AB$8-'INformazioni per calcoli'!$AB$3+$J253&lt;0,"LFLS",$G253-'INformazioni per calcoli'!$AB$8-'INformazioni per calcoli'!$AB$3+$J253), IF($G253-'INformazioni per calcoli'!$AB$7-'INformazioni per calcoli'!$AB$3+$J253&lt;0,"LFLS",$G253-'INformazioni per calcoli'!$AB$7-'INformazioni per calcoli'!$AB$3+$J253)))))))),"")</f>
        <v/>
      </c>
      <c r="I253" s="17" t="str">
        <f ca="1">IFERROR(IF($H253&lt;&gt;"",IF($H253="Safe Parking","",IF($W253&lt;&gt;"",IF(AND($U253="X",$V253="X"),$H253-(--"00:30"),""),IF($X253&lt;&gt;"","Mezzo Chiuso","Non al carico"))),""),"")</f>
        <v/>
      </c>
      <c r="J253" s="354" t="str">
        <f>IFERROR(IF($G253="","",IF(INT(VLOOKUP($E253,Outlist!$A$5:$E$120,5,FALSE))&gt;'INformazioni per calcoli'!$AB$2,INT(VLOOKUP($E253,Outlist!$A$5:$E$120,5,FALSE))-INT('INformazioni per calcoli'!$AB$2),0)),"")</f>
        <v/>
      </c>
      <c r="K253" s="27" t="str">
        <f>IF(E253&lt;&gt;"",IFERROR(VLOOKUP(E253,Outlist!$A$5:$AC$120,22,FALSE),""),"")</f>
        <v/>
      </c>
      <c r="L253" s="352" t="str">
        <f>IF(E253&lt;&gt;"",IFERROR(VLOOKUP(E253,Outlist!$A$5:$AC$120,3,FALSE),""),"")</f>
        <v/>
      </c>
      <c r="M253" s="4" t="str">
        <f>IFERROR(_xlfn.XLOOKUP($Q253,'Elenco Casse'!$D:$D,'Elenco Casse'!$E:$E),"")</f>
        <v/>
      </c>
      <c r="N253" s="4" t="str">
        <f>IFERROR(_xlfn.XLOOKUP($Q253,'Elenco Casse'!$D:$D,'Elenco Casse'!$F:$F),"")</f>
        <v/>
      </c>
      <c r="O253" s="4" t="str">
        <f>IF($L253&lt;&gt;"","TT-2/3","")</f>
        <v/>
      </c>
      <c r="P253" s="296" t="str">
        <f>IFERROR(IF(VLOOKUP(E253,Outlist!$A$5:$AC$120,21,FALSE)="YES","Linea Variata",""),"")</f>
        <v/>
      </c>
      <c r="Q253" s="355" t="str">
        <f>IFERROR(VLOOKUP(E253,Outlist!$AK$4:$BH$139,13,FALSE),"")</f>
        <v/>
      </c>
      <c r="R253" s="23"/>
      <c r="S253" s="25" t="str">
        <f>IFERROR(IF(VLOOKUP(E253,Outlist!$A$5:$AC$120,7,FALSE)="X","SUBCO",""),"")</f>
        <v/>
      </c>
      <c r="T253" s="25"/>
      <c r="U253" s="23"/>
      <c r="V253" s="23"/>
      <c r="W253" s="26"/>
      <c r="X253" s="27"/>
      <c r="Y253" s="25" t="str">
        <f>IF(OR(Out_Table[[#This Row],[DOC Del. hr. (RTH)]]&lt;&gt;"",Outlist!S154),"XXX","")</f>
        <v/>
      </c>
      <c r="Z253" s="25"/>
      <c r="AA253" s="25"/>
      <c r="AB253" s="57"/>
      <c r="AC253" s="25"/>
      <c r="AD253" s="25"/>
      <c r="AE253" s="57"/>
      <c r="AF253" s="57"/>
      <c r="AG253" s="25"/>
      <c r="AH253" s="57"/>
      <c r="AI253" s="339"/>
      <c r="AJ253" s="339"/>
      <c r="AK253" s="297" t="str">
        <f>IF(X253&lt;&gt;"",CONCATENATE(IF(AA253&lt;&gt;"",CONCATENATE(Z253," ",AA253," ",BI253),""),IF(AD253&lt;&gt;"",CONCATENATE(","," ",AC253," ",AD253," ",BJ253),""),IF(AG253&lt;&gt;"",CONCATENATE(","," ",AF253," ",AG253," ",BK253),""),IF(AJ253&lt;&gt;"",CONCATENATE(","," ","DD"," ",BL253),"")," ",IF(AI253&lt;&gt;"",CONCATENATE(" - ",AI253," Bag"),"")),"")</f>
        <v/>
      </c>
      <c r="AL253" s="287"/>
      <c r="AM253" s="287"/>
      <c r="AN253" s="287"/>
      <c r="AO253" s="287"/>
      <c r="AP253" s="370" t="str">
        <f>IFERROR(VLOOKUP($E253,Outlist!$A$5:$V$120,20,FALSE),"")</f>
        <v/>
      </c>
      <c r="AQ253" s="288" t="str">
        <f>IFERROR(IF(VLOOKUP($A253,#REF!,8,FALSE)&lt;&gt;"",VLOOKUP($A253,#REF!,8,FALSE),""),"")</f>
        <v/>
      </c>
      <c r="AS253" s="24"/>
      <c r="AT253" s="24"/>
      <c r="AU253" s="27"/>
      <c r="AV253" s="27"/>
      <c r="AX253" s="20" t="str">
        <f>IFERROR(IF(Out_Table[[#This Row],[Cancellazione linea]]="Cancellata","yes",""),"")</f>
        <v/>
      </c>
      <c r="AY253" s="72" t="str">
        <f>IF(BA253="",BZ253,IF(AND(BA253&lt;(--"23:59:59"),BA253&gt;(--"15:00:00"),G253&lt;(--"14:00:00"),G253&gt;(--"00:00:01")),"",IF(BA253&gt;G253,BZ253,"")))</f>
        <v/>
      </c>
      <c r="AZ253" s="27"/>
      <c r="BA253" s="32"/>
      <c r="BB253" s="72"/>
      <c r="BC253" s="72" t="str">
        <f>IFERROR(VLOOKUP(Out_Table[[#This Row],[Aggiornamento STATUS]],'INformazioni per calcoli'!$Y$70:$AA$76,2,FALSE),"")</f>
        <v/>
      </c>
      <c r="BD253" s="289"/>
      <c r="BE253" s="289"/>
      <c r="BF253" s="47" t="str">
        <f>LEFT($E253,3)</f>
        <v/>
      </c>
      <c r="BG253" s="298" t="str">
        <f>IF(Out_Table[[#This Row],[Ora Uscita    (GH)]]&lt;&gt;"","x","")</f>
        <v/>
      </c>
      <c r="BH253" s="299" t="e">
        <f>VLOOKUP($O253,'INformazioni per calcoli'!$Y$20:$AA$23,3,FALSE)</f>
        <v>#N/A</v>
      </c>
      <c r="BI253" s="299" t="e">
        <f>MROUND(Out_Table[[#This Row],[Mtr. Trailer]]*AB253,0.5)</f>
        <v>#N/A</v>
      </c>
      <c r="BJ253" s="299" t="e">
        <f>MROUND(Out_Table[[#This Row],[Mtr. Trailer]]*AE253,0.5)</f>
        <v>#N/A</v>
      </c>
      <c r="BK253" s="299" t="e">
        <f>MROUND(Out_Table[[#This Row],[Mtr. Trailer]]*AH253,0.5)</f>
        <v>#N/A</v>
      </c>
      <c r="BL253" s="300">
        <f>Out_Table[[#This Row],[Double Deck trailer N° bumpers]]</f>
        <v>0</v>
      </c>
      <c r="BM253" s="301"/>
      <c r="BN253" s="299" t="str">
        <f>B253</f>
        <v/>
      </c>
      <c r="BO253" s="299" t="str">
        <f>E253</f>
        <v/>
      </c>
      <c r="BP253" s="302" t="e">
        <f>IF(AND(G253&gt;(--"00:00:01"),G253&lt;(--"15:00:00")),IF(AND(X253&gt;(--"00:00:01"),X253&lt;(--"15:00:00")),G253-X253,G253+1-X253),G253-X253)</f>
        <v>#VALUE!</v>
      </c>
      <c r="BQ253" s="303">
        <f>AE253+AF253+AH253+AJ253</f>
        <v>0</v>
      </c>
      <c r="BR253" s="304" t="e">
        <f>IF(OR(BP253&lt;=(--"00:20:00"),BQ253&gt;=100%),"OK","Not OK")</f>
        <v>#VALUE!</v>
      </c>
      <c r="BS253" s="302" t="e">
        <f>IF(AND(G253&gt;(--"00:00:01"),G253&lt;(--"15:00:00")),IF(AND(AU253&gt;(--"00:00:01"),AU253&lt;(--"15:00:00")),G253-AU253,G253+1-AU253),G253-AU253)</f>
        <v>#VALUE!</v>
      </c>
      <c r="BT253" s="302">
        <f>IF(AND(AZ253&gt;(--"00:00:01"),AZ253&lt;(--"15:00:00")),IF(AND(AU253&gt;(--"00:00:01"),AU253&lt;(--"15:00:00")),AZ253-AU253,AZ253+1-AU253),AZ253-AU253)</f>
        <v>0</v>
      </c>
      <c r="BU253" s="302">
        <f>IF(AND(BA253&gt;(--"00:00:01"),BA253&lt;(--"15:00:00")),IF(AND(AZ253&gt;(--"00:00:01"),AZ253&lt;(--"15:00:00")),BA253-AZ253,BA253+1-AZ253),BA253-AZ253)</f>
        <v>0</v>
      </c>
      <c r="BV253" s="299">
        <f>AV253</f>
        <v>0</v>
      </c>
      <c r="BW253" s="301"/>
      <c r="BX253" s="299" t="str">
        <f>IF(AV253="T Status",IF(AV253&lt;&gt;T253,"X",""),"")</f>
        <v/>
      </c>
      <c r="BY253" s="301"/>
      <c r="BZ253" s="299" t="str">
        <f>IF(X253&lt;&gt;"",IF(CC253="X","Driver Delay",IF(CA253="X","Paperwork Delay",IF(CB253="X","Late freight late sort",IF(CD253="X","Chiamare Control Room",IF(CE253="X","Chiamare Control Room",IF(CF253="X","Chiamare Control Room","")))))),"")</f>
        <v/>
      </c>
      <c r="CA253" s="302" t="e">
        <f>IF(K253="",IF(IF(AND(G253&gt;(--"00:00:01"),G253&lt;(--"15:00:00")),IF(AND(AT253&gt;(--"08:00:00"),AT253&lt;(--"23:59:59")),G253+1-AT253,G253-AT253),G253-AT253)&gt;(--"00:20:00"),"","X"),"")</f>
        <v>#VALUE!</v>
      </c>
      <c r="CB253" s="299" t="e">
        <f>IF(K253="",IF(BP253&gt;=(--"00:20:00"),"","X"),"")</f>
        <v>#VALUE!</v>
      </c>
      <c r="CC253" s="299" t="str">
        <f>IF(OR(AV253="Autista non presente",AV253="Dati driver non presenti"),"X","")</f>
        <v/>
      </c>
      <c r="CD253" s="299" t="e">
        <f>IF(K253="",IF(AND(CC253="",BS253&lt;(--"00:20:00")),"X",""),"")</f>
        <v>#VALUE!</v>
      </c>
      <c r="CE253" s="299" t="str">
        <f>IF(K253="",IF(BT253&gt;(--"00:15:00"),"X",""),IF(AZ253&lt;&gt;"",IF(G253-AZ253&gt;(--"00:30:00"),"X",""),""))</f>
        <v/>
      </c>
      <c r="CF253" s="299" t="e">
        <f>IF(AND(CA253="",CB253="",CC253="",CD253="",CE253=""),"X","")</f>
        <v>#VALUE!</v>
      </c>
      <c r="CG253" s="301"/>
      <c r="CH253" s="299" t="str">
        <f>IF(BT253&gt;(--"00:15:00"),"X","")</f>
        <v/>
      </c>
      <c r="CI253" s="302" t="str">
        <f>AY253</f>
        <v/>
      </c>
      <c r="CJ253" s="299" t="str">
        <f>IF(AND(CH253&lt;&gt;"",CI253&lt;&gt;"",LEFT(B253,3)="ITD"),AP253,"")</f>
        <v/>
      </c>
      <c r="CK253" s="305" t="str">
        <f>IF(CJ253&lt;&gt;"",BT253,"")</f>
        <v/>
      </c>
      <c r="CL253" s="301"/>
      <c r="CM253" s="305" t="str">
        <f>IFERROR(VLOOKUP(Q253,'Elenco Casse'!$D$4:$F$292,3,FALSE),"")</f>
        <v/>
      </c>
      <c r="CN253" s="301"/>
      <c r="CO253" s="305" t="str">
        <f>IFERROR(VLOOKUP(S253,'Elenco Casse'!$D$4:$F$292,3,FALSE),"")</f>
        <v/>
      </c>
      <c r="CP253" s="305" t="str">
        <f>IFERROR(IF(VLOOKUP($E253,Outlist!$A$5:$S$120,19,FALSE)&lt;&gt;0,"Y",""),"")</f>
        <v/>
      </c>
      <c r="CQ253" s="301"/>
      <c r="CR253" s="305" t="str">
        <f>CONCATENATE($B253,$E253,$G253)</f>
        <v/>
      </c>
      <c r="CS253" s="301"/>
      <c r="CT253" s="305" t="e">
        <f>VLOOKUP(Out_Table[[#This Row],[Destination             ORANGE (From Planning)]],Outlist!$A$5:$W$120,22,FALSE)</f>
        <v>#N/A</v>
      </c>
    </row>
    <row r="254" spans="1:98" s="20" customFormat="1" ht="15">
      <c r="A254" s="305" t="str">
        <f>$CR254</f>
        <v/>
      </c>
      <c r="B254" s="351" t="str">
        <f>IFERROR(VLOOKUP(E254,Outlist!$A$5:$AC$120,2,FALSE),"")</f>
        <v/>
      </c>
      <c r="C254" s="352" t="str">
        <f ca="1">IFERROR(IF(LEFT(B254,3)='STAT 77'!$X$2,_xlfn.XLOOKUP(B254,'STAT 77'!C:C,'STAT 77'!B:B),_xlfn.XLOOKUP(B254,'STAT 77'!B:B,'STAT 77'!C:C)),"NON TROVATO")</f>
        <v>NON TROVATO</v>
      </c>
      <c r="D254" s="4"/>
      <c r="E254" s="352" t="str">
        <f>IFERROR(IF(Outlist!$A116&lt;&gt;"",Outlist!$A116,""),"")</f>
        <v/>
      </c>
      <c r="F254" s="352" t="str">
        <f>IFERROR(VLOOKUP(E254,'Cambio O2P'!C:E,2,FALSE),"")</f>
        <v/>
      </c>
      <c r="G254" s="353" t="str">
        <f>IFERROR(VLOOKUP(E254,Outlist!$A$5:$AC$120,5,FALSE)-INT(VLOOKUP(E254,Outlist!$A$5:$AC$120,5,FALSE)),"")</f>
        <v/>
      </c>
      <c r="H254" s="294" t="str">
        <f ca="1">IFERROR(IF(AND('INformazioni per calcoli'!$AB$3&lt;(--"14:30"),'INformazioni per calcoli'!$AB$3&gt;(--"10:00")),"",IF($B254="","",IF($X254&lt;&gt;"","Mezzo Chiuso",IF($W254="","Non al Carico",IF($K254="Safe Parking","Safe Parking", IF(OR($BF254='INformazioni per calcoli'!$AF$8,$BF254='INformazioni per calcoli'!$AC$8,$BF254='INformazioni per calcoli'!$AD$8,$BF254='INformazioni per calcoli'!$AE$8,$BF254='INformazioni per calcoli'!$AG$8,$BF254='INformazioni per calcoli'!$AH$8,$BF254='INformazioni per calcoli'!$AI$8,$BF254='INformazioni per calcoli'!$AJ$8),IF($G254-'INformazioni per calcoli'!$AB$6-'INformazioni per calcoli'!$AB$3+$J254&lt;0,"LFLS",$G254-'INformazioni per calcoli'!$AB$6-'INformazioni per calcoli'!$AB$3+$J254), IF(OR($BF254='INformazioni per calcoli'!$AF$6,$BF254='INformazioni per calcoli'!$AD$6,$BF254='INformazioni per calcoli'!$AE$6,$BF254='INformazioni per calcoli'!$AG$6),IF($G254-'INformazioni per calcoli'!$AB$8-'INformazioni per calcoli'!$AB$3+$J254&lt;0,"LFLS",$G254-'INformazioni per calcoli'!$AB$8-'INformazioni per calcoli'!$AB$3+$J254), IF($G254-'INformazioni per calcoli'!$AB$7-'INformazioni per calcoli'!$AB$3+$J254&lt;0,"LFLS",$G254-'INformazioni per calcoli'!$AB$7-'INformazioni per calcoli'!$AB$3+$J254)))))))),"")</f>
        <v/>
      </c>
      <c r="I254" s="17" t="str">
        <f ca="1">IFERROR(IF($H254&lt;&gt;"",IF($H254="Safe Parking","",IF($W254&lt;&gt;"",IF(AND($U254="X",$V254="X"),$H254-(--"00:30"),""),IF($X254&lt;&gt;"","Mezzo Chiuso","Non al carico"))),""),"")</f>
        <v/>
      </c>
      <c r="J254" s="354" t="str">
        <f>IFERROR(IF($G254="","",IF(INT(VLOOKUP($E254,Outlist!$A$5:$E$120,5,FALSE))&gt;'INformazioni per calcoli'!$AB$2,INT(VLOOKUP($E254,Outlist!$A$5:$E$120,5,FALSE))-INT('INformazioni per calcoli'!$AB$2),0)),"")</f>
        <v/>
      </c>
      <c r="K254" s="27" t="str">
        <f>IF(E254&lt;&gt;"",IFERROR(VLOOKUP(E254,Outlist!$A$5:$AC$120,22,FALSE),""),"")</f>
        <v/>
      </c>
      <c r="L254" s="352" t="str">
        <f>IF(E254&lt;&gt;"",IFERROR(VLOOKUP(E254,Outlist!$A$5:$AC$120,3,FALSE),""),"")</f>
        <v/>
      </c>
      <c r="M254" s="4" t="str">
        <f>IFERROR(_xlfn.XLOOKUP($Q254,'Elenco Casse'!$D:$D,'Elenco Casse'!$E:$E),"")</f>
        <v/>
      </c>
      <c r="N254" s="4" t="str">
        <f>IFERROR(_xlfn.XLOOKUP($Q254,'Elenco Casse'!$D:$D,'Elenco Casse'!$F:$F),"")</f>
        <v/>
      </c>
      <c r="O254" s="4" t="str">
        <f>IF($L254&lt;&gt;"","TT-2/3","")</f>
        <v/>
      </c>
      <c r="P254" s="296" t="str">
        <f>IFERROR(IF(VLOOKUP(E254,Outlist!$A$5:$AC$120,21,FALSE)="YES","Linea Variata",""),"")</f>
        <v/>
      </c>
      <c r="Q254" s="355" t="str">
        <f>IFERROR(VLOOKUP(E254,Outlist!$AK$4:$BH$139,13,FALSE),"")</f>
        <v/>
      </c>
      <c r="R254" s="23"/>
      <c r="S254" s="25" t="str">
        <f>IFERROR(IF(VLOOKUP(E254,Outlist!$A$5:$AC$120,7,FALSE)="X","SUBCO",""),"")</f>
        <v/>
      </c>
      <c r="T254" s="25"/>
      <c r="U254" s="23"/>
      <c r="V254" s="23"/>
      <c r="W254" s="26"/>
      <c r="X254" s="27"/>
      <c r="Y254" s="25" t="str">
        <f>IF(OR(Out_Table[[#This Row],[DOC Del. hr. (RTH)]]&lt;&gt;"",Outlist!S155),"XXX","")</f>
        <v/>
      </c>
      <c r="Z254" s="25"/>
      <c r="AA254" s="25"/>
      <c r="AB254" s="57"/>
      <c r="AC254" s="25"/>
      <c r="AD254" s="25"/>
      <c r="AE254" s="57"/>
      <c r="AF254" s="57"/>
      <c r="AG254" s="25"/>
      <c r="AH254" s="57"/>
      <c r="AI254" s="339"/>
      <c r="AJ254" s="339"/>
      <c r="AK254" s="297" t="str">
        <f>IF(X254&lt;&gt;"",CONCATENATE(IF(AA254&lt;&gt;"",CONCATENATE(Z254," ",AA254," ",BI254),""),IF(AD254&lt;&gt;"",CONCATENATE(","," ",AC254," ",AD254," ",BJ254),""),IF(AG254&lt;&gt;"",CONCATENATE(","," ",AF254," ",AG254," ",BK254),""),IF(AJ254&lt;&gt;"",CONCATENATE(","," ","DD"," ",BL254),"")," ",IF(AI254&lt;&gt;"",CONCATENATE(" - ",AI254," Bag"),"")),"")</f>
        <v/>
      </c>
      <c r="AL254" s="287"/>
      <c r="AM254" s="287"/>
      <c r="AN254" s="287"/>
      <c r="AO254" s="287"/>
      <c r="AP254" s="370" t="str">
        <f>IFERROR(VLOOKUP($E254,Outlist!$A$5:$V$120,20,FALSE),"")</f>
        <v/>
      </c>
      <c r="AQ254" s="288" t="str">
        <f>IFERROR(IF(VLOOKUP($A254,#REF!,8,FALSE)&lt;&gt;"",VLOOKUP($A254,#REF!,8,FALSE),""),"")</f>
        <v/>
      </c>
      <c r="AS254" s="24"/>
      <c r="AT254" s="24"/>
      <c r="AU254" s="27"/>
      <c r="AV254" s="27"/>
      <c r="AX254" s="20" t="str">
        <f>IFERROR(IF(Out_Table[[#This Row],[Cancellazione linea]]="Cancellata","yes",""),"")</f>
        <v/>
      </c>
      <c r="AY254" s="72" t="str">
        <f>IF(BA254="",BZ254,IF(AND(BA254&lt;(--"23:59:59"),BA254&gt;(--"15:00:00"),G254&lt;(--"14:00:00"),G254&gt;(--"00:00:01")),"",IF(BA254&gt;G254,BZ254,"")))</f>
        <v/>
      </c>
      <c r="AZ254" s="27"/>
      <c r="BA254" s="32"/>
      <c r="BB254" s="72"/>
      <c r="BC254" s="72" t="str">
        <f>IFERROR(VLOOKUP(Out_Table[[#This Row],[Aggiornamento STATUS]],'INformazioni per calcoli'!$Y$70:$AA$76,2,FALSE),"")</f>
        <v/>
      </c>
      <c r="BD254" s="289"/>
      <c r="BE254" s="289"/>
      <c r="BF254" s="47" t="str">
        <f>LEFT($E254,3)</f>
        <v/>
      </c>
      <c r="BG254" s="298" t="str">
        <f>IF(Out_Table[[#This Row],[Ora Uscita    (GH)]]&lt;&gt;"","x","")</f>
        <v/>
      </c>
      <c r="BH254" s="299" t="e">
        <f>VLOOKUP($O254,'INformazioni per calcoli'!$Y$20:$AA$23,3,FALSE)</f>
        <v>#N/A</v>
      </c>
      <c r="BI254" s="299" t="e">
        <f>MROUND(Out_Table[[#This Row],[Mtr. Trailer]]*AB254,0.5)</f>
        <v>#N/A</v>
      </c>
      <c r="BJ254" s="299" t="e">
        <f>MROUND(Out_Table[[#This Row],[Mtr. Trailer]]*AE254,0.5)</f>
        <v>#N/A</v>
      </c>
      <c r="BK254" s="299" t="e">
        <f>MROUND(Out_Table[[#This Row],[Mtr. Trailer]]*AH254,0.5)</f>
        <v>#N/A</v>
      </c>
      <c r="BL254" s="300">
        <f>Out_Table[[#This Row],[Double Deck trailer N° bumpers]]</f>
        <v>0</v>
      </c>
      <c r="BM254" s="301"/>
      <c r="BN254" s="299" t="str">
        <f>B254</f>
        <v/>
      </c>
      <c r="BO254" s="299" t="str">
        <f>E254</f>
        <v/>
      </c>
      <c r="BP254" s="302" t="e">
        <f>IF(AND(G254&gt;(--"00:00:01"),G254&lt;(--"15:00:00")),IF(AND(X254&gt;(--"00:00:01"),X254&lt;(--"15:00:00")),G254-X254,G254+1-X254),G254-X254)</f>
        <v>#VALUE!</v>
      </c>
      <c r="BQ254" s="303">
        <f>AE254+AF254+AH254+AJ254</f>
        <v>0</v>
      </c>
      <c r="BR254" s="304" t="e">
        <f>IF(OR(BP254&lt;=(--"00:20:00"),BQ254&gt;=100%),"OK","Not OK")</f>
        <v>#VALUE!</v>
      </c>
      <c r="BS254" s="302" t="e">
        <f>IF(AND(G254&gt;(--"00:00:01"),G254&lt;(--"15:00:00")),IF(AND(AU254&gt;(--"00:00:01"),AU254&lt;(--"15:00:00")),G254-AU254,G254+1-AU254),G254-AU254)</f>
        <v>#VALUE!</v>
      </c>
      <c r="BT254" s="302">
        <f>IF(AND(AZ254&gt;(--"00:00:01"),AZ254&lt;(--"15:00:00")),IF(AND(AU254&gt;(--"00:00:01"),AU254&lt;(--"15:00:00")),AZ254-AU254,AZ254+1-AU254),AZ254-AU254)</f>
        <v>0</v>
      </c>
      <c r="BU254" s="302">
        <f>IF(AND(BA254&gt;(--"00:00:01"),BA254&lt;(--"15:00:00")),IF(AND(AZ254&gt;(--"00:00:01"),AZ254&lt;(--"15:00:00")),BA254-AZ254,BA254+1-AZ254),BA254-AZ254)</f>
        <v>0</v>
      </c>
      <c r="BV254" s="299">
        <f>AV254</f>
        <v>0</v>
      </c>
      <c r="BW254" s="301"/>
      <c r="BX254" s="299" t="str">
        <f>IF(AV254="T Status",IF(AV254&lt;&gt;T254,"X",""),"")</f>
        <v/>
      </c>
      <c r="BY254" s="301"/>
      <c r="BZ254" s="299" t="str">
        <f>IF(X254&lt;&gt;"",IF(CC254="X","Driver Delay",IF(CA254="X","Paperwork Delay",IF(CB254="X","Late freight late sort",IF(CD254="X","Chiamare Control Room",IF(CE254="X","Chiamare Control Room",IF(CF254="X","Chiamare Control Room","")))))),"")</f>
        <v/>
      </c>
      <c r="CA254" s="302" t="e">
        <f>IF(K254="",IF(IF(AND(G254&gt;(--"00:00:01"),G254&lt;(--"15:00:00")),IF(AND(AT254&gt;(--"08:00:00"),AT254&lt;(--"23:59:59")),G254+1-AT254,G254-AT254),G254-AT254)&gt;(--"00:20:00"),"","X"),"")</f>
        <v>#VALUE!</v>
      </c>
      <c r="CB254" s="299" t="e">
        <f>IF(K254="",IF(BP254&gt;=(--"00:20:00"),"","X"),"")</f>
        <v>#VALUE!</v>
      </c>
      <c r="CC254" s="299" t="str">
        <f>IF(OR(AV254="Autista non presente",AV254="Dati driver non presenti"),"X","")</f>
        <v/>
      </c>
      <c r="CD254" s="299" t="e">
        <f>IF(K254="",IF(AND(CC254="",BS254&lt;(--"00:20:00")),"X",""),"")</f>
        <v>#VALUE!</v>
      </c>
      <c r="CE254" s="299" t="str">
        <f>IF(K254="",IF(BT254&gt;(--"00:15:00"),"X",""),IF(AZ254&lt;&gt;"",IF(G254-AZ254&gt;(--"00:30:00"),"X",""),""))</f>
        <v/>
      </c>
      <c r="CF254" s="299" t="e">
        <f>IF(AND(CA254="",CB254="",CC254="",CD254="",CE254=""),"X","")</f>
        <v>#VALUE!</v>
      </c>
      <c r="CG254" s="301"/>
      <c r="CH254" s="299" t="str">
        <f>IF(BT254&gt;(--"00:15:00"),"X","")</f>
        <v/>
      </c>
      <c r="CI254" s="302" t="str">
        <f>AY254</f>
        <v/>
      </c>
      <c r="CJ254" s="299" t="str">
        <f>IF(AND(CH254&lt;&gt;"",CI254&lt;&gt;"",LEFT(B254,3)="ITD"),AP254,"")</f>
        <v/>
      </c>
      <c r="CK254" s="305" t="str">
        <f>IF(CJ254&lt;&gt;"",BT254,"")</f>
        <v/>
      </c>
      <c r="CL254" s="301"/>
      <c r="CM254" s="305" t="str">
        <f>IFERROR(VLOOKUP(Q254,'Elenco Casse'!$D$4:$F$292,3,FALSE),"")</f>
        <v/>
      </c>
      <c r="CN254" s="301"/>
      <c r="CO254" s="305" t="str">
        <f>IFERROR(VLOOKUP(S254,'Elenco Casse'!$D$4:$F$292,3,FALSE),"")</f>
        <v/>
      </c>
      <c r="CP254" s="305" t="str">
        <f>IFERROR(IF(VLOOKUP($E254,Outlist!$A$5:$S$120,19,FALSE)&lt;&gt;0,"Y",""),"")</f>
        <v/>
      </c>
      <c r="CQ254" s="301"/>
      <c r="CR254" s="305" t="str">
        <f>CONCATENATE($B254,$E254,$G254)</f>
        <v/>
      </c>
      <c r="CS254" s="301"/>
      <c r="CT254" s="305" t="e">
        <f>VLOOKUP(Out_Table[[#This Row],[Destination             ORANGE (From Planning)]],Outlist!$A$5:$W$120,22,FALSE)</f>
        <v>#N/A</v>
      </c>
    </row>
    <row r="255" spans="1:98" s="20" customFormat="1" ht="15">
      <c r="A255" s="305" t="str">
        <f>$CR255</f>
        <v/>
      </c>
      <c r="B255" s="351" t="str">
        <f>IFERROR(VLOOKUP(E255,Outlist!$A$5:$AC$120,2,FALSE),"")</f>
        <v/>
      </c>
      <c r="C255" s="352" t="str">
        <f ca="1">IFERROR(IF(LEFT(B255,3)='STAT 77'!$X$2,_xlfn.XLOOKUP(B255,'STAT 77'!C:C,'STAT 77'!B:B),_xlfn.XLOOKUP(B255,'STAT 77'!B:B,'STAT 77'!C:C)),"NON TROVATO")</f>
        <v>NON TROVATO</v>
      </c>
      <c r="D255" s="4"/>
      <c r="E255" s="352" t="str">
        <f>IFERROR(IF(Outlist!$A117&lt;&gt;"",Outlist!$A117,""),"")</f>
        <v/>
      </c>
      <c r="F255" s="352" t="str">
        <f>IFERROR(VLOOKUP(E255,'Cambio O2P'!C:E,2,FALSE),"")</f>
        <v/>
      </c>
      <c r="G255" s="353" t="str">
        <f>IFERROR(VLOOKUP(E255,Outlist!$A$5:$AC$120,5,FALSE)-INT(VLOOKUP(E255,Outlist!$A$5:$AC$120,5,FALSE)),"")</f>
        <v/>
      </c>
      <c r="H255" s="294" t="str">
        <f ca="1">IFERROR(IF(AND('INformazioni per calcoli'!$AB$3&lt;(--"14:30"),'INformazioni per calcoli'!$AB$3&gt;(--"10:00")),"",IF($B255="","",IF($X255&lt;&gt;"","Mezzo Chiuso",IF($W255="","Non al Carico",IF($K255="Safe Parking","Safe Parking", IF(OR($BF255='INformazioni per calcoli'!$AF$8,$BF255='INformazioni per calcoli'!$AC$8,$BF255='INformazioni per calcoli'!$AD$8,$BF255='INformazioni per calcoli'!$AE$8,$BF255='INformazioni per calcoli'!$AG$8,$BF255='INformazioni per calcoli'!$AH$8,$BF255='INformazioni per calcoli'!$AI$8,$BF255='INformazioni per calcoli'!$AJ$8),IF($G255-'INformazioni per calcoli'!$AB$6-'INformazioni per calcoli'!$AB$3+$J255&lt;0,"LFLS",$G255-'INformazioni per calcoli'!$AB$6-'INformazioni per calcoli'!$AB$3+$J255), IF(OR($BF255='INformazioni per calcoli'!$AF$6,$BF255='INformazioni per calcoli'!$AD$6,$BF255='INformazioni per calcoli'!$AE$6,$BF255='INformazioni per calcoli'!$AG$6),IF($G255-'INformazioni per calcoli'!$AB$8-'INformazioni per calcoli'!$AB$3+$J255&lt;0,"LFLS",$G255-'INformazioni per calcoli'!$AB$8-'INformazioni per calcoli'!$AB$3+$J255), IF($G255-'INformazioni per calcoli'!$AB$7-'INformazioni per calcoli'!$AB$3+$J255&lt;0,"LFLS",$G255-'INformazioni per calcoli'!$AB$7-'INformazioni per calcoli'!$AB$3+$J255)))))))),"")</f>
        <v/>
      </c>
      <c r="I255" s="17" t="str">
        <f ca="1">IFERROR(IF($H255&lt;&gt;"",IF($H255="Safe Parking","",IF($W255&lt;&gt;"",IF(AND($U255="X",$V255="X"),$H255-(--"00:30"),""),IF($X255&lt;&gt;"","Mezzo Chiuso","Non al carico"))),""),"")</f>
        <v/>
      </c>
      <c r="J255" s="354" t="str">
        <f>IFERROR(IF($G255="","",IF(INT(VLOOKUP($E255,Outlist!$A$5:$E$120,5,FALSE))&gt;'INformazioni per calcoli'!$AB$2,INT(VLOOKUP($E255,Outlist!$A$5:$E$120,5,FALSE))-INT('INformazioni per calcoli'!$AB$2),0)),"")</f>
        <v/>
      </c>
      <c r="K255" s="27" t="str">
        <f>IF(E255&lt;&gt;"",IFERROR(VLOOKUP(E255,Outlist!$A$5:$AC$120,22,FALSE),""),"")</f>
        <v/>
      </c>
      <c r="L255" s="352" t="str">
        <f>IF(E255&lt;&gt;"",IFERROR(VLOOKUP(E255,Outlist!$A$5:$AC$120,3,FALSE),""),"")</f>
        <v/>
      </c>
      <c r="M255" s="4" t="str">
        <f>IFERROR(_xlfn.XLOOKUP($Q255,'Elenco Casse'!$D:$D,'Elenco Casse'!$E:$E),"")</f>
        <v/>
      </c>
      <c r="N255" s="4" t="str">
        <f>IFERROR(_xlfn.XLOOKUP($Q255,'Elenco Casse'!$D:$D,'Elenco Casse'!$F:$F),"")</f>
        <v/>
      </c>
      <c r="O255" s="4" t="str">
        <f>IF($L255&lt;&gt;"","TT-2/3","")</f>
        <v/>
      </c>
      <c r="P255" s="296" t="str">
        <f>IFERROR(IF(VLOOKUP(E255,Outlist!$A$5:$AC$120,21,FALSE)="YES","Linea Variata",""),"")</f>
        <v/>
      </c>
      <c r="Q255" s="355" t="str">
        <f>IFERROR(VLOOKUP(E255,Outlist!$AK$4:$BH$139,13,FALSE),"")</f>
        <v/>
      </c>
      <c r="R255" s="23"/>
      <c r="S255" s="25" t="str">
        <f>IFERROR(IF(VLOOKUP(E255,Outlist!$A$5:$AC$120,7,FALSE)="X","SUBCO",""),"")</f>
        <v/>
      </c>
      <c r="T255" s="25"/>
      <c r="U255" s="23"/>
      <c r="V255" s="23"/>
      <c r="W255" s="26"/>
      <c r="X255" s="27"/>
      <c r="Y255" s="25" t="str">
        <f>IF(OR(Out_Table[[#This Row],[DOC Del. hr. (RTH)]]&lt;&gt;"",Outlist!S156),"XXX","")</f>
        <v/>
      </c>
      <c r="Z255" s="25"/>
      <c r="AA255" s="25"/>
      <c r="AB255" s="57"/>
      <c r="AC255" s="25"/>
      <c r="AD255" s="25"/>
      <c r="AE255" s="57"/>
      <c r="AF255" s="57"/>
      <c r="AG255" s="25"/>
      <c r="AH255" s="57"/>
      <c r="AI255" s="339"/>
      <c r="AJ255" s="339"/>
      <c r="AK255" s="297" t="str">
        <f>IF(X255&lt;&gt;"",CONCATENATE(IF(AA255&lt;&gt;"",CONCATENATE(Z255," ",AA255," ",BI255),""),IF(AD255&lt;&gt;"",CONCATENATE(","," ",AC255," ",AD255," ",BJ255),""),IF(AG255&lt;&gt;"",CONCATENATE(","," ",AF255," ",AG255," ",BK255),""),IF(AJ255&lt;&gt;"",CONCATENATE(","," ","DD"," ",BL255),"")," ",IF(AI255&lt;&gt;"",CONCATENATE(" - ",AI255," Bag"),"")),"")</f>
        <v/>
      </c>
      <c r="AL255" s="287"/>
      <c r="AM255" s="287"/>
      <c r="AN255" s="287"/>
      <c r="AO255" s="287"/>
      <c r="AP255" s="370" t="str">
        <f>IFERROR(VLOOKUP($E255,Outlist!$A$5:$V$120,20,FALSE),"")</f>
        <v/>
      </c>
      <c r="AQ255" s="288" t="str">
        <f>IFERROR(IF(VLOOKUP($A255,#REF!,8,FALSE)&lt;&gt;"",VLOOKUP($A255,#REF!,8,FALSE),""),"")</f>
        <v/>
      </c>
      <c r="AS255" s="24"/>
      <c r="AT255" s="24"/>
      <c r="AU255" s="27"/>
      <c r="AV255" s="27"/>
      <c r="AX255" s="20" t="str">
        <f>IFERROR(IF(Out_Table[[#This Row],[Cancellazione linea]]="Cancellata","yes",""),"")</f>
        <v/>
      </c>
      <c r="AY255" s="72" t="str">
        <f>IF(BA255="",BZ255,IF(AND(BA255&lt;(--"23:59:59"),BA255&gt;(--"15:00:00"),G255&lt;(--"14:00:00"),G255&gt;(--"00:00:01")),"",IF(BA255&gt;G255,BZ255,"")))</f>
        <v/>
      </c>
      <c r="AZ255" s="27"/>
      <c r="BA255" s="32"/>
      <c r="BB255" s="72"/>
      <c r="BC255" s="72" t="str">
        <f>IFERROR(VLOOKUP(Out_Table[[#This Row],[Aggiornamento STATUS]],'INformazioni per calcoli'!$Y$70:$AA$76,2,FALSE),"")</f>
        <v/>
      </c>
      <c r="BD255" s="289"/>
      <c r="BE255" s="289"/>
      <c r="BF255" s="47" t="str">
        <f>LEFT($E255,3)</f>
        <v/>
      </c>
      <c r="BG255" s="298" t="str">
        <f>IF(Out_Table[[#This Row],[Ora Uscita    (GH)]]&lt;&gt;"","x","")</f>
        <v/>
      </c>
      <c r="BH255" s="299" t="e">
        <f>VLOOKUP($O255,'INformazioni per calcoli'!$Y$20:$AA$23,3,FALSE)</f>
        <v>#N/A</v>
      </c>
      <c r="BI255" s="299" t="e">
        <f>MROUND(Out_Table[[#This Row],[Mtr. Trailer]]*AB255,0.5)</f>
        <v>#N/A</v>
      </c>
      <c r="BJ255" s="299" t="e">
        <f>MROUND(Out_Table[[#This Row],[Mtr. Trailer]]*AE255,0.5)</f>
        <v>#N/A</v>
      </c>
      <c r="BK255" s="299" t="e">
        <f>MROUND(Out_Table[[#This Row],[Mtr. Trailer]]*AH255,0.5)</f>
        <v>#N/A</v>
      </c>
      <c r="BL255" s="300">
        <f>Out_Table[[#This Row],[Double Deck trailer N° bumpers]]</f>
        <v>0</v>
      </c>
      <c r="BM255" s="301"/>
      <c r="BN255" s="299" t="str">
        <f>B255</f>
        <v/>
      </c>
      <c r="BO255" s="299" t="str">
        <f>E255</f>
        <v/>
      </c>
      <c r="BP255" s="302" t="e">
        <f>IF(AND(G255&gt;(--"00:00:01"),G255&lt;(--"15:00:00")),IF(AND(X255&gt;(--"00:00:01"),X255&lt;(--"15:00:00")),G255-X255,G255+1-X255),G255-X255)</f>
        <v>#VALUE!</v>
      </c>
      <c r="BQ255" s="303">
        <f>AE255+AF255+AH255+AJ255</f>
        <v>0</v>
      </c>
      <c r="BR255" s="304" t="e">
        <f>IF(OR(BP255&lt;=(--"00:20:00"),BQ255&gt;=100%),"OK","Not OK")</f>
        <v>#VALUE!</v>
      </c>
      <c r="BS255" s="302" t="e">
        <f>IF(AND(G255&gt;(--"00:00:01"),G255&lt;(--"15:00:00")),IF(AND(AU255&gt;(--"00:00:01"),AU255&lt;(--"15:00:00")),G255-AU255,G255+1-AU255),G255-AU255)</f>
        <v>#VALUE!</v>
      </c>
      <c r="BT255" s="302">
        <f>IF(AND(AZ255&gt;(--"00:00:01"),AZ255&lt;(--"15:00:00")),IF(AND(AU255&gt;(--"00:00:01"),AU255&lt;(--"15:00:00")),AZ255-AU255,AZ255+1-AU255),AZ255-AU255)</f>
        <v>0</v>
      </c>
      <c r="BU255" s="302">
        <f>IF(AND(BA255&gt;(--"00:00:01"),BA255&lt;(--"15:00:00")),IF(AND(AZ255&gt;(--"00:00:01"),AZ255&lt;(--"15:00:00")),BA255-AZ255,BA255+1-AZ255),BA255-AZ255)</f>
        <v>0</v>
      </c>
      <c r="BV255" s="299">
        <f>AV255</f>
        <v>0</v>
      </c>
      <c r="BW255" s="301"/>
      <c r="BX255" s="299" t="str">
        <f>IF(AV255="T Status",IF(AV255&lt;&gt;T255,"X",""),"")</f>
        <v/>
      </c>
      <c r="BY255" s="301"/>
      <c r="BZ255" s="299" t="str">
        <f>IF(X255&lt;&gt;"",IF(CC255="X","Driver Delay",IF(CA255="X","Paperwork Delay",IF(CB255="X","Late freight late sort",IF(CD255="X","Chiamare Control Room",IF(CE255="X","Chiamare Control Room",IF(CF255="X","Chiamare Control Room","")))))),"")</f>
        <v/>
      </c>
      <c r="CA255" s="302" t="e">
        <f>IF(K255="",IF(IF(AND(G255&gt;(--"00:00:01"),G255&lt;(--"15:00:00")),IF(AND(AT255&gt;(--"08:00:00"),AT255&lt;(--"23:59:59")),G255+1-AT255,G255-AT255),G255-AT255)&gt;(--"00:20:00"),"","X"),"")</f>
        <v>#VALUE!</v>
      </c>
      <c r="CB255" s="299" t="e">
        <f>IF(K255="",IF(BP255&gt;=(--"00:20:00"),"","X"),"")</f>
        <v>#VALUE!</v>
      </c>
      <c r="CC255" s="299" t="str">
        <f>IF(OR(AV255="Autista non presente",AV255="Dati driver non presenti"),"X","")</f>
        <v/>
      </c>
      <c r="CD255" s="299" t="e">
        <f>IF(K255="",IF(AND(CC255="",BS255&lt;(--"00:20:00")),"X",""),"")</f>
        <v>#VALUE!</v>
      </c>
      <c r="CE255" s="299" t="str">
        <f>IF(K255="",IF(BT255&gt;(--"00:15:00"),"X",""),IF(AZ255&lt;&gt;"",IF(G255-AZ255&gt;(--"00:30:00"),"X",""),""))</f>
        <v/>
      </c>
      <c r="CF255" s="299" t="e">
        <f>IF(AND(CA255="",CB255="",CC255="",CD255="",CE255=""),"X","")</f>
        <v>#VALUE!</v>
      </c>
      <c r="CG255" s="301"/>
      <c r="CH255" s="299" t="str">
        <f>IF(BT255&gt;(--"00:15:00"),"X","")</f>
        <v/>
      </c>
      <c r="CI255" s="302" t="str">
        <f>AY255</f>
        <v/>
      </c>
      <c r="CJ255" s="299" t="str">
        <f>IF(AND(CH255&lt;&gt;"",CI255&lt;&gt;"",LEFT(B255,3)="ITD"),AP255,"")</f>
        <v/>
      </c>
      <c r="CK255" s="305" t="str">
        <f>IF(CJ255&lt;&gt;"",BT255,"")</f>
        <v/>
      </c>
      <c r="CL255" s="301"/>
      <c r="CM255" s="305" t="str">
        <f>IFERROR(VLOOKUP(Q255,'Elenco Casse'!$D$4:$F$292,3,FALSE),"")</f>
        <v/>
      </c>
      <c r="CN255" s="301"/>
      <c r="CO255" s="305" t="str">
        <f>IFERROR(VLOOKUP(S255,'Elenco Casse'!$D$4:$F$292,3,FALSE),"")</f>
        <v/>
      </c>
      <c r="CP255" s="305" t="str">
        <f>IFERROR(IF(VLOOKUP($E255,Outlist!$A$5:$S$120,19,FALSE)&lt;&gt;0,"Y",""),"")</f>
        <v/>
      </c>
      <c r="CQ255" s="301"/>
      <c r="CR255" s="305" t="str">
        <f>CONCATENATE($B255,$E255,$G255)</f>
        <v/>
      </c>
      <c r="CS255" s="301"/>
      <c r="CT255" s="305" t="e">
        <f>VLOOKUP(Out_Table[[#This Row],[Destination             ORANGE (From Planning)]],Outlist!$A$5:$W$120,22,FALSE)</f>
        <v>#N/A</v>
      </c>
    </row>
    <row r="256" spans="1:98" s="20" customFormat="1" ht="15">
      <c r="A256" s="305" t="str">
        <f>$CR256</f>
        <v/>
      </c>
      <c r="B256" s="351" t="str">
        <f>IFERROR(VLOOKUP(E256,Outlist!$A$5:$AC$120,2,FALSE),"")</f>
        <v/>
      </c>
      <c r="C256" s="352" t="str">
        <f ca="1">IFERROR(IF(LEFT(B256,3)='STAT 77'!$X$2,_xlfn.XLOOKUP(B256,'STAT 77'!C:C,'STAT 77'!B:B),_xlfn.XLOOKUP(B256,'STAT 77'!B:B,'STAT 77'!C:C)),"NON TROVATO")</f>
        <v>NON TROVATO</v>
      </c>
      <c r="D256" s="4"/>
      <c r="E256" s="352" t="str">
        <f>IFERROR(IF(Outlist!$A118&lt;&gt;"",Outlist!$A118,""),"")</f>
        <v/>
      </c>
      <c r="F256" s="352" t="str">
        <f>IFERROR(VLOOKUP(E256,'Cambio O2P'!C:E,2,FALSE),"")</f>
        <v/>
      </c>
      <c r="G256" s="353" t="str">
        <f>IFERROR(VLOOKUP(E256,Outlist!$A$5:$AC$120,5,FALSE)-INT(VLOOKUP(E256,Outlist!$A$5:$AC$120,5,FALSE)),"")</f>
        <v/>
      </c>
      <c r="H256" s="294" t="str">
        <f ca="1">IFERROR(IF(AND('INformazioni per calcoli'!$AB$3&lt;(--"14:30"),'INformazioni per calcoli'!$AB$3&gt;(--"10:00")),"",IF($B256="","",IF($X256&lt;&gt;"","Mezzo Chiuso",IF($W256="","Non al Carico",IF($K256="Safe Parking","Safe Parking", IF(OR($BF256='INformazioni per calcoli'!$AF$8,$BF256='INformazioni per calcoli'!$AC$8,$BF256='INformazioni per calcoli'!$AD$8,$BF256='INformazioni per calcoli'!$AE$8,$BF256='INformazioni per calcoli'!$AG$8,$BF256='INformazioni per calcoli'!$AH$8,$BF256='INformazioni per calcoli'!$AI$8,$BF256='INformazioni per calcoli'!$AJ$8),IF($G256-'INformazioni per calcoli'!$AB$6-'INformazioni per calcoli'!$AB$3+$J256&lt;0,"LFLS",$G256-'INformazioni per calcoli'!$AB$6-'INformazioni per calcoli'!$AB$3+$J256), IF(OR($BF256='INformazioni per calcoli'!$AF$6,$BF256='INformazioni per calcoli'!$AD$6,$BF256='INformazioni per calcoli'!$AE$6,$BF256='INformazioni per calcoli'!$AG$6),IF($G256-'INformazioni per calcoli'!$AB$8-'INformazioni per calcoli'!$AB$3+$J256&lt;0,"LFLS",$G256-'INformazioni per calcoli'!$AB$8-'INformazioni per calcoli'!$AB$3+$J256), IF($G256-'INformazioni per calcoli'!$AB$7-'INformazioni per calcoli'!$AB$3+$J256&lt;0,"LFLS",$G256-'INformazioni per calcoli'!$AB$7-'INformazioni per calcoli'!$AB$3+$J256)))))))),"")</f>
        <v/>
      </c>
      <c r="I256" s="17" t="str">
        <f ca="1">IFERROR(IF($H256&lt;&gt;"",IF($H256="Safe Parking","",IF($W256&lt;&gt;"",IF(AND($U256="X",$V256="X"),$H256-(--"00:30"),""),IF($X256&lt;&gt;"","Mezzo Chiuso","Non al carico"))),""),"")</f>
        <v/>
      </c>
      <c r="J256" s="354" t="str">
        <f>IFERROR(IF($G256="","",IF(INT(VLOOKUP($E256,Outlist!$A$5:$E$120,5,FALSE))&gt;'INformazioni per calcoli'!$AB$2,INT(VLOOKUP($E256,Outlist!$A$5:$E$120,5,FALSE))-INT('INformazioni per calcoli'!$AB$2),0)),"")</f>
        <v/>
      </c>
      <c r="K256" s="27" t="str">
        <f>IF(E256&lt;&gt;"",IFERROR(VLOOKUP(E256,Outlist!$A$5:$AC$120,22,FALSE),""),"")</f>
        <v/>
      </c>
      <c r="L256" s="352" t="str">
        <f>IF(E256&lt;&gt;"",IFERROR(VLOOKUP(E256,Outlist!$A$5:$AC$120,3,FALSE),""),"")</f>
        <v/>
      </c>
      <c r="M256" s="4" t="str">
        <f>IFERROR(_xlfn.XLOOKUP($Q256,'Elenco Casse'!$D:$D,'Elenco Casse'!$E:$E),"")</f>
        <v/>
      </c>
      <c r="N256" s="4" t="str">
        <f>IFERROR(_xlfn.XLOOKUP($Q256,'Elenco Casse'!$D:$D,'Elenco Casse'!$F:$F),"")</f>
        <v/>
      </c>
      <c r="O256" s="4" t="str">
        <f>IF($L256&lt;&gt;"","TT-2/3","")</f>
        <v/>
      </c>
      <c r="P256" s="296" t="str">
        <f>IFERROR(IF(VLOOKUP(E256,Outlist!$A$5:$AC$120,21,FALSE)="YES","Linea Variata",""),"")</f>
        <v/>
      </c>
      <c r="Q256" s="355" t="str">
        <f>IFERROR(VLOOKUP(E256,Outlist!$AK$4:$BH$139,13,FALSE),"")</f>
        <v/>
      </c>
      <c r="R256" s="23"/>
      <c r="S256" s="25" t="str">
        <f>IFERROR(IF(VLOOKUP(E256,Outlist!$A$5:$AC$120,7,FALSE)="X","SUBCO",""),"")</f>
        <v/>
      </c>
      <c r="T256" s="25"/>
      <c r="U256" s="23"/>
      <c r="V256" s="23"/>
      <c r="W256" s="26"/>
      <c r="X256" s="27"/>
      <c r="Y256" s="25" t="str">
        <f>IF(OR(Out_Table[[#This Row],[DOC Del. hr. (RTH)]]&lt;&gt;"",Outlist!S157),"XXX","")</f>
        <v/>
      </c>
      <c r="Z256" s="25"/>
      <c r="AA256" s="25"/>
      <c r="AB256" s="57"/>
      <c r="AC256" s="25"/>
      <c r="AD256" s="25"/>
      <c r="AE256" s="57"/>
      <c r="AF256" s="57"/>
      <c r="AG256" s="25"/>
      <c r="AH256" s="57"/>
      <c r="AI256" s="339"/>
      <c r="AJ256" s="339"/>
      <c r="AK256" s="297" t="str">
        <f>IF(X256&lt;&gt;"",CONCATENATE(IF(AA256&lt;&gt;"",CONCATENATE(Z256," ",AA256," ",BI256),""),IF(AD256&lt;&gt;"",CONCATENATE(","," ",AC256," ",AD256," ",BJ256),""),IF(AG256&lt;&gt;"",CONCATENATE(","," ",AF256," ",AG256," ",BK256),""),IF(AJ256&lt;&gt;"",CONCATENATE(","," ","DD"," ",BL256),"")," ",IF(AI256&lt;&gt;"",CONCATENATE(" - ",AI256," Bag"),"")),"")</f>
        <v/>
      </c>
      <c r="AL256" s="287"/>
      <c r="AM256" s="287"/>
      <c r="AN256" s="287"/>
      <c r="AO256" s="287"/>
      <c r="AP256" s="370" t="str">
        <f>IFERROR(VLOOKUP($E256,Outlist!$A$5:$V$120,20,FALSE),"")</f>
        <v/>
      </c>
      <c r="AQ256" s="288" t="str">
        <f>IFERROR(IF(VLOOKUP($A256,#REF!,8,FALSE)&lt;&gt;"",VLOOKUP($A256,#REF!,8,FALSE),""),"")</f>
        <v/>
      </c>
      <c r="AS256" s="24"/>
      <c r="AT256" s="24"/>
      <c r="AU256" s="27"/>
      <c r="AV256" s="27"/>
      <c r="AX256" s="20" t="str">
        <f>IFERROR(IF(Out_Table[[#This Row],[Cancellazione linea]]="Cancellata","yes",""),"")</f>
        <v/>
      </c>
      <c r="AY256" s="72" t="str">
        <f>IF(BA256="",BZ256,IF(AND(BA256&lt;(--"23:59:59"),BA256&gt;(--"15:00:00"),G256&lt;(--"14:00:00"),G256&gt;(--"00:00:01")),"",IF(BA256&gt;G256,BZ256,"")))</f>
        <v/>
      </c>
      <c r="AZ256" s="27"/>
      <c r="BA256" s="32"/>
      <c r="BB256" s="72"/>
      <c r="BC256" s="72" t="str">
        <f>IFERROR(VLOOKUP(Out_Table[[#This Row],[Aggiornamento STATUS]],'INformazioni per calcoli'!$Y$70:$AA$76,2,FALSE),"")</f>
        <v/>
      </c>
      <c r="BD256" s="289"/>
      <c r="BE256" s="289"/>
      <c r="BF256" s="47" t="str">
        <f>LEFT($E256,3)</f>
        <v/>
      </c>
      <c r="BG256" s="298" t="str">
        <f>IF(Out_Table[[#This Row],[Ora Uscita    (GH)]]&lt;&gt;"","x","")</f>
        <v/>
      </c>
      <c r="BH256" s="299" t="e">
        <f>VLOOKUP($O256,'INformazioni per calcoli'!$Y$20:$AA$23,3,FALSE)</f>
        <v>#N/A</v>
      </c>
      <c r="BI256" s="299" t="e">
        <f>MROUND(Out_Table[[#This Row],[Mtr. Trailer]]*AB256,0.5)</f>
        <v>#N/A</v>
      </c>
      <c r="BJ256" s="299" t="e">
        <f>MROUND(Out_Table[[#This Row],[Mtr. Trailer]]*AE256,0.5)</f>
        <v>#N/A</v>
      </c>
      <c r="BK256" s="299" t="e">
        <f>MROUND(Out_Table[[#This Row],[Mtr. Trailer]]*AH256,0.5)</f>
        <v>#N/A</v>
      </c>
      <c r="BL256" s="300">
        <f>Out_Table[[#This Row],[Double Deck trailer N° bumpers]]</f>
        <v>0</v>
      </c>
      <c r="BM256" s="301"/>
      <c r="BN256" s="299" t="str">
        <f>B256</f>
        <v/>
      </c>
      <c r="BO256" s="299" t="str">
        <f>E256</f>
        <v/>
      </c>
      <c r="BP256" s="302" t="e">
        <f>IF(AND(G256&gt;(--"00:00:01"),G256&lt;(--"15:00:00")),IF(AND(X256&gt;(--"00:00:01"),X256&lt;(--"15:00:00")),G256-X256,G256+1-X256),G256-X256)</f>
        <v>#VALUE!</v>
      </c>
      <c r="BQ256" s="303">
        <f>AE256+AF256+AH256+AJ256</f>
        <v>0</v>
      </c>
      <c r="BR256" s="304" t="e">
        <f>IF(OR(BP256&lt;=(--"00:20:00"),BQ256&gt;=100%),"OK","Not OK")</f>
        <v>#VALUE!</v>
      </c>
      <c r="BS256" s="302" t="e">
        <f>IF(AND(G256&gt;(--"00:00:01"),G256&lt;(--"15:00:00")),IF(AND(AU256&gt;(--"00:00:01"),AU256&lt;(--"15:00:00")),G256-AU256,G256+1-AU256),G256-AU256)</f>
        <v>#VALUE!</v>
      </c>
      <c r="BT256" s="302">
        <f>IF(AND(AZ256&gt;(--"00:00:01"),AZ256&lt;(--"15:00:00")),IF(AND(AU256&gt;(--"00:00:01"),AU256&lt;(--"15:00:00")),AZ256-AU256,AZ256+1-AU256),AZ256-AU256)</f>
        <v>0</v>
      </c>
      <c r="BU256" s="302">
        <f>IF(AND(BA256&gt;(--"00:00:01"),BA256&lt;(--"15:00:00")),IF(AND(AZ256&gt;(--"00:00:01"),AZ256&lt;(--"15:00:00")),BA256-AZ256,BA256+1-AZ256),BA256-AZ256)</f>
        <v>0</v>
      </c>
      <c r="BV256" s="299">
        <f>AV256</f>
        <v>0</v>
      </c>
      <c r="BW256" s="301"/>
      <c r="BX256" s="299" t="str">
        <f>IF(AV256="T Status",IF(AV256&lt;&gt;T256,"X",""),"")</f>
        <v/>
      </c>
      <c r="BY256" s="301"/>
      <c r="BZ256" s="299" t="str">
        <f>IF(X256&lt;&gt;"",IF(CC256="X","Driver Delay",IF(CA256="X","Paperwork Delay",IF(CB256="X","Late freight late sort",IF(CD256="X","Chiamare Control Room",IF(CE256="X","Chiamare Control Room",IF(CF256="X","Chiamare Control Room","")))))),"")</f>
        <v/>
      </c>
      <c r="CA256" s="302" t="e">
        <f>IF(K256="",IF(IF(AND(G256&gt;(--"00:00:01"),G256&lt;(--"15:00:00")),IF(AND(AT256&gt;(--"08:00:00"),AT256&lt;(--"23:59:59")),G256+1-AT256,G256-AT256),G256-AT256)&gt;(--"00:20:00"),"","X"),"")</f>
        <v>#VALUE!</v>
      </c>
      <c r="CB256" s="299" t="e">
        <f>IF(K256="",IF(BP256&gt;=(--"00:20:00"),"","X"),"")</f>
        <v>#VALUE!</v>
      </c>
      <c r="CC256" s="299" t="str">
        <f>IF(OR(AV256="Autista non presente",AV256="Dati driver non presenti"),"X","")</f>
        <v/>
      </c>
      <c r="CD256" s="299" t="e">
        <f>IF(K256="",IF(AND(CC256="",BS256&lt;(--"00:20:00")),"X",""),"")</f>
        <v>#VALUE!</v>
      </c>
      <c r="CE256" s="299" t="str">
        <f>IF(K256="",IF(BT256&gt;(--"00:15:00"),"X",""),IF(AZ256&lt;&gt;"",IF(G256-AZ256&gt;(--"00:30:00"),"X",""),""))</f>
        <v/>
      </c>
      <c r="CF256" s="299" t="e">
        <f>IF(AND(CA256="",CB256="",CC256="",CD256="",CE256=""),"X","")</f>
        <v>#VALUE!</v>
      </c>
      <c r="CG256" s="301"/>
      <c r="CH256" s="299" t="str">
        <f>IF(BT256&gt;(--"00:15:00"),"X","")</f>
        <v/>
      </c>
      <c r="CI256" s="302" t="str">
        <f>AY256</f>
        <v/>
      </c>
      <c r="CJ256" s="299" t="str">
        <f>IF(AND(CH256&lt;&gt;"",CI256&lt;&gt;"",LEFT(B256,3)="ITD"),AP256,"")</f>
        <v/>
      </c>
      <c r="CK256" s="305" t="str">
        <f>IF(CJ256&lt;&gt;"",BT256,"")</f>
        <v/>
      </c>
      <c r="CL256" s="301"/>
      <c r="CM256" s="305" t="str">
        <f>IFERROR(VLOOKUP(Q256,'Elenco Casse'!$D$4:$F$292,3,FALSE),"")</f>
        <v/>
      </c>
      <c r="CN256" s="301"/>
      <c r="CO256" s="305" t="str">
        <f>IFERROR(VLOOKUP(S256,'Elenco Casse'!$D$4:$F$292,3,FALSE),"")</f>
        <v/>
      </c>
      <c r="CP256" s="305" t="str">
        <f>IFERROR(IF(VLOOKUP($E256,Outlist!$A$5:$S$120,19,FALSE)&lt;&gt;0,"Y",""),"")</f>
        <v/>
      </c>
      <c r="CQ256" s="301"/>
      <c r="CR256" s="305" t="str">
        <f>CONCATENATE($B256,$E256,$G256)</f>
        <v/>
      </c>
      <c r="CS256" s="301"/>
      <c r="CT256" s="305" t="e">
        <f>VLOOKUP(Out_Table[[#This Row],[Destination             ORANGE (From Planning)]],Outlist!$A$5:$W$120,22,FALSE)</f>
        <v>#N/A</v>
      </c>
    </row>
    <row r="257" spans="1:98" s="20" customFormat="1" ht="15">
      <c r="A257" s="305" t="str">
        <f>$CR257</f>
        <v/>
      </c>
      <c r="B257" s="351" t="str">
        <f>IFERROR(VLOOKUP(E257,Outlist!$A$5:$AC$120,2,FALSE),"")</f>
        <v/>
      </c>
      <c r="C257" s="352" t="str">
        <f ca="1">IFERROR(IF(LEFT(B257,3)='STAT 77'!$X$2,_xlfn.XLOOKUP(B257,'STAT 77'!C:C,'STAT 77'!B:B),_xlfn.XLOOKUP(B257,'STAT 77'!B:B,'STAT 77'!C:C)),"NON TROVATO")</f>
        <v>NON TROVATO</v>
      </c>
      <c r="D257" s="4"/>
      <c r="E257" s="352" t="str">
        <f>IFERROR(IF(Outlist!$A119&lt;&gt;"",Outlist!$A119,""),"")</f>
        <v/>
      </c>
      <c r="F257" s="352" t="str">
        <f>IFERROR(VLOOKUP(E257,'Cambio O2P'!C:E,2,FALSE),"")</f>
        <v/>
      </c>
      <c r="G257" s="353" t="str">
        <f>IFERROR(VLOOKUP(E257,Outlist!$A$5:$AC$120,5,FALSE)-INT(VLOOKUP(E257,Outlist!$A$5:$AC$120,5,FALSE)),"")</f>
        <v/>
      </c>
      <c r="H257" s="294" t="str">
        <f ca="1">IFERROR(IF(AND('INformazioni per calcoli'!$AB$3&lt;(--"14:30"),'INformazioni per calcoli'!$AB$3&gt;(--"10:00")),"",IF($B257="","",IF($X257&lt;&gt;"","Mezzo Chiuso",IF($W257="","Non al Carico",IF($K257="Safe Parking","Safe Parking", IF(OR($BF257='INformazioni per calcoli'!$AF$8,$BF257='INformazioni per calcoli'!$AC$8,$BF257='INformazioni per calcoli'!$AD$8,$BF257='INformazioni per calcoli'!$AE$8,$BF257='INformazioni per calcoli'!$AG$8,$BF257='INformazioni per calcoli'!$AH$8,$BF257='INformazioni per calcoli'!$AI$8,$BF257='INformazioni per calcoli'!$AJ$8),IF($G257-'INformazioni per calcoli'!$AB$6-'INformazioni per calcoli'!$AB$3+$J257&lt;0,"LFLS",$G257-'INformazioni per calcoli'!$AB$6-'INformazioni per calcoli'!$AB$3+$J257), IF(OR($BF257='INformazioni per calcoli'!$AF$6,$BF257='INformazioni per calcoli'!$AD$6,$BF257='INformazioni per calcoli'!$AE$6,$BF257='INformazioni per calcoli'!$AG$6),IF($G257-'INformazioni per calcoli'!$AB$8-'INformazioni per calcoli'!$AB$3+$J257&lt;0,"LFLS",$G257-'INformazioni per calcoli'!$AB$8-'INformazioni per calcoli'!$AB$3+$J257), IF($G257-'INformazioni per calcoli'!$AB$7-'INformazioni per calcoli'!$AB$3+$J257&lt;0,"LFLS",$G257-'INformazioni per calcoli'!$AB$7-'INformazioni per calcoli'!$AB$3+$J257)))))))),"")</f>
        <v/>
      </c>
      <c r="I257" s="17" t="str">
        <f ca="1">IFERROR(IF($H257&lt;&gt;"",IF($H257="Safe Parking","",IF($W257&lt;&gt;"",IF(AND($U257="X",$V257="X"),$H257-(--"00:30"),""),IF($X257&lt;&gt;"","Mezzo Chiuso","Non al carico"))),""),"")</f>
        <v/>
      </c>
      <c r="J257" s="354" t="str">
        <f>IFERROR(IF($G257="","",IF(INT(VLOOKUP($E257,Outlist!$A$5:$E$120,5,FALSE))&gt;'INformazioni per calcoli'!$AB$2,INT(VLOOKUP($E257,Outlist!$A$5:$E$120,5,FALSE))-INT('INformazioni per calcoli'!$AB$2),0)),"")</f>
        <v/>
      </c>
      <c r="K257" s="27" t="str">
        <f>IF(E257&lt;&gt;"",IFERROR(VLOOKUP(E257,Outlist!$A$5:$AC$120,22,FALSE),""),"")</f>
        <v/>
      </c>
      <c r="L257" s="352" t="str">
        <f>IF(E257&lt;&gt;"",IFERROR(VLOOKUP(E257,Outlist!$A$5:$AC$120,3,FALSE),""),"")</f>
        <v/>
      </c>
      <c r="M257" s="4" t="str">
        <f>IFERROR(_xlfn.XLOOKUP($Q257,'Elenco Casse'!$D:$D,'Elenco Casse'!$E:$E),"")</f>
        <v/>
      </c>
      <c r="N257" s="4" t="str">
        <f>IFERROR(_xlfn.XLOOKUP($Q257,'Elenco Casse'!$D:$D,'Elenco Casse'!$F:$F),"")</f>
        <v/>
      </c>
      <c r="O257" s="4" t="str">
        <f>IF($L257&lt;&gt;"","TT-2/3","")</f>
        <v/>
      </c>
      <c r="P257" s="296" t="str">
        <f>IFERROR(IF(VLOOKUP(E257,Outlist!$A$5:$AC$120,21,FALSE)="YES","Linea Variata",""),"")</f>
        <v/>
      </c>
      <c r="Q257" s="355" t="str">
        <f>IFERROR(VLOOKUP(E257,Outlist!$AK$4:$BH$139,13,FALSE),"")</f>
        <v/>
      </c>
      <c r="R257" s="23"/>
      <c r="S257" s="25" t="str">
        <f>IFERROR(IF(VLOOKUP(E257,Outlist!$A$5:$AC$120,7,FALSE)="X","SUBCO",""),"")</f>
        <v/>
      </c>
      <c r="T257" s="25"/>
      <c r="U257" s="23"/>
      <c r="V257" s="23"/>
      <c r="W257" s="26"/>
      <c r="X257" s="27"/>
      <c r="Y257" s="25" t="str">
        <f>IF(OR(Out_Table[[#This Row],[DOC Del. hr. (RTH)]]&lt;&gt;"",Outlist!S158),"XXX","")</f>
        <v/>
      </c>
      <c r="Z257" s="25"/>
      <c r="AA257" s="25"/>
      <c r="AB257" s="57"/>
      <c r="AC257" s="25"/>
      <c r="AD257" s="25"/>
      <c r="AE257" s="57"/>
      <c r="AF257" s="57"/>
      <c r="AG257" s="25"/>
      <c r="AH257" s="57"/>
      <c r="AI257" s="339"/>
      <c r="AJ257" s="339"/>
      <c r="AK257" s="297" t="str">
        <f>IF(X257&lt;&gt;"",CONCATENATE(IF(AA257&lt;&gt;"",CONCATENATE(Z257," ",AA257," ",BI257),""),IF(AD257&lt;&gt;"",CONCATENATE(","," ",AC257," ",AD257," ",BJ257),""),IF(AG257&lt;&gt;"",CONCATENATE(","," ",AF257," ",AG257," ",BK257),""),IF(AJ257&lt;&gt;"",CONCATENATE(","," ","DD"," ",BL257),"")," ",IF(AI257&lt;&gt;"",CONCATENATE(" - ",AI257," Bag"),"")),"")</f>
        <v/>
      </c>
      <c r="AL257" s="287"/>
      <c r="AM257" s="287"/>
      <c r="AN257" s="287"/>
      <c r="AO257" s="287"/>
      <c r="AP257" s="370" t="str">
        <f>IFERROR(VLOOKUP($E257,Outlist!$A$5:$V$120,20,FALSE),"")</f>
        <v/>
      </c>
      <c r="AQ257" s="288" t="str">
        <f>IFERROR(IF(VLOOKUP($A257,#REF!,8,FALSE)&lt;&gt;"",VLOOKUP($A257,#REF!,8,FALSE),""),"")</f>
        <v/>
      </c>
      <c r="AS257" s="24"/>
      <c r="AT257" s="24"/>
      <c r="AU257" s="27"/>
      <c r="AV257" s="27"/>
      <c r="AX257" s="20" t="str">
        <f>IFERROR(IF(Out_Table[[#This Row],[Cancellazione linea]]="Cancellata","yes",""),"")</f>
        <v/>
      </c>
      <c r="AY257" s="72" t="str">
        <f>IF(BA257="",BZ257,IF(AND(BA257&lt;(--"23:59:59"),BA257&gt;(--"15:00:00"),G257&lt;(--"14:00:00"),G257&gt;(--"00:00:01")),"",IF(BA257&gt;G257,BZ257,"")))</f>
        <v/>
      </c>
      <c r="AZ257" s="27"/>
      <c r="BA257" s="32"/>
      <c r="BB257" s="72"/>
      <c r="BC257" s="72" t="str">
        <f>IFERROR(VLOOKUP(Out_Table[[#This Row],[Aggiornamento STATUS]],'INformazioni per calcoli'!$Y$70:$AA$76,2,FALSE),"")</f>
        <v/>
      </c>
      <c r="BD257" s="289"/>
      <c r="BE257" s="289"/>
      <c r="BF257" s="47" t="str">
        <f>LEFT($E257,3)</f>
        <v/>
      </c>
      <c r="BG257" s="298" t="str">
        <f>IF(Out_Table[[#This Row],[Ora Uscita    (GH)]]&lt;&gt;"","x","")</f>
        <v/>
      </c>
      <c r="BH257" s="299" t="e">
        <f>VLOOKUP($O257,'INformazioni per calcoli'!$Y$20:$AA$23,3,FALSE)</f>
        <v>#N/A</v>
      </c>
      <c r="BI257" s="299" t="e">
        <f>MROUND(Out_Table[[#This Row],[Mtr. Trailer]]*AB257,0.5)</f>
        <v>#N/A</v>
      </c>
      <c r="BJ257" s="299" t="e">
        <f>MROUND(Out_Table[[#This Row],[Mtr. Trailer]]*AE257,0.5)</f>
        <v>#N/A</v>
      </c>
      <c r="BK257" s="299" t="e">
        <f>MROUND(Out_Table[[#This Row],[Mtr. Trailer]]*AH257,0.5)</f>
        <v>#N/A</v>
      </c>
      <c r="BL257" s="300">
        <f>Out_Table[[#This Row],[Double Deck trailer N° bumpers]]</f>
        <v>0</v>
      </c>
      <c r="BM257" s="301"/>
      <c r="BN257" s="299" t="str">
        <f>B257</f>
        <v/>
      </c>
      <c r="BO257" s="299" t="str">
        <f>E257</f>
        <v/>
      </c>
      <c r="BP257" s="302" t="e">
        <f>IF(AND(G257&gt;(--"00:00:01"),G257&lt;(--"15:00:00")),IF(AND(X257&gt;(--"00:00:01"),X257&lt;(--"15:00:00")),G257-X257,G257+1-X257),G257-X257)</f>
        <v>#VALUE!</v>
      </c>
      <c r="BQ257" s="303">
        <f>AE257+AF257+AH257+AJ257</f>
        <v>0</v>
      </c>
      <c r="BR257" s="304" t="e">
        <f>IF(OR(BP257&lt;=(--"00:20:00"),BQ257&gt;=100%),"OK","Not OK")</f>
        <v>#VALUE!</v>
      </c>
      <c r="BS257" s="302" t="e">
        <f>IF(AND(G257&gt;(--"00:00:01"),G257&lt;(--"15:00:00")),IF(AND(AU257&gt;(--"00:00:01"),AU257&lt;(--"15:00:00")),G257-AU257,G257+1-AU257),G257-AU257)</f>
        <v>#VALUE!</v>
      </c>
      <c r="BT257" s="302">
        <f>IF(AND(AZ257&gt;(--"00:00:01"),AZ257&lt;(--"15:00:00")),IF(AND(AU257&gt;(--"00:00:01"),AU257&lt;(--"15:00:00")),AZ257-AU257,AZ257+1-AU257),AZ257-AU257)</f>
        <v>0</v>
      </c>
      <c r="BU257" s="302">
        <f>IF(AND(BA257&gt;(--"00:00:01"),BA257&lt;(--"15:00:00")),IF(AND(AZ257&gt;(--"00:00:01"),AZ257&lt;(--"15:00:00")),BA257-AZ257,BA257+1-AZ257),BA257-AZ257)</f>
        <v>0</v>
      </c>
      <c r="BV257" s="299">
        <f>AV257</f>
        <v>0</v>
      </c>
      <c r="BW257" s="301"/>
      <c r="BX257" s="299" t="str">
        <f>IF(AV257="T Status",IF(AV257&lt;&gt;T257,"X",""),"")</f>
        <v/>
      </c>
      <c r="BY257" s="301"/>
      <c r="BZ257" s="299" t="str">
        <f>IF(X257&lt;&gt;"",IF(CC257="X","Driver Delay",IF(CA257="X","Paperwork Delay",IF(CB257="X","Late freight late sort",IF(CD257="X","Chiamare Control Room",IF(CE257="X","Chiamare Control Room",IF(CF257="X","Chiamare Control Room","")))))),"")</f>
        <v/>
      </c>
      <c r="CA257" s="302" t="e">
        <f>IF(K257="",IF(IF(AND(G257&gt;(--"00:00:01"),G257&lt;(--"15:00:00")),IF(AND(AT257&gt;(--"08:00:00"),AT257&lt;(--"23:59:59")),G257+1-AT257,G257-AT257),G257-AT257)&gt;(--"00:20:00"),"","X"),"")</f>
        <v>#VALUE!</v>
      </c>
      <c r="CB257" s="299" t="e">
        <f>IF(K257="",IF(BP257&gt;=(--"00:20:00"),"","X"),"")</f>
        <v>#VALUE!</v>
      </c>
      <c r="CC257" s="299" t="str">
        <f>IF(OR(AV257="Autista non presente",AV257="Dati driver non presenti"),"X","")</f>
        <v/>
      </c>
      <c r="CD257" s="299" t="e">
        <f>IF(K257="",IF(AND(CC257="",BS257&lt;(--"00:20:00")),"X",""),"")</f>
        <v>#VALUE!</v>
      </c>
      <c r="CE257" s="299" t="str">
        <f>IF(K257="",IF(BT257&gt;(--"00:15:00"),"X",""),IF(AZ257&lt;&gt;"",IF(G257-AZ257&gt;(--"00:30:00"),"X",""),""))</f>
        <v/>
      </c>
      <c r="CF257" s="299" t="e">
        <f>IF(AND(CA257="",CB257="",CC257="",CD257="",CE257=""),"X","")</f>
        <v>#VALUE!</v>
      </c>
      <c r="CG257" s="301"/>
      <c r="CH257" s="299" t="str">
        <f>IF(BT257&gt;(--"00:15:00"),"X","")</f>
        <v/>
      </c>
      <c r="CI257" s="302" t="str">
        <f>AY257</f>
        <v/>
      </c>
      <c r="CJ257" s="299" t="str">
        <f>IF(AND(CH257&lt;&gt;"",CI257&lt;&gt;"",LEFT(B257,3)="ITD"),AP257,"")</f>
        <v/>
      </c>
      <c r="CK257" s="305" t="str">
        <f>IF(CJ257&lt;&gt;"",BT257,"")</f>
        <v/>
      </c>
      <c r="CL257" s="301"/>
      <c r="CM257" s="305" t="str">
        <f>IFERROR(VLOOKUP(Q257,'Elenco Casse'!$D$4:$F$292,3,FALSE),"")</f>
        <v/>
      </c>
      <c r="CN257" s="301"/>
      <c r="CO257" s="305" t="str">
        <f>IFERROR(VLOOKUP(S257,'Elenco Casse'!$D$4:$F$292,3,FALSE),"")</f>
        <v/>
      </c>
      <c r="CP257" s="305" t="str">
        <f>IFERROR(IF(VLOOKUP($E257,Outlist!$A$5:$S$120,19,FALSE)&lt;&gt;0,"Y",""),"")</f>
        <v/>
      </c>
      <c r="CQ257" s="301"/>
      <c r="CR257" s="305" t="str">
        <f>CONCATENATE($B257,$E257,$G257)</f>
        <v/>
      </c>
      <c r="CS257" s="301"/>
      <c r="CT257" s="305" t="e">
        <f>VLOOKUP(Out_Table[[#This Row],[Destination             ORANGE (From Planning)]],Outlist!$A$5:$W$120,22,FALSE)</f>
        <v>#N/A</v>
      </c>
    </row>
    <row r="258" spans="1:98" s="20" customFormat="1" ht="15">
      <c r="A258" s="305" t="str">
        <f>$CR258</f>
        <v/>
      </c>
      <c r="B258" s="351" t="str">
        <f>IFERROR(VLOOKUP(E258,Outlist!$A$5:$AC$120,2,FALSE),"")</f>
        <v/>
      </c>
      <c r="C258" s="352" t="str">
        <f ca="1">IFERROR(IF(LEFT(B258,3)='STAT 77'!$X$2,_xlfn.XLOOKUP(B258,'STAT 77'!C:C,'STAT 77'!B:B),_xlfn.XLOOKUP(B258,'STAT 77'!B:B,'STAT 77'!C:C)),"NON TROVATO")</f>
        <v>NON TROVATO</v>
      </c>
      <c r="D258" s="4"/>
      <c r="E258" s="352" t="str">
        <f>IFERROR(IF(Outlist!$A120&lt;&gt;"",Outlist!$A120,""),"")</f>
        <v/>
      </c>
      <c r="F258" s="352" t="str">
        <f>IFERROR(VLOOKUP(E258,'Cambio O2P'!C:E,2,FALSE),"")</f>
        <v/>
      </c>
      <c r="G258" s="353" t="str">
        <f>IFERROR(VLOOKUP(E258,Outlist!$A$5:$AC$120,5,FALSE)-INT(VLOOKUP(E258,Outlist!$A$5:$AC$120,5,FALSE)),"")</f>
        <v/>
      </c>
      <c r="H258" s="294" t="str">
        <f ca="1">IFERROR(IF(AND('INformazioni per calcoli'!$AB$3&lt;(--"14:30"),'INformazioni per calcoli'!$AB$3&gt;(--"10:00")),"",IF($B258="","",IF($X258&lt;&gt;"","Mezzo Chiuso",IF($W258="","Non al Carico",IF($K258="Safe Parking","Safe Parking", IF(OR($BF258='INformazioni per calcoli'!$AF$8,$BF258='INformazioni per calcoli'!$AC$8,$BF258='INformazioni per calcoli'!$AD$8,$BF258='INformazioni per calcoli'!$AE$8,$BF258='INformazioni per calcoli'!$AG$8,$BF258='INformazioni per calcoli'!$AH$8,$BF258='INformazioni per calcoli'!$AI$8,$BF258='INformazioni per calcoli'!$AJ$8),IF($G258-'INformazioni per calcoli'!$AB$6-'INformazioni per calcoli'!$AB$3+$J258&lt;0,"LFLS",$G258-'INformazioni per calcoli'!$AB$6-'INformazioni per calcoli'!$AB$3+$J258), IF(OR($BF258='INformazioni per calcoli'!$AF$6,$BF258='INformazioni per calcoli'!$AD$6,$BF258='INformazioni per calcoli'!$AE$6,$BF258='INformazioni per calcoli'!$AG$6),IF($G258-'INformazioni per calcoli'!$AB$8-'INformazioni per calcoli'!$AB$3+$J258&lt;0,"LFLS",$G258-'INformazioni per calcoli'!$AB$8-'INformazioni per calcoli'!$AB$3+$J258), IF($G258-'INformazioni per calcoli'!$AB$7-'INformazioni per calcoli'!$AB$3+$J258&lt;0,"LFLS",$G258-'INformazioni per calcoli'!$AB$7-'INformazioni per calcoli'!$AB$3+$J258)))))))),"")</f>
        <v/>
      </c>
      <c r="I258" s="17" t="str">
        <f ca="1">IFERROR(IF($H258&lt;&gt;"",IF($H258="Safe Parking","",IF($W258&lt;&gt;"",IF(AND($U258="X",$V258="X"),$H258-(--"00:30"),""),IF($X258&lt;&gt;"","Mezzo Chiuso","Non al carico"))),""),"")</f>
        <v/>
      </c>
      <c r="J258" s="354" t="str">
        <f>IFERROR(IF($G258="","",IF(INT(VLOOKUP($E258,Outlist!$A$5:$E$120,5,FALSE))&gt;'INformazioni per calcoli'!$AB$2,INT(VLOOKUP($E258,Outlist!$A$5:$E$120,5,FALSE))-INT('INformazioni per calcoli'!$AB$2),0)),"")</f>
        <v/>
      </c>
      <c r="K258" s="27" t="str">
        <f>IF(E258&lt;&gt;"",IFERROR(VLOOKUP(E258,Outlist!$A$5:$AC$120,22,FALSE),""),"")</f>
        <v/>
      </c>
      <c r="L258" s="352" t="str">
        <f>IF(E258&lt;&gt;"",IFERROR(VLOOKUP(E258,Outlist!$A$5:$AC$120,3,FALSE),""),"")</f>
        <v/>
      </c>
      <c r="M258" s="4" t="str">
        <f>IFERROR(_xlfn.XLOOKUP($Q258,'Elenco Casse'!$D:$D,'Elenco Casse'!$E:$E),"")</f>
        <v/>
      </c>
      <c r="N258" s="4" t="str">
        <f>IFERROR(_xlfn.XLOOKUP($Q258,'Elenco Casse'!$D:$D,'Elenco Casse'!$F:$F),"")</f>
        <v/>
      </c>
      <c r="O258" s="4" t="str">
        <f>IF($L258&lt;&gt;"","TT-2/3","")</f>
        <v/>
      </c>
      <c r="P258" s="296" t="str">
        <f>IFERROR(IF(VLOOKUP(E258,Outlist!$A$5:$AC$120,21,FALSE)="YES","Linea Variata",""),"")</f>
        <v/>
      </c>
      <c r="Q258" s="355" t="str">
        <f>IFERROR(VLOOKUP(E258,Outlist!$AK$4:$BH$139,13,FALSE),"")</f>
        <v/>
      </c>
      <c r="R258" s="23"/>
      <c r="S258" s="25" t="str">
        <f>IFERROR(IF(VLOOKUP(E258,Outlist!$A$5:$AC$120,7,FALSE)="X","SUBCO",""),"")</f>
        <v/>
      </c>
      <c r="T258" s="25"/>
      <c r="U258" s="23"/>
      <c r="V258" s="23"/>
      <c r="W258" s="26"/>
      <c r="X258" s="27"/>
      <c r="Y258" s="25" t="str">
        <f>IF(OR(Out_Table[[#This Row],[DOC Del. hr. (RTH)]]&lt;&gt;"",Outlist!S159),"XXX","")</f>
        <v/>
      </c>
      <c r="Z258" s="25"/>
      <c r="AA258" s="25"/>
      <c r="AB258" s="57"/>
      <c r="AC258" s="25"/>
      <c r="AD258" s="25"/>
      <c r="AE258" s="57"/>
      <c r="AF258" s="57"/>
      <c r="AG258" s="25"/>
      <c r="AH258" s="57"/>
      <c r="AI258" s="339"/>
      <c r="AJ258" s="339"/>
      <c r="AK258" s="297" t="str">
        <f>IF(X258&lt;&gt;"",CONCATENATE(IF(AA258&lt;&gt;"",CONCATENATE(Z258," ",AA258," ",BI258),""),IF(AD258&lt;&gt;"",CONCATENATE(","," ",AC258," ",AD258," ",BJ258),""),IF(AG258&lt;&gt;"",CONCATENATE(","," ",AF258," ",AG258," ",BK258),""),IF(AJ258&lt;&gt;"",CONCATENATE(","," ","DD"," ",BL258),"")," ",IF(AI258&lt;&gt;"",CONCATENATE(" - ",AI258," Bag"),"")),"")</f>
        <v/>
      </c>
      <c r="AL258" s="287"/>
      <c r="AM258" s="287"/>
      <c r="AN258" s="287"/>
      <c r="AO258" s="287"/>
      <c r="AP258" s="370" t="str">
        <f>IFERROR(VLOOKUP($E255,Outlist!$A$5:$V$120,20,FALSE),"")</f>
        <v/>
      </c>
      <c r="AQ258" s="288" t="str">
        <f>IFERROR(IF(VLOOKUP($A258,#REF!,8,FALSE)&lt;&gt;"",VLOOKUP($A258,#REF!,8,FALSE),""),"")</f>
        <v/>
      </c>
      <c r="AS258" s="24"/>
      <c r="AT258" s="24"/>
      <c r="AU258" s="27"/>
      <c r="AV258" s="27"/>
      <c r="AX258" s="20" t="str">
        <f>IFERROR(IF(Out_Table[[#This Row],[Cancellazione linea]]="Cancellata","yes",""),"")</f>
        <v/>
      </c>
      <c r="AY258" s="72" t="str">
        <f>IF(BA258="",BZ258,IF(AND(BA258&lt;(--"23:59:59"),BA258&gt;(--"15:00:00"),G258&lt;(--"14:00:00"),G258&gt;(--"00:00:01")),"",IF(BA258&gt;G258,BZ258,"")))</f>
        <v/>
      </c>
      <c r="AZ258" s="27"/>
      <c r="BA258" s="32"/>
      <c r="BB258" s="72"/>
      <c r="BC258" s="72" t="str">
        <f>IFERROR(VLOOKUP(Out_Table[[#This Row],[Aggiornamento STATUS]],'INformazioni per calcoli'!$Y$70:$AA$76,2,FALSE),"")</f>
        <v/>
      </c>
      <c r="BD258" s="289"/>
      <c r="BE258" s="289"/>
      <c r="BF258" s="47" t="str">
        <f>LEFT($E258,3)</f>
        <v/>
      </c>
      <c r="BG258" s="298" t="str">
        <f>IF(Out_Table[[#This Row],[Ora Uscita    (GH)]]&lt;&gt;"","x","")</f>
        <v/>
      </c>
      <c r="BH258" s="299" t="e">
        <f>VLOOKUP($O258,'INformazioni per calcoli'!$Y$20:$AA$23,3,FALSE)</f>
        <v>#N/A</v>
      </c>
      <c r="BI258" s="299" t="e">
        <f>MROUND(Out_Table[[#This Row],[Mtr. Trailer]]*AB258,0.5)</f>
        <v>#N/A</v>
      </c>
      <c r="BJ258" s="299" t="e">
        <f>MROUND(Out_Table[[#This Row],[Mtr. Trailer]]*AE258,0.5)</f>
        <v>#N/A</v>
      </c>
      <c r="BK258" s="299" t="e">
        <f>MROUND(Out_Table[[#This Row],[Mtr. Trailer]]*AH258,0.5)</f>
        <v>#N/A</v>
      </c>
      <c r="BL258" s="300">
        <f>Out_Table[[#This Row],[Double Deck trailer N° bumpers]]</f>
        <v>0</v>
      </c>
      <c r="BM258" s="301"/>
      <c r="BN258" s="299" t="str">
        <f>B258</f>
        <v/>
      </c>
      <c r="BO258" s="299" t="str">
        <f>E258</f>
        <v/>
      </c>
      <c r="BP258" s="302" t="e">
        <f>IF(AND(G258&gt;(--"00:00:01"),G258&lt;(--"15:00:00")),IF(AND(X258&gt;(--"00:00:01"),X258&lt;(--"15:00:00")),G258-X258,G258+1-X258),G258-X258)</f>
        <v>#VALUE!</v>
      </c>
      <c r="BQ258" s="303">
        <f>AE258+AF258+AH258+AJ258</f>
        <v>0</v>
      </c>
      <c r="BR258" s="304" t="e">
        <f>IF(OR(BP258&lt;=(--"00:20:00"),BQ258&gt;=100%),"OK","Not OK")</f>
        <v>#VALUE!</v>
      </c>
      <c r="BS258" s="302" t="e">
        <f>IF(AND(G258&gt;(--"00:00:01"),G258&lt;(--"15:00:00")),IF(AND(AU258&gt;(--"00:00:01"),AU258&lt;(--"15:00:00")),G258-AU258,G258+1-AU258),G258-AU258)</f>
        <v>#VALUE!</v>
      </c>
      <c r="BT258" s="302">
        <f>IF(AND(AZ258&gt;(--"00:00:01"),AZ258&lt;(--"15:00:00")),IF(AND(AU258&gt;(--"00:00:01"),AU258&lt;(--"15:00:00")),AZ258-AU258,AZ258+1-AU258),AZ258-AU258)</f>
        <v>0</v>
      </c>
      <c r="BU258" s="302">
        <f>IF(AND(BA258&gt;(--"00:00:01"),BA258&lt;(--"15:00:00")),IF(AND(AZ258&gt;(--"00:00:01"),AZ258&lt;(--"15:00:00")),BA258-AZ258,BA258+1-AZ258),BA258-AZ258)</f>
        <v>0</v>
      </c>
      <c r="BV258" s="299">
        <f>AV258</f>
        <v>0</v>
      </c>
      <c r="BW258" s="301"/>
      <c r="BX258" s="299" t="str">
        <f>IF(AV258="T Status",IF(AV258&lt;&gt;T258,"X",""),"")</f>
        <v/>
      </c>
      <c r="BY258" s="301"/>
      <c r="BZ258" s="299" t="str">
        <f>IF(X258&lt;&gt;"",IF(CC258="X","Driver Delay",IF(CA258="X","Paperwork Delay",IF(CB258="X","Late freight late sort",IF(CD258="X","Chiamare Control Room",IF(CE258="X","Chiamare Control Room",IF(CF258="X","Chiamare Control Room","")))))),"")</f>
        <v/>
      </c>
      <c r="CA258" s="302" t="e">
        <f>IF(K258="",IF(IF(AND(G258&gt;(--"00:00:01"),G258&lt;(--"15:00:00")),IF(AND(AT258&gt;(--"08:00:00"),AT258&lt;(--"23:59:59")),G258+1-AT258,G258-AT258),G258-AT258)&gt;(--"00:20:00"),"","X"),"")</f>
        <v>#VALUE!</v>
      </c>
      <c r="CB258" s="299" t="e">
        <f>IF(K258="",IF(BP258&gt;=(--"00:20:00"),"","X"),"")</f>
        <v>#VALUE!</v>
      </c>
      <c r="CC258" s="299" t="str">
        <f>IF(OR(AV258="Autista non presente",AV258="Dati driver non presenti"),"X","")</f>
        <v/>
      </c>
      <c r="CD258" s="299" t="e">
        <f>IF(K258="",IF(AND(CC258="",BS258&lt;(--"00:20:00")),"X",""),"")</f>
        <v>#VALUE!</v>
      </c>
      <c r="CE258" s="299" t="str">
        <f>IF(K258="",IF(BT258&gt;(--"00:15:00"),"X",""),IF(AZ258&lt;&gt;"",IF(G258-AZ258&gt;(--"00:30:00"),"X",""),""))</f>
        <v/>
      </c>
      <c r="CF258" s="299" t="e">
        <f>IF(AND(CA258="",CB258="",CC258="",CD258="",CE258=""),"X","")</f>
        <v>#VALUE!</v>
      </c>
      <c r="CG258" s="301"/>
      <c r="CH258" s="299" t="str">
        <f>IF(BT258&gt;(--"00:15:00"),"X","")</f>
        <v/>
      </c>
      <c r="CI258" s="302" t="str">
        <f>AY258</f>
        <v/>
      </c>
      <c r="CJ258" s="299" t="str">
        <f>IF(AND(CH258&lt;&gt;"",CI258&lt;&gt;"",LEFT(B258,3)="ITD"),AP258,"")</f>
        <v/>
      </c>
      <c r="CK258" s="305" t="str">
        <f>IF(CJ258&lt;&gt;"",BT258,"")</f>
        <v/>
      </c>
      <c r="CL258" s="301"/>
      <c r="CM258" s="305" t="str">
        <f>IFERROR(VLOOKUP(Q258,'Elenco Casse'!$D$4:$F$292,3,FALSE),"")</f>
        <v/>
      </c>
      <c r="CN258" s="301"/>
      <c r="CO258" s="305" t="str">
        <f>IFERROR(VLOOKUP(S258,'Elenco Casse'!$D$4:$F$292,3,FALSE),"")</f>
        <v/>
      </c>
      <c r="CP258" s="305" t="str">
        <f>IFERROR(IF(VLOOKUP($E258,Outlist!$A$5:$S$120,19,FALSE)&lt;&gt;0,"Y",""),"")</f>
        <v/>
      </c>
      <c r="CQ258" s="301"/>
      <c r="CR258" s="305" t="str">
        <f>CONCATENATE($B258,$E258,$G258)</f>
        <v/>
      </c>
      <c r="CS258" s="301"/>
      <c r="CT258" s="305" t="e">
        <f>VLOOKUP(Out_Table[[#This Row],[Destination             ORANGE (From Planning)]],Outlist!$A$5:$W$120,22,FALSE)</f>
        <v>#N/A</v>
      </c>
    </row>
    <row r="259" spans="1:98" s="20" customFormat="1" ht="15">
      <c r="A259" s="305" t="str">
        <f>$CR259</f>
        <v/>
      </c>
      <c r="B259" s="351" t="str">
        <f>IFERROR(VLOOKUP(E259,Outlist!$A$5:$AC$120,2,FALSE),"")</f>
        <v/>
      </c>
      <c r="C259" s="352" t="str">
        <f ca="1">IFERROR(IF(LEFT(B259,3)='STAT 77'!$X$2,_xlfn.XLOOKUP(B259,'STAT 77'!C:C,'STAT 77'!B:B),_xlfn.XLOOKUP(B259,'STAT 77'!B:B,'STAT 77'!C:C)),"NON TROVATO")</f>
        <v>NON TROVATO</v>
      </c>
      <c r="D259" s="4"/>
      <c r="E259" s="352" t="str">
        <f>IFERROR(IF(Outlist!$A121&lt;&gt;"",Outlist!$A121,""),"")</f>
        <v/>
      </c>
      <c r="F259" s="352" t="str">
        <f>IFERROR(VLOOKUP(E259,'Cambio O2P'!C:E,2,FALSE),"")</f>
        <v/>
      </c>
      <c r="G259" s="353" t="str">
        <f>IFERROR(VLOOKUP(E259,Outlist!$A$5:$AC$120,5,FALSE)-INT(VLOOKUP(E259,Outlist!$A$5:$AC$120,5,FALSE)),"")</f>
        <v/>
      </c>
      <c r="H259" s="294" t="str">
        <f ca="1">IFERROR(IF(AND('INformazioni per calcoli'!$AB$3&lt;(--"14:30"),'INformazioni per calcoli'!$AB$3&gt;(--"10:00")),"",IF($B259="","",IF($X259&lt;&gt;"","Mezzo Chiuso",IF($W259="","Non al Carico",IF($K259="Safe Parking","Safe Parking", IF(OR($BF259='INformazioni per calcoli'!$AF$8,$BF259='INformazioni per calcoli'!$AC$8,$BF259='INformazioni per calcoli'!$AD$8,$BF259='INformazioni per calcoli'!$AE$8,$BF259='INformazioni per calcoli'!$AG$8,$BF259='INformazioni per calcoli'!$AH$8,$BF259='INformazioni per calcoli'!$AI$8,$BF259='INformazioni per calcoli'!$AJ$8),IF($G259-'INformazioni per calcoli'!$AB$6-'INformazioni per calcoli'!$AB$3+$J259&lt;0,"LFLS",$G259-'INformazioni per calcoli'!$AB$6-'INformazioni per calcoli'!$AB$3+$J259), IF(OR($BF259='INformazioni per calcoli'!$AF$6,$BF259='INformazioni per calcoli'!$AD$6,$BF259='INformazioni per calcoli'!$AE$6,$BF259='INformazioni per calcoli'!$AG$6),IF($G259-'INformazioni per calcoli'!$AB$8-'INformazioni per calcoli'!$AB$3+$J259&lt;0,"LFLS",$G259-'INformazioni per calcoli'!$AB$8-'INformazioni per calcoli'!$AB$3+$J259), IF($G259-'INformazioni per calcoli'!$AB$7-'INformazioni per calcoli'!$AB$3+$J259&lt;0,"LFLS",$G259-'INformazioni per calcoli'!$AB$7-'INformazioni per calcoli'!$AB$3+$J259)))))))),"")</f>
        <v/>
      </c>
      <c r="I259" s="17" t="str">
        <f ca="1">IFERROR(IF($H259&lt;&gt;"",IF($H259="Safe Parking","",IF($W259&lt;&gt;"",IF(AND($U259="X",$V259="X"),$H259-(--"00:30"),""),IF($X259&lt;&gt;"","Mezzo Chiuso","Non al carico"))),""),"")</f>
        <v/>
      </c>
      <c r="J259" s="354" t="str">
        <f>IFERROR(IF($G259="","",IF(INT(VLOOKUP($E259,Outlist!$A$5:$E$120,5,FALSE))&gt;'INformazioni per calcoli'!$AB$2,INT(VLOOKUP($E259,Outlist!$A$5:$E$120,5,FALSE))-INT('INformazioni per calcoli'!$AB$2),0)),"")</f>
        <v/>
      </c>
      <c r="K259" s="27" t="str">
        <f>IF(E259&lt;&gt;"",IFERROR(VLOOKUP(E259,Outlist!$A$5:$AC$120,22,FALSE),""),"")</f>
        <v/>
      </c>
      <c r="L259" s="352" t="str">
        <f>IF(E259&lt;&gt;"",IFERROR(VLOOKUP(E259,Outlist!$A$5:$AC$120,3,FALSE),""),"")</f>
        <v/>
      </c>
      <c r="M259" s="4" t="str">
        <f>IFERROR(_xlfn.XLOOKUP($Q259,'Elenco Casse'!$D:$D,'Elenco Casse'!$E:$E),"")</f>
        <v/>
      </c>
      <c r="N259" s="4" t="str">
        <f>IFERROR(_xlfn.XLOOKUP($Q259,'Elenco Casse'!$D:$D,'Elenco Casse'!$F:$F),"")</f>
        <v/>
      </c>
      <c r="O259" s="4" t="str">
        <f>IF($L259&lt;&gt;"","TT-2/3","")</f>
        <v/>
      </c>
      <c r="P259" s="296" t="str">
        <f>IFERROR(IF(VLOOKUP(E259,Outlist!$A$5:$AC$120,21,FALSE)="YES","Linea Variata",""),"")</f>
        <v/>
      </c>
      <c r="Q259" s="355" t="str">
        <f>IFERROR(VLOOKUP(E259,Outlist!$AK$4:$BH$139,13,FALSE),"")</f>
        <v/>
      </c>
      <c r="R259" s="23"/>
      <c r="S259" s="25" t="str">
        <f>IFERROR(IF(VLOOKUP(E259,Outlist!$A$5:$AC$120,7,FALSE)="X","SUBCO",""),"")</f>
        <v/>
      </c>
      <c r="T259" s="25"/>
      <c r="U259" s="23"/>
      <c r="V259" s="23"/>
      <c r="W259" s="26"/>
      <c r="X259" s="27"/>
      <c r="Y259" s="25" t="str">
        <f>IF(OR(Out_Table[[#This Row],[DOC Del. hr. (RTH)]]&lt;&gt;"",Outlist!S160),"XXX","")</f>
        <v/>
      </c>
      <c r="Z259" s="25"/>
      <c r="AA259" s="25"/>
      <c r="AB259" s="57"/>
      <c r="AC259" s="25"/>
      <c r="AD259" s="25"/>
      <c r="AE259" s="57"/>
      <c r="AF259" s="57"/>
      <c r="AG259" s="25"/>
      <c r="AH259" s="57"/>
      <c r="AI259" s="339"/>
      <c r="AJ259" s="339"/>
      <c r="AK259" s="297" t="str">
        <f>IF(X259&lt;&gt;"",CONCATENATE(IF(AA259&lt;&gt;"",CONCATENATE(Z259," ",AA259," ",BI259),""),IF(AD259&lt;&gt;"",CONCATENATE(","," ",AC259," ",AD259," ",BJ259),""),IF(AG259&lt;&gt;"",CONCATENATE(","," ",AF259," ",AG259," ",BK259),""),IF(AJ259&lt;&gt;"",CONCATENATE(","," ","DD"," ",BL259),"")," ",IF(AI259&lt;&gt;"",CONCATENATE(" - ",AI259," Bag"),"")),"")</f>
        <v/>
      </c>
      <c r="AL259" s="287"/>
      <c r="AM259" s="287"/>
      <c r="AN259" s="287"/>
      <c r="AO259" s="287"/>
      <c r="AP259" s="370" t="str">
        <f>IFERROR(VLOOKUP($E256,Outlist!$A$5:$V$120,20,FALSE),"")</f>
        <v/>
      </c>
      <c r="AQ259" s="288" t="str">
        <f>IFERROR(IF(VLOOKUP($A259,#REF!,8,FALSE)&lt;&gt;"",VLOOKUP($A259,#REF!,8,FALSE),""),"")</f>
        <v/>
      </c>
      <c r="AS259" s="24"/>
      <c r="AT259" s="24"/>
      <c r="AU259" s="27"/>
      <c r="AV259" s="27"/>
      <c r="AX259" s="20" t="str">
        <f>IFERROR(IF(Out_Table[[#This Row],[Cancellazione linea]]="Cancellata","yes",""),"")</f>
        <v/>
      </c>
      <c r="AY259" s="72" t="str">
        <f>IF(BA259="",BZ259,IF(AND(BA259&lt;(--"23:59:59"),BA259&gt;(--"15:00:00"),G259&lt;(--"14:00:00"),G259&gt;(--"00:00:01")),"",IF(BA259&gt;G259,BZ259,"")))</f>
        <v/>
      </c>
      <c r="AZ259" s="27"/>
      <c r="BA259" s="32"/>
      <c r="BB259" s="72"/>
      <c r="BC259" s="72" t="str">
        <f>IFERROR(VLOOKUP(Out_Table[[#This Row],[Aggiornamento STATUS]],'INformazioni per calcoli'!$Y$70:$AA$76,2,FALSE),"")</f>
        <v/>
      </c>
      <c r="BD259" s="289"/>
      <c r="BE259" s="289"/>
      <c r="BF259" s="47" t="str">
        <f>LEFT($E259,3)</f>
        <v/>
      </c>
      <c r="BG259" s="298" t="str">
        <f>IF(Out_Table[[#This Row],[Ora Uscita    (GH)]]&lt;&gt;"","x","")</f>
        <v/>
      </c>
      <c r="BH259" s="299" t="e">
        <f>VLOOKUP($O259,'INformazioni per calcoli'!$Y$20:$AA$23,3,FALSE)</f>
        <v>#N/A</v>
      </c>
      <c r="BI259" s="299" t="e">
        <f>MROUND(Out_Table[[#This Row],[Mtr. Trailer]]*AB259,0.5)</f>
        <v>#N/A</v>
      </c>
      <c r="BJ259" s="299" t="e">
        <f>MROUND(Out_Table[[#This Row],[Mtr. Trailer]]*AE259,0.5)</f>
        <v>#N/A</v>
      </c>
      <c r="BK259" s="299" t="e">
        <f>MROUND(Out_Table[[#This Row],[Mtr. Trailer]]*AH259,0.5)</f>
        <v>#N/A</v>
      </c>
      <c r="BL259" s="300">
        <f>Out_Table[[#This Row],[Double Deck trailer N° bumpers]]</f>
        <v>0</v>
      </c>
      <c r="BM259" s="301"/>
      <c r="BN259" s="299" t="str">
        <f>B259</f>
        <v/>
      </c>
      <c r="BO259" s="299" t="str">
        <f>E259</f>
        <v/>
      </c>
      <c r="BP259" s="302" t="e">
        <f>IF(AND(G259&gt;(--"00:00:01"),G259&lt;(--"15:00:00")),IF(AND(X259&gt;(--"00:00:01"),X259&lt;(--"15:00:00")),G259-X259,G259+1-X259),G259-X259)</f>
        <v>#VALUE!</v>
      </c>
      <c r="BQ259" s="303">
        <f>AE259+AF259+AH259+AJ259</f>
        <v>0</v>
      </c>
      <c r="BR259" s="304" t="e">
        <f>IF(OR(BP259&lt;=(--"00:20:00"),BQ259&gt;=100%),"OK","Not OK")</f>
        <v>#VALUE!</v>
      </c>
      <c r="BS259" s="302" t="e">
        <f>IF(AND(G259&gt;(--"00:00:01"),G259&lt;(--"15:00:00")),IF(AND(AU259&gt;(--"00:00:01"),AU259&lt;(--"15:00:00")),G259-AU259,G259+1-AU259),G259-AU259)</f>
        <v>#VALUE!</v>
      </c>
      <c r="BT259" s="302">
        <f>IF(AND(AZ259&gt;(--"00:00:01"),AZ259&lt;(--"15:00:00")),IF(AND(AU259&gt;(--"00:00:01"),AU259&lt;(--"15:00:00")),AZ259-AU259,AZ259+1-AU259),AZ259-AU259)</f>
        <v>0</v>
      </c>
      <c r="BU259" s="302">
        <f>IF(AND(BA259&gt;(--"00:00:01"),BA259&lt;(--"15:00:00")),IF(AND(AZ259&gt;(--"00:00:01"),AZ259&lt;(--"15:00:00")),BA259-AZ259,BA259+1-AZ259),BA259-AZ259)</f>
        <v>0</v>
      </c>
      <c r="BV259" s="299">
        <f>AV259</f>
        <v>0</v>
      </c>
      <c r="BW259" s="301"/>
      <c r="BX259" s="299" t="str">
        <f>IF(AV259="T Status",IF(AV259&lt;&gt;T259,"X",""),"")</f>
        <v/>
      </c>
      <c r="BY259" s="301"/>
      <c r="BZ259" s="299" t="str">
        <f>IF(X259&lt;&gt;"",IF(CC259="X","Driver Delay",IF(CA259="X","Paperwork Delay",IF(CB259="X","Late freight late sort",IF(CD259="X","Chiamare Control Room",IF(CE259="X","Chiamare Control Room",IF(CF259="X","Chiamare Control Room","")))))),"")</f>
        <v/>
      </c>
      <c r="CA259" s="302" t="e">
        <f>IF(K259="",IF(IF(AND(G259&gt;(--"00:00:01"),G259&lt;(--"15:00:00")),IF(AND(AT259&gt;(--"08:00:00"),AT259&lt;(--"23:59:59")),G259+1-AT259,G259-AT259),G259-AT259)&gt;(--"00:20:00"),"","X"),"")</f>
        <v>#VALUE!</v>
      </c>
      <c r="CB259" s="299" t="e">
        <f>IF(K259="",IF(BP259&gt;=(--"00:20:00"),"","X"),"")</f>
        <v>#VALUE!</v>
      </c>
      <c r="CC259" s="299" t="str">
        <f>IF(OR(AV259="Autista non presente",AV259="Dati driver non presenti"),"X","")</f>
        <v/>
      </c>
      <c r="CD259" s="299" t="e">
        <f>IF(K259="",IF(AND(CC259="",BS259&lt;(--"00:20:00")),"X",""),"")</f>
        <v>#VALUE!</v>
      </c>
      <c r="CE259" s="299" t="str">
        <f>IF(K259="",IF(BT259&gt;(--"00:15:00"),"X",""),IF(AZ259&lt;&gt;"",IF(G259-AZ259&gt;(--"00:30:00"),"X",""),""))</f>
        <v/>
      </c>
      <c r="CF259" s="299" t="e">
        <f>IF(AND(CA259="",CB259="",CC259="",CD259="",CE259=""),"X","")</f>
        <v>#VALUE!</v>
      </c>
      <c r="CG259" s="301"/>
      <c r="CH259" s="299" t="str">
        <f>IF(BT259&gt;(--"00:15:00"),"X","")</f>
        <v/>
      </c>
      <c r="CI259" s="302" t="str">
        <f>AY259</f>
        <v/>
      </c>
      <c r="CJ259" s="299" t="str">
        <f>IF(AND(CH259&lt;&gt;"",CI259&lt;&gt;"",LEFT(B259,3)="ITD"),AP259,"")</f>
        <v/>
      </c>
      <c r="CK259" s="305" t="str">
        <f>IF(CJ259&lt;&gt;"",BT259,"")</f>
        <v/>
      </c>
      <c r="CL259" s="301"/>
      <c r="CM259" s="305" t="str">
        <f>IFERROR(VLOOKUP(Q259,'Elenco Casse'!$D$4:$F$292,3,FALSE),"")</f>
        <v/>
      </c>
      <c r="CN259" s="301"/>
      <c r="CO259" s="305" t="str">
        <f>IFERROR(VLOOKUP(S259,'Elenco Casse'!$D$4:$F$292,3,FALSE),"")</f>
        <v/>
      </c>
      <c r="CP259" s="305" t="str">
        <f>IFERROR(IF(VLOOKUP($E259,Outlist!$A$5:$S$120,19,FALSE)&lt;&gt;0,"Y",""),"")</f>
        <v/>
      </c>
      <c r="CQ259" s="301"/>
      <c r="CR259" s="305" t="str">
        <f>CONCATENATE($B259,$E259,$G259)</f>
        <v/>
      </c>
      <c r="CS259" s="301"/>
      <c r="CT259" s="305" t="e">
        <f>VLOOKUP(Out_Table[[#This Row],[Destination             ORANGE (From Planning)]],Outlist!$A$5:$W$120,22,FALSE)</f>
        <v>#N/A</v>
      </c>
    </row>
    <row r="260" spans="1:98" s="20" customFormat="1" ht="15">
      <c r="A260" s="305" t="str">
        <f>$CR260</f>
        <v/>
      </c>
      <c r="B260" s="351" t="str">
        <f>IFERROR(VLOOKUP(E260,Outlist!$A$5:$AC$120,2,FALSE),"")</f>
        <v/>
      </c>
      <c r="C260" s="352" t="str">
        <f ca="1">IFERROR(IF(LEFT(B260,3)='STAT 77'!$X$2,_xlfn.XLOOKUP(B260,'STAT 77'!C:C,'STAT 77'!B:B),_xlfn.XLOOKUP(B260,'STAT 77'!B:B,'STAT 77'!C:C)),"NON TROVATO")</f>
        <v>NON TROVATO</v>
      </c>
      <c r="D260" s="4"/>
      <c r="E260" s="352" t="str">
        <f>IFERROR(IF(Outlist!$A122&lt;&gt;"",Outlist!$A122,""),"")</f>
        <v/>
      </c>
      <c r="F260" s="352" t="str">
        <f>IFERROR(VLOOKUP(E260,'Cambio O2P'!C:E,2,FALSE),"")</f>
        <v/>
      </c>
      <c r="G260" s="353" t="str">
        <f>IFERROR(VLOOKUP(E260,Outlist!$A$5:$AC$120,5,FALSE)-INT(VLOOKUP(E260,Outlist!$A$5:$AC$120,5,FALSE)),"")</f>
        <v/>
      </c>
      <c r="H260" s="294" t="str">
        <f ca="1">IFERROR(IF(AND('INformazioni per calcoli'!$AB$3&lt;(--"14:30"),'INformazioni per calcoli'!$AB$3&gt;(--"10:00")),"",IF($B260="","",IF($X260&lt;&gt;"","Mezzo Chiuso",IF($W260="","Non al Carico",IF($K260="Safe Parking","Safe Parking", IF(OR($BF260='INformazioni per calcoli'!$AF$8,$BF260='INformazioni per calcoli'!$AC$8,$BF260='INformazioni per calcoli'!$AD$8,$BF260='INformazioni per calcoli'!$AE$8,$BF260='INformazioni per calcoli'!$AG$8,$BF260='INformazioni per calcoli'!$AH$8,$BF260='INformazioni per calcoli'!$AI$8,$BF260='INformazioni per calcoli'!$AJ$8),IF($G260-'INformazioni per calcoli'!$AB$6-'INformazioni per calcoli'!$AB$3+$J260&lt;0,"LFLS",$G260-'INformazioni per calcoli'!$AB$6-'INformazioni per calcoli'!$AB$3+$J260), IF(OR($BF260='INformazioni per calcoli'!$AF$6,$BF260='INformazioni per calcoli'!$AD$6,$BF260='INformazioni per calcoli'!$AE$6,$BF260='INformazioni per calcoli'!$AG$6),IF($G260-'INformazioni per calcoli'!$AB$8-'INformazioni per calcoli'!$AB$3+$J260&lt;0,"LFLS",$G260-'INformazioni per calcoli'!$AB$8-'INformazioni per calcoli'!$AB$3+$J260), IF($G260-'INformazioni per calcoli'!$AB$7-'INformazioni per calcoli'!$AB$3+$J260&lt;0,"LFLS",$G260-'INformazioni per calcoli'!$AB$7-'INformazioni per calcoli'!$AB$3+$J260)))))))),"")</f>
        <v/>
      </c>
      <c r="I260" s="17" t="str">
        <f ca="1">IFERROR(IF($H260&lt;&gt;"",IF($H260="Safe Parking","",IF($W260&lt;&gt;"",IF(AND($U260="X",$V260="X"),$H260-(--"00:30"),""),IF($X260&lt;&gt;"","Mezzo Chiuso","Non al carico"))),""),"")</f>
        <v/>
      </c>
      <c r="J260" s="354" t="str">
        <f>IFERROR(IF($G260="","",IF(INT(VLOOKUP($E260,Outlist!$A$5:$E$120,5,FALSE))&gt;'INformazioni per calcoli'!$AB$2,INT(VLOOKUP($E260,Outlist!$A$5:$E$120,5,FALSE))-INT('INformazioni per calcoli'!$AB$2),0)),"")</f>
        <v/>
      </c>
      <c r="K260" s="27" t="str">
        <f>IF(E260&lt;&gt;"",IFERROR(VLOOKUP(E260,Outlist!$A$5:$AC$120,22,FALSE),""),"")</f>
        <v/>
      </c>
      <c r="L260" s="352" t="str">
        <f>IF(E260&lt;&gt;"",IFERROR(VLOOKUP(E260,Outlist!$A$5:$AC$120,3,FALSE),""),"")</f>
        <v/>
      </c>
      <c r="M260" s="4" t="str">
        <f>IFERROR(_xlfn.XLOOKUP($Q260,'Elenco Casse'!$D:$D,'Elenco Casse'!$E:$E),"")</f>
        <v/>
      </c>
      <c r="N260" s="4" t="str">
        <f>IFERROR(_xlfn.XLOOKUP($Q260,'Elenco Casse'!$D:$D,'Elenco Casse'!$F:$F),"")</f>
        <v/>
      </c>
      <c r="O260" s="4" t="str">
        <f>IF($L260&lt;&gt;"","TT-2/3","")</f>
        <v/>
      </c>
      <c r="P260" s="296" t="str">
        <f>IFERROR(IF(VLOOKUP(E260,Outlist!$A$5:$AC$120,21,FALSE)="YES","Linea Variata",""),"")</f>
        <v/>
      </c>
      <c r="Q260" s="355" t="str">
        <f>IFERROR(VLOOKUP(E260,Outlist!$AK$4:$BH$139,13,FALSE),"")</f>
        <v/>
      </c>
      <c r="R260" s="23"/>
      <c r="S260" s="25" t="str">
        <f>IFERROR(IF(VLOOKUP(E260,Outlist!$A$5:$AC$120,7,FALSE)="X","SUBCO",""),"")</f>
        <v/>
      </c>
      <c r="T260" s="25"/>
      <c r="U260" s="23"/>
      <c r="V260" s="23"/>
      <c r="W260" s="26"/>
      <c r="X260" s="27"/>
      <c r="Y260" s="25" t="str">
        <f>IF(OR(Out_Table[[#This Row],[DOC Del. hr. (RTH)]]&lt;&gt;"",Outlist!S161),"XXX","")</f>
        <v/>
      </c>
      <c r="Z260" s="25"/>
      <c r="AA260" s="25"/>
      <c r="AB260" s="57"/>
      <c r="AC260" s="25"/>
      <c r="AD260" s="25"/>
      <c r="AE260" s="57"/>
      <c r="AF260" s="57"/>
      <c r="AG260" s="25"/>
      <c r="AH260" s="57"/>
      <c r="AI260" s="339"/>
      <c r="AJ260" s="339"/>
      <c r="AK260" s="297" t="str">
        <f>IF(X260&lt;&gt;"",CONCATENATE(IF(AA260&lt;&gt;"",CONCATENATE(Z260," ",AA260," ",BI260),""),IF(AD260&lt;&gt;"",CONCATENATE(","," ",AC260," ",AD260," ",BJ260),""),IF(AG260&lt;&gt;"",CONCATENATE(","," ",AF260," ",AG260," ",BK260),""),IF(AJ260&lt;&gt;"",CONCATENATE(","," ","DD"," ",BL260),"")," ",IF(AI260&lt;&gt;"",CONCATENATE(" - ",AI260," Bag"),"")),"")</f>
        <v/>
      </c>
      <c r="AL260" s="287"/>
      <c r="AM260" s="287"/>
      <c r="AN260" s="287"/>
      <c r="AO260" s="287"/>
      <c r="AP260" s="370" t="str">
        <f>IFERROR(VLOOKUP($E257,Outlist!$A$5:$V$120,20,FALSE),"")</f>
        <v/>
      </c>
      <c r="AQ260" s="288" t="str">
        <f>IFERROR(IF(VLOOKUP($A260,#REF!,8,FALSE)&lt;&gt;"",VLOOKUP($A260,#REF!,8,FALSE),""),"")</f>
        <v/>
      </c>
      <c r="AS260" s="24"/>
      <c r="AT260" s="24"/>
      <c r="AU260" s="27"/>
      <c r="AV260" s="27"/>
      <c r="AX260" s="20" t="str">
        <f>IFERROR(IF(Out_Table[[#This Row],[Cancellazione linea]]="Cancellata","yes",""),"")</f>
        <v/>
      </c>
      <c r="AY260" s="72" t="str">
        <f>IF(BA260="",BZ260,IF(AND(BA260&lt;(--"23:59:59"),BA260&gt;(--"15:00:00"),G260&lt;(--"14:00:00"),G260&gt;(--"00:00:01")),"",IF(BA260&gt;G260,BZ260,"")))</f>
        <v/>
      </c>
      <c r="AZ260" s="27"/>
      <c r="BA260" s="32"/>
      <c r="BB260" s="72"/>
      <c r="BC260" s="72" t="str">
        <f>IFERROR(VLOOKUP(Out_Table[[#This Row],[Aggiornamento STATUS]],'INformazioni per calcoli'!$Y$70:$AA$76,2,FALSE),"")</f>
        <v/>
      </c>
      <c r="BD260" s="289"/>
      <c r="BE260" s="289"/>
      <c r="BF260" s="47" t="str">
        <f>LEFT($E260,3)</f>
        <v/>
      </c>
      <c r="BG260" s="298" t="str">
        <f>IF(Out_Table[[#This Row],[Ora Uscita    (GH)]]&lt;&gt;"","x","")</f>
        <v/>
      </c>
      <c r="BH260" s="299" t="e">
        <f>VLOOKUP($O260,'INformazioni per calcoli'!$Y$20:$AA$23,3,FALSE)</f>
        <v>#N/A</v>
      </c>
      <c r="BI260" s="299" t="e">
        <f>MROUND(Out_Table[[#This Row],[Mtr. Trailer]]*AB260,0.5)</f>
        <v>#N/A</v>
      </c>
      <c r="BJ260" s="299" t="e">
        <f>MROUND(Out_Table[[#This Row],[Mtr. Trailer]]*AE260,0.5)</f>
        <v>#N/A</v>
      </c>
      <c r="BK260" s="299" t="e">
        <f>MROUND(Out_Table[[#This Row],[Mtr. Trailer]]*AH260,0.5)</f>
        <v>#N/A</v>
      </c>
      <c r="BL260" s="300">
        <f>Out_Table[[#This Row],[Double Deck trailer N° bumpers]]</f>
        <v>0</v>
      </c>
      <c r="BM260" s="301"/>
      <c r="BN260" s="299" t="str">
        <f>B260</f>
        <v/>
      </c>
      <c r="BO260" s="299" t="str">
        <f>E260</f>
        <v/>
      </c>
      <c r="BP260" s="302" t="e">
        <f>IF(AND(G260&gt;(--"00:00:01"),G260&lt;(--"15:00:00")),IF(AND(X260&gt;(--"00:00:01"),X260&lt;(--"15:00:00")),G260-X260,G260+1-X260),G260-X260)</f>
        <v>#VALUE!</v>
      </c>
      <c r="BQ260" s="303">
        <f>AE260+AF260+AH260+AJ260</f>
        <v>0</v>
      </c>
      <c r="BR260" s="304" t="e">
        <f>IF(OR(BP260&lt;=(--"00:20:00"),BQ260&gt;=100%),"OK","Not OK")</f>
        <v>#VALUE!</v>
      </c>
      <c r="BS260" s="302" t="e">
        <f>IF(AND(G260&gt;(--"00:00:01"),G260&lt;(--"15:00:00")),IF(AND(AU260&gt;(--"00:00:01"),AU260&lt;(--"15:00:00")),G260-AU260,G260+1-AU260),G260-AU260)</f>
        <v>#VALUE!</v>
      </c>
      <c r="BT260" s="302">
        <f>IF(AND(AZ260&gt;(--"00:00:01"),AZ260&lt;(--"15:00:00")),IF(AND(AU260&gt;(--"00:00:01"),AU260&lt;(--"15:00:00")),AZ260-AU260,AZ260+1-AU260),AZ260-AU260)</f>
        <v>0</v>
      </c>
      <c r="BU260" s="302">
        <f>IF(AND(BA260&gt;(--"00:00:01"),BA260&lt;(--"15:00:00")),IF(AND(AZ260&gt;(--"00:00:01"),AZ260&lt;(--"15:00:00")),BA260-AZ260,BA260+1-AZ260),BA260-AZ260)</f>
        <v>0</v>
      </c>
      <c r="BV260" s="299">
        <f>AV260</f>
        <v>0</v>
      </c>
      <c r="BW260" s="301"/>
      <c r="BX260" s="299" t="str">
        <f>IF(AV260="T Status",IF(AV260&lt;&gt;T260,"X",""),"")</f>
        <v/>
      </c>
      <c r="BY260" s="301"/>
      <c r="BZ260" s="299" t="str">
        <f>IF(X260&lt;&gt;"",IF(CC260="X","Driver Delay",IF(CA260="X","Paperwork Delay",IF(CB260="X","Late freight late sort",IF(CD260="X","Chiamare Control Room",IF(CE260="X","Chiamare Control Room",IF(CF260="X","Chiamare Control Room","")))))),"")</f>
        <v/>
      </c>
      <c r="CA260" s="302" t="e">
        <f>IF(K260="",IF(IF(AND(G260&gt;(--"00:00:01"),G260&lt;(--"15:00:00")),IF(AND(AT260&gt;(--"08:00:00"),AT260&lt;(--"23:59:59")),G260+1-AT260,G260-AT260),G260-AT260)&gt;(--"00:20:00"),"","X"),"")</f>
        <v>#VALUE!</v>
      </c>
      <c r="CB260" s="299" t="e">
        <f>IF(K260="",IF(BP260&gt;=(--"00:20:00"),"","X"),"")</f>
        <v>#VALUE!</v>
      </c>
      <c r="CC260" s="299" t="str">
        <f>IF(OR(AV260="Autista non presente",AV260="Dati driver non presenti"),"X","")</f>
        <v/>
      </c>
      <c r="CD260" s="299" t="e">
        <f>IF(K260="",IF(AND(CC260="",BS260&lt;(--"00:20:00")),"X",""),"")</f>
        <v>#VALUE!</v>
      </c>
      <c r="CE260" s="299" t="str">
        <f>IF(K260="",IF(BT260&gt;(--"00:15:00"),"X",""),IF(AZ260&lt;&gt;"",IF(G260-AZ260&gt;(--"00:30:00"),"X",""),""))</f>
        <v/>
      </c>
      <c r="CF260" s="299" t="e">
        <f>IF(AND(CA260="",CB260="",CC260="",CD260="",CE260=""),"X","")</f>
        <v>#VALUE!</v>
      </c>
      <c r="CG260" s="301"/>
      <c r="CH260" s="299" t="str">
        <f>IF(BT260&gt;(--"00:15:00"),"X","")</f>
        <v/>
      </c>
      <c r="CI260" s="302" t="str">
        <f>AY260</f>
        <v/>
      </c>
      <c r="CJ260" s="299" t="str">
        <f>IF(AND(CH260&lt;&gt;"",CI260&lt;&gt;"",LEFT(B260,3)="ITD"),AP260,"")</f>
        <v/>
      </c>
      <c r="CK260" s="305" t="str">
        <f>IF(CJ260&lt;&gt;"",BT260,"")</f>
        <v/>
      </c>
      <c r="CL260" s="301"/>
      <c r="CM260" s="305" t="str">
        <f>IFERROR(VLOOKUP(Q260,'Elenco Casse'!$D$4:$F$292,3,FALSE),"")</f>
        <v/>
      </c>
      <c r="CN260" s="301"/>
      <c r="CO260" s="305" t="str">
        <f>IFERROR(VLOOKUP(S260,'Elenco Casse'!$D$4:$F$292,3,FALSE),"")</f>
        <v/>
      </c>
      <c r="CP260" s="305" t="str">
        <f>IFERROR(IF(VLOOKUP($E260,Outlist!$A$5:$S$120,19,FALSE)&lt;&gt;0,"Y",""),"")</f>
        <v/>
      </c>
      <c r="CQ260" s="301"/>
      <c r="CR260" s="305" t="str">
        <f>CONCATENATE($B260,$E260,$G260)</f>
        <v/>
      </c>
      <c r="CS260" s="301"/>
      <c r="CT260" s="305" t="e">
        <f>VLOOKUP(Out_Table[[#This Row],[Destination             ORANGE (From Planning)]],Outlist!$A$5:$W$120,22,FALSE)</f>
        <v>#N/A</v>
      </c>
    </row>
    <row r="261" spans="1:98" s="20" customFormat="1" ht="15">
      <c r="A261" s="305" t="str">
        <f>$CR261</f>
        <v/>
      </c>
      <c r="B261" s="351" t="str">
        <f>IFERROR(VLOOKUP(E261,Outlist!$A$5:$AC$120,2,FALSE),"")</f>
        <v/>
      </c>
      <c r="C261" s="352" t="str">
        <f ca="1">IFERROR(IF(LEFT(B261,3)='STAT 77'!$X$2,_xlfn.XLOOKUP(B261,'STAT 77'!C:C,'STAT 77'!B:B),_xlfn.XLOOKUP(B261,'STAT 77'!B:B,'STAT 77'!C:C)),"NON TROVATO")</f>
        <v>NON TROVATO</v>
      </c>
      <c r="D261" s="4"/>
      <c r="E261" s="352" t="str">
        <f>IFERROR(IF(Outlist!$A123&lt;&gt;"",Outlist!$A123,""),"")</f>
        <v/>
      </c>
      <c r="F261" s="352" t="str">
        <f>IFERROR(VLOOKUP(E261,'Cambio O2P'!C:E,2,FALSE),"")</f>
        <v/>
      </c>
      <c r="G261" s="353" t="str">
        <f>IFERROR(VLOOKUP(E261,Outlist!$A$5:$AC$120,5,FALSE)-INT(VLOOKUP(E261,Outlist!$A$5:$AC$120,5,FALSE)),"")</f>
        <v/>
      </c>
      <c r="H261" s="294" t="str">
        <f ca="1">IFERROR(IF(AND('INformazioni per calcoli'!$AB$3&lt;(--"14:30"),'INformazioni per calcoli'!$AB$3&gt;(--"10:00")),"",IF($B261="","",IF($X261&lt;&gt;"","Mezzo Chiuso",IF($W261="","Non al Carico",IF($K261="Safe Parking","Safe Parking", IF(OR($BF261='INformazioni per calcoli'!$AF$8,$BF261='INformazioni per calcoli'!$AC$8,$BF261='INformazioni per calcoli'!$AD$8,$BF261='INformazioni per calcoli'!$AE$8,$BF261='INformazioni per calcoli'!$AG$8,$BF261='INformazioni per calcoli'!$AH$8,$BF261='INformazioni per calcoli'!$AI$8,$BF261='INformazioni per calcoli'!$AJ$8),IF($G261-'INformazioni per calcoli'!$AB$6-'INformazioni per calcoli'!$AB$3+$J261&lt;0,"LFLS",$G261-'INformazioni per calcoli'!$AB$6-'INformazioni per calcoli'!$AB$3+$J261), IF(OR($BF261='INformazioni per calcoli'!$AF$6,$BF261='INformazioni per calcoli'!$AD$6,$BF261='INformazioni per calcoli'!$AE$6,$BF261='INformazioni per calcoli'!$AG$6),IF($G261-'INformazioni per calcoli'!$AB$8-'INformazioni per calcoli'!$AB$3+$J261&lt;0,"LFLS",$G261-'INformazioni per calcoli'!$AB$8-'INformazioni per calcoli'!$AB$3+$J261), IF($G261-'INformazioni per calcoli'!$AB$7-'INformazioni per calcoli'!$AB$3+$J261&lt;0,"LFLS",$G261-'INformazioni per calcoli'!$AB$7-'INformazioni per calcoli'!$AB$3+$J261)))))))),"")</f>
        <v/>
      </c>
      <c r="I261" s="17" t="str">
        <f ca="1">IFERROR(IF($H261&lt;&gt;"",IF($H261="Safe Parking","",IF($W261&lt;&gt;"",IF(AND($U261="X",$V261="X"),$H261-(--"00:30"),""),IF($X261&lt;&gt;"","Mezzo Chiuso","Non al carico"))),""),"")</f>
        <v/>
      </c>
      <c r="J261" s="354" t="str">
        <f>IFERROR(IF($G261="","",IF(INT(VLOOKUP($E261,Outlist!$A$5:$E$120,5,FALSE))&gt;'INformazioni per calcoli'!$AB$2,INT(VLOOKUP($E261,Outlist!$A$5:$E$120,5,FALSE))-INT('INformazioni per calcoli'!$AB$2),0)),"")</f>
        <v/>
      </c>
      <c r="K261" s="27" t="str">
        <f>IF(E261&lt;&gt;"",IFERROR(VLOOKUP(E261,Outlist!$A$5:$AC$120,22,FALSE),""),"")</f>
        <v/>
      </c>
      <c r="L261" s="352" t="str">
        <f>IF(E261&lt;&gt;"",IFERROR(VLOOKUP(E261,Outlist!$A$5:$AC$120,3,FALSE),""),"")</f>
        <v/>
      </c>
      <c r="M261" s="4" t="str">
        <f>IFERROR(_xlfn.XLOOKUP($Q261,'Elenco Casse'!$D:$D,'Elenco Casse'!$E:$E),"")</f>
        <v/>
      </c>
      <c r="N261" s="4" t="str">
        <f>IFERROR(_xlfn.XLOOKUP($Q261,'Elenco Casse'!$D:$D,'Elenco Casse'!$F:$F),"")</f>
        <v/>
      </c>
      <c r="O261" s="4" t="str">
        <f>IF($L261&lt;&gt;"","TT-2/3","")</f>
        <v/>
      </c>
      <c r="P261" s="296" t="str">
        <f>IFERROR(IF(VLOOKUP(E261,Outlist!$A$5:$AC$120,21,FALSE)="YES","Linea Variata",""),"")</f>
        <v/>
      </c>
      <c r="Q261" s="355" t="str">
        <f>IFERROR(VLOOKUP(E261,Outlist!$AK$4:$BH$139,13,FALSE),"")</f>
        <v/>
      </c>
      <c r="R261" s="23"/>
      <c r="S261" s="25" t="str">
        <f>IFERROR(IF(VLOOKUP(E261,Outlist!$A$5:$AC$120,7,FALSE)="X","SUBCO",""),"")</f>
        <v/>
      </c>
      <c r="T261" s="25"/>
      <c r="U261" s="23"/>
      <c r="V261" s="23"/>
      <c r="W261" s="26"/>
      <c r="X261" s="27"/>
      <c r="Y261" s="25" t="str">
        <f>IF(OR(Out_Table[[#This Row],[DOC Del. hr. (RTH)]]&lt;&gt;"",Outlist!S162),"XXX","")</f>
        <v/>
      </c>
      <c r="Z261" s="25"/>
      <c r="AA261" s="25"/>
      <c r="AB261" s="57"/>
      <c r="AC261" s="25"/>
      <c r="AD261" s="25"/>
      <c r="AE261" s="57"/>
      <c r="AF261" s="57"/>
      <c r="AG261" s="25"/>
      <c r="AH261" s="57"/>
      <c r="AI261" s="339"/>
      <c r="AJ261" s="339"/>
      <c r="AK261" s="297" t="str">
        <f>IF(X261&lt;&gt;"",CONCATENATE(IF(AA261&lt;&gt;"",CONCATENATE(Z261," ",AA261," ",BI261),""),IF(AD261&lt;&gt;"",CONCATENATE(","," ",AC261," ",AD261," ",BJ261),""),IF(AG261&lt;&gt;"",CONCATENATE(","," ",AF261," ",AG261," ",BK261),""),IF(AJ261&lt;&gt;"",CONCATENATE(","," ","DD"," ",BL261),"")," ",IF(AI261&lt;&gt;"",CONCATENATE(" - ",AI261," Bag"),"")),"")</f>
        <v/>
      </c>
      <c r="AL261" s="287"/>
      <c r="AM261" s="287"/>
      <c r="AN261" s="287"/>
      <c r="AO261" s="287"/>
      <c r="AP261" s="370" t="str">
        <f>IFERROR(VLOOKUP($E258,Outlist!$A$5:$V$120,20,FALSE),"")</f>
        <v/>
      </c>
      <c r="AQ261" s="288" t="str">
        <f>IFERROR(IF(VLOOKUP($A261,#REF!,8,FALSE)&lt;&gt;"",VLOOKUP($A261,#REF!,8,FALSE),""),"")</f>
        <v/>
      </c>
      <c r="AS261" s="24"/>
      <c r="AT261" s="24"/>
      <c r="AU261" s="27"/>
      <c r="AV261" s="27"/>
      <c r="AX261" s="20" t="str">
        <f>IFERROR(IF(Out_Table[[#This Row],[Cancellazione linea]]="Cancellata","yes",""),"")</f>
        <v/>
      </c>
      <c r="AY261" s="72" t="str">
        <f>IF(BA261="",BZ261,IF(AND(BA261&lt;(--"23:59:59"),BA261&gt;(--"15:00:00"),G261&lt;(--"14:00:00"),G261&gt;(--"00:00:01")),"",IF(BA261&gt;G261,BZ261,"")))</f>
        <v/>
      </c>
      <c r="AZ261" s="27"/>
      <c r="BA261" s="32"/>
      <c r="BB261" s="72"/>
      <c r="BC261" s="72" t="str">
        <f>IFERROR(VLOOKUP(Out_Table[[#This Row],[Aggiornamento STATUS]],'INformazioni per calcoli'!$Y$70:$AA$76,2,FALSE),"")</f>
        <v/>
      </c>
      <c r="BD261" s="289"/>
      <c r="BE261" s="289"/>
      <c r="BF261" s="47" t="str">
        <f>LEFT($E261,3)</f>
        <v/>
      </c>
      <c r="BG261" s="298" t="str">
        <f>IF(Out_Table[[#This Row],[Ora Uscita    (GH)]]&lt;&gt;"","x","")</f>
        <v/>
      </c>
      <c r="BH261" s="299" t="e">
        <f>VLOOKUP($O261,'INformazioni per calcoli'!$Y$20:$AA$23,3,FALSE)</f>
        <v>#N/A</v>
      </c>
      <c r="BI261" s="299" t="e">
        <f>MROUND(Out_Table[[#This Row],[Mtr. Trailer]]*AB261,0.5)</f>
        <v>#N/A</v>
      </c>
      <c r="BJ261" s="299" t="e">
        <f>MROUND(Out_Table[[#This Row],[Mtr. Trailer]]*AE261,0.5)</f>
        <v>#N/A</v>
      </c>
      <c r="BK261" s="299" t="e">
        <f>MROUND(Out_Table[[#This Row],[Mtr. Trailer]]*AH261,0.5)</f>
        <v>#N/A</v>
      </c>
      <c r="BL261" s="300">
        <f>Out_Table[[#This Row],[Double Deck trailer N° bumpers]]</f>
        <v>0</v>
      </c>
      <c r="BM261" s="301"/>
      <c r="BN261" s="299" t="str">
        <f>B261</f>
        <v/>
      </c>
      <c r="BO261" s="299" t="str">
        <f>E261</f>
        <v/>
      </c>
      <c r="BP261" s="302" t="e">
        <f>IF(AND(G261&gt;(--"00:00:01"),G261&lt;(--"15:00:00")),IF(AND(X261&gt;(--"00:00:01"),X261&lt;(--"15:00:00")),G261-X261,G261+1-X261),G261-X261)</f>
        <v>#VALUE!</v>
      </c>
      <c r="BQ261" s="303">
        <f>AE261+AF261+AH261+AJ261</f>
        <v>0</v>
      </c>
      <c r="BR261" s="304" t="e">
        <f>IF(OR(BP261&lt;=(--"00:20:00"),BQ261&gt;=100%),"OK","Not OK")</f>
        <v>#VALUE!</v>
      </c>
      <c r="BS261" s="302" t="e">
        <f>IF(AND(G261&gt;(--"00:00:01"),G261&lt;(--"15:00:00")),IF(AND(AU261&gt;(--"00:00:01"),AU261&lt;(--"15:00:00")),G261-AU261,G261+1-AU261),G261-AU261)</f>
        <v>#VALUE!</v>
      </c>
      <c r="BT261" s="302">
        <f>IF(AND(AZ261&gt;(--"00:00:01"),AZ261&lt;(--"15:00:00")),IF(AND(AU261&gt;(--"00:00:01"),AU261&lt;(--"15:00:00")),AZ261-AU261,AZ261+1-AU261),AZ261-AU261)</f>
        <v>0</v>
      </c>
      <c r="BU261" s="302">
        <f>IF(AND(BA261&gt;(--"00:00:01"),BA261&lt;(--"15:00:00")),IF(AND(AZ261&gt;(--"00:00:01"),AZ261&lt;(--"15:00:00")),BA261-AZ261,BA261+1-AZ261),BA261-AZ261)</f>
        <v>0</v>
      </c>
      <c r="BV261" s="299">
        <f>AV261</f>
        <v>0</v>
      </c>
      <c r="BW261" s="301"/>
      <c r="BX261" s="299" t="str">
        <f>IF(AV261="T Status",IF(AV261&lt;&gt;T261,"X",""),"")</f>
        <v/>
      </c>
      <c r="BY261" s="301"/>
      <c r="BZ261" s="299" t="str">
        <f>IF(X261&lt;&gt;"",IF(CC261="X","Driver Delay",IF(CA261="X","Paperwork Delay",IF(CB261="X","Late freight late sort",IF(CD261="X","Chiamare Control Room",IF(CE261="X","Chiamare Control Room",IF(CF261="X","Chiamare Control Room","")))))),"")</f>
        <v/>
      </c>
      <c r="CA261" s="302" t="e">
        <f>IF(K261="",IF(IF(AND(G261&gt;(--"00:00:01"),G261&lt;(--"15:00:00")),IF(AND(AT261&gt;(--"08:00:00"),AT261&lt;(--"23:59:59")),G261+1-AT261,G261-AT261),G261-AT261)&gt;(--"00:20:00"),"","X"),"")</f>
        <v>#VALUE!</v>
      </c>
      <c r="CB261" s="299" t="e">
        <f>IF(K261="",IF(BP261&gt;=(--"00:20:00"),"","X"),"")</f>
        <v>#VALUE!</v>
      </c>
      <c r="CC261" s="299" t="str">
        <f>IF(OR(AV261="Autista non presente",AV261="Dati driver non presenti"),"X","")</f>
        <v/>
      </c>
      <c r="CD261" s="299" t="e">
        <f>IF(K261="",IF(AND(CC261="",BS261&lt;(--"00:20:00")),"X",""),"")</f>
        <v>#VALUE!</v>
      </c>
      <c r="CE261" s="299" t="str">
        <f>IF(K261="",IF(BT261&gt;(--"00:15:00"),"X",""),IF(AZ261&lt;&gt;"",IF(G261-AZ261&gt;(--"00:30:00"),"X",""),""))</f>
        <v/>
      </c>
      <c r="CF261" s="299" t="e">
        <f>IF(AND(CA261="",CB261="",CC261="",CD261="",CE261=""),"X","")</f>
        <v>#VALUE!</v>
      </c>
      <c r="CG261" s="301"/>
      <c r="CH261" s="299" t="str">
        <f>IF(BT261&gt;(--"00:15:00"),"X","")</f>
        <v/>
      </c>
      <c r="CI261" s="302" t="str">
        <f>AY261</f>
        <v/>
      </c>
      <c r="CJ261" s="299" t="str">
        <f>IF(AND(CH261&lt;&gt;"",CI261&lt;&gt;"",LEFT(B261,3)="ITD"),AP261,"")</f>
        <v/>
      </c>
      <c r="CK261" s="305" t="str">
        <f>IF(CJ261&lt;&gt;"",BT261,"")</f>
        <v/>
      </c>
      <c r="CL261" s="301"/>
      <c r="CM261" s="305" t="str">
        <f>IFERROR(VLOOKUP(Q261,'Elenco Casse'!$D$4:$F$292,3,FALSE),"")</f>
        <v/>
      </c>
      <c r="CN261" s="301"/>
      <c r="CO261" s="305" t="str">
        <f>IFERROR(VLOOKUP(S261,'Elenco Casse'!$D$4:$F$292,3,FALSE),"")</f>
        <v/>
      </c>
      <c r="CP261" s="305" t="str">
        <f>IFERROR(IF(VLOOKUP($E261,Outlist!$A$5:$S$120,19,FALSE)&lt;&gt;0,"Y",""),"")</f>
        <v/>
      </c>
      <c r="CQ261" s="301"/>
      <c r="CR261" s="305" t="str">
        <f>CONCATENATE($B261,$E261,$G261)</f>
        <v/>
      </c>
      <c r="CS261" s="301"/>
      <c r="CT261" s="305" t="e">
        <f>VLOOKUP(Out_Table[[#This Row],[Destination             ORANGE (From Planning)]],Outlist!$A$5:$W$120,22,FALSE)</f>
        <v>#N/A</v>
      </c>
    </row>
    <row r="262" spans="1:98" s="20" customFormat="1" ht="15">
      <c r="A262" s="305" t="str">
        <f>$CR262</f>
        <v/>
      </c>
      <c r="B262" s="351" t="str">
        <f>IFERROR(VLOOKUP(E262,Outlist!$A$5:$AC$120,2,FALSE),"")</f>
        <v/>
      </c>
      <c r="C262" s="352" t="str">
        <f ca="1">IFERROR(IF(LEFT(B262,3)='STAT 77'!$X$2,_xlfn.XLOOKUP(B262,'STAT 77'!C:C,'STAT 77'!B:B),_xlfn.XLOOKUP(B262,'STAT 77'!B:B,'STAT 77'!C:C)),"NON TROVATO")</f>
        <v>NON TROVATO</v>
      </c>
      <c r="D262" s="4"/>
      <c r="E262" s="352" t="str">
        <f>IFERROR(IF(Outlist!$A124&lt;&gt;"",Outlist!$A124,""),"")</f>
        <v/>
      </c>
      <c r="F262" s="352" t="str">
        <f>IFERROR(VLOOKUP(E262,'Cambio O2P'!C:E,2,FALSE),"")</f>
        <v/>
      </c>
      <c r="G262" s="353" t="str">
        <f>IFERROR(VLOOKUP(E262,Outlist!$A$5:$AC$120,5,FALSE)-INT(VLOOKUP(E262,Outlist!$A$5:$AC$120,5,FALSE)),"")</f>
        <v/>
      </c>
      <c r="H262" s="294" t="str">
        <f ca="1">IFERROR(IF(AND('INformazioni per calcoli'!$AB$3&lt;(--"14:30"),'INformazioni per calcoli'!$AB$3&gt;(--"10:00")),"",IF($B262="","",IF($X262&lt;&gt;"","Mezzo Chiuso",IF($W262="","Non al Carico",IF($K262="Safe Parking","Safe Parking", IF(OR($BF262='INformazioni per calcoli'!$AF$8,$BF262='INformazioni per calcoli'!$AC$8,$BF262='INformazioni per calcoli'!$AD$8,$BF262='INformazioni per calcoli'!$AE$8,$BF262='INformazioni per calcoli'!$AG$8,$BF262='INformazioni per calcoli'!$AH$8,$BF262='INformazioni per calcoli'!$AI$8,$BF262='INformazioni per calcoli'!$AJ$8),IF($G262-'INformazioni per calcoli'!$AB$6-'INformazioni per calcoli'!$AB$3+$J262&lt;0,"LFLS",$G262-'INformazioni per calcoli'!$AB$6-'INformazioni per calcoli'!$AB$3+$J262), IF(OR($BF262='INformazioni per calcoli'!$AF$6,$BF262='INformazioni per calcoli'!$AD$6,$BF262='INformazioni per calcoli'!$AE$6,$BF262='INformazioni per calcoli'!$AG$6),IF($G262-'INformazioni per calcoli'!$AB$8-'INformazioni per calcoli'!$AB$3+$J262&lt;0,"LFLS",$G262-'INformazioni per calcoli'!$AB$8-'INformazioni per calcoli'!$AB$3+$J262), IF($G262-'INformazioni per calcoli'!$AB$7-'INformazioni per calcoli'!$AB$3+$J262&lt;0,"LFLS",$G262-'INformazioni per calcoli'!$AB$7-'INformazioni per calcoli'!$AB$3+$J262)))))))),"")</f>
        <v/>
      </c>
      <c r="I262" s="17" t="str">
        <f ca="1">IFERROR(IF($H262&lt;&gt;"",IF($H262="Safe Parking","",IF($W262&lt;&gt;"",IF(AND($U262="X",$V262="X"),$H262-(--"00:30"),""),IF($X262&lt;&gt;"","Mezzo Chiuso","Non al carico"))),""),"")</f>
        <v/>
      </c>
      <c r="J262" s="354" t="str">
        <f>IFERROR(IF($G262="","",IF(INT(VLOOKUP($E262,Outlist!$A$5:$E$120,5,FALSE))&gt;'INformazioni per calcoli'!$AB$2,INT(VLOOKUP($E262,Outlist!$A$5:$E$120,5,FALSE))-INT('INformazioni per calcoli'!$AB$2),0)),"")</f>
        <v/>
      </c>
      <c r="K262" s="27" t="str">
        <f>IF(E262&lt;&gt;"",IFERROR(VLOOKUP(E262,Outlist!$A$5:$AC$120,22,FALSE),""),"")</f>
        <v/>
      </c>
      <c r="L262" s="352" t="str">
        <f>IF(E262&lt;&gt;"",IFERROR(VLOOKUP(E262,Outlist!$A$5:$AC$120,3,FALSE),""),"")</f>
        <v/>
      </c>
      <c r="M262" s="4" t="str">
        <f>IFERROR(_xlfn.XLOOKUP($Q262,'Elenco Casse'!$D:$D,'Elenco Casse'!$E:$E),"")</f>
        <v/>
      </c>
      <c r="N262" s="4" t="str">
        <f>IFERROR(_xlfn.XLOOKUP($Q262,'Elenco Casse'!$D:$D,'Elenco Casse'!$F:$F),"")</f>
        <v/>
      </c>
      <c r="O262" s="4" t="str">
        <f>IF($L262&lt;&gt;"","TT-2/3","")</f>
        <v/>
      </c>
      <c r="P262" s="296" t="str">
        <f>IFERROR(IF(VLOOKUP(E262,Outlist!$A$5:$AC$120,21,FALSE)="YES","Linea Variata",""),"")</f>
        <v/>
      </c>
      <c r="Q262" s="355" t="str">
        <f>IFERROR(VLOOKUP(E262,Outlist!$AK$4:$BH$139,13,FALSE),"")</f>
        <v/>
      </c>
      <c r="R262" s="23"/>
      <c r="S262" s="25" t="str">
        <f>IFERROR(IF(VLOOKUP(E262,Outlist!$A$5:$AC$120,7,FALSE)="X","SUBCO",""),"")</f>
        <v/>
      </c>
      <c r="T262" s="25"/>
      <c r="U262" s="23"/>
      <c r="V262" s="23"/>
      <c r="W262" s="26"/>
      <c r="X262" s="27"/>
      <c r="Y262" s="25" t="str">
        <f>IF(OR(Out_Table[[#This Row],[DOC Del. hr. (RTH)]]&lt;&gt;"",Outlist!S163),"XXX","")</f>
        <v/>
      </c>
      <c r="Z262" s="25"/>
      <c r="AA262" s="25"/>
      <c r="AB262" s="57"/>
      <c r="AC262" s="25"/>
      <c r="AD262" s="25"/>
      <c r="AE262" s="57"/>
      <c r="AF262" s="57"/>
      <c r="AG262" s="25"/>
      <c r="AH262" s="57"/>
      <c r="AI262" s="339"/>
      <c r="AJ262" s="339"/>
      <c r="AK262" s="297" t="str">
        <f>IF(X262&lt;&gt;"",CONCATENATE(IF(AA262&lt;&gt;"",CONCATENATE(Z262," ",AA262," ",BI262),""),IF(AD262&lt;&gt;"",CONCATENATE(","," ",AC262," ",AD262," ",BJ262),""),IF(AG262&lt;&gt;"",CONCATENATE(","," ",AF262," ",AG262," ",BK262),""),IF(AJ262&lt;&gt;"",CONCATENATE(","," ","DD"," ",BL262),"")," ",IF(AI262&lt;&gt;"",CONCATENATE(" - ",AI262," Bag"),"")),"")</f>
        <v/>
      </c>
      <c r="AL262" s="287"/>
      <c r="AM262" s="287"/>
      <c r="AN262" s="287"/>
      <c r="AO262" s="287"/>
      <c r="AP262" s="370" t="str">
        <f>IFERROR(VLOOKUP($E259,Outlist!$A$5:$V$120,20,FALSE),"")</f>
        <v/>
      </c>
      <c r="AQ262" s="288" t="str">
        <f>IFERROR(IF(VLOOKUP($A262,#REF!,8,FALSE)&lt;&gt;"",VLOOKUP($A262,#REF!,8,FALSE),""),"")</f>
        <v/>
      </c>
      <c r="AS262" s="24"/>
      <c r="AT262" s="24"/>
      <c r="AU262" s="27"/>
      <c r="AV262" s="27"/>
      <c r="AX262" s="20" t="str">
        <f>IFERROR(IF(Out_Table[[#This Row],[Cancellazione linea]]="Cancellata","yes",""),"")</f>
        <v/>
      </c>
      <c r="AY262" s="72" t="str">
        <f>IF(BA262="",BZ262,IF(AND(BA262&lt;(--"23:59:59"),BA262&gt;(--"15:00:00"),G262&lt;(--"14:00:00"),G262&gt;(--"00:00:01")),"",IF(BA262&gt;G262,BZ262,"")))</f>
        <v/>
      </c>
      <c r="AZ262" s="27"/>
      <c r="BA262" s="32"/>
      <c r="BB262" s="72"/>
      <c r="BC262" s="72" t="str">
        <f>IFERROR(VLOOKUP(Out_Table[[#This Row],[Aggiornamento STATUS]],'INformazioni per calcoli'!$Y$70:$AA$76,2,FALSE),"")</f>
        <v/>
      </c>
      <c r="BD262" s="289"/>
      <c r="BE262" s="289"/>
      <c r="BF262" s="47" t="str">
        <f>LEFT($E262,3)</f>
        <v/>
      </c>
      <c r="BG262" s="298" t="str">
        <f>IF(Out_Table[[#This Row],[Ora Uscita    (GH)]]&lt;&gt;"","x","")</f>
        <v/>
      </c>
      <c r="BH262" s="299" t="e">
        <f>VLOOKUP($O262,'INformazioni per calcoli'!$Y$20:$AA$23,3,FALSE)</f>
        <v>#N/A</v>
      </c>
      <c r="BI262" s="299" t="e">
        <f>MROUND(Out_Table[[#This Row],[Mtr. Trailer]]*AB262,0.5)</f>
        <v>#N/A</v>
      </c>
      <c r="BJ262" s="299" t="e">
        <f>MROUND(Out_Table[[#This Row],[Mtr. Trailer]]*AE262,0.5)</f>
        <v>#N/A</v>
      </c>
      <c r="BK262" s="299" t="e">
        <f>MROUND(Out_Table[[#This Row],[Mtr. Trailer]]*AH262,0.5)</f>
        <v>#N/A</v>
      </c>
      <c r="BL262" s="300">
        <f>Out_Table[[#This Row],[Double Deck trailer N° bumpers]]</f>
        <v>0</v>
      </c>
      <c r="BM262" s="301"/>
      <c r="BN262" s="299" t="str">
        <f>B262</f>
        <v/>
      </c>
      <c r="BO262" s="299" t="str">
        <f>E262</f>
        <v/>
      </c>
      <c r="BP262" s="302" t="e">
        <f>IF(AND(G262&gt;(--"00:00:01"),G262&lt;(--"15:00:00")),IF(AND(X262&gt;(--"00:00:01"),X262&lt;(--"15:00:00")),G262-X262,G262+1-X262),G262-X262)</f>
        <v>#VALUE!</v>
      </c>
      <c r="BQ262" s="303">
        <f>AE262+AF262+AH262+AJ262</f>
        <v>0</v>
      </c>
      <c r="BR262" s="304" t="e">
        <f>IF(OR(BP262&lt;=(--"00:20:00"),BQ262&gt;=100%),"OK","Not OK")</f>
        <v>#VALUE!</v>
      </c>
      <c r="BS262" s="302" t="e">
        <f>IF(AND(G262&gt;(--"00:00:01"),G262&lt;(--"15:00:00")),IF(AND(AU262&gt;(--"00:00:01"),AU262&lt;(--"15:00:00")),G262-AU262,G262+1-AU262),G262-AU262)</f>
        <v>#VALUE!</v>
      </c>
      <c r="BT262" s="302">
        <f>IF(AND(AZ262&gt;(--"00:00:01"),AZ262&lt;(--"15:00:00")),IF(AND(AU262&gt;(--"00:00:01"),AU262&lt;(--"15:00:00")),AZ262-AU262,AZ262+1-AU262),AZ262-AU262)</f>
        <v>0</v>
      </c>
      <c r="BU262" s="302">
        <f>IF(AND(BA262&gt;(--"00:00:01"),BA262&lt;(--"15:00:00")),IF(AND(AZ262&gt;(--"00:00:01"),AZ262&lt;(--"15:00:00")),BA262-AZ262,BA262+1-AZ262),BA262-AZ262)</f>
        <v>0</v>
      </c>
      <c r="BV262" s="299">
        <f>AV262</f>
        <v>0</v>
      </c>
      <c r="BW262" s="301"/>
      <c r="BX262" s="299" t="str">
        <f>IF(AV262="T Status",IF(AV262&lt;&gt;T262,"X",""),"")</f>
        <v/>
      </c>
      <c r="BY262" s="301"/>
      <c r="BZ262" s="299" t="str">
        <f>IF(X262&lt;&gt;"",IF(CC262="X","Driver Delay",IF(CA262="X","Paperwork Delay",IF(CB262="X","Late freight late sort",IF(CD262="X","Chiamare Control Room",IF(CE262="X","Chiamare Control Room",IF(CF262="X","Chiamare Control Room","")))))),"")</f>
        <v/>
      </c>
      <c r="CA262" s="302" t="e">
        <f>IF(K262="",IF(IF(AND(G262&gt;(--"00:00:01"),G262&lt;(--"15:00:00")),IF(AND(AT262&gt;(--"08:00:00"),AT262&lt;(--"23:59:59")),G262+1-AT262,G262-AT262),G262-AT262)&gt;(--"00:20:00"),"","X"),"")</f>
        <v>#VALUE!</v>
      </c>
      <c r="CB262" s="299" t="e">
        <f>IF(K262="",IF(BP262&gt;=(--"00:20:00"),"","X"),"")</f>
        <v>#VALUE!</v>
      </c>
      <c r="CC262" s="299" t="str">
        <f>IF(OR(AV262="Autista non presente",AV262="Dati driver non presenti"),"X","")</f>
        <v/>
      </c>
      <c r="CD262" s="299" t="e">
        <f>IF(K262="",IF(AND(CC262="",BS262&lt;(--"00:20:00")),"X",""),"")</f>
        <v>#VALUE!</v>
      </c>
      <c r="CE262" s="299" t="str">
        <f>IF(K262="",IF(BT262&gt;(--"00:15:00"),"X",""),IF(AZ262&lt;&gt;"",IF(G262-AZ262&gt;(--"00:30:00"),"X",""),""))</f>
        <v/>
      </c>
      <c r="CF262" s="299" t="e">
        <f>IF(AND(CA262="",CB262="",CC262="",CD262="",CE262=""),"X","")</f>
        <v>#VALUE!</v>
      </c>
      <c r="CG262" s="301"/>
      <c r="CH262" s="299" t="str">
        <f>IF(BT262&gt;(--"00:15:00"),"X","")</f>
        <v/>
      </c>
      <c r="CI262" s="302" t="str">
        <f>AY262</f>
        <v/>
      </c>
      <c r="CJ262" s="299" t="str">
        <f>IF(AND(CH262&lt;&gt;"",CI262&lt;&gt;"",LEFT(B262,3)="ITD"),AP262,"")</f>
        <v/>
      </c>
      <c r="CK262" s="305" t="str">
        <f>IF(CJ262&lt;&gt;"",BT262,"")</f>
        <v/>
      </c>
      <c r="CL262" s="301"/>
      <c r="CM262" s="305" t="str">
        <f>IFERROR(VLOOKUP(Q262,'Elenco Casse'!$D$4:$F$292,3,FALSE),"")</f>
        <v/>
      </c>
      <c r="CN262" s="301"/>
      <c r="CO262" s="305" t="str">
        <f>IFERROR(VLOOKUP(S262,'Elenco Casse'!$D$4:$F$292,3,FALSE),"")</f>
        <v/>
      </c>
      <c r="CP262" s="305" t="str">
        <f>IFERROR(IF(VLOOKUP($E262,Outlist!$A$5:$S$120,19,FALSE)&lt;&gt;0,"Y",""),"")</f>
        <v/>
      </c>
      <c r="CQ262" s="301"/>
      <c r="CR262" s="305" t="str">
        <f>CONCATENATE($B262,$E262,$G262)</f>
        <v/>
      </c>
      <c r="CS262" s="301"/>
      <c r="CT262" s="305" t="e">
        <f>VLOOKUP(Out_Table[[#This Row],[Destination             ORANGE (From Planning)]],Outlist!$A$5:$W$120,22,FALSE)</f>
        <v>#N/A</v>
      </c>
    </row>
    <row r="263" spans="1:98" s="20" customFormat="1" ht="15">
      <c r="A263" s="305" t="str">
        <f>$CR263</f>
        <v/>
      </c>
      <c r="B263" s="351" t="str">
        <f>IFERROR(VLOOKUP(E263,Outlist!$A$5:$AC$120,2,FALSE),"")</f>
        <v/>
      </c>
      <c r="C263" s="352" t="str">
        <f ca="1">IFERROR(IF(LEFT(B263,3)='STAT 77'!$X$2,_xlfn.XLOOKUP(B263,'STAT 77'!C:C,'STAT 77'!B:B),_xlfn.XLOOKUP(B263,'STAT 77'!B:B,'STAT 77'!C:C)),"NON TROVATO")</f>
        <v>NON TROVATO</v>
      </c>
      <c r="D263" s="4"/>
      <c r="E263" s="352" t="str">
        <f>IFERROR(IF(Outlist!$A125&lt;&gt;"",Outlist!$A125,""),"")</f>
        <v/>
      </c>
      <c r="F263" s="352" t="str">
        <f>IFERROR(VLOOKUP(E263,'Cambio O2P'!C:E,2,FALSE),"")</f>
        <v/>
      </c>
      <c r="G263" s="353" t="str">
        <f>IFERROR(VLOOKUP(E263,Outlist!$A$5:$AC$120,5,FALSE)-INT(VLOOKUP(E263,Outlist!$A$5:$AC$120,5,FALSE)),"")</f>
        <v/>
      </c>
      <c r="H263" s="294" t="str">
        <f ca="1">IFERROR(IF(AND('INformazioni per calcoli'!$AB$3&lt;(--"14:30"),'INformazioni per calcoli'!$AB$3&gt;(--"10:00")),"",IF($B263="","",IF($X263&lt;&gt;"","Mezzo Chiuso",IF($W263="","Non al Carico",IF($K263="Safe Parking","Safe Parking", IF(OR($BF263='INformazioni per calcoli'!$AF$8,$BF263='INformazioni per calcoli'!$AC$8,$BF263='INformazioni per calcoli'!$AD$8,$BF263='INformazioni per calcoli'!$AE$8,$BF263='INformazioni per calcoli'!$AG$8,$BF263='INformazioni per calcoli'!$AH$8,$BF263='INformazioni per calcoli'!$AI$8,$BF263='INformazioni per calcoli'!$AJ$8),IF($G263-'INformazioni per calcoli'!$AB$6-'INformazioni per calcoli'!$AB$3+$J263&lt;0,"LFLS",$G263-'INformazioni per calcoli'!$AB$6-'INformazioni per calcoli'!$AB$3+$J263), IF(OR($BF263='INformazioni per calcoli'!$AF$6,$BF263='INformazioni per calcoli'!$AD$6,$BF263='INformazioni per calcoli'!$AE$6,$BF263='INformazioni per calcoli'!$AG$6),IF($G263-'INformazioni per calcoli'!$AB$8-'INformazioni per calcoli'!$AB$3+$J263&lt;0,"LFLS",$G263-'INformazioni per calcoli'!$AB$8-'INformazioni per calcoli'!$AB$3+$J263), IF($G263-'INformazioni per calcoli'!$AB$7-'INformazioni per calcoli'!$AB$3+$J263&lt;0,"LFLS",$G263-'INformazioni per calcoli'!$AB$7-'INformazioni per calcoli'!$AB$3+$J263)))))))),"")</f>
        <v/>
      </c>
      <c r="I263" s="17" t="str">
        <f ca="1">IFERROR(IF($H263&lt;&gt;"",IF($H263="Safe Parking","",IF($W263&lt;&gt;"",IF(AND($U263="X",$V263="X"),$H263-(--"00:30"),""),IF($X263&lt;&gt;"","Mezzo Chiuso","Non al carico"))),""),"")</f>
        <v/>
      </c>
      <c r="J263" s="354" t="str">
        <f>IFERROR(IF($G263="","",IF(INT(VLOOKUP($E263,Outlist!$A$5:$E$120,5,FALSE))&gt;'INformazioni per calcoli'!$AB$2,INT(VLOOKUP($E263,Outlist!$A$5:$E$120,5,FALSE))-INT('INformazioni per calcoli'!$AB$2),0)),"")</f>
        <v/>
      </c>
      <c r="K263" s="27" t="str">
        <f>IF(E263&lt;&gt;"",IFERROR(VLOOKUP(E263,Outlist!$A$5:$AC$120,22,FALSE),""),"")</f>
        <v/>
      </c>
      <c r="L263" s="352" t="str">
        <f>IF(E263&lt;&gt;"",IFERROR(VLOOKUP(E263,Outlist!$A$5:$AC$120,3,FALSE),""),"")</f>
        <v/>
      </c>
      <c r="M263" s="4" t="str">
        <f>IFERROR(_xlfn.XLOOKUP($Q263,'Elenco Casse'!$D:$D,'Elenco Casse'!$E:$E),"")</f>
        <v/>
      </c>
      <c r="N263" s="4" t="str">
        <f>IFERROR(_xlfn.XLOOKUP($Q263,'Elenco Casse'!$D:$D,'Elenco Casse'!$F:$F),"")</f>
        <v/>
      </c>
      <c r="O263" s="4" t="str">
        <f>IF($L263&lt;&gt;"","TT-2/3","")</f>
        <v/>
      </c>
      <c r="P263" s="296" t="str">
        <f>IFERROR(IF(VLOOKUP(E263,Outlist!$A$5:$AC$120,21,FALSE)="YES","Linea Variata",""),"")</f>
        <v/>
      </c>
      <c r="Q263" s="355" t="str">
        <f>IFERROR(VLOOKUP(E263,Outlist!$AK$4:$BH$139,13,FALSE),"")</f>
        <v/>
      </c>
      <c r="R263" s="23"/>
      <c r="S263" s="25" t="str">
        <f>IFERROR(IF(VLOOKUP(E263,Outlist!$A$5:$AC$120,7,FALSE)="X","SUBCO",""),"")</f>
        <v/>
      </c>
      <c r="T263" s="25"/>
      <c r="U263" s="23"/>
      <c r="V263" s="23"/>
      <c r="W263" s="26"/>
      <c r="X263" s="27"/>
      <c r="Y263" s="25" t="str">
        <f>IF(OR(Out_Table[[#This Row],[DOC Del. hr. (RTH)]]&lt;&gt;"",Outlist!S164),"XXX","")</f>
        <v/>
      </c>
      <c r="Z263" s="25"/>
      <c r="AA263" s="25"/>
      <c r="AB263" s="57"/>
      <c r="AC263" s="25"/>
      <c r="AD263" s="25"/>
      <c r="AE263" s="57"/>
      <c r="AF263" s="57"/>
      <c r="AG263" s="25"/>
      <c r="AH263" s="57"/>
      <c r="AI263" s="339"/>
      <c r="AJ263" s="339"/>
      <c r="AK263" s="297" t="str">
        <f>IF(X263&lt;&gt;"",CONCATENATE(IF(AA263&lt;&gt;"",CONCATENATE(Z263," ",AA263," ",BI263),""),IF(AD263&lt;&gt;"",CONCATENATE(","," ",AC263," ",AD263," ",BJ263),""),IF(AG263&lt;&gt;"",CONCATENATE(","," ",AF263," ",AG263," ",BK263),""),IF(AJ263&lt;&gt;"",CONCATENATE(","," ","DD"," ",BL263),"")," ",IF(AI263&lt;&gt;"",CONCATENATE(" - ",AI263," Bag"),"")),"")</f>
        <v/>
      </c>
      <c r="AL263" s="287"/>
      <c r="AM263" s="287"/>
      <c r="AN263" s="287"/>
      <c r="AO263" s="287"/>
      <c r="AP263" s="370" t="str">
        <f>IFERROR(VLOOKUP($E260,Outlist!$A$5:$V$120,20,FALSE),"")</f>
        <v/>
      </c>
      <c r="AQ263" s="288" t="str">
        <f>IFERROR(IF(VLOOKUP($A263,#REF!,8,FALSE)&lt;&gt;"",VLOOKUP($A263,#REF!,8,FALSE),""),"")</f>
        <v/>
      </c>
      <c r="AS263" s="24"/>
      <c r="AT263" s="24"/>
      <c r="AU263" s="27"/>
      <c r="AV263" s="27"/>
      <c r="AX263" s="20" t="str">
        <f>IFERROR(IF(Out_Table[[#This Row],[Cancellazione linea]]="Cancellata","yes",""),"")</f>
        <v/>
      </c>
      <c r="AY263" s="72" t="str">
        <f>IF(BA263="",BZ263,IF(AND(BA263&lt;(--"23:59:59"),BA263&gt;(--"15:00:00"),G263&lt;(--"14:00:00"),G263&gt;(--"00:00:01")),"",IF(BA263&gt;G263,BZ263,"")))</f>
        <v/>
      </c>
      <c r="AZ263" s="27"/>
      <c r="BA263" s="32"/>
      <c r="BB263" s="72"/>
      <c r="BC263" s="72" t="str">
        <f>IFERROR(VLOOKUP(Out_Table[[#This Row],[Aggiornamento STATUS]],'INformazioni per calcoli'!$Y$70:$AA$76,2,FALSE),"")</f>
        <v/>
      </c>
      <c r="BD263" s="289"/>
      <c r="BE263" s="289"/>
      <c r="BF263" s="47" t="str">
        <f>LEFT($E263,3)</f>
        <v/>
      </c>
      <c r="BG263" s="298" t="str">
        <f>IF(Out_Table[[#This Row],[Ora Uscita    (GH)]]&lt;&gt;"","x","")</f>
        <v/>
      </c>
      <c r="BH263" s="299" t="e">
        <f>VLOOKUP($O263,'INformazioni per calcoli'!$Y$20:$AA$23,3,FALSE)</f>
        <v>#N/A</v>
      </c>
      <c r="BI263" s="299" t="e">
        <f>MROUND(Out_Table[[#This Row],[Mtr. Trailer]]*AB263,0.5)</f>
        <v>#N/A</v>
      </c>
      <c r="BJ263" s="299" t="e">
        <f>MROUND(Out_Table[[#This Row],[Mtr. Trailer]]*AE263,0.5)</f>
        <v>#N/A</v>
      </c>
      <c r="BK263" s="299" t="e">
        <f>MROUND(Out_Table[[#This Row],[Mtr. Trailer]]*AH263,0.5)</f>
        <v>#N/A</v>
      </c>
      <c r="BL263" s="300">
        <f>Out_Table[[#This Row],[Double Deck trailer N° bumpers]]</f>
        <v>0</v>
      </c>
      <c r="BM263" s="301"/>
      <c r="BN263" s="299" t="str">
        <f>B263</f>
        <v/>
      </c>
      <c r="BO263" s="299" t="str">
        <f>E263</f>
        <v/>
      </c>
      <c r="BP263" s="302" t="e">
        <f>IF(AND(G263&gt;(--"00:00:01"),G263&lt;(--"15:00:00")),IF(AND(X263&gt;(--"00:00:01"),X263&lt;(--"15:00:00")),G263-X263,G263+1-X263),G263-X263)</f>
        <v>#VALUE!</v>
      </c>
      <c r="BQ263" s="303">
        <f>AE263+AF263+AH263+AJ263</f>
        <v>0</v>
      </c>
      <c r="BR263" s="304" t="e">
        <f>IF(OR(BP263&lt;=(--"00:20:00"),BQ263&gt;=100%),"OK","Not OK")</f>
        <v>#VALUE!</v>
      </c>
      <c r="BS263" s="302" t="e">
        <f>IF(AND(G263&gt;(--"00:00:01"),G263&lt;(--"15:00:00")),IF(AND(AU263&gt;(--"00:00:01"),AU263&lt;(--"15:00:00")),G263-AU263,G263+1-AU263),G263-AU263)</f>
        <v>#VALUE!</v>
      </c>
      <c r="BT263" s="302">
        <f>IF(AND(AZ263&gt;(--"00:00:01"),AZ263&lt;(--"15:00:00")),IF(AND(AU263&gt;(--"00:00:01"),AU263&lt;(--"15:00:00")),AZ263-AU263,AZ263+1-AU263),AZ263-AU263)</f>
        <v>0</v>
      </c>
      <c r="BU263" s="302">
        <f>IF(AND(BA263&gt;(--"00:00:01"),BA263&lt;(--"15:00:00")),IF(AND(AZ263&gt;(--"00:00:01"),AZ263&lt;(--"15:00:00")),BA263-AZ263,BA263+1-AZ263),BA263-AZ263)</f>
        <v>0</v>
      </c>
      <c r="BV263" s="299">
        <f>AV263</f>
        <v>0</v>
      </c>
      <c r="BW263" s="301"/>
      <c r="BX263" s="299" t="str">
        <f>IF(AV263="T Status",IF(AV263&lt;&gt;T263,"X",""),"")</f>
        <v/>
      </c>
      <c r="BY263" s="301"/>
      <c r="BZ263" s="299" t="str">
        <f>IF(X263&lt;&gt;"",IF(CC263="X","Driver Delay",IF(CA263="X","Paperwork Delay",IF(CB263="X","Late freight late sort",IF(CD263="X","Chiamare Control Room",IF(CE263="X","Chiamare Control Room",IF(CF263="X","Chiamare Control Room","")))))),"")</f>
        <v/>
      </c>
      <c r="CA263" s="302" t="e">
        <f>IF(K263="",IF(IF(AND(G263&gt;(--"00:00:01"),G263&lt;(--"15:00:00")),IF(AND(AT263&gt;(--"08:00:00"),AT263&lt;(--"23:59:59")),G263+1-AT263,G263-AT263),G263-AT263)&gt;(--"00:20:00"),"","X"),"")</f>
        <v>#VALUE!</v>
      </c>
      <c r="CB263" s="299" t="e">
        <f>IF(K263="",IF(BP263&gt;=(--"00:20:00"),"","X"),"")</f>
        <v>#VALUE!</v>
      </c>
      <c r="CC263" s="299" t="str">
        <f>IF(OR(AV263="Autista non presente",AV263="Dati driver non presenti"),"X","")</f>
        <v/>
      </c>
      <c r="CD263" s="299" t="e">
        <f>IF(K263="",IF(AND(CC263="",BS263&lt;(--"00:20:00")),"X",""),"")</f>
        <v>#VALUE!</v>
      </c>
      <c r="CE263" s="299" t="str">
        <f>IF(K263="",IF(BT263&gt;(--"00:15:00"),"X",""),IF(AZ263&lt;&gt;"",IF(G263-AZ263&gt;(--"00:30:00"),"X",""),""))</f>
        <v/>
      </c>
      <c r="CF263" s="299" t="e">
        <f>IF(AND(CA263="",CB263="",CC263="",CD263="",CE263=""),"X","")</f>
        <v>#VALUE!</v>
      </c>
      <c r="CG263" s="301"/>
      <c r="CH263" s="299" t="str">
        <f>IF(BT263&gt;(--"00:15:00"),"X","")</f>
        <v/>
      </c>
      <c r="CI263" s="302" t="str">
        <f>AY263</f>
        <v/>
      </c>
      <c r="CJ263" s="299" t="str">
        <f>IF(AND(CH263&lt;&gt;"",CI263&lt;&gt;"",LEFT(B263,3)="ITD"),AP263,"")</f>
        <v/>
      </c>
      <c r="CK263" s="305" t="str">
        <f>IF(CJ263&lt;&gt;"",BT263,"")</f>
        <v/>
      </c>
      <c r="CL263" s="301"/>
      <c r="CM263" s="305" t="str">
        <f>IFERROR(VLOOKUP(Q263,'Elenco Casse'!$D$4:$F$292,3,FALSE),"")</f>
        <v/>
      </c>
      <c r="CN263" s="301"/>
      <c r="CO263" s="305" t="str">
        <f>IFERROR(VLOOKUP(S263,'Elenco Casse'!$D$4:$F$292,3,FALSE),"")</f>
        <v/>
      </c>
      <c r="CP263" s="305" t="str">
        <f>IFERROR(IF(VLOOKUP($E263,Outlist!$A$5:$S$120,19,FALSE)&lt;&gt;0,"Y",""),"")</f>
        <v/>
      </c>
      <c r="CQ263" s="301"/>
      <c r="CR263" s="305" t="str">
        <f>CONCATENATE($B263,$E263,$G263)</f>
        <v/>
      </c>
      <c r="CS263" s="301"/>
      <c r="CT263" s="305" t="e">
        <f>VLOOKUP(Out_Table[[#This Row],[Destination             ORANGE (From Planning)]],Outlist!$A$5:$W$120,22,FALSE)</f>
        <v>#N/A</v>
      </c>
    </row>
    <row r="264" spans="1:98" s="20" customFormat="1" ht="15">
      <c r="A264" s="305" t="str">
        <f>$CR264</f>
        <v/>
      </c>
      <c r="B264" s="351" t="str">
        <f>IFERROR(VLOOKUP(E264,Outlist!$A$5:$AC$120,2,FALSE),"")</f>
        <v/>
      </c>
      <c r="C264" s="352" t="str">
        <f ca="1">IFERROR(IF(LEFT(B264,3)='STAT 77'!$X$2,_xlfn.XLOOKUP(B264,'STAT 77'!C:C,'STAT 77'!B:B),_xlfn.XLOOKUP(B264,'STAT 77'!B:B,'STAT 77'!C:C)),"NON TROVATO")</f>
        <v>NON TROVATO</v>
      </c>
      <c r="D264" s="4"/>
      <c r="E264" s="352" t="str">
        <f>IFERROR(IF(Outlist!$A126&lt;&gt;"",Outlist!$A126,""),"")</f>
        <v/>
      </c>
      <c r="F264" s="352" t="str">
        <f>IFERROR(VLOOKUP(E264,'Cambio O2P'!C:E,2,FALSE),"")</f>
        <v/>
      </c>
      <c r="G264" s="353" t="str">
        <f>IFERROR(VLOOKUP(E264,Outlist!$A$5:$AC$120,5,FALSE)-INT(VLOOKUP(E264,Outlist!$A$5:$AC$120,5,FALSE)),"")</f>
        <v/>
      </c>
      <c r="H264" s="294" t="str">
        <f ca="1">IFERROR(IF(AND('INformazioni per calcoli'!$AB$3&lt;(--"14:30"),'INformazioni per calcoli'!$AB$3&gt;(--"10:00")),"",IF($B264="","",IF($X264&lt;&gt;"","Mezzo Chiuso",IF($W264="","Non al Carico",IF($K264="Safe Parking","Safe Parking", IF(OR($BF264='INformazioni per calcoli'!$AF$8,$BF264='INformazioni per calcoli'!$AC$8,$BF264='INformazioni per calcoli'!$AD$8,$BF264='INformazioni per calcoli'!$AE$8,$BF264='INformazioni per calcoli'!$AG$8,$BF264='INformazioni per calcoli'!$AH$8,$BF264='INformazioni per calcoli'!$AI$8,$BF264='INformazioni per calcoli'!$AJ$8),IF($G264-'INformazioni per calcoli'!$AB$6-'INformazioni per calcoli'!$AB$3+$J264&lt;0,"LFLS",$G264-'INformazioni per calcoli'!$AB$6-'INformazioni per calcoli'!$AB$3+$J264), IF(OR($BF264='INformazioni per calcoli'!$AF$6,$BF264='INformazioni per calcoli'!$AD$6,$BF264='INformazioni per calcoli'!$AE$6,$BF264='INformazioni per calcoli'!$AG$6),IF($G264-'INformazioni per calcoli'!$AB$8-'INformazioni per calcoli'!$AB$3+$J264&lt;0,"LFLS",$G264-'INformazioni per calcoli'!$AB$8-'INformazioni per calcoli'!$AB$3+$J264), IF($G264-'INformazioni per calcoli'!$AB$7-'INformazioni per calcoli'!$AB$3+$J264&lt;0,"LFLS",$G264-'INformazioni per calcoli'!$AB$7-'INformazioni per calcoli'!$AB$3+$J264)))))))),"")</f>
        <v/>
      </c>
      <c r="I264" s="17" t="str">
        <f ca="1">IFERROR(IF($H264&lt;&gt;"",IF($H264="Safe Parking","",IF($W264&lt;&gt;"",IF(AND($U264="X",$V264="X"),$H264-(--"00:30"),""),IF($X264&lt;&gt;"","Mezzo Chiuso","Non al carico"))),""),"")</f>
        <v/>
      </c>
      <c r="J264" s="354" t="str">
        <f>IFERROR(IF($G264="","",IF(INT(VLOOKUP($E264,Outlist!$A$5:$E$120,5,FALSE))&gt;'INformazioni per calcoli'!$AB$2,INT(VLOOKUP($E264,Outlist!$A$5:$E$120,5,FALSE))-INT('INformazioni per calcoli'!$AB$2),0)),"")</f>
        <v/>
      </c>
      <c r="K264" s="27" t="str">
        <f>IF(E264&lt;&gt;"",IFERROR(VLOOKUP(E264,Outlist!$A$5:$AC$120,22,FALSE),""),"")</f>
        <v/>
      </c>
      <c r="L264" s="352" t="str">
        <f>IF(E264&lt;&gt;"",IFERROR(VLOOKUP(E264,Outlist!$A$5:$AC$120,3,FALSE),""),"")</f>
        <v/>
      </c>
      <c r="M264" s="4" t="str">
        <f>IFERROR(_xlfn.XLOOKUP($Q264,'Elenco Casse'!$D:$D,'Elenco Casse'!$E:$E),"")</f>
        <v/>
      </c>
      <c r="N264" s="4" t="str">
        <f>IFERROR(_xlfn.XLOOKUP($Q264,'Elenco Casse'!$D:$D,'Elenco Casse'!$F:$F),"")</f>
        <v/>
      </c>
      <c r="O264" s="4" t="str">
        <f>IF($L264&lt;&gt;"","TT-2/3","")</f>
        <v/>
      </c>
      <c r="P264" s="296" t="str">
        <f>IFERROR(IF(VLOOKUP(E264,Outlist!$A$5:$AC$120,21,FALSE)="YES","Linea Variata",""),"")</f>
        <v/>
      </c>
      <c r="Q264" s="355" t="str">
        <f>IFERROR(VLOOKUP(E264,Outlist!$AK$4:$BH$139,13,FALSE),"")</f>
        <v/>
      </c>
      <c r="R264" s="23"/>
      <c r="S264" s="25" t="str">
        <f>IFERROR(IF(VLOOKUP(E264,Outlist!$A$5:$AC$120,7,FALSE)="X","SUBCO",""),"")</f>
        <v/>
      </c>
      <c r="T264" s="25"/>
      <c r="U264" s="23"/>
      <c r="V264" s="23"/>
      <c r="W264" s="26"/>
      <c r="X264" s="27"/>
      <c r="Y264" s="25" t="str">
        <f>IF(OR(Out_Table[[#This Row],[DOC Del. hr. (RTH)]]&lt;&gt;"",Outlist!S165),"XXX","")</f>
        <v/>
      </c>
      <c r="Z264" s="25"/>
      <c r="AA264" s="25"/>
      <c r="AB264" s="57"/>
      <c r="AC264" s="25"/>
      <c r="AD264" s="25"/>
      <c r="AE264" s="57"/>
      <c r="AF264" s="57"/>
      <c r="AG264" s="25"/>
      <c r="AH264" s="57"/>
      <c r="AI264" s="339"/>
      <c r="AJ264" s="339"/>
      <c r="AK264" s="297" t="str">
        <f>IF(X264&lt;&gt;"",CONCATENATE(IF(AA264&lt;&gt;"",CONCATENATE(Z264," ",AA264," ",BI264),""),IF(AD264&lt;&gt;"",CONCATENATE(","," ",AC264," ",AD264," ",BJ264),""),IF(AG264&lt;&gt;"",CONCATENATE(","," ",AF264," ",AG264," ",BK264),""),IF(AJ264&lt;&gt;"",CONCATENATE(","," ","DD"," ",BL264),"")," ",IF(AI264&lt;&gt;"",CONCATENATE(" - ",AI264," Bag"),"")),"")</f>
        <v/>
      </c>
      <c r="AL264" s="287"/>
      <c r="AM264" s="287"/>
      <c r="AN264" s="287"/>
      <c r="AO264" s="287"/>
      <c r="AP264" s="370" t="str">
        <f>IFERROR(VLOOKUP($E261,Outlist!$A$5:$V$120,20,FALSE),"")</f>
        <v/>
      </c>
      <c r="AQ264" s="288" t="str">
        <f>IFERROR(IF(VLOOKUP($A264,#REF!,8,FALSE)&lt;&gt;"",VLOOKUP($A264,#REF!,8,FALSE),""),"")</f>
        <v/>
      </c>
      <c r="AS264" s="24"/>
      <c r="AT264" s="24"/>
      <c r="AU264" s="27"/>
      <c r="AV264" s="27"/>
      <c r="AX264" s="20" t="str">
        <f>IFERROR(IF(Out_Table[[#This Row],[Cancellazione linea]]="Cancellata","yes",""),"")</f>
        <v/>
      </c>
      <c r="AY264" s="72" t="str">
        <f>IF(BA264="",BZ264,IF(AND(BA264&lt;(--"23:59:59"),BA264&gt;(--"15:00:00"),G264&lt;(--"14:00:00"),G264&gt;(--"00:00:01")),"",IF(BA264&gt;G264,BZ264,"")))</f>
        <v/>
      </c>
      <c r="AZ264" s="27"/>
      <c r="BA264" s="32"/>
      <c r="BB264" s="72"/>
      <c r="BC264" s="72" t="str">
        <f>IFERROR(VLOOKUP(Out_Table[[#This Row],[Aggiornamento STATUS]],'INformazioni per calcoli'!$Y$70:$AA$76,2,FALSE),"")</f>
        <v/>
      </c>
      <c r="BD264" s="289"/>
      <c r="BE264" s="289"/>
      <c r="BF264" s="47" t="str">
        <f>LEFT($E264,3)</f>
        <v/>
      </c>
      <c r="BG264" s="298" t="str">
        <f>IF(Out_Table[[#This Row],[Ora Uscita    (GH)]]&lt;&gt;"","x","")</f>
        <v/>
      </c>
      <c r="BH264" s="299" t="e">
        <f>VLOOKUP($O264,'INformazioni per calcoli'!$Y$20:$AA$23,3,FALSE)</f>
        <v>#N/A</v>
      </c>
      <c r="BI264" s="299" t="e">
        <f>MROUND(Out_Table[[#This Row],[Mtr. Trailer]]*AB264,0.5)</f>
        <v>#N/A</v>
      </c>
      <c r="BJ264" s="299" t="e">
        <f>MROUND(Out_Table[[#This Row],[Mtr. Trailer]]*AE264,0.5)</f>
        <v>#N/A</v>
      </c>
      <c r="BK264" s="299" t="e">
        <f>MROUND(Out_Table[[#This Row],[Mtr. Trailer]]*AH264,0.5)</f>
        <v>#N/A</v>
      </c>
      <c r="BL264" s="300">
        <f>Out_Table[[#This Row],[Double Deck trailer N° bumpers]]</f>
        <v>0</v>
      </c>
      <c r="BM264" s="301"/>
      <c r="BN264" s="299" t="str">
        <f>B264</f>
        <v/>
      </c>
      <c r="BO264" s="299" t="str">
        <f>E264</f>
        <v/>
      </c>
      <c r="BP264" s="302" t="e">
        <f>IF(AND(G264&gt;(--"00:00:01"),G264&lt;(--"15:00:00")),IF(AND(X264&gt;(--"00:00:01"),X264&lt;(--"15:00:00")),G264-X264,G264+1-X264),G264-X264)</f>
        <v>#VALUE!</v>
      </c>
      <c r="BQ264" s="303">
        <f>AE264+AF264+AH264+AJ264</f>
        <v>0</v>
      </c>
      <c r="BR264" s="304" t="e">
        <f>IF(OR(BP264&lt;=(--"00:20:00"),BQ264&gt;=100%),"OK","Not OK")</f>
        <v>#VALUE!</v>
      </c>
      <c r="BS264" s="302" t="e">
        <f>IF(AND(G264&gt;(--"00:00:01"),G264&lt;(--"15:00:00")),IF(AND(AU264&gt;(--"00:00:01"),AU264&lt;(--"15:00:00")),G264-AU264,G264+1-AU264),G264-AU264)</f>
        <v>#VALUE!</v>
      </c>
      <c r="BT264" s="302">
        <f>IF(AND(AZ264&gt;(--"00:00:01"),AZ264&lt;(--"15:00:00")),IF(AND(AU264&gt;(--"00:00:01"),AU264&lt;(--"15:00:00")),AZ264-AU264,AZ264+1-AU264),AZ264-AU264)</f>
        <v>0</v>
      </c>
      <c r="BU264" s="302">
        <f>IF(AND(BA264&gt;(--"00:00:01"),BA264&lt;(--"15:00:00")),IF(AND(AZ264&gt;(--"00:00:01"),AZ264&lt;(--"15:00:00")),BA264-AZ264,BA264+1-AZ264),BA264-AZ264)</f>
        <v>0</v>
      </c>
      <c r="BV264" s="299">
        <f>AV264</f>
        <v>0</v>
      </c>
      <c r="BW264" s="301"/>
      <c r="BX264" s="299" t="str">
        <f>IF(AV264="T Status",IF(AV264&lt;&gt;T264,"X",""),"")</f>
        <v/>
      </c>
      <c r="BY264" s="301"/>
      <c r="BZ264" s="299" t="str">
        <f>IF(X264&lt;&gt;"",IF(CC264="X","Driver Delay",IF(CA264="X","Paperwork Delay",IF(CB264="X","Late freight late sort",IF(CD264="X","Chiamare Control Room",IF(CE264="X","Chiamare Control Room",IF(CF264="X","Chiamare Control Room","")))))),"")</f>
        <v/>
      </c>
      <c r="CA264" s="302" t="e">
        <f>IF(K264="",IF(IF(AND(G264&gt;(--"00:00:01"),G264&lt;(--"15:00:00")),IF(AND(AT264&gt;(--"08:00:00"),AT264&lt;(--"23:59:59")),G264+1-AT264,G264-AT264),G264-AT264)&gt;(--"00:20:00"),"","X"),"")</f>
        <v>#VALUE!</v>
      </c>
      <c r="CB264" s="299" t="e">
        <f>IF(K264="",IF(BP264&gt;=(--"00:20:00"),"","X"),"")</f>
        <v>#VALUE!</v>
      </c>
      <c r="CC264" s="299" t="str">
        <f>IF(OR(AV264="Autista non presente",AV264="Dati driver non presenti"),"X","")</f>
        <v/>
      </c>
      <c r="CD264" s="299" t="e">
        <f>IF(K264="",IF(AND(CC264="",BS264&lt;(--"00:20:00")),"X",""),"")</f>
        <v>#VALUE!</v>
      </c>
      <c r="CE264" s="299" t="str">
        <f>IF(K264="",IF(BT264&gt;(--"00:15:00"),"X",""),IF(AZ264&lt;&gt;"",IF(G264-AZ264&gt;(--"00:30:00"),"X",""),""))</f>
        <v/>
      </c>
      <c r="CF264" s="299" t="e">
        <f>IF(AND(CA264="",CB264="",CC264="",CD264="",CE264=""),"X","")</f>
        <v>#VALUE!</v>
      </c>
      <c r="CG264" s="301"/>
      <c r="CH264" s="299" t="str">
        <f>IF(BT264&gt;(--"00:15:00"),"X","")</f>
        <v/>
      </c>
      <c r="CI264" s="302" t="str">
        <f>AY264</f>
        <v/>
      </c>
      <c r="CJ264" s="299" t="str">
        <f>IF(AND(CH264&lt;&gt;"",CI264&lt;&gt;"",LEFT(B264,3)="ITD"),AP264,"")</f>
        <v/>
      </c>
      <c r="CK264" s="305" t="str">
        <f>IF(CJ264&lt;&gt;"",BT264,"")</f>
        <v/>
      </c>
      <c r="CL264" s="301"/>
      <c r="CM264" s="305" t="str">
        <f>IFERROR(VLOOKUP(Q264,'Elenco Casse'!$D$4:$F$292,3,FALSE),"")</f>
        <v/>
      </c>
      <c r="CN264" s="301"/>
      <c r="CO264" s="305" t="str">
        <f>IFERROR(VLOOKUP(S264,'Elenco Casse'!$D$4:$F$292,3,FALSE),"")</f>
        <v/>
      </c>
      <c r="CP264" s="305" t="str">
        <f>IFERROR(IF(VLOOKUP($E264,Outlist!$A$5:$S$120,19,FALSE)&lt;&gt;0,"Y",""),"")</f>
        <v/>
      </c>
      <c r="CQ264" s="301"/>
      <c r="CR264" s="305" t="str">
        <f>CONCATENATE($B264,$E264,$G264)</f>
        <v/>
      </c>
      <c r="CS264" s="301"/>
      <c r="CT264" s="305" t="e">
        <f>VLOOKUP(Out_Table[[#This Row],[Destination             ORANGE (From Planning)]],Outlist!$A$5:$W$120,22,FALSE)</f>
        <v>#N/A</v>
      </c>
    </row>
    <row r="265" spans="1:98" s="20" customFormat="1" ht="21.75" customHeight="1">
      <c r="A265" s="305" t="str">
        <f>$CR265</f>
        <v/>
      </c>
      <c r="B265" s="351" t="str">
        <f>IFERROR(VLOOKUP(E265,Outlist!$A$5:$AC$120,2,FALSE),"")</f>
        <v/>
      </c>
      <c r="C265" s="352" t="str">
        <f ca="1">IFERROR(IF(LEFT(B265,3)='STAT 77'!$X$2,_xlfn.XLOOKUP(B265,'STAT 77'!C:C,'STAT 77'!B:B),_xlfn.XLOOKUP(B265,'STAT 77'!B:B,'STAT 77'!C:C)),"NON TROVATO")</f>
        <v>NON TROVATO</v>
      </c>
      <c r="D265" s="4"/>
      <c r="E265" s="352" t="str">
        <f>IFERROR(IF(Outlist!$A127&lt;&gt;"",Outlist!$A127,""),"")</f>
        <v/>
      </c>
      <c r="F265" s="352" t="str">
        <f>IFERROR(VLOOKUP(E265,'Cambio O2P'!C:E,2,FALSE),"")</f>
        <v/>
      </c>
      <c r="G265" s="353" t="str">
        <f>IFERROR(VLOOKUP(E265,Outlist!$A$5:$AC$120,5,FALSE)-INT(VLOOKUP(E265,Outlist!$A$5:$AC$120,5,FALSE)),"")</f>
        <v/>
      </c>
      <c r="H265" s="294" t="str">
        <f ca="1">IFERROR(IF(AND('INformazioni per calcoli'!$AB$3&lt;(--"14:30"),'INformazioni per calcoli'!$AB$3&gt;(--"10:00")),"",IF($B265="","",IF($X265&lt;&gt;"","Mezzo Chiuso",IF($W265="","Non al Carico",IF($K265="Safe Parking","Safe Parking", IF(OR($BF265='INformazioni per calcoli'!$AF$8,$BF265='INformazioni per calcoli'!$AC$8,$BF265='INformazioni per calcoli'!$AD$8,$BF265='INformazioni per calcoli'!$AE$8,$BF265='INformazioni per calcoli'!$AG$8,$BF265='INformazioni per calcoli'!$AH$8,$BF265='INformazioni per calcoli'!$AI$8,$BF265='INformazioni per calcoli'!$AJ$8),IF($G265-'INformazioni per calcoli'!$AB$6-'INformazioni per calcoli'!$AB$3+$J265&lt;0,"LFLS",$G265-'INformazioni per calcoli'!$AB$6-'INformazioni per calcoli'!$AB$3+$J265), IF(OR($BF265='INformazioni per calcoli'!$AF$6,$BF265='INformazioni per calcoli'!$AD$6,$BF265='INformazioni per calcoli'!$AE$6,$BF265='INformazioni per calcoli'!$AG$6),IF($G265-'INformazioni per calcoli'!$AB$8-'INformazioni per calcoli'!$AB$3+$J265&lt;0,"LFLS",$G265-'INformazioni per calcoli'!$AB$8-'INformazioni per calcoli'!$AB$3+$J265), IF($G265-'INformazioni per calcoli'!$AB$7-'INformazioni per calcoli'!$AB$3+$J265&lt;0,"LFLS",$G265-'INformazioni per calcoli'!$AB$7-'INformazioni per calcoli'!$AB$3+$J265)))))))),"")</f>
        <v/>
      </c>
      <c r="I265" s="17" t="str">
        <f ca="1">IFERROR(IF($H265&lt;&gt;"",IF($H265="Safe Parking","",IF($W265&lt;&gt;"",IF(AND($U265="X",$V265="X"),$H265-(--"00:30"),""),IF($X265&lt;&gt;"","Mezzo Chiuso","Non al carico"))),""),"")</f>
        <v/>
      </c>
      <c r="J265" s="354" t="str">
        <f>IFERROR(IF($G265="","",IF(INT(VLOOKUP($E265,Outlist!$A$5:$E$120,5,FALSE))&gt;'INformazioni per calcoli'!$AB$2,INT(VLOOKUP($E265,Outlist!$A$5:$E$120,5,FALSE))-INT('INformazioni per calcoli'!$AB$2),0)),"")</f>
        <v/>
      </c>
      <c r="K265" s="27" t="str">
        <f>IF(E265&lt;&gt;"",IFERROR(VLOOKUP(E265,Outlist!$A$5:$AC$120,22,FALSE),""),"")</f>
        <v/>
      </c>
      <c r="L265" s="352" t="str">
        <f>IF(E265&lt;&gt;"",IFERROR(VLOOKUP(E265,Outlist!$A$5:$AC$120,3,FALSE),""),"")</f>
        <v/>
      </c>
      <c r="M265" s="4" t="str">
        <f>IFERROR(_xlfn.XLOOKUP($Q265,'Elenco Casse'!$D:$D,'Elenco Casse'!$E:$E),"")</f>
        <v/>
      </c>
      <c r="N265" s="4" t="str">
        <f>IFERROR(_xlfn.XLOOKUP($Q265,'Elenco Casse'!$D:$D,'Elenco Casse'!$F:$F),"")</f>
        <v/>
      </c>
      <c r="O265" s="4" t="str">
        <f>IF($L265&lt;&gt;"","TT-2/3","")</f>
        <v/>
      </c>
      <c r="P265" s="296" t="str">
        <f>IFERROR(IF(VLOOKUP(E265,Outlist!$A$5:$AC$120,21,FALSE)="YES","Linea Variata",""),"")</f>
        <v/>
      </c>
      <c r="Q265" s="355" t="str">
        <f>IFERROR(VLOOKUP(E265,Outlist!$AK$4:$BH$139,13,FALSE),"")</f>
        <v/>
      </c>
      <c r="R265" s="23"/>
      <c r="S265" s="25" t="str">
        <f>IFERROR(IF(VLOOKUP(E265,Outlist!$A$5:$AC$120,7,FALSE)="X","SUBCO",""),"")</f>
        <v/>
      </c>
      <c r="T265" s="25"/>
      <c r="U265" s="23"/>
      <c r="V265" s="23"/>
      <c r="W265" s="26"/>
      <c r="X265" s="27"/>
      <c r="Y265" s="25" t="str">
        <f>IF(OR(Out_Table[[#This Row],[DOC Del. hr. (RTH)]]&lt;&gt;"",Outlist!S166),"XXX","")</f>
        <v/>
      </c>
      <c r="Z265" s="25"/>
      <c r="AA265" s="25"/>
      <c r="AB265" s="57"/>
      <c r="AC265" s="25"/>
      <c r="AD265" s="25"/>
      <c r="AE265" s="57"/>
      <c r="AF265" s="57"/>
      <c r="AG265" s="25"/>
      <c r="AH265" s="57"/>
      <c r="AI265" s="339"/>
      <c r="AJ265" s="339"/>
      <c r="AK265" s="297" t="str">
        <f>IF(X265&lt;&gt;"",CONCATENATE(IF(AA265&lt;&gt;"",CONCATENATE(Z265," ",AA265," ",BI265),""),IF(AD265&lt;&gt;"",CONCATENATE(","," ",AC265," ",AD265," ",BJ265),""),IF(AG265&lt;&gt;"",CONCATENATE(","," ",AF265," ",AG265," ",BK265),""),IF(AJ265&lt;&gt;"",CONCATENATE(","," ","DD"," ",BL265),"")," ",IF(AI265&lt;&gt;"",CONCATENATE(" - ",AI265," Bag"),"")),"")</f>
        <v/>
      </c>
      <c r="AL265" s="287"/>
      <c r="AM265" s="287"/>
      <c r="AN265" s="287"/>
      <c r="AO265" s="287"/>
      <c r="AP265" s="370" t="str">
        <f>IFERROR(VLOOKUP($E262,Outlist!$A$5:$V$120,20,FALSE),"")</f>
        <v/>
      </c>
      <c r="AQ265" s="288" t="str">
        <f>IFERROR(IF(VLOOKUP($A265,#REF!,8,FALSE)&lt;&gt;"",VLOOKUP($A265,#REF!,8,FALSE),""),"")</f>
        <v/>
      </c>
      <c r="AS265" s="24"/>
      <c r="AT265" s="24"/>
      <c r="AU265" s="27"/>
      <c r="AV265" s="27"/>
      <c r="AX265" s="20" t="str">
        <f>IFERROR(IF(Out_Table[[#This Row],[Cancellazione linea]]="Cancellata","yes",""),"")</f>
        <v/>
      </c>
      <c r="AY265" s="72" t="str">
        <f>IF(BA265="",BZ265,IF(AND(BA265&lt;(--"23:59:59"),BA265&gt;(--"15:00:00"),G265&lt;(--"14:00:00"),G265&gt;(--"00:00:01")),"",IF(BA265&gt;G265,BZ265,"")))</f>
        <v/>
      </c>
      <c r="AZ265" s="27"/>
      <c r="BA265" s="32"/>
      <c r="BB265" s="72"/>
      <c r="BC265" s="72" t="str">
        <f>IFERROR(VLOOKUP(Out_Table[[#This Row],[Aggiornamento STATUS]],'INformazioni per calcoli'!$Y$70:$AA$76,2,FALSE),"")</f>
        <v/>
      </c>
      <c r="BD265" s="289"/>
      <c r="BE265" s="289"/>
      <c r="BF265" s="47" t="str">
        <f>LEFT($E265,3)</f>
        <v/>
      </c>
      <c r="BG265" s="298" t="str">
        <f>IF(Out_Table[[#This Row],[Ora Uscita    (GH)]]&lt;&gt;"","x","")</f>
        <v/>
      </c>
      <c r="BH265" s="299" t="e">
        <f>VLOOKUP($O265,'INformazioni per calcoli'!$Y$20:$AA$23,3,FALSE)</f>
        <v>#N/A</v>
      </c>
      <c r="BI265" s="299" t="e">
        <f>MROUND(Out_Table[[#This Row],[Mtr. Trailer]]*AB265,0.5)</f>
        <v>#N/A</v>
      </c>
      <c r="BJ265" s="299" t="e">
        <f>MROUND(Out_Table[[#This Row],[Mtr. Trailer]]*AE265,0.5)</f>
        <v>#N/A</v>
      </c>
      <c r="BK265" s="299" t="e">
        <f>MROUND(Out_Table[[#This Row],[Mtr. Trailer]]*AH265,0.5)</f>
        <v>#N/A</v>
      </c>
      <c r="BL265" s="300">
        <f>Out_Table[[#This Row],[Double Deck trailer N° bumpers]]</f>
        <v>0</v>
      </c>
      <c r="BM265" s="301"/>
      <c r="BN265" s="299" t="str">
        <f>B265</f>
        <v/>
      </c>
      <c r="BO265" s="299" t="str">
        <f>E265</f>
        <v/>
      </c>
      <c r="BP265" s="302" t="e">
        <f>IF(AND(G265&gt;(--"00:00:01"),G265&lt;(--"15:00:00")),IF(AND(X265&gt;(--"00:00:01"),X265&lt;(--"15:00:00")),G265-X265,G265+1-X265),G265-X265)</f>
        <v>#VALUE!</v>
      </c>
      <c r="BQ265" s="303">
        <f>AE265+AF265+AH265+AJ265</f>
        <v>0</v>
      </c>
      <c r="BR265" s="304" t="e">
        <f>IF(OR(BP265&lt;=(--"00:20:00"),BQ265&gt;=100%),"OK","Not OK")</f>
        <v>#VALUE!</v>
      </c>
      <c r="BS265" s="302" t="e">
        <f>IF(AND(G265&gt;(--"00:00:01"),G265&lt;(--"15:00:00")),IF(AND(AU265&gt;(--"00:00:01"),AU265&lt;(--"15:00:00")),G265-AU265,G265+1-AU265),G265-AU265)</f>
        <v>#VALUE!</v>
      </c>
      <c r="BT265" s="302">
        <f>IF(AND(AZ265&gt;(--"00:00:01"),AZ265&lt;(--"15:00:00")),IF(AND(AU265&gt;(--"00:00:01"),AU265&lt;(--"15:00:00")),AZ265-AU265,AZ265+1-AU265),AZ265-AU265)</f>
        <v>0</v>
      </c>
      <c r="BU265" s="302">
        <f>IF(AND(BA265&gt;(--"00:00:01"),BA265&lt;(--"15:00:00")),IF(AND(AZ265&gt;(--"00:00:01"),AZ265&lt;(--"15:00:00")),BA265-AZ265,BA265+1-AZ265),BA265-AZ265)</f>
        <v>0</v>
      </c>
      <c r="BV265" s="299">
        <f>AV265</f>
        <v>0</v>
      </c>
      <c r="BW265" s="301"/>
      <c r="BX265" s="299" t="str">
        <f>IF(AV265="T Status",IF(AV265&lt;&gt;T265,"X",""),"")</f>
        <v/>
      </c>
      <c r="BY265" s="301"/>
      <c r="BZ265" s="299" t="str">
        <f>IF(X265&lt;&gt;"",IF(CC265="X","Driver Delay",IF(CA265="X","Paperwork Delay",IF(CB265="X","Late freight late sort",IF(CD265="X","Chiamare Control Room",IF(CE265="X","Chiamare Control Room",IF(CF265="X","Chiamare Control Room","")))))),"")</f>
        <v/>
      </c>
      <c r="CA265" s="302" t="e">
        <f>IF(K265="",IF(IF(AND(G265&gt;(--"00:00:01"),G265&lt;(--"15:00:00")),IF(AND(AT265&gt;(--"08:00:00"),AT265&lt;(--"23:59:59")),G265+1-AT265,G265-AT265),G265-AT265)&gt;(--"00:20:00"),"","X"),"")</f>
        <v>#VALUE!</v>
      </c>
      <c r="CB265" s="299" t="e">
        <f>IF(K265="",IF(BP265&gt;=(--"00:20:00"),"","X"),"")</f>
        <v>#VALUE!</v>
      </c>
      <c r="CC265" s="299" t="str">
        <f>IF(OR(AV265="Autista non presente",AV265="Dati driver non presenti"),"X","")</f>
        <v/>
      </c>
      <c r="CD265" s="299" t="e">
        <f>IF(K265="",IF(AND(CC265="",BS265&lt;(--"00:20:00")),"X",""),"")</f>
        <v>#VALUE!</v>
      </c>
      <c r="CE265" s="299" t="str">
        <f>IF(K265="",IF(BT265&gt;(--"00:15:00"),"X",""),IF(AZ265&lt;&gt;"",IF(G265-AZ265&gt;(--"00:30:00"),"X",""),""))</f>
        <v/>
      </c>
      <c r="CF265" s="299" t="e">
        <f>IF(AND(CA265="",CB265="",CC265="",CD265="",CE265=""),"X","")</f>
        <v>#VALUE!</v>
      </c>
      <c r="CG265" s="301"/>
      <c r="CH265" s="299" t="str">
        <f>IF(BT265&gt;(--"00:15:00"),"X","")</f>
        <v/>
      </c>
      <c r="CI265" s="302" t="str">
        <f>AY265</f>
        <v/>
      </c>
      <c r="CJ265" s="299" t="str">
        <f>IF(AND(CH265&lt;&gt;"",CI265&lt;&gt;"",LEFT(B265,3)="ITD"),AP265,"")</f>
        <v/>
      </c>
      <c r="CK265" s="305" t="str">
        <f>IF(CJ265&lt;&gt;"",BT265,"")</f>
        <v/>
      </c>
      <c r="CL265" s="301"/>
      <c r="CM265" s="305" t="str">
        <f>IFERROR(VLOOKUP(Q265,'Elenco Casse'!$D$4:$F$292,3,FALSE),"")</f>
        <v/>
      </c>
      <c r="CN265" s="301"/>
      <c r="CO265" s="305" t="str">
        <f>IFERROR(VLOOKUP(S265,'Elenco Casse'!$D$4:$F$292,3,FALSE),"")</f>
        <v/>
      </c>
      <c r="CP265" s="305" t="str">
        <f>IFERROR(IF(VLOOKUP($E265,Outlist!$A$5:$S$120,19,FALSE)&lt;&gt;0,"Y",""),"")</f>
        <v/>
      </c>
      <c r="CQ265" s="301"/>
      <c r="CR265" s="305" t="str">
        <f>CONCATENATE($B265,$E265,$G265)</f>
        <v/>
      </c>
      <c r="CS265" s="301"/>
      <c r="CT265" s="305" t="e">
        <f>VLOOKUP(Out_Table[[#This Row],[Destination             ORANGE (From Planning)]],Outlist!$A$5:$W$120,22,FALSE)</f>
        <v>#N/A</v>
      </c>
    </row>
    <row r="266" spans="1:98" s="20" customFormat="1" ht="15">
      <c r="A266" s="305" t="str">
        <f>$CR266</f>
        <v/>
      </c>
      <c r="B266" s="351" t="str">
        <f>IFERROR(VLOOKUP(E266,Outlist!$A$5:$AC$120,2,FALSE),"")</f>
        <v/>
      </c>
      <c r="C266" s="352" t="str">
        <f ca="1">IFERROR(IF(LEFT(B266,3)='STAT 77'!$X$2,_xlfn.XLOOKUP(B266,'STAT 77'!C:C,'STAT 77'!B:B),_xlfn.XLOOKUP(B266,'STAT 77'!B:B,'STAT 77'!C:C)),"NON TROVATO")</f>
        <v>NON TROVATO</v>
      </c>
      <c r="D266" s="4"/>
      <c r="E266" s="352" t="str">
        <f>IFERROR(IF(Outlist!$A128&lt;&gt;"",Outlist!$A128,""),"")</f>
        <v/>
      </c>
      <c r="F266" s="352" t="str">
        <f>IFERROR(VLOOKUP(E266,'Cambio O2P'!C:E,2,FALSE),"")</f>
        <v/>
      </c>
      <c r="G266" s="353" t="str">
        <f>IFERROR(VLOOKUP(E266,Outlist!$A$5:$AC$120,5,FALSE)-INT(VLOOKUP(E266,Outlist!$A$5:$AC$120,5,FALSE)),"")</f>
        <v/>
      </c>
      <c r="H266" s="294" t="str">
        <f ca="1">IFERROR(IF(AND('INformazioni per calcoli'!$AB$3&lt;(--"14:30"),'INformazioni per calcoli'!$AB$3&gt;(--"10:00")),"",IF($B266="","",IF($X266&lt;&gt;"","Mezzo Chiuso",IF($W266="","Non al Carico",IF($K266="Safe Parking","Safe Parking", IF(OR($BF266='INformazioni per calcoli'!$AF$8,$BF266='INformazioni per calcoli'!$AC$8,$BF266='INformazioni per calcoli'!$AD$8,$BF266='INformazioni per calcoli'!$AE$8,$BF266='INformazioni per calcoli'!$AG$8,$BF266='INformazioni per calcoli'!$AH$8,$BF266='INformazioni per calcoli'!$AI$8,$BF266='INformazioni per calcoli'!$AJ$8),IF($G266-'INformazioni per calcoli'!$AB$6-'INformazioni per calcoli'!$AB$3+$J266&lt;0,"LFLS",$G266-'INformazioni per calcoli'!$AB$6-'INformazioni per calcoli'!$AB$3+$J266), IF(OR($BF266='INformazioni per calcoli'!$AF$6,$BF266='INformazioni per calcoli'!$AD$6,$BF266='INformazioni per calcoli'!$AE$6,$BF266='INformazioni per calcoli'!$AG$6),IF($G266-'INformazioni per calcoli'!$AB$8-'INformazioni per calcoli'!$AB$3+$J266&lt;0,"LFLS",$G266-'INformazioni per calcoli'!$AB$8-'INformazioni per calcoli'!$AB$3+$J266), IF($G266-'INformazioni per calcoli'!$AB$7-'INformazioni per calcoli'!$AB$3+$J266&lt;0,"LFLS",$G266-'INformazioni per calcoli'!$AB$7-'INformazioni per calcoli'!$AB$3+$J266)))))))),"")</f>
        <v/>
      </c>
      <c r="I266" s="17" t="str">
        <f ca="1">IFERROR(IF($H266&lt;&gt;"",IF($H266="Safe Parking","",IF($W266&lt;&gt;"",IF(AND($U266="X",$V266="X"),$H266-(--"00:30"),""),IF($X266&lt;&gt;"","Mezzo Chiuso","Non al carico"))),""),"")</f>
        <v/>
      </c>
      <c r="J266" s="354" t="str">
        <f>IFERROR(IF($G266="","",IF(INT(VLOOKUP($E266,Outlist!$A$5:$E$120,5,FALSE))&gt;'INformazioni per calcoli'!$AB$2,INT(VLOOKUP($E266,Outlist!$A$5:$E$120,5,FALSE))-INT('INformazioni per calcoli'!$AB$2),0)),"")</f>
        <v/>
      </c>
      <c r="K266" s="27" t="str">
        <f>IF(E266&lt;&gt;"",IFERROR(VLOOKUP(E266,Outlist!$A$5:$AC$120,22,FALSE),""),"")</f>
        <v/>
      </c>
      <c r="L266" s="352" t="str">
        <f>IF(E266&lt;&gt;"",IFERROR(VLOOKUP(E266,Outlist!$A$5:$AC$120,3,FALSE),""),"")</f>
        <v/>
      </c>
      <c r="M266" s="4" t="str">
        <f>IFERROR(_xlfn.XLOOKUP($Q266,'Elenco Casse'!$D:$D,'Elenco Casse'!$E:$E),"")</f>
        <v/>
      </c>
      <c r="N266" s="4" t="str">
        <f>IFERROR(_xlfn.XLOOKUP($Q266,'Elenco Casse'!$D:$D,'Elenco Casse'!$F:$F),"")</f>
        <v/>
      </c>
      <c r="O266" s="4" t="str">
        <f>IF($L266&lt;&gt;"","TT-2/3","")</f>
        <v/>
      </c>
      <c r="P266" s="296" t="str">
        <f>IFERROR(IF(VLOOKUP(E266,Outlist!$A$5:$AC$120,21,FALSE)="YES","Linea Variata",""),"")</f>
        <v/>
      </c>
      <c r="Q266" s="355" t="str">
        <f>IFERROR(VLOOKUP(E266,Outlist!$AK$4:$BH$139,13,FALSE),"")</f>
        <v/>
      </c>
      <c r="R266" s="23"/>
      <c r="S266" s="25" t="str">
        <f>IFERROR(IF(VLOOKUP(E266,Outlist!$A$5:$AC$120,7,FALSE)="X","SUBCO",""),"")</f>
        <v/>
      </c>
      <c r="T266" s="25"/>
      <c r="U266" s="23"/>
      <c r="V266" s="23"/>
      <c r="W266" s="26"/>
      <c r="X266" s="27"/>
      <c r="Y266" s="25" t="str">
        <f>IF(OR(Out_Table[[#This Row],[DOC Del. hr. (RTH)]]&lt;&gt;"",Outlist!S167),"XXX","")</f>
        <v/>
      </c>
      <c r="Z266" s="25"/>
      <c r="AA266" s="25"/>
      <c r="AB266" s="57"/>
      <c r="AC266" s="25"/>
      <c r="AD266" s="25"/>
      <c r="AE266" s="57"/>
      <c r="AF266" s="57"/>
      <c r="AG266" s="25"/>
      <c r="AH266" s="57"/>
      <c r="AI266" s="339"/>
      <c r="AJ266" s="339"/>
      <c r="AK266" s="297" t="str">
        <f>IF(X266&lt;&gt;"",CONCATENATE(IF(AA266&lt;&gt;"",CONCATENATE(Z266," ",AA266," ",BI266),""),IF(AD266&lt;&gt;"",CONCATENATE(","," ",AC266," ",AD266," ",BJ266),""),IF(AG266&lt;&gt;"",CONCATENATE(","," ",AF266," ",AG266," ",BK266),""),IF(AJ266&lt;&gt;"",CONCATENATE(","," ","DD"," ",BL266),"")," ",IF(AI266&lt;&gt;"",CONCATENATE(" - ",AI266," Bag"),"")),"")</f>
        <v/>
      </c>
      <c r="AL266" s="287"/>
      <c r="AM266" s="287"/>
      <c r="AN266" s="287"/>
      <c r="AO266" s="287"/>
      <c r="AP266" s="370" t="str">
        <f>IFERROR(VLOOKUP($E263,Outlist!$A$5:$V$120,20,FALSE),"")</f>
        <v/>
      </c>
      <c r="AQ266" s="288" t="str">
        <f>IFERROR(IF(VLOOKUP($A266,#REF!,8,FALSE)&lt;&gt;"",VLOOKUP($A266,#REF!,8,FALSE),""),"")</f>
        <v/>
      </c>
      <c r="AS266" s="24"/>
      <c r="AT266" s="24"/>
      <c r="AU266" s="27"/>
      <c r="AV266" s="27"/>
      <c r="AX266" s="20" t="str">
        <f>IFERROR(IF(Out_Table[[#This Row],[Cancellazione linea]]="Cancellata","yes",""),"")</f>
        <v/>
      </c>
      <c r="AY266" s="72" t="str">
        <f>IF(BA266="",BZ266,IF(AND(BA266&lt;(--"23:59:59"),BA266&gt;(--"15:00:00"),G266&lt;(--"14:00:00"),G266&gt;(--"00:00:01")),"",IF(BA266&gt;G266,BZ266,"")))</f>
        <v/>
      </c>
      <c r="AZ266" s="27"/>
      <c r="BA266" s="32"/>
      <c r="BB266" s="72"/>
      <c r="BC266" s="72" t="str">
        <f>IFERROR(VLOOKUP(Out_Table[[#This Row],[Aggiornamento STATUS]],'INformazioni per calcoli'!$Y$70:$AA$76,2,FALSE),"")</f>
        <v/>
      </c>
      <c r="BD266" s="289"/>
      <c r="BE266" s="289"/>
      <c r="BF266" s="47" t="str">
        <f>LEFT($E266,3)</f>
        <v/>
      </c>
      <c r="BG266" s="298" t="str">
        <f>IF(Out_Table[[#This Row],[Ora Uscita    (GH)]]&lt;&gt;"","x","")</f>
        <v/>
      </c>
      <c r="BH266" s="299" t="e">
        <f>VLOOKUP($O266,'INformazioni per calcoli'!$Y$20:$AA$23,3,FALSE)</f>
        <v>#N/A</v>
      </c>
      <c r="BI266" s="299" t="e">
        <f>MROUND(Out_Table[[#This Row],[Mtr. Trailer]]*AB266,0.5)</f>
        <v>#N/A</v>
      </c>
      <c r="BJ266" s="299" t="e">
        <f>MROUND(Out_Table[[#This Row],[Mtr. Trailer]]*AE266,0.5)</f>
        <v>#N/A</v>
      </c>
      <c r="BK266" s="299" t="e">
        <f>MROUND(Out_Table[[#This Row],[Mtr. Trailer]]*AH266,0.5)</f>
        <v>#N/A</v>
      </c>
      <c r="BL266" s="300">
        <f>Out_Table[[#This Row],[Double Deck trailer N° bumpers]]</f>
        <v>0</v>
      </c>
      <c r="BM266" s="301"/>
      <c r="BN266" s="299" t="str">
        <f>B266</f>
        <v/>
      </c>
      <c r="BO266" s="299" t="str">
        <f>E266</f>
        <v/>
      </c>
      <c r="BP266" s="302" t="e">
        <f>IF(AND(G266&gt;(--"00:00:01"),G266&lt;(--"15:00:00")),IF(AND(X266&gt;(--"00:00:01"),X266&lt;(--"15:00:00")),G266-X266,G266+1-X266),G266-X266)</f>
        <v>#VALUE!</v>
      </c>
      <c r="BQ266" s="303">
        <f>AE266+AF266+AH266+AJ266</f>
        <v>0</v>
      </c>
      <c r="BR266" s="304" t="e">
        <f>IF(OR(BP266&lt;=(--"00:20:00"),BQ266&gt;=100%),"OK","Not OK")</f>
        <v>#VALUE!</v>
      </c>
      <c r="BS266" s="302" t="e">
        <f>IF(AND(G266&gt;(--"00:00:01"),G266&lt;(--"15:00:00")),IF(AND(AU266&gt;(--"00:00:01"),AU266&lt;(--"15:00:00")),G266-AU266,G266+1-AU266),G266-AU266)</f>
        <v>#VALUE!</v>
      </c>
      <c r="BT266" s="302">
        <f>IF(AND(AZ266&gt;(--"00:00:01"),AZ266&lt;(--"15:00:00")),IF(AND(AU266&gt;(--"00:00:01"),AU266&lt;(--"15:00:00")),AZ266-AU266,AZ266+1-AU266),AZ266-AU266)</f>
        <v>0</v>
      </c>
      <c r="BU266" s="302">
        <f>IF(AND(BA266&gt;(--"00:00:01"),BA266&lt;(--"15:00:00")),IF(AND(AZ266&gt;(--"00:00:01"),AZ266&lt;(--"15:00:00")),BA266-AZ266,BA266+1-AZ266),BA266-AZ266)</f>
        <v>0</v>
      </c>
      <c r="BV266" s="299">
        <f>AV266</f>
        <v>0</v>
      </c>
      <c r="BW266" s="301"/>
      <c r="BX266" s="299" t="str">
        <f>IF(AV266="T Status",IF(AV266&lt;&gt;T266,"X",""),"")</f>
        <v/>
      </c>
      <c r="BY266" s="301"/>
      <c r="BZ266" s="299" t="str">
        <f>IF(X266&lt;&gt;"",IF(CC266="X","Driver Delay",IF(CA266="X","Paperwork Delay",IF(CB266="X","Late freight late sort",IF(CD266="X","Chiamare Control Room",IF(CE266="X","Chiamare Control Room",IF(CF266="X","Chiamare Control Room","")))))),"")</f>
        <v/>
      </c>
      <c r="CA266" s="302" t="e">
        <f>IF(K266="",IF(IF(AND(G266&gt;(--"00:00:01"),G266&lt;(--"15:00:00")),IF(AND(AT266&gt;(--"08:00:00"),AT266&lt;(--"23:59:59")),G266+1-AT266,G266-AT266),G266-AT266)&gt;(--"00:20:00"),"","X"),"")</f>
        <v>#VALUE!</v>
      </c>
      <c r="CB266" s="299" t="e">
        <f>IF(K266="",IF(BP266&gt;=(--"00:20:00"),"","X"),"")</f>
        <v>#VALUE!</v>
      </c>
      <c r="CC266" s="299" t="str">
        <f>IF(OR(AV266="Autista non presente",AV266="Dati driver non presenti"),"X","")</f>
        <v/>
      </c>
      <c r="CD266" s="299" t="e">
        <f>IF(K266="",IF(AND(CC266="",BS266&lt;(--"00:20:00")),"X",""),"")</f>
        <v>#VALUE!</v>
      </c>
      <c r="CE266" s="299" t="str">
        <f>IF(K266="",IF(BT266&gt;(--"00:15:00"),"X",""),IF(AZ266&lt;&gt;"",IF(G266-AZ266&gt;(--"00:30:00"),"X",""),""))</f>
        <v/>
      </c>
      <c r="CF266" s="299" t="e">
        <f>IF(AND(CA266="",CB266="",CC266="",CD266="",CE266=""),"X","")</f>
        <v>#VALUE!</v>
      </c>
      <c r="CG266" s="301"/>
      <c r="CH266" s="299" t="str">
        <f>IF(BT266&gt;(--"00:15:00"),"X","")</f>
        <v/>
      </c>
      <c r="CI266" s="302" t="str">
        <f>AY266</f>
        <v/>
      </c>
      <c r="CJ266" s="299" t="str">
        <f>IF(AND(CH266&lt;&gt;"",CI266&lt;&gt;"",LEFT(B266,3)="ITD"),AP266,"")</f>
        <v/>
      </c>
      <c r="CK266" s="305" t="str">
        <f>IF(CJ266&lt;&gt;"",BT266,"")</f>
        <v/>
      </c>
      <c r="CL266" s="301"/>
      <c r="CM266" s="305" t="str">
        <f>IFERROR(VLOOKUP(Q266,'Elenco Casse'!$D$4:$F$292,3,FALSE),"")</f>
        <v/>
      </c>
      <c r="CN266" s="301"/>
      <c r="CO266" s="305" t="str">
        <f>IFERROR(VLOOKUP(S266,'Elenco Casse'!$D$4:$F$292,3,FALSE),"")</f>
        <v/>
      </c>
      <c r="CP266" s="305" t="str">
        <f>IFERROR(IF(VLOOKUP($E266,Outlist!$A$5:$S$120,19,FALSE)&lt;&gt;0,"Y",""),"")</f>
        <v/>
      </c>
      <c r="CQ266" s="301"/>
      <c r="CR266" s="305" t="str">
        <f>CONCATENATE($B266,$E266,$G266)</f>
        <v/>
      </c>
      <c r="CS266" s="301"/>
      <c r="CT266" s="305" t="e">
        <f>VLOOKUP(Out_Table[[#This Row],[Destination             ORANGE (From Planning)]],Outlist!$A$5:$W$120,22,FALSE)</f>
        <v>#N/A</v>
      </c>
    </row>
    <row r="267" spans="1:98" s="20" customFormat="1" ht="15">
      <c r="A267" s="305" t="str">
        <f>$CR267</f>
        <v/>
      </c>
      <c r="B267" s="351" t="str">
        <f>IFERROR(VLOOKUP(E267,Outlist!$A$5:$AC$120,2,FALSE),"")</f>
        <v/>
      </c>
      <c r="C267" s="352" t="str">
        <f ca="1">IFERROR(IF(LEFT(B267,3)='STAT 77'!$X$2,_xlfn.XLOOKUP(B267,'STAT 77'!C:C,'STAT 77'!B:B),_xlfn.XLOOKUP(B267,'STAT 77'!B:B,'STAT 77'!C:C)),"NON TROVATO")</f>
        <v>NON TROVATO</v>
      </c>
      <c r="D267" s="4"/>
      <c r="E267" s="352" t="str">
        <f>IFERROR(IF(Outlist!$A129&lt;&gt;"",Outlist!$A129,""),"")</f>
        <v/>
      </c>
      <c r="F267" s="352" t="str">
        <f>IFERROR(VLOOKUP(E267,'Cambio O2P'!C:E,2,FALSE),"")</f>
        <v/>
      </c>
      <c r="G267" s="353" t="str">
        <f>IFERROR(VLOOKUP(E267,Outlist!$A$5:$AC$120,5,FALSE)-INT(VLOOKUP(E267,Outlist!$A$5:$AC$120,5,FALSE)),"")</f>
        <v/>
      </c>
      <c r="H267" s="294" t="str">
        <f ca="1">IFERROR(IF(AND('INformazioni per calcoli'!$AB$3&lt;(--"14:30"),'INformazioni per calcoli'!$AB$3&gt;(--"10:00")),"",IF($B267="","",IF($X267&lt;&gt;"","Mezzo Chiuso",IF($W267="","Non al Carico",IF($K267="Safe Parking","Safe Parking", IF(OR($BF267='INformazioni per calcoli'!$AF$8,$BF267='INformazioni per calcoli'!$AC$8,$BF267='INformazioni per calcoli'!$AD$8,$BF267='INformazioni per calcoli'!$AE$8,$BF267='INformazioni per calcoli'!$AG$8,$BF267='INformazioni per calcoli'!$AH$8,$BF267='INformazioni per calcoli'!$AI$8,$BF267='INformazioni per calcoli'!$AJ$8),IF($G267-'INformazioni per calcoli'!$AB$6-'INformazioni per calcoli'!$AB$3+$J267&lt;0,"LFLS",$G267-'INformazioni per calcoli'!$AB$6-'INformazioni per calcoli'!$AB$3+$J267), IF(OR($BF267='INformazioni per calcoli'!$AF$6,$BF267='INformazioni per calcoli'!$AD$6,$BF267='INformazioni per calcoli'!$AE$6,$BF267='INformazioni per calcoli'!$AG$6),IF($G267-'INformazioni per calcoli'!$AB$8-'INformazioni per calcoli'!$AB$3+$J267&lt;0,"LFLS",$G267-'INformazioni per calcoli'!$AB$8-'INformazioni per calcoli'!$AB$3+$J267), IF($G267-'INformazioni per calcoli'!$AB$7-'INformazioni per calcoli'!$AB$3+$J267&lt;0,"LFLS",$G267-'INformazioni per calcoli'!$AB$7-'INformazioni per calcoli'!$AB$3+$J267)))))))),"")</f>
        <v/>
      </c>
      <c r="I267" s="17" t="str">
        <f ca="1">IFERROR(IF($H267&lt;&gt;"",IF($H267="Safe Parking","",IF($W267&lt;&gt;"",IF(AND($U267="X",$V267="X"),$H267-(--"00:30"),""),IF($X267&lt;&gt;"","Mezzo Chiuso","Non al carico"))),""),"")</f>
        <v/>
      </c>
      <c r="J267" s="354" t="str">
        <f>IFERROR(IF($G267="","",IF(INT(VLOOKUP($E267,Outlist!$A$5:$E$120,5,FALSE))&gt;'INformazioni per calcoli'!$AB$2,INT(VLOOKUP($E267,Outlist!$A$5:$E$120,5,FALSE))-INT('INformazioni per calcoli'!$AB$2),0)),"")</f>
        <v/>
      </c>
      <c r="K267" s="27" t="str">
        <f>IF(E267&lt;&gt;"",IFERROR(VLOOKUP(E267,Outlist!$A$5:$AC$120,22,FALSE),""),"")</f>
        <v/>
      </c>
      <c r="L267" s="352" t="str">
        <f>IF(E267&lt;&gt;"",IFERROR(VLOOKUP(E267,Outlist!$A$5:$AC$120,3,FALSE),""),"")</f>
        <v/>
      </c>
      <c r="M267" s="4" t="str">
        <f>IFERROR(_xlfn.XLOOKUP($Q267,'Elenco Casse'!$D:$D,'Elenco Casse'!$E:$E),"")</f>
        <v/>
      </c>
      <c r="N267" s="4" t="str">
        <f>IFERROR(_xlfn.XLOOKUP($Q267,'Elenco Casse'!$D:$D,'Elenco Casse'!$F:$F),"")</f>
        <v/>
      </c>
      <c r="O267" s="4" t="str">
        <f>IF($L267&lt;&gt;"","TT-2/3","")</f>
        <v/>
      </c>
      <c r="P267" s="296" t="str">
        <f>IFERROR(IF(VLOOKUP(E267,Outlist!$A$5:$AC$120,21,FALSE)="YES","Linea Variata",""),"")</f>
        <v/>
      </c>
      <c r="Q267" s="355" t="str">
        <f>IFERROR(VLOOKUP(E267,Outlist!$AK$4:$BH$139,13,FALSE),"")</f>
        <v/>
      </c>
      <c r="R267" s="23"/>
      <c r="S267" s="25" t="str">
        <f>IFERROR(IF(VLOOKUP(E267,Outlist!$A$5:$AC$120,7,FALSE)="X","SUBCO",""),"")</f>
        <v/>
      </c>
      <c r="T267" s="25"/>
      <c r="U267" s="23"/>
      <c r="V267" s="23"/>
      <c r="W267" s="26"/>
      <c r="X267" s="27"/>
      <c r="Y267" s="25" t="str">
        <f>IF(OR(Out_Table[[#This Row],[DOC Del. hr. (RTH)]]&lt;&gt;"",Outlist!S168),"XXX","")</f>
        <v/>
      </c>
      <c r="Z267" s="25"/>
      <c r="AA267" s="25"/>
      <c r="AB267" s="57"/>
      <c r="AC267" s="25"/>
      <c r="AD267" s="25"/>
      <c r="AE267" s="57"/>
      <c r="AF267" s="57"/>
      <c r="AG267" s="25"/>
      <c r="AH267" s="57"/>
      <c r="AI267" s="339"/>
      <c r="AJ267" s="339"/>
      <c r="AK267" s="297" t="str">
        <f>IF(X267&lt;&gt;"",CONCATENATE(IF(AA267&lt;&gt;"",CONCATENATE(Z267," ",AA267," ",BI267),""),IF(AD267&lt;&gt;"",CONCATENATE(","," ",AC267," ",AD267," ",BJ267),""),IF(AG267&lt;&gt;"",CONCATENATE(","," ",AF267," ",AG267," ",BK267),""),IF(AJ267&lt;&gt;"",CONCATENATE(","," ","DD"," ",BL267),"")," ",IF(AI267&lt;&gt;"",CONCATENATE(" - ",AI267," Bag"),"")),"")</f>
        <v/>
      </c>
      <c r="AL267" s="287"/>
      <c r="AM267" s="287"/>
      <c r="AN267" s="287"/>
      <c r="AO267" s="287"/>
      <c r="AP267" s="370" t="str">
        <f>IFERROR(VLOOKUP($E264,Outlist!$A$5:$V$120,20,FALSE),"")</f>
        <v/>
      </c>
      <c r="AQ267" s="288" t="str">
        <f>IFERROR(IF(VLOOKUP($A267,#REF!,8,FALSE)&lt;&gt;"",VLOOKUP($A267,#REF!,8,FALSE),""),"")</f>
        <v/>
      </c>
      <c r="AS267" s="24"/>
      <c r="AT267" s="24"/>
      <c r="AU267" s="27"/>
      <c r="AV267" s="27"/>
      <c r="AX267" s="20" t="str">
        <f>IFERROR(IF(Out_Table[[#This Row],[Cancellazione linea]]="Cancellata","yes",""),"")</f>
        <v/>
      </c>
      <c r="AY267" s="72" t="str">
        <f>IF(BA267="",BZ267,IF(AND(BA267&lt;(--"23:59:59"),BA267&gt;(--"15:00:00"),G267&lt;(--"14:00:00"),G267&gt;(--"00:00:01")),"",IF(BA267&gt;G267,BZ267,"")))</f>
        <v/>
      </c>
      <c r="AZ267" s="27"/>
      <c r="BA267" s="32"/>
      <c r="BB267" s="72"/>
      <c r="BC267" s="72" t="str">
        <f>IFERROR(VLOOKUP(Out_Table[[#This Row],[Aggiornamento STATUS]],'INformazioni per calcoli'!$Y$70:$AA$76,2,FALSE),"")</f>
        <v/>
      </c>
      <c r="BD267" s="289"/>
      <c r="BE267" s="289"/>
      <c r="BF267" s="47" t="str">
        <f>LEFT($E267,3)</f>
        <v/>
      </c>
      <c r="BG267" s="298" t="str">
        <f>IF(Out_Table[[#This Row],[Ora Uscita    (GH)]]&lt;&gt;"","x","")</f>
        <v/>
      </c>
      <c r="BH267" s="299" t="e">
        <f>VLOOKUP($O267,'INformazioni per calcoli'!$Y$20:$AA$23,3,FALSE)</f>
        <v>#N/A</v>
      </c>
      <c r="BI267" s="299" t="e">
        <f>MROUND(Out_Table[[#This Row],[Mtr. Trailer]]*AB267,0.5)</f>
        <v>#N/A</v>
      </c>
      <c r="BJ267" s="299" t="e">
        <f>MROUND(Out_Table[[#This Row],[Mtr. Trailer]]*AE267,0.5)</f>
        <v>#N/A</v>
      </c>
      <c r="BK267" s="299" t="e">
        <f>MROUND(Out_Table[[#This Row],[Mtr. Trailer]]*AH267,0.5)</f>
        <v>#N/A</v>
      </c>
      <c r="BL267" s="300">
        <f>Out_Table[[#This Row],[Double Deck trailer N° bumpers]]</f>
        <v>0</v>
      </c>
      <c r="BM267" s="301"/>
      <c r="BN267" s="299" t="str">
        <f>B267</f>
        <v/>
      </c>
      <c r="BO267" s="299" t="str">
        <f>E267</f>
        <v/>
      </c>
      <c r="BP267" s="302" t="e">
        <f>IF(AND(G267&gt;(--"00:00:01"),G267&lt;(--"15:00:00")),IF(AND(X267&gt;(--"00:00:01"),X267&lt;(--"15:00:00")),G267-X267,G267+1-X267),G267-X267)</f>
        <v>#VALUE!</v>
      </c>
      <c r="BQ267" s="303">
        <f>AE267+AF267+AH267+AJ267</f>
        <v>0</v>
      </c>
      <c r="BR267" s="304" t="e">
        <f>IF(OR(BP267&lt;=(--"00:20:00"),BQ267&gt;=100%),"OK","Not OK")</f>
        <v>#VALUE!</v>
      </c>
      <c r="BS267" s="302" t="e">
        <f>IF(AND(G267&gt;(--"00:00:01"),G267&lt;(--"15:00:00")),IF(AND(AU267&gt;(--"00:00:01"),AU267&lt;(--"15:00:00")),G267-AU267,G267+1-AU267),G267-AU267)</f>
        <v>#VALUE!</v>
      </c>
      <c r="BT267" s="302">
        <f>IF(AND(AZ267&gt;(--"00:00:01"),AZ267&lt;(--"15:00:00")),IF(AND(AU267&gt;(--"00:00:01"),AU267&lt;(--"15:00:00")),AZ267-AU267,AZ267+1-AU267),AZ267-AU267)</f>
        <v>0</v>
      </c>
      <c r="BU267" s="302">
        <f>IF(AND(BA267&gt;(--"00:00:01"),BA267&lt;(--"15:00:00")),IF(AND(AZ267&gt;(--"00:00:01"),AZ267&lt;(--"15:00:00")),BA267-AZ267,BA267+1-AZ267),BA267-AZ267)</f>
        <v>0</v>
      </c>
      <c r="BV267" s="299">
        <f>AV267</f>
        <v>0</v>
      </c>
      <c r="BW267" s="301"/>
      <c r="BX267" s="299" t="str">
        <f>IF(AV267="T Status",IF(AV267&lt;&gt;T267,"X",""),"")</f>
        <v/>
      </c>
      <c r="BY267" s="301"/>
      <c r="BZ267" s="299" t="str">
        <f>IF(X267&lt;&gt;"",IF(CC267="X","Driver Delay",IF(CA267="X","Paperwork Delay",IF(CB267="X","Late freight late sort",IF(CD267="X","Chiamare Control Room",IF(CE267="X","Chiamare Control Room",IF(CF267="X","Chiamare Control Room","")))))),"")</f>
        <v/>
      </c>
      <c r="CA267" s="302" t="e">
        <f>IF(K267="",IF(IF(AND(G267&gt;(--"00:00:01"),G267&lt;(--"15:00:00")),IF(AND(AT267&gt;(--"08:00:00"),AT267&lt;(--"23:59:59")),G267+1-AT267,G267-AT267),G267-AT267)&gt;(--"00:20:00"),"","X"),"")</f>
        <v>#VALUE!</v>
      </c>
      <c r="CB267" s="299" t="e">
        <f>IF(K267="",IF(BP267&gt;=(--"00:20:00"),"","X"),"")</f>
        <v>#VALUE!</v>
      </c>
      <c r="CC267" s="299" t="str">
        <f>IF(OR(AV267="Autista non presente",AV267="Dati driver non presenti"),"X","")</f>
        <v/>
      </c>
      <c r="CD267" s="299" t="e">
        <f>IF(K267="",IF(AND(CC267="",BS267&lt;(--"00:20:00")),"X",""),"")</f>
        <v>#VALUE!</v>
      </c>
      <c r="CE267" s="299" t="str">
        <f>IF(K267="",IF(BT267&gt;(--"00:15:00"),"X",""),IF(AZ267&lt;&gt;"",IF(G267-AZ267&gt;(--"00:30:00"),"X",""),""))</f>
        <v/>
      </c>
      <c r="CF267" s="299" t="e">
        <f>IF(AND(CA267="",CB267="",CC267="",CD267="",CE267=""),"X","")</f>
        <v>#VALUE!</v>
      </c>
      <c r="CG267" s="301"/>
      <c r="CH267" s="299" t="str">
        <f>IF(BT267&gt;(--"00:15:00"),"X","")</f>
        <v/>
      </c>
      <c r="CI267" s="302" t="str">
        <f>AY267</f>
        <v/>
      </c>
      <c r="CJ267" s="299" t="str">
        <f>IF(AND(CH267&lt;&gt;"",CI267&lt;&gt;"",LEFT(B267,3)="ITD"),AP267,"")</f>
        <v/>
      </c>
      <c r="CK267" s="305" t="str">
        <f>IF(CJ267&lt;&gt;"",BT267,"")</f>
        <v/>
      </c>
      <c r="CL267" s="301"/>
      <c r="CM267" s="305" t="str">
        <f>IFERROR(VLOOKUP(Q267,'Elenco Casse'!$D$4:$F$292,3,FALSE),"")</f>
        <v/>
      </c>
      <c r="CN267" s="301"/>
      <c r="CO267" s="305" t="str">
        <f>IFERROR(VLOOKUP(S267,'Elenco Casse'!$D$4:$F$292,3,FALSE),"")</f>
        <v/>
      </c>
      <c r="CP267" s="305" t="str">
        <f>IFERROR(IF(VLOOKUP($E267,Outlist!$A$5:$S$120,19,FALSE)&lt;&gt;0,"Y",""),"")</f>
        <v/>
      </c>
      <c r="CQ267" s="301"/>
      <c r="CR267" s="305" t="str">
        <f>CONCATENATE($B267,$E267,$G267)</f>
        <v/>
      </c>
      <c r="CS267" s="301"/>
      <c r="CT267" s="305" t="e">
        <f>VLOOKUP(Out_Table[[#This Row],[Destination             ORANGE (From Planning)]],Outlist!$A$5:$W$120,22,FALSE)</f>
        <v>#N/A</v>
      </c>
    </row>
    <row r="268" spans="1:98" s="20" customFormat="1" ht="15">
      <c r="A268" s="305" t="str">
        <f>$CR268</f>
        <v/>
      </c>
      <c r="B268" s="351" t="str">
        <f>IFERROR(VLOOKUP(E268,Outlist!$A$5:$AC$120,2,FALSE),"")</f>
        <v/>
      </c>
      <c r="C268" s="352" t="str">
        <f ca="1">IFERROR(IF(LEFT(B268,3)='STAT 77'!$X$2,_xlfn.XLOOKUP(B268,'STAT 77'!C:C,'STAT 77'!B:B),_xlfn.XLOOKUP(B268,'STAT 77'!B:B,'STAT 77'!C:C)),"NON TROVATO")</f>
        <v>NON TROVATO</v>
      </c>
      <c r="D268" s="4"/>
      <c r="E268" s="352" t="str">
        <f>IFERROR(IF(Outlist!$A130&lt;&gt;"",Outlist!$A130,""),"")</f>
        <v/>
      </c>
      <c r="F268" s="352" t="str">
        <f>IFERROR(VLOOKUP(E268,'Cambio O2P'!C:E,2,FALSE),"")</f>
        <v/>
      </c>
      <c r="G268" s="353" t="str">
        <f>IFERROR(VLOOKUP(E268,Outlist!$A$5:$AC$120,5,FALSE)-INT(VLOOKUP(E268,Outlist!$A$5:$AC$120,5,FALSE)),"")</f>
        <v/>
      </c>
      <c r="H268" s="294" t="str">
        <f ca="1">IFERROR(IF(AND('INformazioni per calcoli'!$AB$3&lt;(--"14:30"),'INformazioni per calcoli'!$AB$3&gt;(--"10:00")),"",IF($B268="","",IF($X268&lt;&gt;"","Mezzo Chiuso",IF($W268="","Non al Carico",IF($K268="Safe Parking","Safe Parking", IF(OR($BF268='INformazioni per calcoli'!$AF$8,$BF268='INformazioni per calcoli'!$AC$8,$BF268='INformazioni per calcoli'!$AD$8,$BF268='INformazioni per calcoli'!$AE$8,$BF268='INformazioni per calcoli'!$AG$8,$BF268='INformazioni per calcoli'!$AH$8,$BF268='INformazioni per calcoli'!$AI$8,$BF268='INformazioni per calcoli'!$AJ$8),IF($G268-'INformazioni per calcoli'!$AB$6-'INformazioni per calcoli'!$AB$3+$J268&lt;0,"LFLS",$G268-'INformazioni per calcoli'!$AB$6-'INformazioni per calcoli'!$AB$3+$J268), IF(OR($BF268='INformazioni per calcoli'!$AF$6,$BF268='INformazioni per calcoli'!$AD$6,$BF268='INformazioni per calcoli'!$AE$6,$BF268='INformazioni per calcoli'!$AG$6),IF($G268-'INformazioni per calcoli'!$AB$8-'INformazioni per calcoli'!$AB$3+$J268&lt;0,"LFLS",$G268-'INformazioni per calcoli'!$AB$8-'INformazioni per calcoli'!$AB$3+$J268), IF($G268-'INformazioni per calcoli'!$AB$7-'INformazioni per calcoli'!$AB$3+$J268&lt;0,"LFLS",$G268-'INformazioni per calcoli'!$AB$7-'INformazioni per calcoli'!$AB$3+$J268)))))))),"")</f>
        <v/>
      </c>
      <c r="I268" s="17" t="str">
        <f ca="1">IFERROR(IF($H268&lt;&gt;"",IF($H268="Safe Parking","",IF($W268&lt;&gt;"",IF(AND($U268="X",$V268="X"),$H268-(--"00:30"),""),IF($X268&lt;&gt;"","Mezzo Chiuso","Non al carico"))),""),"")</f>
        <v/>
      </c>
      <c r="J268" s="354" t="str">
        <f>IFERROR(IF($G268="","",IF(INT(VLOOKUP($E268,Outlist!$A$5:$E$120,5,FALSE))&gt;'INformazioni per calcoli'!$AB$2,INT(VLOOKUP($E268,Outlist!$A$5:$E$120,5,FALSE))-INT('INformazioni per calcoli'!$AB$2),0)),"")</f>
        <v/>
      </c>
      <c r="K268" s="27" t="str">
        <f>IF(E268&lt;&gt;"",IFERROR(VLOOKUP(E268,Outlist!$A$5:$AC$120,22,FALSE),""),"")</f>
        <v/>
      </c>
      <c r="L268" s="352" t="str">
        <f>IF(E268&lt;&gt;"",IFERROR(VLOOKUP(E268,Outlist!$A$5:$AC$120,3,FALSE),""),"")</f>
        <v/>
      </c>
      <c r="M268" s="4" t="str">
        <f>IFERROR(_xlfn.XLOOKUP($Q268,'Elenco Casse'!$D:$D,'Elenco Casse'!$E:$E),"")</f>
        <v/>
      </c>
      <c r="N268" s="4" t="str">
        <f>IFERROR(_xlfn.XLOOKUP($Q268,'Elenco Casse'!$D:$D,'Elenco Casse'!$F:$F),"")</f>
        <v/>
      </c>
      <c r="O268" s="4" t="str">
        <f>IF($L268&lt;&gt;"","TT-2/3","")</f>
        <v/>
      </c>
      <c r="P268" s="296" t="str">
        <f>IFERROR(IF(VLOOKUP(E268,Outlist!$A$5:$AC$120,21,FALSE)="YES","Linea Variata",""),"")</f>
        <v/>
      </c>
      <c r="Q268" s="355" t="str">
        <f>IFERROR(VLOOKUP(E268,Outlist!$AK$4:$BH$139,13,FALSE),"")</f>
        <v/>
      </c>
      <c r="R268" s="23"/>
      <c r="S268" s="25" t="str">
        <f>IFERROR(IF(VLOOKUP(E268,Outlist!$A$5:$AC$120,7,FALSE)="X","SUBCO",""),"")</f>
        <v/>
      </c>
      <c r="T268" s="25"/>
      <c r="U268" s="23"/>
      <c r="V268" s="23"/>
      <c r="W268" s="26"/>
      <c r="X268" s="27"/>
      <c r="Y268" s="25" t="str">
        <f>IF(OR(Out_Table[[#This Row],[DOC Del. hr. (RTH)]]&lt;&gt;"",Outlist!S169),"XXX","")</f>
        <v/>
      </c>
      <c r="Z268" s="25"/>
      <c r="AA268" s="25"/>
      <c r="AB268" s="57"/>
      <c r="AC268" s="25"/>
      <c r="AD268" s="25"/>
      <c r="AE268" s="57"/>
      <c r="AF268" s="57"/>
      <c r="AG268" s="25"/>
      <c r="AH268" s="57"/>
      <c r="AI268" s="339"/>
      <c r="AJ268" s="339"/>
      <c r="AK268" s="297" t="str">
        <f>IF(X268&lt;&gt;"",CONCATENATE(IF(AA268&lt;&gt;"",CONCATENATE(Z268," ",AA268," ",BI268),""),IF(AD268&lt;&gt;"",CONCATENATE(","," ",AC268," ",AD268," ",BJ268),""),IF(AG268&lt;&gt;"",CONCATENATE(","," ",AF268," ",AG268," ",BK268),""),IF(AJ268&lt;&gt;"",CONCATENATE(","," ","DD"," ",BL268),"")," ",IF(AI268&lt;&gt;"",CONCATENATE(" - ",AI268," Bag"),"")),"")</f>
        <v/>
      </c>
      <c r="AL268" s="287"/>
      <c r="AM268" s="287"/>
      <c r="AN268" s="287"/>
      <c r="AO268" s="287"/>
      <c r="AP268" s="370" t="str">
        <f>IFERROR(VLOOKUP($E265,Outlist!$A$5:$V$120,20,FALSE),"")</f>
        <v/>
      </c>
      <c r="AQ268" s="288" t="str">
        <f>IFERROR(IF(VLOOKUP($A268,#REF!,8,FALSE)&lt;&gt;"",VLOOKUP($A268,#REF!,8,FALSE),""),"")</f>
        <v/>
      </c>
      <c r="AS268" s="24"/>
      <c r="AT268" s="24"/>
      <c r="AU268" s="27"/>
      <c r="AV268" s="27"/>
      <c r="AX268" s="20" t="str">
        <f>IFERROR(IF(Out_Table[[#This Row],[Cancellazione linea]]="Cancellata","yes",""),"")</f>
        <v/>
      </c>
      <c r="AY268" s="72" t="str">
        <f>IF(BA268="",BZ268,IF(AND(BA268&lt;(--"23:59:59"),BA268&gt;(--"15:00:00"),G268&lt;(--"14:00:00"),G268&gt;(--"00:00:01")),"",IF(BA268&gt;G268,BZ268,"")))</f>
        <v/>
      </c>
      <c r="AZ268" s="27"/>
      <c r="BA268" s="32"/>
      <c r="BB268" s="72"/>
      <c r="BC268" s="72" t="str">
        <f>IFERROR(VLOOKUP(Out_Table[[#This Row],[Aggiornamento STATUS]],'INformazioni per calcoli'!$Y$70:$AA$76,2,FALSE),"")</f>
        <v/>
      </c>
      <c r="BD268" s="289"/>
      <c r="BE268" s="289"/>
      <c r="BF268" s="47" t="str">
        <f>LEFT($E268,3)</f>
        <v/>
      </c>
      <c r="BG268" s="298" t="str">
        <f>IF(Out_Table[[#This Row],[Ora Uscita    (GH)]]&lt;&gt;"","x","")</f>
        <v/>
      </c>
      <c r="BH268" s="299" t="e">
        <f>VLOOKUP($O268,'INformazioni per calcoli'!$Y$20:$AA$23,3,FALSE)</f>
        <v>#N/A</v>
      </c>
      <c r="BI268" s="299" t="e">
        <f>MROUND(Out_Table[[#This Row],[Mtr. Trailer]]*AB268,0.5)</f>
        <v>#N/A</v>
      </c>
      <c r="BJ268" s="299" t="e">
        <f>MROUND(Out_Table[[#This Row],[Mtr. Trailer]]*AE268,0.5)</f>
        <v>#N/A</v>
      </c>
      <c r="BK268" s="299" t="e">
        <f>MROUND(Out_Table[[#This Row],[Mtr. Trailer]]*AH268,0.5)</f>
        <v>#N/A</v>
      </c>
      <c r="BL268" s="300">
        <f>Out_Table[[#This Row],[Double Deck trailer N° bumpers]]</f>
        <v>0</v>
      </c>
      <c r="BM268" s="301"/>
      <c r="BN268" s="299" t="str">
        <f>B268</f>
        <v/>
      </c>
      <c r="BO268" s="299" t="str">
        <f>E268</f>
        <v/>
      </c>
      <c r="BP268" s="302" t="e">
        <f>IF(AND(G268&gt;(--"00:00:01"),G268&lt;(--"15:00:00")),IF(AND(X268&gt;(--"00:00:01"),X268&lt;(--"15:00:00")),G268-X268,G268+1-X268),G268-X268)</f>
        <v>#VALUE!</v>
      </c>
      <c r="BQ268" s="303">
        <f>AE268+AF268+AH268+AJ268</f>
        <v>0</v>
      </c>
      <c r="BR268" s="304" t="e">
        <f>IF(OR(BP268&lt;=(--"00:20:00"),BQ268&gt;=100%),"OK","Not OK")</f>
        <v>#VALUE!</v>
      </c>
      <c r="BS268" s="302" t="e">
        <f>IF(AND(G268&gt;(--"00:00:01"),G268&lt;(--"15:00:00")),IF(AND(AU268&gt;(--"00:00:01"),AU268&lt;(--"15:00:00")),G268-AU268,G268+1-AU268),G268-AU268)</f>
        <v>#VALUE!</v>
      </c>
      <c r="BT268" s="302">
        <f>IF(AND(AZ268&gt;(--"00:00:01"),AZ268&lt;(--"15:00:00")),IF(AND(AU268&gt;(--"00:00:01"),AU268&lt;(--"15:00:00")),AZ268-AU268,AZ268+1-AU268),AZ268-AU268)</f>
        <v>0</v>
      </c>
      <c r="BU268" s="302">
        <f>IF(AND(BA268&gt;(--"00:00:01"),BA268&lt;(--"15:00:00")),IF(AND(AZ268&gt;(--"00:00:01"),AZ268&lt;(--"15:00:00")),BA268-AZ268,BA268+1-AZ268),BA268-AZ268)</f>
        <v>0</v>
      </c>
      <c r="BV268" s="299">
        <f>AV268</f>
        <v>0</v>
      </c>
      <c r="BW268" s="301"/>
      <c r="BX268" s="299" t="str">
        <f>IF(AV268="T Status",IF(AV268&lt;&gt;T268,"X",""),"")</f>
        <v/>
      </c>
      <c r="BY268" s="301"/>
      <c r="BZ268" s="299" t="str">
        <f>IF(X268&lt;&gt;"",IF(CC268="X","Driver Delay",IF(CA268="X","Paperwork Delay",IF(CB268="X","Late freight late sort",IF(CD268="X","Chiamare Control Room",IF(CE268="X","Chiamare Control Room",IF(CF268="X","Chiamare Control Room","")))))),"")</f>
        <v/>
      </c>
      <c r="CA268" s="302" t="e">
        <f>IF(K268="",IF(IF(AND(G268&gt;(--"00:00:01"),G268&lt;(--"15:00:00")),IF(AND(AT268&gt;(--"08:00:00"),AT268&lt;(--"23:59:59")),G268+1-AT268,G268-AT268),G268-AT268)&gt;(--"00:20:00"),"","X"),"")</f>
        <v>#VALUE!</v>
      </c>
      <c r="CB268" s="299" t="e">
        <f>IF(K268="",IF(BP268&gt;=(--"00:20:00"),"","X"),"")</f>
        <v>#VALUE!</v>
      </c>
      <c r="CC268" s="299" t="str">
        <f>IF(OR(AV268="Autista non presente",AV268="Dati driver non presenti"),"X","")</f>
        <v/>
      </c>
      <c r="CD268" s="299" t="e">
        <f>IF(K268="",IF(AND(CC268="",BS268&lt;(--"00:20:00")),"X",""),"")</f>
        <v>#VALUE!</v>
      </c>
      <c r="CE268" s="299" t="str">
        <f>IF(K268="",IF(BT268&gt;(--"00:15:00"),"X",""),IF(AZ268&lt;&gt;"",IF(G268-AZ268&gt;(--"00:30:00"),"X",""),""))</f>
        <v/>
      </c>
      <c r="CF268" s="299" t="e">
        <f>IF(AND(CA268="",CB268="",CC268="",CD268="",CE268=""),"X","")</f>
        <v>#VALUE!</v>
      </c>
      <c r="CG268" s="301"/>
      <c r="CH268" s="299" t="str">
        <f>IF(BT268&gt;(--"00:15:00"),"X","")</f>
        <v/>
      </c>
      <c r="CI268" s="302" t="str">
        <f>AY268</f>
        <v/>
      </c>
      <c r="CJ268" s="299" t="str">
        <f>IF(AND(CH268&lt;&gt;"",CI268&lt;&gt;"",LEFT(B268,3)="ITD"),AP268,"")</f>
        <v/>
      </c>
      <c r="CK268" s="305" t="str">
        <f>IF(CJ268&lt;&gt;"",BT268,"")</f>
        <v/>
      </c>
      <c r="CL268" s="301"/>
      <c r="CM268" s="305" t="str">
        <f>IFERROR(VLOOKUP(Q268,'Elenco Casse'!$D$4:$F$292,3,FALSE),"")</f>
        <v/>
      </c>
      <c r="CN268" s="301"/>
      <c r="CO268" s="305" t="str">
        <f>IFERROR(VLOOKUP(S268,'Elenco Casse'!$D$4:$F$292,3,FALSE),"")</f>
        <v/>
      </c>
      <c r="CP268" s="305" t="str">
        <f>IFERROR(IF(VLOOKUP($E268,Outlist!$A$5:$S$120,19,FALSE)&lt;&gt;0,"Y",""),"")</f>
        <v/>
      </c>
      <c r="CQ268" s="301"/>
      <c r="CR268" s="305" t="str">
        <f>CONCATENATE($B268,$E268,$G268)</f>
        <v/>
      </c>
      <c r="CS268" s="301"/>
      <c r="CT268" s="305" t="e">
        <f>VLOOKUP(Out_Table[[#This Row],[Destination             ORANGE (From Planning)]],Outlist!$A$5:$W$120,22,FALSE)</f>
        <v>#N/A</v>
      </c>
    </row>
    <row r="269" spans="1:98" s="20" customFormat="1" ht="15">
      <c r="A269" s="305" t="str">
        <f>$CR269</f>
        <v/>
      </c>
      <c r="B269" s="351" t="str">
        <f>IFERROR(VLOOKUP(E269,Outlist!$A$5:$AC$120,2,FALSE),"")</f>
        <v/>
      </c>
      <c r="C269" s="352" t="str">
        <f ca="1">IFERROR(IF(LEFT(B269,3)='STAT 77'!$X$2,_xlfn.XLOOKUP(B269,'STAT 77'!C:C,'STAT 77'!B:B),_xlfn.XLOOKUP(B269,'STAT 77'!B:B,'STAT 77'!C:C)),"NON TROVATO")</f>
        <v>NON TROVATO</v>
      </c>
      <c r="D269" s="4"/>
      <c r="E269" s="352" t="str">
        <f>IFERROR(IF(Outlist!$A131&lt;&gt;"",Outlist!$A131,""),"")</f>
        <v/>
      </c>
      <c r="F269" s="352" t="str">
        <f>IFERROR(VLOOKUP(E269,'Cambio O2P'!C:E,2,FALSE),"")</f>
        <v/>
      </c>
      <c r="G269" s="353" t="str">
        <f>IFERROR(VLOOKUP(E269,Outlist!$A$5:$AC$120,5,FALSE)-INT(VLOOKUP(E269,Outlist!$A$5:$AC$120,5,FALSE)),"")</f>
        <v/>
      </c>
      <c r="H269" s="294" t="str">
        <f ca="1">IFERROR(IF(AND('INformazioni per calcoli'!$AB$3&lt;(--"14:30"),'INformazioni per calcoli'!$AB$3&gt;(--"10:00")),"",IF($B269="","",IF($X269&lt;&gt;"","Mezzo Chiuso",IF($W269="","Non al Carico",IF($K269="Safe Parking","Safe Parking", IF(OR($BF269='INformazioni per calcoli'!$AF$8,$BF269='INformazioni per calcoli'!$AC$8,$BF269='INformazioni per calcoli'!$AD$8,$BF269='INformazioni per calcoli'!$AE$8,$BF269='INformazioni per calcoli'!$AG$8,$BF269='INformazioni per calcoli'!$AH$8,$BF269='INformazioni per calcoli'!$AI$8,$BF269='INformazioni per calcoli'!$AJ$8),IF($G269-'INformazioni per calcoli'!$AB$6-'INformazioni per calcoli'!$AB$3+$J269&lt;0,"LFLS",$G269-'INformazioni per calcoli'!$AB$6-'INformazioni per calcoli'!$AB$3+$J269), IF(OR($BF269='INformazioni per calcoli'!$AF$6,$BF269='INformazioni per calcoli'!$AD$6,$BF269='INformazioni per calcoli'!$AE$6,$BF269='INformazioni per calcoli'!$AG$6),IF($G269-'INformazioni per calcoli'!$AB$8-'INformazioni per calcoli'!$AB$3+$J269&lt;0,"LFLS",$G269-'INformazioni per calcoli'!$AB$8-'INformazioni per calcoli'!$AB$3+$J269), IF($G269-'INformazioni per calcoli'!$AB$7-'INformazioni per calcoli'!$AB$3+$J269&lt;0,"LFLS",$G269-'INformazioni per calcoli'!$AB$7-'INformazioni per calcoli'!$AB$3+$J269)))))))),"")</f>
        <v/>
      </c>
      <c r="I269" s="17" t="str">
        <f ca="1">IFERROR(IF($H269&lt;&gt;"",IF($H269="Safe Parking","",IF($W269&lt;&gt;"",IF(AND($U269="X",$V269="X"),$H269-(--"00:30"),""),IF($X269&lt;&gt;"","Mezzo Chiuso","Non al carico"))),""),"")</f>
        <v/>
      </c>
      <c r="J269" s="354" t="str">
        <f>IFERROR(IF($G269="","",IF(INT(VLOOKUP($E269,Outlist!$A$5:$E$120,5,FALSE))&gt;'INformazioni per calcoli'!$AB$2,INT(VLOOKUP($E269,Outlist!$A$5:$E$120,5,FALSE))-INT('INformazioni per calcoli'!$AB$2),0)),"")</f>
        <v/>
      </c>
      <c r="K269" s="27" t="str">
        <f>IF(E269&lt;&gt;"",IFERROR(VLOOKUP(E269,Outlist!$A$5:$AC$120,22,FALSE),""),"")</f>
        <v/>
      </c>
      <c r="L269" s="352" t="str">
        <f>IF(E269&lt;&gt;"",IFERROR(VLOOKUP(E269,Outlist!$A$5:$AC$120,3,FALSE),""),"")</f>
        <v/>
      </c>
      <c r="M269" s="4" t="str">
        <f>IFERROR(_xlfn.XLOOKUP($Q269,'Elenco Casse'!$D:$D,'Elenco Casse'!$E:$E),"")</f>
        <v/>
      </c>
      <c r="N269" s="4" t="str">
        <f>IFERROR(_xlfn.XLOOKUP($Q269,'Elenco Casse'!$D:$D,'Elenco Casse'!$F:$F),"")</f>
        <v/>
      </c>
      <c r="O269" s="4" t="str">
        <f>IF($L269&lt;&gt;"","TT-2/3","")</f>
        <v/>
      </c>
      <c r="P269" s="296" t="str">
        <f>IFERROR(IF(VLOOKUP(E269,Outlist!$A$5:$AC$120,21,FALSE)="YES","Linea Variata",""),"")</f>
        <v/>
      </c>
      <c r="Q269" s="355" t="str">
        <f>IFERROR(VLOOKUP(E269,Outlist!$AK$4:$BH$139,13,FALSE),"")</f>
        <v/>
      </c>
      <c r="R269" s="23"/>
      <c r="S269" s="25" t="str">
        <f>IFERROR(IF(VLOOKUP(E269,Outlist!$A$5:$AC$120,7,FALSE)="X","SUBCO",""),"")</f>
        <v/>
      </c>
      <c r="T269" s="25"/>
      <c r="U269" s="23"/>
      <c r="V269" s="23"/>
      <c r="W269" s="26"/>
      <c r="X269" s="27"/>
      <c r="Y269" s="25" t="str">
        <f>IF(OR(Out_Table[[#This Row],[DOC Del. hr. (RTH)]]&lt;&gt;"",Outlist!S170),"XXX","")</f>
        <v/>
      </c>
      <c r="Z269" s="25"/>
      <c r="AA269" s="25"/>
      <c r="AB269" s="57"/>
      <c r="AC269" s="25"/>
      <c r="AD269" s="25"/>
      <c r="AE269" s="57"/>
      <c r="AF269" s="57"/>
      <c r="AG269" s="25"/>
      <c r="AH269" s="57"/>
      <c r="AI269" s="339"/>
      <c r="AJ269" s="339"/>
      <c r="AK269" s="297" t="str">
        <f>IF(X269&lt;&gt;"",CONCATENATE(IF(AA269&lt;&gt;"",CONCATENATE(Z269," ",AA269," ",BI269),""),IF(AD269&lt;&gt;"",CONCATENATE(","," ",AC269," ",AD269," ",BJ269),""),IF(AG269&lt;&gt;"",CONCATENATE(","," ",AF269," ",AG269," ",BK269),""),IF(AJ269&lt;&gt;"",CONCATENATE(","," ","DD"," ",BL269),"")," ",IF(AI269&lt;&gt;"",CONCATENATE(" - ",AI269," Bag"),"")),"")</f>
        <v/>
      </c>
      <c r="AL269" s="287"/>
      <c r="AM269" s="287"/>
      <c r="AN269" s="287"/>
      <c r="AO269" s="287"/>
      <c r="AP269" s="370" t="str">
        <f>IFERROR(VLOOKUP($E266,Outlist!$A$5:$V$120,20,FALSE),"")</f>
        <v/>
      </c>
      <c r="AQ269" s="288" t="str">
        <f>IFERROR(IF(VLOOKUP($A269,#REF!,8,FALSE)&lt;&gt;"",VLOOKUP($A269,#REF!,8,FALSE),""),"")</f>
        <v/>
      </c>
      <c r="AS269" s="24"/>
      <c r="AT269" s="24"/>
      <c r="AU269" s="27"/>
      <c r="AV269" s="27"/>
      <c r="AX269" s="20" t="str">
        <f>IFERROR(IF(Out_Table[[#This Row],[Cancellazione linea]]="Cancellata","yes",""),"")</f>
        <v/>
      </c>
      <c r="AY269" s="72" t="str">
        <f>IF(BA269="",BZ269,IF(AND(BA269&lt;(--"23:59:59"),BA269&gt;(--"15:00:00"),G269&lt;(--"14:00:00"),G269&gt;(--"00:00:01")),"",IF(BA269&gt;G269,BZ269,"")))</f>
        <v/>
      </c>
      <c r="AZ269" s="27"/>
      <c r="BA269" s="32"/>
      <c r="BB269" s="72"/>
      <c r="BC269" s="72" t="str">
        <f>IFERROR(VLOOKUP(Out_Table[[#This Row],[Aggiornamento STATUS]],'INformazioni per calcoli'!$Y$70:$AA$76,2,FALSE),"")</f>
        <v/>
      </c>
      <c r="BD269" s="289"/>
      <c r="BE269" s="289"/>
      <c r="BF269" s="47" t="str">
        <f>LEFT($E269,3)</f>
        <v/>
      </c>
      <c r="BG269" s="298" t="str">
        <f>IF(Out_Table[[#This Row],[Ora Uscita    (GH)]]&lt;&gt;"","x","")</f>
        <v/>
      </c>
      <c r="BH269" s="299" t="e">
        <f>VLOOKUP($O269,'INformazioni per calcoli'!$Y$20:$AA$23,3,FALSE)</f>
        <v>#N/A</v>
      </c>
      <c r="BI269" s="299" t="e">
        <f>MROUND(Out_Table[[#This Row],[Mtr. Trailer]]*AB269,0.5)</f>
        <v>#N/A</v>
      </c>
      <c r="BJ269" s="299" t="e">
        <f>MROUND(Out_Table[[#This Row],[Mtr. Trailer]]*AE269,0.5)</f>
        <v>#N/A</v>
      </c>
      <c r="BK269" s="299" t="e">
        <f>MROUND(Out_Table[[#This Row],[Mtr. Trailer]]*AH269,0.5)</f>
        <v>#N/A</v>
      </c>
      <c r="BL269" s="300">
        <f>Out_Table[[#This Row],[Double Deck trailer N° bumpers]]</f>
        <v>0</v>
      </c>
      <c r="BM269" s="301"/>
      <c r="BN269" s="299" t="str">
        <f>B269</f>
        <v/>
      </c>
      <c r="BO269" s="299" t="str">
        <f>E269</f>
        <v/>
      </c>
      <c r="BP269" s="302" t="e">
        <f>IF(AND(G269&gt;(--"00:00:01"),G269&lt;(--"15:00:00")),IF(AND(X269&gt;(--"00:00:01"),X269&lt;(--"15:00:00")),G269-X269,G269+1-X269),G269-X269)</f>
        <v>#VALUE!</v>
      </c>
      <c r="BQ269" s="303">
        <f>AE269+AF269+AH269+AJ269</f>
        <v>0</v>
      </c>
      <c r="BR269" s="304" t="e">
        <f>IF(OR(BP269&lt;=(--"00:20:00"),BQ269&gt;=100%),"OK","Not OK")</f>
        <v>#VALUE!</v>
      </c>
      <c r="BS269" s="302" t="e">
        <f>IF(AND(G269&gt;(--"00:00:01"),G269&lt;(--"15:00:00")),IF(AND(AU269&gt;(--"00:00:01"),AU269&lt;(--"15:00:00")),G269-AU269,G269+1-AU269),G269-AU269)</f>
        <v>#VALUE!</v>
      </c>
      <c r="BT269" s="302">
        <f>IF(AND(AZ269&gt;(--"00:00:01"),AZ269&lt;(--"15:00:00")),IF(AND(AU269&gt;(--"00:00:01"),AU269&lt;(--"15:00:00")),AZ269-AU269,AZ269+1-AU269),AZ269-AU269)</f>
        <v>0</v>
      </c>
      <c r="BU269" s="302">
        <f>IF(AND(BA269&gt;(--"00:00:01"),BA269&lt;(--"15:00:00")),IF(AND(AZ269&gt;(--"00:00:01"),AZ269&lt;(--"15:00:00")),BA269-AZ269,BA269+1-AZ269),BA269-AZ269)</f>
        <v>0</v>
      </c>
      <c r="BV269" s="299">
        <f>AV269</f>
        <v>0</v>
      </c>
      <c r="BW269" s="301"/>
      <c r="BX269" s="299" t="str">
        <f>IF(AV269="T Status",IF(AV269&lt;&gt;T269,"X",""),"")</f>
        <v/>
      </c>
      <c r="BY269" s="301"/>
      <c r="BZ269" s="299" t="str">
        <f>IF(X269&lt;&gt;"",IF(CC269="X","Driver Delay",IF(CA269="X","Paperwork Delay",IF(CB269="X","Late freight late sort",IF(CD269="X","Chiamare Control Room",IF(CE269="X","Chiamare Control Room",IF(CF269="X","Chiamare Control Room","")))))),"")</f>
        <v/>
      </c>
      <c r="CA269" s="302" t="e">
        <f>IF(K269="",IF(IF(AND(G269&gt;(--"00:00:01"),G269&lt;(--"15:00:00")),IF(AND(AT269&gt;(--"08:00:00"),AT269&lt;(--"23:59:59")),G269+1-AT269,G269-AT269),G269-AT269)&gt;(--"00:20:00"),"","X"),"")</f>
        <v>#VALUE!</v>
      </c>
      <c r="CB269" s="299" t="e">
        <f>IF(K269="",IF(BP269&gt;=(--"00:20:00"),"","X"),"")</f>
        <v>#VALUE!</v>
      </c>
      <c r="CC269" s="299" t="str">
        <f>IF(OR(AV269="Autista non presente",AV269="Dati driver non presenti"),"X","")</f>
        <v/>
      </c>
      <c r="CD269" s="299" t="e">
        <f>IF(K269="",IF(AND(CC269="",BS269&lt;(--"00:20:00")),"X",""),"")</f>
        <v>#VALUE!</v>
      </c>
      <c r="CE269" s="299" t="str">
        <f>IF(K269="",IF(BT269&gt;(--"00:15:00"),"X",""),IF(AZ269&lt;&gt;"",IF(G269-AZ269&gt;(--"00:30:00"),"X",""),""))</f>
        <v/>
      </c>
      <c r="CF269" s="299" t="e">
        <f>IF(AND(CA269="",CB269="",CC269="",CD269="",CE269=""),"X","")</f>
        <v>#VALUE!</v>
      </c>
      <c r="CG269" s="301"/>
      <c r="CH269" s="299" t="str">
        <f>IF(BT269&gt;(--"00:15:00"),"X","")</f>
        <v/>
      </c>
      <c r="CI269" s="302" t="str">
        <f>AY269</f>
        <v/>
      </c>
      <c r="CJ269" s="299" t="str">
        <f>IF(AND(CH269&lt;&gt;"",CI269&lt;&gt;"",LEFT(B269,3)="ITD"),AP269,"")</f>
        <v/>
      </c>
      <c r="CK269" s="305" t="str">
        <f>IF(CJ269&lt;&gt;"",BT269,"")</f>
        <v/>
      </c>
      <c r="CL269" s="301"/>
      <c r="CM269" s="305" t="str">
        <f>IFERROR(VLOOKUP(Q269,'Elenco Casse'!$D$4:$F$292,3,FALSE),"")</f>
        <v/>
      </c>
      <c r="CN269" s="301"/>
      <c r="CO269" s="305" t="str">
        <f>IFERROR(VLOOKUP(S269,'Elenco Casse'!$D$4:$F$292,3,FALSE),"")</f>
        <v/>
      </c>
      <c r="CP269" s="305" t="str">
        <f>IFERROR(IF(VLOOKUP($E269,Outlist!$A$5:$S$120,19,FALSE)&lt;&gt;0,"Y",""),"")</f>
        <v/>
      </c>
      <c r="CQ269" s="301"/>
      <c r="CR269" s="305" t="str">
        <f>CONCATENATE($B269,$E269,$G269)</f>
        <v/>
      </c>
      <c r="CS269" s="301"/>
      <c r="CT269" s="305" t="e">
        <f>VLOOKUP(Out_Table[[#This Row],[Destination             ORANGE (From Planning)]],Outlist!$A$5:$W$120,22,FALSE)</f>
        <v>#N/A</v>
      </c>
    </row>
    <row r="270" spans="1:98" s="20" customFormat="1" ht="15">
      <c r="A270" s="305" t="str">
        <f>$CR270</f>
        <v/>
      </c>
      <c r="B270" s="351" t="str">
        <f>IFERROR(VLOOKUP(E270,Outlist!$A$5:$AC$120,2,FALSE),"")</f>
        <v/>
      </c>
      <c r="C270" s="352" t="str">
        <f ca="1">IFERROR(IF(LEFT(B270,3)='STAT 77'!$X$2,_xlfn.XLOOKUP(B270,'STAT 77'!C:C,'STAT 77'!B:B),_xlfn.XLOOKUP(B270,'STAT 77'!B:B,'STAT 77'!C:C)),"NON TROVATO")</f>
        <v>NON TROVATO</v>
      </c>
      <c r="D270" s="4"/>
      <c r="E270" s="352" t="str">
        <f>IFERROR(IF(Outlist!$A132&lt;&gt;"",Outlist!$A132,""),"")</f>
        <v/>
      </c>
      <c r="F270" s="352" t="str">
        <f>IFERROR(VLOOKUP(E270,'Cambio O2P'!C:E,2,FALSE),"")</f>
        <v/>
      </c>
      <c r="G270" s="353" t="str">
        <f>IFERROR(VLOOKUP(E270,Outlist!$A$5:$AC$120,5,FALSE)-INT(VLOOKUP(E270,Outlist!$A$5:$AC$120,5,FALSE)),"")</f>
        <v/>
      </c>
      <c r="H270" s="294" t="str">
        <f ca="1">IFERROR(IF(AND('INformazioni per calcoli'!$AB$3&lt;(--"14:30"),'INformazioni per calcoli'!$AB$3&gt;(--"10:00")),"",IF($B270="","",IF($X270&lt;&gt;"","Mezzo Chiuso",IF($W270="","Non al Carico",IF($K270="Safe Parking","Safe Parking", IF(OR($BF270='INformazioni per calcoli'!$AF$8,$BF270='INformazioni per calcoli'!$AC$8,$BF270='INformazioni per calcoli'!$AD$8,$BF270='INformazioni per calcoli'!$AE$8,$BF270='INformazioni per calcoli'!$AG$8,$BF270='INformazioni per calcoli'!$AH$8,$BF270='INformazioni per calcoli'!$AI$8,$BF270='INformazioni per calcoli'!$AJ$8),IF($G270-'INformazioni per calcoli'!$AB$6-'INformazioni per calcoli'!$AB$3+$J270&lt;0,"LFLS",$G270-'INformazioni per calcoli'!$AB$6-'INformazioni per calcoli'!$AB$3+$J270), IF(OR($BF270='INformazioni per calcoli'!$AF$6,$BF270='INformazioni per calcoli'!$AD$6,$BF270='INformazioni per calcoli'!$AE$6,$BF270='INformazioni per calcoli'!$AG$6),IF($G270-'INformazioni per calcoli'!$AB$8-'INformazioni per calcoli'!$AB$3+$J270&lt;0,"LFLS",$G270-'INformazioni per calcoli'!$AB$8-'INformazioni per calcoli'!$AB$3+$J270), IF($G270-'INformazioni per calcoli'!$AB$7-'INformazioni per calcoli'!$AB$3+$J270&lt;0,"LFLS",$G270-'INformazioni per calcoli'!$AB$7-'INformazioni per calcoli'!$AB$3+$J270)))))))),"")</f>
        <v/>
      </c>
      <c r="I270" s="17" t="str">
        <f ca="1">IFERROR(IF($H270&lt;&gt;"",IF($H270="Safe Parking","",IF($W270&lt;&gt;"",IF(AND($U270="X",$V270="X"),$H270-(--"00:30"),""),IF($X270&lt;&gt;"","Mezzo Chiuso","Non al carico"))),""),"")</f>
        <v/>
      </c>
      <c r="J270" s="354" t="str">
        <f>IFERROR(IF($G270="","",IF(INT(VLOOKUP($E270,Outlist!$A$5:$E$120,5,FALSE))&gt;'INformazioni per calcoli'!$AB$2,INT(VLOOKUP($E270,Outlist!$A$5:$E$120,5,FALSE))-INT('INformazioni per calcoli'!$AB$2),0)),"")</f>
        <v/>
      </c>
      <c r="K270" s="27" t="str">
        <f>IF(E270&lt;&gt;"",IFERROR(VLOOKUP(E270,Outlist!$A$5:$AC$120,22,FALSE),""),"")</f>
        <v/>
      </c>
      <c r="L270" s="352" t="str">
        <f>IF(E270&lt;&gt;"",IFERROR(VLOOKUP(E270,Outlist!$A$5:$AC$120,3,FALSE),""),"")</f>
        <v/>
      </c>
      <c r="M270" s="4" t="str">
        <f>IFERROR(_xlfn.XLOOKUP($Q270,'Elenco Casse'!$D:$D,'Elenco Casse'!$E:$E),"")</f>
        <v/>
      </c>
      <c r="N270" s="4" t="str">
        <f>IFERROR(_xlfn.XLOOKUP($Q270,'Elenco Casse'!$D:$D,'Elenco Casse'!$F:$F),"")</f>
        <v/>
      </c>
      <c r="O270" s="4" t="str">
        <f>IF($L270&lt;&gt;"","TT-2/3","")</f>
        <v/>
      </c>
      <c r="P270" s="296" t="str">
        <f>IFERROR(IF(VLOOKUP(E270,Outlist!$A$5:$AC$120,21,FALSE)="YES","Linea Variata",""),"")</f>
        <v/>
      </c>
      <c r="Q270" s="355" t="str">
        <f>IFERROR(VLOOKUP(E270,Outlist!$AK$4:$BH$139,13,FALSE),"")</f>
        <v/>
      </c>
      <c r="R270" s="23"/>
      <c r="S270" s="25" t="str">
        <f>IFERROR(IF(VLOOKUP(E270,Outlist!$A$5:$AC$120,7,FALSE)="X","SUBCO",""),"")</f>
        <v/>
      </c>
      <c r="T270" s="25"/>
      <c r="U270" s="23"/>
      <c r="V270" s="23"/>
      <c r="W270" s="26"/>
      <c r="X270" s="27"/>
      <c r="Y270" s="25" t="str">
        <f>IF(OR(Out_Table[[#This Row],[DOC Del. hr. (RTH)]]&lt;&gt;"",Outlist!S171),"XXX","")</f>
        <v/>
      </c>
      <c r="Z270" s="25"/>
      <c r="AA270" s="25"/>
      <c r="AB270" s="57"/>
      <c r="AC270" s="25"/>
      <c r="AD270" s="25"/>
      <c r="AE270" s="57"/>
      <c r="AF270" s="57"/>
      <c r="AG270" s="25"/>
      <c r="AH270" s="57"/>
      <c r="AI270" s="339"/>
      <c r="AJ270" s="339"/>
      <c r="AK270" s="297" t="str">
        <f>IF(X270&lt;&gt;"",CONCATENATE(IF(AA270&lt;&gt;"",CONCATENATE(Z270," ",AA270," ",BI270),""),IF(AD270&lt;&gt;"",CONCATENATE(","," ",AC270," ",AD270," ",BJ270),""),IF(AG270&lt;&gt;"",CONCATENATE(","," ",AF270," ",AG270," ",BK270),""),IF(AJ270&lt;&gt;"",CONCATENATE(","," ","DD"," ",BL270),"")," ",IF(AI270&lt;&gt;"",CONCATENATE(" - ",AI270," Bag"),"")),"")</f>
        <v/>
      </c>
      <c r="AL270" s="287"/>
      <c r="AM270" s="287"/>
      <c r="AN270" s="287"/>
      <c r="AO270" s="287"/>
      <c r="AP270" s="370" t="str">
        <f>IFERROR(VLOOKUP($E267,Outlist!$A$5:$V$120,20,FALSE),"")</f>
        <v/>
      </c>
      <c r="AQ270" s="288" t="str">
        <f>IFERROR(IF(VLOOKUP($A270,#REF!,8,FALSE)&lt;&gt;"",VLOOKUP($A270,#REF!,8,FALSE),""),"")</f>
        <v/>
      </c>
      <c r="AS270" s="24"/>
      <c r="AT270" s="24"/>
      <c r="AU270" s="27"/>
      <c r="AV270" s="27"/>
      <c r="AX270" s="20" t="str">
        <f>IFERROR(IF(Out_Table[[#This Row],[Cancellazione linea]]="Cancellata","yes",""),"")</f>
        <v/>
      </c>
      <c r="AY270" s="72" t="str">
        <f>IF(BA270="",BZ270,IF(AND(BA270&lt;(--"23:59:59"),BA270&gt;(--"15:00:00"),G270&lt;(--"14:00:00"),G270&gt;(--"00:00:01")),"",IF(BA270&gt;G270,BZ270,"")))</f>
        <v/>
      </c>
      <c r="AZ270" s="27"/>
      <c r="BA270" s="32"/>
      <c r="BB270" s="72"/>
      <c r="BC270" s="72" t="str">
        <f>IFERROR(VLOOKUP(Out_Table[[#This Row],[Aggiornamento STATUS]],'INformazioni per calcoli'!$Y$70:$AA$76,2,FALSE),"")</f>
        <v/>
      </c>
      <c r="BD270" s="289"/>
      <c r="BE270" s="289"/>
      <c r="BF270" s="47" t="str">
        <f>LEFT($E270,3)</f>
        <v/>
      </c>
      <c r="BG270" s="298" t="str">
        <f>IF(Out_Table[[#This Row],[Ora Uscita    (GH)]]&lt;&gt;"","x","")</f>
        <v/>
      </c>
      <c r="BH270" s="299" t="e">
        <f>VLOOKUP($O270,'INformazioni per calcoli'!$Y$20:$AA$23,3,FALSE)</f>
        <v>#N/A</v>
      </c>
      <c r="BI270" s="299" t="e">
        <f>MROUND(Out_Table[[#This Row],[Mtr. Trailer]]*AB270,0.5)</f>
        <v>#N/A</v>
      </c>
      <c r="BJ270" s="299" t="e">
        <f>MROUND(Out_Table[[#This Row],[Mtr. Trailer]]*AE270,0.5)</f>
        <v>#N/A</v>
      </c>
      <c r="BK270" s="299" t="e">
        <f>MROUND(Out_Table[[#This Row],[Mtr. Trailer]]*AH270,0.5)</f>
        <v>#N/A</v>
      </c>
      <c r="BL270" s="300">
        <f>Out_Table[[#This Row],[Double Deck trailer N° bumpers]]</f>
        <v>0</v>
      </c>
      <c r="BM270" s="301"/>
      <c r="BN270" s="299" t="str">
        <f>B270</f>
        <v/>
      </c>
      <c r="BO270" s="299" t="str">
        <f>E270</f>
        <v/>
      </c>
      <c r="BP270" s="302" t="e">
        <f>IF(AND(G270&gt;(--"00:00:01"),G270&lt;(--"15:00:00")),IF(AND(X270&gt;(--"00:00:01"),X270&lt;(--"15:00:00")),G270-X270,G270+1-X270),G270-X270)</f>
        <v>#VALUE!</v>
      </c>
      <c r="BQ270" s="303">
        <f>AE270+AF270+AH270+AJ270</f>
        <v>0</v>
      </c>
      <c r="BR270" s="304" t="e">
        <f>IF(OR(BP270&lt;=(--"00:20:00"),BQ270&gt;=100%),"OK","Not OK")</f>
        <v>#VALUE!</v>
      </c>
      <c r="BS270" s="302" t="e">
        <f>IF(AND(G270&gt;(--"00:00:01"),G270&lt;(--"15:00:00")),IF(AND(AU270&gt;(--"00:00:01"),AU270&lt;(--"15:00:00")),G270-AU270,G270+1-AU270),G270-AU270)</f>
        <v>#VALUE!</v>
      </c>
      <c r="BT270" s="302">
        <f>IF(AND(AZ270&gt;(--"00:00:01"),AZ270&lt;(--"15:00:00")),IF(AND(AU270&gt;(--"00:00:01"),AU270&lt;(--"15:00:00")),AZ270-AU270,AZ270+1-AU270),AZ270-AU270)</f>
        <v>0</v>
      </c>
      <c r="BU270" s="302">
        <f>IF(AND(BA270&gt;(--"00:00:01"),BA270&lt;(--"15:00:00")),IF(AND(AZ270&gt;(--"00:00:01"),AZ270&lt;(--"15:00:00")),BA270-AZ270,BA270+1-AZ270),BA270-AZ270)</f>
        <v>0</v>
      </c>
      <c r="BV270" s="299">
        <f>AV270</f>
        <v>0</v>
      </c>
      <c r="BW270" s="301"/>
      <c r="BX270" s="299" t="str">
        <f>IF(AV270="T Status",IF(AV270&lt;&gt;T270,"X",""),"")</f>
        <v/>
      </c>
      <c r="BY270" s="301"/>
      <c r="BZ270" s="299" t="str">
        <f>IF(X270&lt;&gt;"",IF(CC270="X","Driver Delay",IF(CA270="X","Paperwork Delay",IF(CB270="X","Late freight late sort",IF(CD270="X","Chiamare Control Room",IF(CE270="X","Chiamare Control Room",IF(CF270="X","Chiamare Control Room","")))))),"")</f>
        <v/>
      </c>
      <c r="CA270" s="302" t="e">
        <f>IF(K270="",IF(IF(AND(G270&gt;(--"00:00:01"),G270&lt;(--"15:00:00")),IF(AND(AT270&gt;(--"08:00:00"),AT270&lt;(--"23:59:59")),G270+1-AT270,G270-AT270),G270-AT270)&gt;(--"00:20:00"),"","X"),"")</f>
        <v>#VALUE!</v>
      </c>
      <c r="CB270" s="299" t="e">
        <f>IF(K270="",IF(BP270&gt;=(--"00:20:00"),"","X"),"")</f>
        <v>#VALUE!</v>
      </c>
      <c r="CC270" s="299" t="str">
        <f>IF(OR(AV270="Autista non presente",AV270="Dati driver non presenti"),"X","")</f>
        <v/>
      </c>
      <c r="CD270" s="299" t="e">
        <f>IF(K270="",IF(AND(CC270="",BS270&lt;(--"00:20:00")),"X",""),"")</f>
        <v>#VALUE!</v>
      </c>
      <c r="CE270" s="299" t="str">
        <f>IF(K270="",IF(BT270&gt;(--"00:15:00"),"X",""),IF(AZ270&lt;&gt;"",IF(G270-AZ270&gt;(--"00:30:00"),"X",""),""))</f>
        <v/>
      </c>
      <c r="CF270" s="299" t="e">
        <f>IF(AND(CA270="",CB270="",CC270="",CD270="",CE270=""),"X","")</f>
        <v>#VALUE!</v>
      </c>
      <c r="CG270" s="301"/>
      <c r="CH270" s="299" t="str">
        <f>IF(BT270&gt;(--"00:15:00"),"X","")</f>
        <v/>
      </c>
      <c r="CI270" s="302" t="str">
        <f>AY270</f>
        <v/>
      </c>
      <c r="CJ270" s="299" t="str">
        <f>IF(AND(CH270&lt;&gt;"",CI270&lt;&gt;"",LEFT(B270,3)="ITD"),AP270,"")</f>
        <v/>
      </c>
      <c r="CK270" s="305" t="str">
        <f>IF(CJ270&lt;&gt;"",BT270,"")</f>
        <v/>
      </c>
      <c r="CL270" s="301"/>
      <c r="CM270" s="305" t="str">
        <f>IFERROR(VLOOKUP(Q270,'Elenco Casse'!$D$4:$F$292,3,FALSE),"")</f>
        <v/>
      </c>
      <c r="CN270" s="301"/>
      <c r="CO270" s="305" t="str">
        <f>IFERROR(VLOOKUP(S270,'Elenco Casse'!$D$4:$F$292,3,FALSE),"")</f>
        <v/>
      </c>
      <c r="CP270" s="305" t="str">
        <f>IFERROR(IF(VLOOKUP($E270,Outlist!$A$5:$S$120,19,FALSE)&lt;&gt;0,"Y",""),"")</f>
        <v/>
      </c>
      <c r="CQ270" s="301"/>
      <c r="CR270" s="305" t="str">
        <f>CONCATENATE($B270,$E270,$G270)</f>
        <v/>
      </c>
      <c r="CS270" s="301"/>
      <c r="CT270" s="305" t="e">
        <f>VLOOKUP(Out_Table[[#This Row],[Destination             ORANGE (From Planning)]],Outlist!$A$5:$W$120,22,FALSE)</f>
        <v>#N/A</v>
      </c>
    </row>
    <row r="271" spans="1:98" s="20" customFormat="1" ht="15">
      <c r="A271" s="305" t="str">
        <f>$CR271</f>
        <v/>
      </c>
      <c r="B271" s="351" t="str">
        <f>IFERROR(VLOOKUP(E271,Outlist!$A$5:$AC$120,2,FALSE),"")</f>
        <v/>
      </c>
      <c r="C271" s="352" t="str">
        <f ca="1">IFERROR(IF(LEFT(B271,3)='STAT 77'!$X$2,_xlfn.XLOOKUP(B271,'STAT 77'!C:C,'STAT 77'!B:B),_xlfn.XLOOKUP(B271,'STAT 77'!B:B,'STAT 77'!C:C)),"NON TROVATO")</f>
        <v>NON TROVATO</v>
      </c>
      <c r="D271" s="4"/>
      <c r="E271" s="352" t="str">
        <f>IFERROR(IF(Outlist!$A133&lt;&gt;"",Outlist!$A133,""),"")</f>
        <v/>
      </c>
      <c r="F271" s="352" t="str">
        <f>IFERROR(VLOOKUP(E271,'Cambio O2P'!C:E,2,FALSE),"")</f>
        <v/>
      </c>
      <c r="G271" s="353" t="str">
        <f>IFERROR(VLOOKUP(E271,Outlist!$A$5:$AC$120,5,FALSE)-INT(VLOOKUP(E271,Outlist!$A$5:$AC$120,5,FALSE)),"")</f>
        <v/>
      </c>
      <c r="H271" s="294" t="str">
        <f ca="1">IFERROR(IF(AND('INformazioni per calcoli'!$AB$3&lt;(--"14:30"),'INformazioni per calcoli'!$AB$3&gt;(--"10:00")),"",IF($B271="","",IF($X271&lt;&gt;"","Mezzo Chiuso",IF($W271="","Non al Carico",IF($K271="Safe Parking","Safe Parking", IF(OR($BF271='INformazioni per calcoli'!$AF$8,$BF271='INformazioni per calcoli'!$AC$8,$BF271='INformazioni per calcoli'!$AD$8,$BF271='INformazioni per calcoli'!$AE$8,$BF271='INformazioni per calcoli'!$AG$8,$BF271='INformazioni per calcoli'!$AH$8,$BF271='INformazioni per calcoli'!$AI$8,$BF271='INformazioni per calcoli'!$AJ$8),IF($G271-'INformazioni per calcoli'!$AB$6-'INformazioni per calcoli'!$AB$3+$J271&lt;0,"LFLS",$G271-'INformazioni per calcoli'!$AB$6-'INformazioni per calcoli'!$AB$3+$J271), IF(OR($BF271='INformazioni per calcoli'!$AF$6,$BF271='INformazioni per calcoli'!$AD$6,$BF271='INformazioni per calcoli'!$AE$6,$BF271='INformazioni per calcoli'!$AG$6),IF($G271-'INformazioni per calcoli'!$AB$8-'INformazioni per calcoli'!$AB$3+$J271&lt;0,"LFLS",$G271-'INformazioni per calcoli'!$AB$8-'INformazioni per calcoli'!$AB$3+$J271), IF($G271-'INformazioni per calcoli'!$AB$7-'INformazioni per calcoli'!$AB$3+$J271&lt;0,"LFLS",$G271-'INformazioni per calcoli'!$AB$7-'INformazioni per calcoli'!$AB$3+$J271)))))))),"")</f>
        <v/>
      </c>
      <c r="I271" s="17" t="str">
        <f ca="1">IFERROR(IF($H271&lt;&gt;"",IF($H271="Safe Parking","",IF($W271&lt;&gt;"",IF(AND($U271="X",$V271="X"),$H271-(--"00:30"),""),IF($X271&lt;&gt;"","Mezzo Chiuso","Non al carico"))),""),"")</f>
        <v/>
      </c>
      <c r="J271" s="354" t="str">
        <f>IFERROR(IF($G271="","",IF(INT(VLOOKUP($E271,Outlist!$A$5:$E$120,5,FALSE))&gt;'INformazioni per calcoli'!$AB$2,INT(VLOOKUP($E271,Outlist!$A$5:$E$120,5,FALSE))-INT('INformazioni per calcoli'!$AB$2),0)),"")</f>
        <v/>
      </c>
      <c r="K271" s="27" t="str">
        <f>IF(E271&lt;&gt;"",IFERROR(VLOOKUP(E271,Outlist!$A$5:$AC$120,22,FALSE),""),"")</f>
        <v/>
      </c>
      <c r="L271" s="352" t="str">
        <f>IF(E271&lt;&gt;"",IFERROR(VLOOKUP(E271,Outlist!$A$5:$AC$120,3,FALSE),""),"")</f>
        <v/>
      </c>
      <c r="M271" s="4" t="str">
        <f>IFERROR(_xlfn.XLOOKUP($Q271,'Elenco Casse'!$D:$D,'Elenco Casse'!$E:$E),"")</f>
        <v/>
      </c>
      <c r="N271" s="4" t="str">
        <f>IFERROR(_xlfn.XLOOKUP($Q271,'Elenco Casse'!$D:$D,'Elenco Casse'!$F:$F),"")</f>
        <v/>
      </c>
      <c r="O271" s="4" t="str">
        <f>IF($L271&lt;&gt;"","TT-2/3","")</f>
        <v/>
      </c>
      <c r="P271" s="296" t="str">
        <f>IFERROR(IF(VLOOKUP(E271,Outlist!$A$5:$AC$120,21,FALSE)="YES","Linea Variata",""),"")</f>
        <v/>
      </c>
      <c r="Q271" s="355" t="str">
        <f>IFERROR(VLOOKUP(E271,Outlist!$AK$4:$BH$139,13,FALSE),"")</f>
        <v/>
      </c>
      <c r="R271" s="23"/>
      <c r="S271" s="25" t="str">
        <f>IFERROR(IF(VLOOKUP(E271,Outlist!$A$5:$AC$120,7,FALSE)="X","SUBCO",""),"")</f>
        <v/>
      </c>
      <c r="T271" s="25"/>
      <c r="U271" s="23"/>
      <c r="V271" s="23"/>
      <c r="W271" s="26"/>
      <c r="X271" s="27"/>
      <c r="Y271" s="25" t="str">
        <f>IF(OR(Out_Table[[#This Row],[DOC Del. hr. (RTH)]]&lt;&gt;"",Outlist!S172),"XXX","")</f>
        <v/>
      </c>
      <c r="Z271" s="25"/>
      <c r="AA271" s="25"/>
      <c r="AB271" s="57"/>
      <c r="AC271" s="25"/>
      <c r="AD271" s="25"/>
      <c r="AE271" s="57"/>
      <c r="AF271" s="57"/>
      <c r="AG271" s="25"/>
      <c r="AH271" s="57"/>
      <c r="AI271" s="339"/>
      <c r="AJ271" s="339"/>
      <c r="AK271" s="297" t="str">
        <f>IF(X271&lt;&gt;"",CONCATENATE(IF(AA271&lt;&gt;"",CONCATENATE(Z271," ",AA271," ",BI271),""),IF(AD271&lt;&gt;"",CONCATENATE(","," ",AC271," ",AD271," ",BJ271),""),IF(AG271&lt;&gt;"",CONCATENATE(","," ",AF271," ",AG271," ",BK271),""),IF(AJ271&lt;&gt;"",CONCATENATE(","," ","DD"," ",BL271),"")," ",IF(AI271&lt;&gt;"",CONCATENATE(" - ",AI271," Bag"),"")),"")</f>
        <v/>
      </c>
      <c r="AL271" s="287"/>
      <c r="AM271" s="287"/>
      <c r="AN271" s="287"/>
      <c r="AO271" s="287"/>
      <c r="AP271" s="370" t="str">
        <f>IFERROR(VLOOKUP($E268,Outlist!$A$5:$V$120,20,FALSE),"")</f>
        <v/>
      </c>
      <c r="AQ271" s="288" t="str">
        <f>IFERROR(IF(VLOOKUP($A271,#REF!,8,FALSE)&lt;&gt;"",VLOOKUP($A271,#REF!,8,FALSE),""),"")</f>
        <v/>
      </c>
      <c r="AS271" s="24"/>
      <c r="AT271" s="24"/>
      <c r="AU271" s="27"/>
      <c r="AV271" s="27"/>
      <c r="AX271" s="20" t="str">
        <f>IFERROR(IF(Out_Table[[#This Row],[Cancellazione linea]]="Cancellata","yes",""),"")</f>
        <v/>
      </c>
      <c r="AY271" s="72" t="str">
        <f>IF(BA271="",BZ271,IF(AND(BA271&lt;(--"23:59:59"),BA271&gt;(--"15:00:00"),G271&lt;(--"14:00:00"),G271&gt;(--"00:00:01")),"",IF(BA271&gt;G271,BZ271,"")))</f>
        <v/>
      </c>
      <c r="AZ271" s="27"/>
      <c r="BA271" s="32"/>
      <c r="BB271" s="72"/>
      <c r="BC271" s="72" t="str">
        <f>IFERROR(VLOOKUP(Out_Table[[#This Row],[Aggiornamento STATUS]],'INformazioni per calcoli'!$Y$70:$AA$76,2,FALSE),"")</f>
        <v/>
      </c>
      <c r="BD271" s="289"/>
      <c r="BE271" s="289"/>
      <c r="BF271" s="47" t="str">
        <f>LEFT($E271,3)</f>
        <v/>
      </c>
      <c r="BG271" s="298" t="str">
        <f>IF(Out_Table[[#This Row],[Ora Uscita    (GH)]]&lt;&gt;"","x","")</f>
        <v/>
      </c>
      <c r="BH271" s="299" t="e">
        <f>VLOOKUP($O271,'INformazioni per calcoli'!$Y$20:$AA$23,3,FALSE)</f>
        <v>#N/A</v>
      </c>
      <c r="BI271" s="299" t="e">
        <f>MROUND(Out_Table[[#This Row],[Mtr. Trailer]]*AB271,0.5)</f>
        <v>#N/A</v>
      </c>
      <c r="BJ271" s="299" t="e">
        <f>MROUND(Out_Table[[#This Row],[Mtr. Trailer]]*AE271,0.5)</f>
        <v>#N/A</v>
      </c>
      <c r="BK271" s="299" t="e">
        <f>MROUND(Out_Table[[#This Row],[Mtr. Trailer]]*AH271,0.5)</f>
        <v>#N/A</v>
      </c>
      <c r="BL271" s="300">
        <f>Out_Table[[#This Row],[Double Deck trailer N° bumpers]]</f>
        <v>0</v>
      </c>
      <c r="BM271" s="301"/>
      <c r="BN271" s="299" t="str">
        <f>B271</f>
        <v/>
      </c>
      <c r="BO271" s="299" t="str">
        <f>E271</f>
        <v/>
      </c>
      <c r="BP271" s="302" t="e">
        <f>IF(AND(G271&gt;(--"00:00:01"),G271&lt;(--"15:00:00")),IF(AND(X271&gt;(--"00:00:01"),X271&lt;(--"15:00:00")),G271-X271,G271+1-X271),G271-X271)</f>
        <v>#VALUE!</v>
      </c>
      <c r="BQ271" s="303">
        <f>AE271+AF271+AH271+AJ271</f>
        <v>0</v>
      </c>
      <c r="BR271" s="304" t="e">
        <f>IF(OR(BP271&lt;=(--"00:20:00"),BQ271&gt;=100%),"OK","Not OK")</f>
        <v>#VALUE!</v>
      </c>
      <c r="BS271" s="302" t="e">
        <f>IF(AND(G271&gt;(--"00:00:01"),G271&lt;(--"15:00:00")),IF(AND(AU271&gt;(--"00:00:01"),AU271&lt;(--"15:00:00")),G271-AU271,G271+1-AU271),G271-AU271)</f>
        <v>#VALUE!</v>
      </c>
      <c r="BT271" s="302">
        <f>IF(AND(AZ271&gt;(--"00:00:01"),AZ271&lt;(--"15:00:00")),IF(AND(AU271&gt;(--"00:00:01"),AU271&lt;(--"15:00:00")),AZ271-AU271,AZ271+1-AU271),AZ271-AU271)</f>
        <v>0</v>
      </c>
      <c r="BU271" s="302">
        <f>IF(AND(BA271&gt;(--"00:00:01"),BA271&lt;(--"15:00:00")),IF(AND(AZ271&gt;(--"00:00:01"),AZ271&lt;(--"15:00:00")),BA271-AZ271,BA271+1-AZ271),BA271-AZ271)</f>
        <v>0</v>
      </c>
      <c r="BV271" s="299">
        <f>AV271</f>
        <v>0</v>
      </c>
      <c r="BW271" s="301"/>
      <c r="BX271" s="299" t="str">
        <f>IF(AV271="T Status",IF(AV271&lt;&gt;T271,"X",""),"")</f>
        <v/>
      </c>
      <c r="BY271" s="301"/>
      <c r="BZ271" s="299" t="str">
        <f>IF(X271&lt;&gt;"",IF(CC271="X","Driver Delay",IF(CA271="X","Paperwork Delay",IF(CB271="X","Late freight late sort",IF(CD271="X","Chiamare Control Room",IF(CE271="X","Chiamare Control Room",IF(CF271="X","Chiamare Control Room","")))))),"")</f>
        <v/>
      </c>
      <c r="CA271" s="302" t="e">
        <f>IF(K271="",IF(IF(AND(G271&gt;(--"00:00:01"),G271&lt;(--"15:00:00")),IF(AND(AT271&gt;(--"08:00:00"),AT271&lt;(--"23:59:59")),G271+1-AT271,G271-AT271),G271-AT271)&gt;(--"00:20:00"),"","X"),"")</f>
        <v>#VALUE!</v>
      </c>
      <c r="CB271" s="299" t="e">
        <f>IF(K271="",IF(BP271&gt;=(--"00:20:00"),"","X"),"")</f>
        <v>#VALUE!</v>
      </c>
      <c r="CC271" s="299" t="str">
        <f>IF(OR(AV271="Autista non presente",AV271="Dati driver non presenti"),"X","")</f>
        <v/>
      </c>
      <c r="CD271" s="299" t="e">
        <f>IF(K271="",IF(AND(CC271="",BS271&lt;(--"00:20:00")),"X",""),"")</f>
        <v>#VALUE!</v>
      </c>
      <c r="CE271" s="299" t="str">
        <f>IF(K271="",IF(BT271&gt;(--"00:15:00"),"X",""),IF(AZ271&lt;&gt;"",IF(G271-AZ271&gt;(--"00:30:00"),"X",""),""))</f>
        <v/>
      </c>
      <c r="CF271" s="299" t="e">
        <f>IF(AND(CA271="",CB271="",CC271="",CD271="",CE271=""),"X","")</f>
        <v>#VALUE!</v>
      </c>
      <c r="CG271" s="301"/>
      <c r="CH271" s="299" t="str">
        <f>IF(BT271&gt;(--"00:15:00"),"X","")</f>
        <v/>
      </c>
      <c r="CI271" s="302" t="str">
        <f>AY271</f>
        <v/>
      </c>
      <c r="CJ271" s="299" t="str">
        <f>IF(AND(CH271&lt;&gt;"",CI271&lt;&gt;"",LEFT(B271,3)="ITD"),AP271,"")</f>
        <v/>
      </c>
      <c r="CK271" s="305" t="str">
        <f>IF(CJ271&lt;&gt;"",BT271,"")</f>
        <v/>
      </c>
      <c r="CL271" s="301"/>
      <c r="CM271" s="305" t="str">
        <f>IFERROR(VLOOKUP(Q271,'Elenco Casse'!$D$4:$F$292,3,FALSE),"")</f>
        <v/>
      </c>
      <c r="CN271" s="301"/>
      <c r="CO271" s="305" t="str">
        <f>IFERROR(VLOOKUP(S271,'Elenco Casse'!$D$4:$F$292,3,FALSE),"")</f>
        <v/>
      </c>
      <c r="CP271" s="305" t="str">
        <f>IFERROR(IF(VLOOKUP($E271,Outlist!$A$5:$S$120,19,FALSE)&lt;&gt;0,"Y",""),"")</f>
        <v/>
      </c>
      <c r="CQ271" s="301"/>
      <c r="CR271" s="305" t="str">
        <f>CONCATENATE($B271,$E271,$G271)</f>
        <v/>
      </c>
      <c r="CS271" s="301"/>
      <c r="CT271" s="305" t="e">
        <f>VLOOKUP(Out_Table[[#This Row],[Destination             ORANGE (From Planning)]],Outlist!$A$5:$W$120,22,FALSE)</f>
        <v>#N/A</v>
      </c>
    </row>
    <row r="272" spans="1:98" s="20" customFormat="1" ht="15">
      <c r="A272" s="305" t="str">
        <f>$CR272</f>
        <v/>
      </c>
      <c r="B272" s="351" t="str">
        <f>IFERROR(VLOOKUP(E272,Outlist!$A$5:$AC$120,2,FALSE),"")</f>
        <v/>
      </c>
      <c r="C272" s="352" t="str">
        <f ca="1">IFERROR(IF(LEFT(B272,3)='STAT 77'!$X$2,_xlfn.XLOOKUP(B272,'STAT 77'!C:C,'STAT 77'!B:B),_xlfn.XLOOKUP(B272,'STAT 77'!B:B,'STAT 77'!C:C)),"NON TROVATO")</f>
        <v>NON TROVATO</v>
      </c>
      <c r="D272" s="4"/>
      <c r="E272" s="352" t="str">
        <f>IFERROR(IF(Outlist!$A134&lt;&gt;"",Outlist!$A134,""),"")</f>
        <v/>
      </c>
      <c r="F272" s="352" t="str">
        <f>IFERROR(VLOOKUP(E272,'Cambio O2P'!C:E,2,FALSE),"")</f>
        <v/>
      </c>
      <c r="G272" s="353" t="str">
        <f>IFERROR(VLOOKUP(E272,Outlist!$A$5:$AC$120,5,FALSE)-INT(VLOOKUP(E272,Outlist!$A$5:$AC$120,5,FALSE)),"")</f>
        <v/>
      </c>
      <c r="H272" s="294" t="str">
        <f ca="1">IFERROR(IF(AND('INformazioni per calcoli'!$AB$3&lt;(--"14:30"),'INformazioni per calcoli'!$AB$3&gt;(--"10:00")),"",IF($B272="","",IF($X272&lt;&gt;"","Mezzo Chiuso",IF($W272="","Non al Carico",IF($K272="Safe Parking","Safe Parking", IF(OR($BF272='INformazioni per calcoli'!$AF$8,$BF272='INformazioni per calcoli'!$AC$8,$BF272='INformazioni per calcoli'!$AD$8,$BF272='INformazioni per calcoli'!$AE$8,$BF272='INformazioni per calcoli'!$AG$8,$BF272='INformazioni per calcoli'!$AH$8,$BF272='INformazioni per calcoli'!$AI$8,$BF272='INformazioni per calcoli'!$AJ$8),IF($G272-'INformazioni per calcoli'!$AB$6-'INformazioni per calcoli'!$AB$3+$J272&lt;0,"LFLS",$G272-'INformazioni per calcoli'!$AB$6-'INformazioni per calcoli'!$AB$3+$J272), IF(OR($BF272='INformazioni per calcoli'!$AF$6,$BF272='INformazioni per calcoli'!$AD$6,$BF272='INformazioni per calcoli'!$AE$6,$BF272='INformazioni per calcoli'!$AG$6),IF($G272-'INformazioni per calcoli'!$AB$8-'INformazioni per calcoli'!$AB$3+$J272&lt;0,"LFLS",$G272-'INformazioni per calcoli'!$AB$8-'INformazioni per calcoli'!$AB$3+$J272), IF($G272-'INformazioni per calcoli'!$AB$7-'INformazioni per calcoli'!$AB$3+$J272&lt;0,"LFLS",$G272-'INformazioni per calcoli'!$AB$7-'INformazioni per calcoli'!$AB$3+$J272)))))))),"")</f>
        <v/>
      </c>
      <c r="I272" s="17" t="str">
        <f ca="1">IFERROR(IF($H272&lt;&gt;"",IF($H272="Safe Parking","",IF($W272&lt;&gt;"",IF(AND($U272="X",$V272="X"),$H272-(--"00:30"),""),IF($X272&lt;&gt;"","Mezzo Chiuso","Non al carico"))),""),"")</f>
        <v/>
      </c>
      <c r="J272" s="354" t="str">
        <f>IFERROR(IF($G272="","",IF(INT(VLOOKUP($E272,Outlist!$A$5:$E$120,5,FALSE))&gt;'INformazioni per calcoli'!$AB$2,INT(VLOOKUP($E272,Outlist!$A$5:$E$120,5,FALSE))-INT('INformazioni per calcoli'!$AB$2),0)),"")</f>
        <v/>
      </c>
      <c r="K272" s="27" t="str">
        <f>IF(E272&lt;&gt;"",IFERROR(VLOOKUP(E272,Outlist!$A$5:$AC$120,22,FALSE),""),"")</f>
        <v/>
      </c>
      <c r="L272" s="352" t="str">
        <f>IF(E272&lt;&gt;"",IFERROR(VLOOKUP(E272,Outlist!$A$5:$AC$120,3,FALSE),""),"")</f>
        <v/>
      </c>
      <c r="M272" s="4" t="str">
        <f>IFERROR(_xlfn.XLOOKUP($Q272,'Elenco Casse'!$D:$D,'Elenco Casse'!$E:$E),"")</f>
        <v/>
      </c>
      <c r="N272" s="4" t="str">
        <f>IFERROR(_xlfn.XLOOKUP($Q272,'Elenco Casse'!$D:$D,'Elenco Casse'!$F:$F),"")</f>
        <v/>
      </c>
      <c r="O272" s="4" t="str">
        <f>IF($L272&lt;&gt;"","TT-2/3","")</f>
        <v/>
      </c>
      <c r="P272" s="296" t="str">
        <f>IFERROR(IF(VLOOKUP(E272,Outlist!$A$5:$AC$120,21,FALSE)="YES","Linea Variata",""),"")</f>
        <v/>
      </c>
      <c r="Q272" s="355" t="str">
        <f>IFERROR(VLOOKUP(E272,Outlist!$AK$4:$BH$139,13,FALSE),"")</f>
        <v/>
      </c>
      <c r="R272" s="23"/>
      <c r="S272" s="25" t="str">
        <f>IFERROR(IF(VLOOKUP(E272,Outlist!$A$5:$AC$120,7,FALSE)="X","SUBCO",""),"")</f>
        <v/>
      </c>
      <c r="T272" s="25"/>
      <c r="U272" s="23"/>
      <c r="V272" s="23"/>
      <c r="W272" s="26"/>
      <c r="X272" s="27"/>
      <c r="Y272" s="25" t="str">
        <f>IF(OR(Out_Table[[#This Row],[DOC Del. hr. (RTH)]]&lt;&gt;"",Outlist!S173),"XXX","")</f>
        <v/>
      </c>
      <c r="Z272" s="25"/>
      <c r="AA272" s="25"/>
      <c r="AB272" s="57"/>
      <c r="AC272" s="25"/>
      <c r="AD272" s="25"/>
      <c r="AE272" s="57"/>
      <c r="AF272" s="57"/>
      <c r="AG272" s="25"/>
      <c r="AH272" s="57"/>
      <c r="AI272" s="339"/>
      <c r="AJ272" s="339"/>
      <c r="AK272" s="297" t="str">
        <f>IF(X272&lt;&gt;"",CONCATENATE(IF(AA272&lt;&gt;"",CONCATENATE(Z272," ",AA272," ",BI272),""),IF(AD272&lt;&gt;"",CONCATENATE(","," ",AC272," ",AD272," ",BJ272),""),IF(AG272&lt;&gt;"",CONCATENATE(","," ",AF272," ",AG272," ",BK272),""),IF(AJ272&lt;&gt;"",CONCATENATE(","," ","DD"," ",BL272),"")," ",IF(AI272&lt;&gt;"",CONCATENATE(" - ",AI272," Bag"),"")),"")</f>
        <v/>
      </c>
      <c r="AL272" s="287"/>
      <c r="AM272" s="287"/>
      <c r="AN272" s="287"/>
      <c r="AO272" s="287"/>
      <c r="AP272" s="370" t="str">
        <f>IFERROR(VLOOKUP($E269,Outlist!$A$5:$V$120,20,FALSE),"")</f>
        <v/>
      </c>
      <c r="AQ272" s="288" t="str">
        <f>IFERROR(IF(VLOOKUP($A272,#REF!,8,FALSE)&lt;&gt;"",VLOOKUP($A272,#REF!,8,FALSE),""),"")</f>
        <v/>
      </c>
      <c r="AS272" s="24"/>
      <c r="AT272" s="24"/>
      <c r="AU272" s="27"/>
      <c r="AV272" s="27"/>
      <c r="AX272" s="20" t="str">
        <f>IFERROR(IF(Out_Table[[#This Row],[Cancellazione linea]]="Cancellata","yes",""),"")</f>
        <v/>
      </c>
      <c r="AY272" s="72" t="str">
        <f>IF(BA272="",BZ272,IF(AND(BA272&lt;(--"23:59:59"),BA272&gt;(--"15:00:00"),G272&lt;(--"14:00:00"),G272&gt;(--"00:00:01")),"",IF(BA272&gt;G272,BZ272,"")))</f>
        <v/>
      </c>
      <c r="AZ272" s="27"/>
      <c r="BA272" s="32"/>
      <c r="BB272" s="72"/>
      <c r="BC272" s="72" t="str">
        <f>IFERROR(VLOOKUP(Out_Table[[#This Row],[Aggiornamento STATUS]],'INformazioni per calcoli'!$Y$70:$AA$76,2,FALSE),"")</f>
        <v/>
      </c>
      <c r="BD272" s="289"/>
      <c r="BE272" s="289"/>
      <c r="BF272" s="47" t="str">
        <f>LEFT($E272,3)</f>
        <v/>
      </c>
      <c r="BG272" s="298" t="str">
        <f>IF(Out_Table[[#This Row],[Ora Uscita    (GH)]]&lt;&gt;"","x","")</f>
        <v/>
      </c>
      <c r="BH272" s="299" t="e">
        <f>VLOOKUP($O272,'INformazioni per calcoli'!$Y$20:$AA$23,3,FALSE)</f>
        <v>#N/A</v>
      </c>
      <c r="BI272" s="299" t="e">
        <f>MROUND(Out_Table[[#This Row],[Mtr. Trailer]]*AB272,0.5)</f>
        <v>#N/A</v>
      </c>
      <c r="BJ272" s="299" t="e">
        <f>MROUND(Out_Table[[#This Row],[Mtr. Trailer]]*AE272,0.5)</f>
        <v>#N/A</v>
      </c>
      <c r="BK272" s="299" t="e">
        <f>MROUND(Out_Table[[#This Row],[Mtr. Trailer]]*AH272,0.5)</f>
        <v>#N/A</v>
      </c>
      <c r="BL272" s="300">
        <f>Out_Table[[#This Row],[Double Deck trailer N° bumpers]]</f>
        <v>0</v>
      </c>
      <c r="BM272" s="301"/>
      <c r="BN272" s="299" t="str">
        <f>B272</f>
        <v/>
      </c>
      <c r="BO272" s="299" t="str">
        <f>E272</f>
        <v/>
      </c>
      <c r="BP272" s="302" t="e">
        <f>IF(AND(G272&gt;(--"00:00:01"),G272&lt;(--"15:00:00")),IF(AND(X272&gt;(--"00:00:01"),X272&lt;(--"15:00:00")),G272-X272,G272+1-X272),G272-X272)</f>
        <v>#VALUE!</v>
      </c>
      <c r="BQ272" s="303">
        <f>AE272+AF272+AH272+AJ272</f>
        <v>0</v>
      </c>
      <c r="BR272" s="304" t="e">
        <f>IF(OR(BP272&lt;=(--"00:20:00"),BQ272&gt;=100%),"OK","Not OK")</f>
        <v>#VALUE!</v>
      </c>
      <c r="BS272" s="302" t="e">
        <f>IF(AND(G272&gt;(--"00:00:01"),G272&lt;(--"15:00:00")),IF(AND(AU272&gt;(--"00:00:01"),AU272&lt;(--"15:00:00")),G272-AU272,G272+1-AU272),G272-AU272)</f>
        <v>#VALUE!</v>
      </c>
      <c r="BT272" s="302">
        <f>IF(AND(AZ272&gt;(--"00:00:01"),AZ272&lt;(--"15:00:00")),IF(AND(AU272&gt;(--"00:00:01"),AU272&lt;(--"15:00:00")),AZ272-AU272,AZ272+1-AU272),AZ272-AU272)</f>
        <v>0</v>
      </c>
      <c r="BU272" s="302">
        <f>IF(AND(BA272&gt;(--"00:00:01"),BA272&lt;(--"15:00:00")),IF(AND(AZ272&gt;(--"00:00:01"),AZ272&lt;(--"15:00:00")),BA272-AZ272,BA272+1-AZ272),BA272-AZ272)</f>
        <v>0</v>
      </c>
      <c r="BV272" s="299">
        <f>AV272</f>
        <v>0</v>
      </c>
      <c r="BW272" s="301"/>
      <c r="BX272" s="299" t="str">
        <f>IF(AV272="T Status",IF(AV272&lt;&gt;T272,"X",""),"")</f>
        <v/>
      </c>
      <c r="BY272" s="301"/>
      <c r="BZ272" s="299" t="str">
        <f>IF(X272&lt;&gt;"",IF(CC272="X","Driver Delay",IF(CA272="X","Paperwork Delay",IF(CB272="X","Late freight late sort",IF(CD272="X","Chiamare Control Room",IF(CE272="X","Chiamare Control Room",IF(CF272="X","Chiamare Control Room","")))))),"")</f>
        <v/>
      </c>
      <c r="CA272" s="302" t="e">
        <f>IF(K272="",IF(IF(AND(G272&gt;(--"00:00:01"),G272&lt;(--"15:00:00")),IF(AND(AT272&gt;(--"08:00:00"),AT272&lt;(--"23:59:59")),G272+1-AT272,G272-AT272),G272-AT272)&gt;(--"00:20:00"),"","X"),"")</f>
        <v>#VALUE!</v>
      </c>
      <c r="CB272" s="299" t="e">
        <f>IF(K272="",IF(BP272&gt;=(--"00:20:00"),"","X"),"")</f>
        <v>#VALUE!</v>
      </c>
      <c r="CC272" s="299" t="str">
        <f>IF(OR(AV272="Autista non presente",AV272="Dati driver non presenti"),"X","")</f>
        <v/>
      </c>
      <c r="CD272" s="299" t="e">
        <f>IF(K272="",IF(AND(CC272="",BS272&lt;(--"00:20:00")),"X",""),"")</f>
        <v>#VALUE!</v>
      </c>
      <c r="CE272" s="299" t="str">
        <f>IF(K272="",IF(BT272&gt;(--"00:15:00"),"X",""),IF(AZ272&lt;&gt;"",IF(G272-AZ272&gt;(--"00:30:00"),"X",""),""))</f>
        <v/>
      </c>
      <c r="CF272" s="299" t="e">
        <f>IF(AND(CA272="",CB272="",CC272="",CD272="",CE272=""),"X","")</f>
        <v>#VALUE!</v>
      </c>
      <c r="CG272" s="301"/>
      <c r="CH272" s="299" t="str">
        <f>IF(BT272&gt;(--"00:15:00"),"X","")</f>
        <v/>
      </c>
      <c r="CI272" s="302" t="str">
        <f>AY272</f>
        <v/>
      </c>
      <c r="CJ272" s="299" t="str">
        <f>IF(AND(CH272&lt;&gt;"",CI272&lt;&gt;"",LEFT(B272,3)="ITD"),AP272,"")</f>
        <v/>
      </c>
      <c r="CK272" s="305" t="str">
        <f>IF(CJ272&lt;&gt;"",BT272,"")</f>
        <v/>
      </c>
      <c r="CL272" s="301"/>
      <c r="CM272" s="305" t="str">
        <f>IFERROR(VLOOKUP(Q272,'Elenco Casse'!$D$4:$F$292,3,FALSE),"")</f>
        <v/>
      </c>
      <c r="CN272" s="301"/>
      <c r="CO272" s="305" t="str">
        <f>IFERROR(VLOOKUP(S272,'Elenco Casse'!$D$4:$F$292,3,FALSE),"")</f>
        <v/>
      </c>
      <c r="CP272" s="305" t="str">
        <f>IFERROR(IF(VLOOKUP($E272,Outlist!$A$5:$S$120,19,FALSE)&lt;&gt;0,"Y",""),"")</f>
        <v/>
      </c>
      <c r="CQ272" s="301"/>
      <c r="CR272" s="305" t="str">
        <f>CONCATENATE($B272,$E272,$G272)</f>
        <v/>
      </c>
      <c r="CS272" s="301"/>
      <c r="CT272" s="305" t="e">
        <f>VLOOKUP(Out_Table[[#This Row],[Destination             ORANGE (From Planning)]],Outlist!$A$5:$W$120,22,FALSE)</f>
        <v>#N/A</v>
      </c>
    </row>
    <row r="273" spans="1:98" s="20" customFormat="1" ht="15">
      <c r="A273" s="305" t="str">
        <f>$CR273</f>
        <v/>
      </c>
      <c r="B273" s="284"/>
      <c r="C273" s="290" t="str">
        <f ca="1">IFERROR(IF(LEFT(B273,3)='STAT 77'!$X$2,_xlfn.XLOOKUP(B273,'STAT 77'!C:C,'STAT 77'!B:B),_xlfn.XLOOKUP(B273,'STAT 77'!B:B,'STAT 77'!C:C)),"NON TROVATO")</f>
        <v>NON TROVATO</v>
      </c>
      <c r="D273" s="25"/>
      <c r="E273" s="290"/>
      <c r="F273" s="290" t="str">
        <f>IFERROR(VLOOKUP(E273,'Cambio O2P'!C:E,2,FALSE),"")</f>
        <v/>
      </c>
      <c r="G273" s="285"/>
      <c r="H273" s="293" t="str">
        <f ca="1">IFERROR(IF(AND('INformazioni per calcoli'!$AB$3&lt;(--"14:30"),'INformazioni per calcoli'!$AB$3&gt;(--"10:00")),"",IF($B273="","",IF($X273&lt;&gt;"","Mezzo Chiuso",IF($W273="","Non al Carico",IF($G273-'INformazioni per calcoli'!$AB$5-'INformazioni per calcoli'!$AB$3+$J273&lt;0,"LFLS",IF($K273&lt;&gt;"","Safe Parking",IF($W273&lt;&gt;"",IF($E273="MXP",$G273-'INformazioni per calcoli'!$AB$6-'INformazioni per calcoli'!$AB$3+$J273,$G273-'INformazioni per calcoli'!$AB$5-'INformazioni per calcoli'!$AB$3+$J273),"Non al carico"))))))),"")</f>
        <v/>
      </c>
      <c r="I273" s="17" t="str">
        <f ca="1">IFERROR(IF($H273&lt;&gt;"",IF($H273="Safe Parking","",IF($W273&lt;&gt;"",IF(AND($U273="X",$V273="X"),$H273-(--"00:30"),""),IF($X273&lt;&gt;"","Mezzo Chiuso","Non al carico"))),""),"")</f>
        <v/>
      </c>
      <c r="J273" s="306" t="str">
        <f>IFERROR(IF($B273&lt;&gt;"",IF(AND('INformazioni per calcoli'!$AB$3&lt;(--"15:00"),'INformazioni per calcoli'!$AB$3&gt;(--"00:00")),0,IF($G273&lt;(--"18:30"),"+1",0)),""),"")</f>
        <v/>
      </c>
      <c r="K273" s="27"/>
      <c r="L273" s="25"/>
      <c r="M273" s="25" t="str">
        <f>IFERROR(_xlfn.XLOOKUP($Q273,'Elenco Casse'!$D:$D,'Elenco Casse'!$E:$E),"")</f>
        <v/>
      </c>
      <c r="N273" s="25" t="str">
        <f>IFERROR(_xlfn.XLOOKUP($Q273,'Elenco Casse'!$D:$D,'Elenco Casse'!$F:$F),"")</f>
        <v/>
      </c>
      <c r="O273" s="286"/>
      <c r="P273" s="295" t="str">
        <f>IFERROR(_xlfn.XLOOKUP($Q273,'Elenco Casse'!$D:$D,'Elenco Casse'!$G:$G),"")</f>
        <v/>
      </c>
      <c r="Q273" s="355"/>
      <c r="R273" s="23"/>
      <c r="S273" s="25"/>
      <c r="T273" s="25"/>
      <c r="U273" s="23" t="str">
        <f>IF(ISNUMBER(SEARCH("Parcel",$T273)),"X","")</f>
        <v/>
      </c>
      <c r="V273" s="23" t="str">
        <f>IF(ISNUMBER(SEARCH("Freight",$T273)),"X","")</f>
        <v/>
      </c>
      <c r="W273" s="26"/>
      <c r="X273" s="27"/>
      <c r="Y273" s="25" t="str">
        <f>IF(Out_Table[[#This Row],[DOC Del. hr. (RTH)]]&lt;&gt;"","XXX","")</f>
        <v/>
      </c>
      <c r="Z273" s="25"/>
      <c r="AA273" s="25"/>
      <c r="AB273" s="57"/>
      <c r="AC273" s="25"/>
      <c r="AD273" s="25"/>
      <c r="AE273" s="57"/>
      <c r="AF273" s="57"/>
      <c r="AG273" s="25"/>
      <c r="AH273" s="57"/>
      <c r="AI273" s="339"/>
      <c r="AJ273" s="339"/>
      <c r="AK273" s="297" t="str">
        <f>IF(X273&lt;&gt;"",CONCATENATE(IF(AA273&lt;&gt;"",CONCATENATE(Z273," ",AA273," ",BI273),""),IF(AD273&lt;&gt;"",CONCATENATE(","," ",AC273," ",AD273," ",BJ273),""),IF(AG273&lt;&gt;"",CONCATENATE(","," ",AF273," ",AG273," ",BK273),""),IF(AJ273&lt;&gt;"",CONCATENATE(","," ","DD"," ",BL273),"")," ",IF(AI273&lt;&gt;"",CONCATENATE(" - ",AI273," Bag"),"")),"")</f>
        <v/>
      </c>
      <c r="AL273" s="287"/>
      <c r="AM273" s="287"/>
      <c r="AN273" s="287"/>
      <c r="AO273" s="287"/>
      <c r="AP273" s="370" t="str">
        <f>IFERROR(VLOOKUP($E270,Outlist!$A$5:$V$120,20,FALSE),"")</f>
        <v/>
      </c>
      <c r="AQ273" s="288" t="str">
        <f>IFERROR(IF(VLOOKUP($A273,#REF!,8,FALSE)&lt;&gt;"",VLOOKUP($A273,#REF!,8,FALSE),""),"")</f>
        <v/>
      </c>
      <c r="AS273" s="24"/>
      <c r="AT273" s="24"/>
      <c r="AU273" s="27"/>
      <c r="AV273" s="27"/>
      <c r="AX273" s="20" t="str">
        <f>IFERROR(IF(Out_Table[[#This Row],[Cancellazione linea]]="Cancellata","yes",""),"")</f>
        <v/>
      </c>
      <c r="AY273" s="72" t="str">
        <f>IF(BA273="",BZ273,IF(AND(BA273&lt;(--"23:59:59"),BA273&gt;(--"15:00:00"),G273&lt;(--"14:00:00"),G273&gt;(--"00:00:01")),"",IF(BA273&gt;G273,BZ273,"")))</f>
        <v/>
      </c>
      <c r="AZ273" s="27"/>
      <c r="BA273" s="32"/>
      <c r="BB273" s="72"/>
      <c r="BC273" s="72" t="str">
        <f>IFERROR(VLOOKUP(Out_Table[[#This Row],[Aggiornamento STATUS]],'INformazioni per calcoli'!$Y$70:$AA$76,2,FALSE),"")</f>
        <v/>
      </c>
      <c r="BD273" s="289"/>
      <c r="BE273" s="289"/>
      <c r="BF273" s="47" t="str">
        <f>LEFT($E273,3)</f>
        <v/>
      </c>
      <c r="BG273" s="298" t="str">
        <f>IF(Out_Table[[#This Row],[Ora Uscita    (GH)]]&lt;&gt;"","x","")</f>
        <v/>
      </c>
      <c r="BH273" s="299" t="e">
        <f>VLOOKUP($O273,'INformazioni per calcoli'!$Y$20:$AA$23,3,FALSE)</f>
        <v>#N/A</v>
      </c>
      <c r="BI273" s="299" t="e">
        <f>MROUND(Out_Table[[#This Row],[Mtr. Trailer]]*AB273,0.5)</f>
        <v>#N/A</v>
      </c>
      <c r="BJ273" s="299" t="e">
        <f>MROUND(Out_Table[[#This Row],[Mtr. Trailer]]*AE273,0.5)</f>
        <v>#N/A</v>
      </c>
      <c r="BK273" s="299" t="e">
        <f>MROUND(Out_Table[[#This Row],[Mtr. Trailer]]*AH273,0.5)</f>
        <v>#N/A</v>
      </c>
      <c r="BL273" s="300">
        <f>Out_Table[[#This Row],[Double Deck trailer N° bumpers]]</f>
        <v>0</v>
      </c>
      <c r="BM273" s="301"/>
      <c r="BN273" s="299">
        <f>B273</f>
        <v>0</v>
      </c>
      <c r="BO273" s="299">
        <f>E273</f>
        <v>0</v>
      </c>
      <c r="BP273" s="302">
        <f>IF(AND(G273&gt;(--"00:00:01"),G273&lt;(--"15:00:00")),IF(AND(X273&gt;(--"00:00:01"),X273&lt;(--"15:00:00")),G273-X273,G273+1-X273),G273-X273)</f>
        <v>0</v>
      </c>
      <c r="BQ273" s="303">
        <f>AE273+AF273+AH273+AJ273</f>
        <v>0</v>
      </c>
      <c r="BR273" s="304" t="str">
        <f>IF(OR(BP273&lt;=(--"00:20:00"),BQ273&gt;=100%),"OK","Not OK")</f>
        <v>OK</v>
      </c>
      <c r="BS273" s="302">
        <f>IF(AND(G273&gt;(--"00:00:01"),G273&lt;(--"15:00:00")),IF(AND(AU273&gt;(--"00:00:01"),AU273&lt;(--"15:00:00")),G273-AU273,G273+1-AU273),G273-AU273)</f>
        <v>0</v>
      </c>
      <c r="BT273" s="302">
        <f>IF(AND(AZ273&gt;(--"00:00:01"),AZ273&lt;(--"15:00:00")),IF(AND(AU273&gt;(--"00:00:01"),AU273&lt;(--"15:00:00")),AZ273-AU273,AZ273+1-AU273),AZ273-AU273)</f>
        <v>0</v>
      </c>
      <c r="BU273" s="302">
        <f>IF(AND(BA273&gt;(--"00:00:01"),BA273&lt;(--"15:00:00")),IF(AND(AZ273&gt;(--"00:00:01"),AZ273&lt;(--"15:00:00")),BA273-AZ273,BA273+1-AZ273),BA273-AZ273)</f>
        <v>0</v>
      </c>
      <c r="BV273" s="299">
        <f>AV273</f>
        <v>0</v>
      </c>
      <c r="BW273" s="301"/>
      <c r="BX273" s="299" t="str">
        <f>IF(AV273="T Status",IF(AV273&lt;&gt;T273,"X",""),"")</f>
        <v/>
      </c>
      <c r="BY273" s="301"/>
      <c r="BZ273" s="299" t="str">
        <f>IF(X273&lt;&gt;"",IF(CC273="X","Driver Delay",IF(CA273="X","Paperwork Delay",IF(CB273="X","Late freight late sort",IF(CD273="X","Chiamare Control Room",IF(CE273="X","Chiamare Control Room",IF(CF273="X","Chiamare Control Room","")))))),"")</f>
        <v/>
      </c>
      <c r="CA273" s="302" t="str">
        <f>IF(K273="",IF(IF(AND(G273&gt;(--"00:00:01"),G273&lt;(--"15:00:00")),IF(AND(AT273&gt;(--"08:00:00"),AT273&lt;(--"23:59:59")),G273+1-AT273,G273-AT273),G273-AT273)&gt;(--"00:20:00"),"","X"),"")</f>
        <v>X</v>
      </c>
      <c r="CB273" s="299" t="str">
        <f>IF(K273="",IF(BP273&gt;=(--"00:20:00"),"","X"),"")</f>
        <v>X</v>
      </c>
      <c r="CC273" s="299" t="str">
        <f>IF(OR(AV273="Autista non presente",AV273="Dati driver non presenti"),"X","")</f>
        <v/>
      </c>
      <c r="CD273" s="299" t="str">
        <f>IF(K273="",IF(AND(CC273="",BS273&lt;(--"00:20:00")),"X",""),"")</f>
        <v>X</v>
      </c>
      <c r="CE273" s="299" t="str">
        <f>IF(K273="",IF(BT273&gt;(--"00:15:00"),"X",""),IF(AZ273&lt;&gt;"",IF(G273-AZ273&gt;(--"00:30:00"),"X",""),""))</f>
        <v/>
      </c>
      <c r="CF273" s="299" t="str">
        <f>IF(AND(CA273="",CB273="",CC273="",CD273="",CE273=""),"X","")</f>
        <v/>
      </c>
      <c r="CG273" s="301"/>
      <c r="CH273" s="299" t="str">
        <f>IF(BT273&gt;(--"00:15:00"),"X","")</f>
        <v/>
      </c>
      <c r="CI273" s="302" t="str">
        <f>AY273</f>
        <v/>
      </c>
      <c r="CJ273" s="299" t="str">
        <f>IF(AND(CH273&lt;&gt;"",CI273&lt;&gt;"",LEFT(B273,3)="ITD"),AP273,"")</f>
        <v/>
      </c>
      <c r="CK273" s="305" t="str">
        <f>IF(CJ273&lt;&gt;"",BT273,"")</f>
        <v/>
      </c>
      <c r="CL273" s="301"/>
      <c r="CM273" s="305" t="str">
        <f>IFERROR(VLOOKUP(Q273,'Elenco Casse'!$D$4:$F$292,3,FALSE),"")</f>
        <v/>
      </c>
      <c r="CN273" s="301"/>
      <c r="CO273" s="305" t="str">
        <f>IFERROR(VLOOKUP(S273,'Elenco Casse'!$D$4:$F$292,3,FALSE),"")</f>
        <v/>
      </c>
      <c r="CP273" s="305" t="str">
        <f>IFERROR(IF(VLOOKUP($E273,Outlist!$A$5:$S$120,19,FALSE)&lt;&gt;0,"Y",""),"")</f>
        <v/>
      </c>
      <c r="CQ273" s="301"/>
      <c r="CR273" s="305" t="str">
        <f>CONCATENATE($B273,$E273,$G273)</f>
        <v/>
      </c>
      <c r="CS273" s="301"/>
      <c r="CT273" s="305" t="e">
        <f>VLOOKUP(Out_Table[[#This Row],[Destination             ORANGE (From Planning)]],Outlist!$A$5:$W$120,22,FALSE)</f>
        <v>#N/A</v>
      </c>
    </row>
    <row r="274" spans="1:98" s="20" customFormat="1" ht="15">
      <c r="A274" s="305" t="str">
        <f>$CR274</f>
        <v/>
      </c>
      <c r="B274" s="284"/>
      <c r="C274" s="290" t="str">
        <f ca="1">IFERROR(IF(LEFT(B274,3)='STAT 77'!$X$2,_xlfn.XLOOKUP(B274,'STAT 77'!C:C,'STAT 77'!B:B),_xlfn.XLOOKUP(B274,'STAT 77'!B:B,'STAT 77'!C:C)),"NON TROVATO")</f>
        <v>NON TROVATO</v>
      </c>
      <c r="D274" s="25"/>
      <c r="E274" s="290"/>
      <c r="F274" s="290" t="str">
        <f>IFERROR(VLOOKUP(E274,'Cambio O2P'!C:E,2,FALSE),"")</f>
        <v/>
      </c>
      <c r="G274" s="285"/>
      <c r="H274" s="293" t="str">
        <f ca="1">IFERROR(IF(AND('INformazioni per calcoli'!$AB$3&lt;(--"14:30"),'INformazioni per calcoli'!$AB$3&gt;(--"10:00")),"",IF($B274="","",IF($X274&lt;&gt;"","Mezzo Chiuso",IF($W274="","Non al Carico",IF($G274-'INformazioni per calcoli'!$AB$5-'INformazioni per calcoli'!$AB$3+$J274&lt;0,"LFLS",IF($K274&lt;&gt;"","Safe Parking",IF($W274&lt;&gt;"",IF($E274="MXP",$G274-'INformazioni per calcoli'!$AB$6-'INformazioni per calcoli'!$AB$3+$J274,$G274-'INformazioni per calcoli'!$AB$5-'INformazioni per calcoli'!$AB$3+$J274),"Non al carico"))))))),"")</f>
        <v/>
      </c>
      <c r="I274" s="17" t="str">
        <f ca="1">IFERROR(IF($H274&lt;&gt;"",IF($H274="Safe Parking","",IF($W274&lt;&gt;"",IF(AND($U274="X",$V274="X"),$H274-(--"00:30"),""),IF($X274&lt;&gt;"","Mezzo Chiuso","Non al carico"))),""),"")</f>
        <v/>
      </c>
      <c r="J274" s="306" t="str">
        <f>IFERROR(IF($B274&lt;&gt;"",IF(AND('INformazioni per calcoli'!$AB$3&lt;(--"15:00"),'INformazioni per calcoli'!$AB$3&gt;(--"00:00")),0,IF($G274&lt;(--"18:30"),"+1",0)),""),"")</f>
        <v/>
      </c>
      <c r="K274" s="27"/>
      <c r="L274" s="25"/>
      <c r="M274" s="25" t="str">
        <f>IFERROR(_xlfn.XLOOKUP($Q274,'Elenco Casse'!$D:$D,'Elenco Casse'!$E:$E),"")</f>
        <v/>
      </c>
      <c r="N274" s="25" t="str">
        <f>IFERROR(_xlfn.XLOOKUP($Q274,'Elenco Casse'!$D:$D,'Elenco Casse'!$F:$F),"")</f>
        <v/>
      </c>
      <c r="O274" s="286"/>
      <c r="P274" s="295" t="str">
        <f>IFERROR(_xlfn.XLOOKUP($Q274,'Elenco Casse'!$D:$D,'Elenco Casse'!$G:$G),"")</f>
        <v/>
      </c>
      <c r="Q274" s="355"/>
      <c r="R274" s="23"/>
      <c r="S274" s="25"/>
      <c r="T274" s="25"/>
      <c r="U274" s="23" t="str">
        <f>IF(ISNUMBER(SEARCH("Parcel",$T274)),"X","")</f>
        <v/>
      </c>
      <c r="V274" s="23" t="str">
        <f>IF(ISNUMBER(SEARCH("Freight",$T274)),"X","")</f>
        <v/>
      </c>
      <c r="W274" s="26"/>
      <c r="X274" s="27"/>
      <c r="Y274" s="25" t="str">
        <f>IF(Out_Table[[#This Row],[DOC Del. hr. (RTH)]]&lt;&gt;"","XXX","")</f>
        <v/>
      </c>
      <c r="Z274" s="25"/>
      <c r="AA274" s="25"/>
      <c r="AB274" s="57"/>
      <c r="AC274" s="25"/>
      <c r="AD274" s="25"/>
      <c r="AE274" s="57"/>
      <c r="AF274" s="57"/>
      <c r="AG274" s="25"/>
      <c r="AH274" s="57"/>
      <c r="AI274" s="339"/>
      <c r="AJ274" s="339"/>
      <c r="AK274" s="297" t="str">
        <f>IF(X274&lt;&gt;"",CONCATENATE(IF(AA274&lt;&gt;"",CONCATENATE(Z274," ",AA274," ",BI274),""),IF(AD274&lt;&gt;"",CONCATENATE(","," ",AC274," ",AD274," ",BJ274),""),IF(AG274&lt;&gt;"",CONCATENATE(","," ",AF274," ",AG274," ",BK274),""),IF(AJ274&lt;&gt;"",CONCATENATE(","," ","DD"," ",BL274),"")," ",IF(AI274&lt;&gt;"",CONCATENATE(" - ",AI274," Bag"),"")),"")</f>
        <v/>
      </c>
      <c r="AL274" s="287"/>
      <c r="AM274" s="287"/>
      <c r="AN274" s="287"/>
      <c r="AO274" s="287"/>
      <c r="AP274" s="370" t="str">
        <f>IFERROR(VLOOKUP($E271,Outlist!$A$5:$V$120,20,FALSE),"")</f>
        <v/>
      </c>
      <c r="AQ274" s="288" t="str">
        <f>IFERROR(IF(VLOOKUP($A274,#REF!,8,FALSE)&lt;&gt;"",VLOOKUP($A274,#REF!,8,FALSE),""),"")</f>
        <v/>
      </c>
      <c r="AS274" s="24"/>
      <c r="AT274" s="24"/>
      <c r="AU274" s="27"/>
      <c r="AV274" s="27"/>
      <c r="AX274" s="20" t="str">
        <f>IFERROR(IF(Out_Table[[#This Row],[Cancellazione linea]]="Cancellata","yes",""),"")</f>
        <v/>
      </c>
      <c r="AY274" s="72" t="str">
        <f>IF(BA274="",BZ274,IF(AND(BA274&lt;(--"23:59:59"),BA274&gt;(--"15:00:00"),G274&lt;(--"14:00:00"),G274&gt;(--"00:00:01")),"",IF(BA274&gt;G274,BZ274,"")))</f>
        <v/>
      </c>
      <c r="AZ274" s="27"/>
      <c r="BA274" s="32"/>
      <c r="BB274" s="72"/>
      <c r="BC274" s="72" t="str">
        <f>IFERROR(VLOOKUP(Out_Table[[#This Row],[Aggiornamento STATUS]],'INformazioni per calcoli'!$Y$70:$AA$76,2,FALSE),"")</f>
        <v/>
      </c>
      <c r="BD274" s="289"/>
      <c r="BE274" s="289"/>
      <c r="BF274" s="47" t="str">
        <f>LEFT($E274,3)</f>
        <v/>
      </c>
      <c r="BG274" s="298" t="str">
        <f>IF(Out_Table[[#This Row],[Ora Uscita    (GH)]]&lt;&gt;"","x","")</f>
        <v/>
      </c>
      <c r="BH274" s="299" t="e">
        <f>VLOOKUP($O274,'INformazioni per calcoli'!$Y$20:$AA$23,3,FALSE)</f>
        <v>#N/A</v>
      </c>
      <c r="BI274" s="299" t="e">
        <f>MROUND(Out_Table[[#This Row],[Mtr. Trailer]]*AB274,0.5)</f>
        <v>#N/A</v>
      </c>
      <c r="BJ274" s="299" t="e">
        <f>MROUND(Out_Table[[#This Row],[Mtr. Trailer]]*AE274,0.5)</f>
        <v>#N/A</v>
      </c>
      <c r="BK274" s="299" t="e">
        <f>MROUND(Out_Table[[#This Row],[Mtr. Trailer]]*AH274,0.5)</f>
        <v>#N/A</v>
      </c>
      <c r="BL274" s="300">
        <f>Out_Table[[#This Row],[Double Deck trailer N° bumpers]]</f>
        <v>0</v>
      </c>
      <c r="BM274" s="301"/>
      <c r="BN274" s="299">
        <f>B274</f>
        <v>0</v>
      </c>
      <c r="BO274" s="299">
        <f>E274</f>
        <v>0</v>
      </c>
      <c r="BP274" s="302">
        <f>IF(AND(G274&gt;(--"00:00:01"),G274&lt;(--"15:00:00")),IF(AND(X274&gt;(--"00:00:01"),X274&lt;(--"15:00:00")),G274-X274,G274+1-X274),G274-X274)</f>
        <v>0</v>
      </c>
      <c r="BQ274" s="303">
        <f>AE274+AF274+AH274+AJ274</f>
        <v>0</v>
      </c>
      <c r="BR274" s="304" t="str">
        <f>IF(OR(BP274&lt;=(--"00:20:00"),BQ274&gt;=100%),"OK","Not OK")</f>
        <v>OK</v>
      </c>
      <c r="BS274" s="302">
        <f>IF(AND(G274&gt;(--"00:00:01"),G274&lt;(--"15:00:00")),IF(AND(AU274&gt;(--"00:00:01"),AU274&lt;(--"15:00:00")),G274-AU274,G274+1-AU274),G274-AU274)</f>
        <v>0</v>
      </c>
      <c r="BT274" s="302">
        <f>IF(AND(AZ274&gt;(--"00:00:01"),AZ274&lt;(--"15:00:00")),IF(AND(AU274&gt;(--"00:00:01"),AU274&lt;(--"15:00:00")),AZ274-AU274,AZ274+1-AU274),AZ274-AU274)</f>
        <v>0</v>
      </c>
      <c r="BU274" s="302">
        <f>IF(AND(BA274&gt;(--"00:00:01"),BA274&lt;(--"15:00:00")),IF(AND(AZ274&gt;(--"00:00:01"),AZ274&lt;(--"15:00:00")),BA274-AZ274,BA274+1-AZ274),BA274-AZ274)</f>
        <v>0</v>
      </c>
      <c r="BV274" s="299">
        <f>AV274</f>
        <v>0</v>
      </c>
      <c r="BW274" s="301"/>
      <c r="BX274" s="299" t="str">
        <f>IF(AV274="T Status",IF(AV274&lt;&gt;T274,"X",""),"")</f>
        <v/>
      </c>
      <c r="BY274" s="301"/>
      <c r="BZ274" s="299" t="str">
        <f>IF(X274&lt;&gt;"",IF(CC274="X","Driver Delay",IF(CA274="X","Paperwork Delay",IF(CB274="X","Late freight late sort",IF(CD274="X","Chiamare Control Room",IF(CE274="X","Chiamare Control Room",IF(CF274="X","Chiamare Control Room","")))))),"")</f>
        <v/>
      </c>
      <c r="CA274" s="302" t="str">
        <f>IF(K274="",IF(IF(AND(G274&gt;(--"00:00:01"),G274&lt;(--"15:00:00")),IF(AND(AT274&gt;(--"08:00:00"),AT274&lt;(--"23:59:59")),G274+1-AT274,G274-AT274),G274-AT274)&gt;(--"00:20:00"),"","X"),"")</f>
        <v>X</v>
      </c>
      <c r="CB274" s="299" t="str">
        <f>IF(K274="",IF(BP274&gt;=(--"00:20:00"),"","X"),"")</f>
        <v>X</v>
      </c>
      <c r="CC274" s="299" t="str">
        <f>IF(OR(AV274="Autista non presente",AV274="Dati driver non presenti"),"X","")</f>
        <v/>
      </c>
      <c r="CD274" s="299" t="str">
        <f>IF(K274="",IF(AND(CC274="",BS274&lt;(--"00:20:00")),"X",""),"")</f>
        <v>X</v>
      </c>
      <c r="CE274" s="299" t="str">
        <f>IF(K274="",IF(BT274&gt;(--"00:15:00"),"X",""),IF(AZ274&lt;&gt;"",IF(G274-AZ274&gt;(--"00:30:00"),"X",""),""))</f>
        <v/>
      </c>
      <c r="CF274" s="299" t="str">
        <f>IF(AND(CA274="",CB274="",CC274="",CD274="",CE274=""),"X","")</f>
        <v/>
      </c>
      <c r="CG274" s="301"/>
      <c r="CH274" s="299" t="str">
        <f>IF(BT274&gt;(--"00:15:00"),"X","")</f>
        <v/>
      </c>
      <c r="CI274" s="302" t="str">
        <f>AY274</f>
        <v/>
      </c>
      <c r="CJ274" s="299" t="str">
        <f>IF(AND(CH274&lt;&gt;"",CI274&lt;&gt;"",LEFT(B274,3)="ITD"),AP274,"")</f>
        <v/>
      </c>
      <c r="CK274" s="305" t="str">
        <f>IF(CJ274&lt;&gt;"",BT274,"")</f>
        <v/>
      </c>
      <c r="CL274" s="301"/>
      <c r="CM274" s="305" t="str">
        <f>IFERROR(VLOOKUP(Q274,'Elenco Casse'!$D$4:$F$292,3,FALSE),"")</f>
        <v/>
      </c>
      <c r="CN274" s="301"/>
      <c r="CO274" s="305" t="str">
        <f>IFERROR(VLOOKUP(S274,'Elenco Casse'!$D$4:$F$292,3,FALSE),"")</f>
        <v/>
      </c>
      <c r="CP274" s="305" t="str">
        <f>IFERROR(IF(VLOOKUP($E274,Outlist!$A$5:$S$120,19,FALSE)&lt;&gt;0,"Y",""),"")</f>
        <v/>
      </c>
      <c r="CQ274" s="301"/>
      <c r="CR274" s="305" t="str">
        <f>CONCATENATE($B274,$E274,$G274)</f>
        <v/>
      </c>
      <c r="CS274" s="301"/>
      <c r="CT274" s="305" t="e">
        <f>VLOOKUP(Out_Table[[#This Row],[Destination             ORANGE (From Planning)]],Outlist!$A$5:$W$120,22,FALSE)</f>
        <v>#N/A</v>
      </c>
    </row>
    <row r="275" spans="1:98" s="20" customFormat="1" ht="15">
      <c r="A275" s="305" t="str">
        <f>$CR275</f>
        <v/>
      </c>
      <c r="B275" s="284"/>
      <c r="C275" s="290" t="str">
        <f ca="1">IFERROR(IF(LEFT(B275,3)='STAT 77'!$X$2,_xlfn.XLOOKUP(B275,'STAT 77'!C:C,'STAT 77'!B:B),_xlfn.XLOOKUP(B275,'STAT 77'!B:B,'STAT 77'!C:C)),"NON TROVATO")</f>
        <v>NON TROVATO</v>
      </c>
      <c r="D275" s="25"/>
      <c r="E275" s="290"/>
      <c r="F275" s="290" t="str">
        <f>IFERROR(VLOOKUP(E275,'Cambio O2P'!C:E,2,FALSE),"")</f>
        <v/>
      </c>
      <c r="G275" s="285"/>
      <c r="H275" s="293" t="str">
        <f ca="1">IFERROR(IF(AND('INformazioni per calcoli'!$AB$3&lt;(--"14:30"),'INformazioni per calcoli'!$AB$3&gt;(--"10:00")),"",IF($B275="","",IF($X275&lt;&gt;"","Mezzo Chiuso",IF($W275="","Non al Carico",IF($G275-'INformazioni per calcoli'!$AB$5-'INformazioni per calcoli'!$AB$3+$J275&lt;0,"LFLS",IF($K275&lt;&gt;"","Safe Parking",IF($W275&lt;&gt;"",IF($E275="MXP",$G275-'INformazioni per calcoli'!$AB$6-'INformazioni per calcoli'!$AB$3+$J275,$G275-'INformazioni per calcoli'!$AB$5-'INformazioni per calcoli'!$AB$3+$J275),"Non al carico"))))))),"")</f>
        <v/>
      </c>
      <c r="I275" s="17" t="str">
        <f ca="1">IFERROR(IF($H275&lt;&gt;"",IF($H275="Safe Parking","",IF($W275&lt;&gt;"",IF(AND($U275="X",$V275="X"),$H275-(--"00:30"),""),IF($X275&lt;&gt;"","Mezzo Chiuso","Non al carico"))),""),"")</f>
        <v/>
      </c>
      <c r="J275" s="306" t="str">
        <f>IFERROR(IF($B275&lt;&gt;"",IF(AND('INformazioni per calcoli'!$AB$3&lt;(--"15:00"),'INformazioni per calcoli'!$AB$3&gt;(--"00:00")),0,IF($G275&lt;(--"18:30"),"+1",0)),""),"")</f>
        <v/>
      </c>
      <c r="K275" s="27"/>
      <c r="L275" s="25"/>
      <c r="M275" s="25" t="str">
        <f>IFERROR(_xlfn.XLOOKUP($Q275,'Elenco Casse'!$D:$D,'Elenco Casse'!$E:$E),"")</f>
        <v/>
      </c>
      <c r="N275" s="25" t="str">
        <f>IFERROR(_xlfn.XLOOKUP($Q275,'Elenco Casse'!$D:$D,'Elenco Casse'!$F:$F),"")</f>
        <v/>
      </c>
      <c r="O275" s="286"/>
      <c r="P275" s="295" t="str">
        <f>IFERROR(_xlfn.XLOOKUP($Q275,'Elenco Casse'!$D:$D,'Elenco Casse'!$G:$G),"")</f>
        <v/>
      </c>
      <c r="Q275" s="355"/>
      <c r="R275" s="23"/>
      <c r="S275" s="25"/>
      <c r="T275" s="25"/>
      <c r="U275" s="23" t="str">
        <f>IF(ISNUMBER(SEARCH("Parcel",$T275)),"X","")</f>
        <v/>
      </c>
      <c r="V275" s="23" t="str">
        <f>IF(ISNUMBER(SEARCH("Freight",$T275)),"X","")</f>
        <v/>
      </c>
      <c r="W275" s="26"/>
      <c r="X275" s="27"/>
      <c r="Y275" s="25" t="str">
        <f>IF(Out_Table[[#This Row],[DOC Del. hr. (RTH)]]&lt;&gt;"","XXX","")</f>
        <v/>
      </c>
      <c r="Z275" s="25"/>
      <c r="AA275" s="25"/>
      <c r="AB275" s="57"/>
      <c r="AC275" s="25"/>
      <c r="AD275" s="25"/>
      <c r="AE275" s="57"/>
      <c r="AF275" s="57"/>
      <c r="AG275" s="25"/>
      <c r="AH275" s="57"/>
      <c r="AI275" s="339"/>
      <c r="AJ275" s="339"/>
      <c r="AK275" s="297" t="str">
        <f>IF(X275&lt;&gt;"",CONCATENATE(IF(AA275&lt;&gt;"",CONCATENATE(Z275," ",AA275," ",BI275),""),IF(AD275&lt;&gt;"",CONCATENATE(","," ",AC275," ",AD275," ",BJ275),""),IF(AG275&lt;&gt;"",CONCATENATE(","," ",AF275," ",AG275," ",BK275),""),IF(AJ275&lt;&gt;"",CONCATENATE(","," ","DD"," ",BL275),"")," ",IF(AI275&lt;&gt;"",CONCATENATE(" - ",AI275," Bag"),"")),"")</f>
        <v/>
      </c>
      <c r="AL275" s="287"/>
      <c r="AM275" s="287"/>
      <c r="AN275" s="287"/>
      <c r="AO275" s="287"/>
      <c r="AP275" s="370" t="str">
        <f>IFERROR(VLOOKUP($E272,Outlist!$A$5:$V$120,20,FALSE),"")</f>
        <v/>
      </c>
      <c r="AQ275" s="288" t="str">
        <f>IFERROR(IF(VLOOKUP($A275,#REF!,8,FALSE)&lt;&gt;"",VLOOKUP($A275,#REF!,8,FALSE),""),"")</f>
        <v/>
      </c>
      <c r="AS275" s="24"/>
      <c r="AT275" s="24"/>
      <c r="AU275" s="27"/>
      <c r="AV275" s="27"/>
      <c r="AX275" s="20" t="str">
        <f>IFERROR(IF(Out_Table[[#This Row],[Cancellazione linea]]="Cancellata","yes",""),"")</f>
        <v/>
      </c>
      <c r="AY275" s="72" t="str">
        <f>IF(BA275="",BZ275,IF(AND(BA275&lt;(--"23:59:59"),BA275&gt;(--"15:00:00"),G275&lt;(--"14:00:00"),G275&gt;(--"00:00:01")),"",IF(BA275&gt;G275,BZ275,"")))</f>
        <v/>
      </c>
      <c r="AZ275" s="27"/>
      <c r="BA275" s="32"/>
      <c r="BB275" s="72"/>
      <c r="BC275" s="72" t="str">
        <f>IFERROR(VLOOKUP(Out_Table[[#This Row],[Aggiornamento STATUS]],'INformazioni per calcoli'!$Y$70:$AA$76,2,FALSE),"")</f>
        <v/>
      </c>
      <c r="BD275" s="289"/>
      <c r="BE275" s="289"/>
      <c r="BF275" s="47" t="str">
        <f>LEFT($E275,3)</f>
        <v/>
      </c>
      <c r="BG275" s="298" t="str">
        <f>IF(Out_Table[[#This Row],[Ora Uscita    (GH)]]&lt;&gt;"","x","")</f>
        <v/>
      </c>
      <c r="BH275" s="299" t="e">
        <f>VLOOKUP($O275,'INformazioni per calcoli'!$Y$20:$AA$23,3,FALSE)</f>
        <v>#N/A</v>
      </c>
      <c r="BI275" s="299" t="e">
        <f>MROUND(Out_Table[[#This Row],[Mtr. Trailer]]*AB275,0.5)</f>
        <v>#N/A</v>
      </c>
      <c r="BJ275" s="299" t="e">
        <f>MROUND(Out_Table[[#This Row],[Mtr. Trailer]]*AE275,0.5)</f>
        <v>#N/A</v>
      </c>
      <c r="BK275" s="299" t="e">
        <f>MROUND(Out_Table[[#This Row],[Mtr. Trailer]]*AH275,0.5)</f>
        <v>#N/A</v>
      </c>
      <c r="BL275" s="300">
        <f>Out_Table[[#This Row],[Double Deck trailer N° bumpers]]</f>
        <v>0</v>
      </c>
      <c r="BM275" s="301"/>
      <c r="BN275" s="299">
        <f>B275</f>
        <v>0</v>
      </c>
      <c r="BO275" s="299">
        <f>E275</f>
        <v>0</v>
      </c>
      <c r="BP275" s="302">
        <f>IF(AND(G275&gt;(--"00:00:01"),G275&lt;(--"15:00:00")),IF(AND(X275&gt;(--"00:00:01"),X275&lt;(--"15:00:00")),G275-X275,G275+1-X275),G275-X275)</f>
        <v>0</v>
      </c>
      <c r="BQ275" s="303">
        <f>AE275+AF275+AH275+AJ275</f>
        <v>0</v>
      </c>
      <c r="BR275" s="304" t="str">
        <f>IF(OR(BP275&lt;=(--"00:20:00"),BQ275&gt;=100%),"OK","Not OK")</f>
        <v>OK</v>
      </c>
      <c r="BS275" s="302">
        <f>IF(AND(G275&gt;(--"00:00:01"),G275&lt;(--"15:00:00")),IF(AND(AU275&gt;(--"00:00:01"),AU275&lt;(--"15:00:00")),G275-AU275,G275+1-AU275),G275-AU275)</f>
        <v>0</v>
      </c>
      <c r="BT275" s="302">
        <f>IF(AND(AZ275&gt;(--"00:00:01"),AZ275&lt;(--"15:00:00")),IF(AND(AU275&gt;(--"00:00:01"),AU275&lt;(--"15:00:00")),AZ275-AU275,AZ275+1-AU275),AZ275-AU275)</f>
        <v>0</v>
      </c>
      <c r="BU275" s="302">
        <f>IF(AND(BA275&gt;(--"00:00:01"),BA275&lt;(--"15:00:00")),IF(AND(AZ275&gt;(--"00:00:01"),AZ275&lt;(--"15:00:00")),BA275-AZ275,BA275+1-AZ275),BA275-AZ275)</f>
        <v>0</v>
      </c>
      <c r="BV275" s="299">
        <f>AV275</f>
        <v>0</v>
      </c>
      <c r="BW275" s="301"/>
      <c r="BX275" s="299" t="str">
        <f>IF(AV275="T Status",IF(AV275&lt;&gt;T275,"X",""),"")</f>
        <v/>
      </c>
      <c r="BY275" s="301"/>
      <c r="BZ275" s="299" t="str">
        <f>IF(X275&lt;&gt;"",IF(CC275="X","Driver Delay",IF(CA275="X","Paperwork Delay",IF(CB275="X","Late freight late sort",IF(CD275="X","Chiamare Control Room",IF(CE275="X","Chiamare Control Room",IF(CF275="X","Chiamare Control Room","")))))),"")</f>
        <v/>
      </c>
      <c r="CA275" s="302" t="str">
        <f>IF(K275="",IF(IF(AND(G275&gt;(--"00:00:01"),G275&lt;(--"15:00:00")),IF(AND(AT275&gt;(--"08:00:00"),AT275&lt;(--"23:59:59")),G275+1-AT275,G275-AT275),G275-AT275)&gt;(--"00:20:00"),"","X"),"")</f>
        <v>X</v>
      </c>
      <c r="CB275" s="299" t="str">
        <f>IF(K275="",IF(BP275&gt;=(--"00:20:00"),"","X"),"")</f>
        <v>X</v>
      </c>
      <c r="CC275" s="299" t="str">
        <f>IF(OR(AV275="Autista non presente",AV275="Dati driver non presenti"),"X","")</f>
        <v/>
      </c>
      <c r="CD275" s="299" t="str">
        <f>IF(K275="",IF(AND(CC275="",BS275&lt;(--"00:20:00")),"X",""),"")</f>
        <v>X</v>
      </c>
      <c r="CE275" s="299" t="str">
        <f>IF(K275="",IF(BT275&gt;(--"00:15:00"),"X",""),IF(AZ275&lt;&gt;"",IF(G275-AZ275&gt;(--"00:30:00"),"X",""),""))</f>
        <v/>
      </c>
      <c r="CF275" s="299" t="str">
        <f>IF(AND(CA275="",CB275="",CC275="",CD275="",CE275=""),"X","")</f>
        <v/>
      </c>
      <c r="CG275" s="301"/>
      <c r="CH275" s="299" t="str">
        <f>IF(BT275&gt;(--"00:15:00"),"X","")</f>
        <v/>
      </c>
      <c r="CI275" s="302" t="str">
        <f>AY275</f>
        <v/>
      </c>
      <c r="CJ275" s="299" t="str">
        <f>IF(AND(CH275&lt;&gt;"",CI275&lt;&gt;"",LEFT(B275,3)="ITD"),AP275,"")</f>
        <v/>
      </c>
      <c r="CK275" s="305" t="str">
        <f>IF(CJ275&lt;&gt;"",BT275,"")</f>
        <v/>
      </c>
      <c r="CL275" s="301"/>
      <c r="CM275" s="305" t="str">
        <f>IFERROR(VLOOKUP(Q275,'Elenco Casse'!$D$4:$F$292,3,FALSE),"")</f>
        <v/>
      </c>
      <c r="CN275" s="301"/>
      <c r="CO275" s="305" t="str">
        <f>IFERROR(VLOOKUP(S275,'Elenco Casse'!$D$4:$F$292,3,FALSE),"")</f>
        <v/>
      </c>
      <c r="CP275" s="305" t="str">
        <f>IFERROR(IF(VLOOKUP($E275,Outlist!$A$5:$S$120,19,FALSE)&lt;&gt;0,"Y",""),"")</f>
        <v/>
      </c>
      <c r="CQ275" s="301"/>
      <c r="CR275" s="305" t="str">
        <f>CONCATENATE($B275,$E275,$G275)</f>
        <v/>
      </c>
      <c r="CS275" s="301"/>
      <c r="CT275" s="305" t="e">
        <f>VLOOKUP(Out_Table[[#This Row],[Destination             ORANGE (From Planning)]],Outlist!$A$5:$W$120,22,FALSE)</f>
        <v>#N/A</v>
      </c>
    </row>
    <row r="276" spans="1:98" s="20" customFormat="1" ht="15">
      <c r="A276" s="305" t="str">
        <f>$CR276</f>
        <v/>
      </c>
      <c r="B276" s="284"/>
      <c r="C276" s="290" t="str">
        <f ca="1">IFERROR(IF(LEFT(B276,3)='STAT 77'!$X$2,_xlfn.XLOOKUP(B276,'STAT 77'!C:C,'STAT 77'!B:B),_xlfn.XLOOKUP(B276,'STAT 77'!B:B,'STAT 77'!C:C)),"NON TROVATO")</f>
        <v>NON TROVATO</v>
      </c>
      <c r="D276" s="25"/>
      <c r="E276" s="290"/>
      <c r="F276" s="290" t="str">
        <f>IFERROR(VLOOKUP(E276,'Cambio O2P'!C:E,2,FALSE),"")</f>
        <v/>
      </c>
      <c r="G276" s="285"/>
      <c r="H276" s="293" t="str">
        <f ca="1">IFERROR(IF(AND('INformazioni per calcoli'!$AB$3&lt;(--"14:30"),'INformazioni per calcoli'!$AB$3&gt;(--"10:00")),"",IF($B276="","",IF($X276&lt;&gt;"","Mezzo Chiuso",IF($W276="","Non al Carico",IF($G276-'INformazioni per calcoli'!$AB$5-'INformazioni per calcoli'!$AB$3+$J276&lt;0,"LFLS",IF($K276&lt;&gt;"","Safe Parking",IF($W276&lt;&gt;"",IF($E276="MXP",$G276-'INformazioni per calcoli'!$AB$6-'INformazioni per calcoli'!$AB$3+$J276,$G276-'INformazioni per calcoli'!$AB$5-'INformazioni per calcoli'!$AB$3+$J276),"Non al carico"))))))),"")</f>
        <v/>
      </c>
      <c r="I276" s="17" t="str">
        <f ca="1">IFERROR(IF($H276&lt;&gt;"",IF($H276="Safe Parking","",IF($W276&lt;&gt;"",IF(AND($U276="X",$V276="X"),$H276-(--"00:30"),""),IF($X276&lt;&gt;"","Mezzo Chiuso","Non al carico"))),""),"")</f>
        <v/>
      </c>
      <c r="J276" s="306" t="str">
        <f>IFERROR(IF($B276&lt;&gt;"",IF(AND('INformazioni per calcoli'!$AB$3&lt;(--"15:00"),'INformazioni per calcoli'!$AB$3&gt;(--"00:00")),0,IF($G276&lt;(--"18:30"),"+1",0)),""),"")</f>
        <v/>
      </c>
      <c r="K276" s="27"/>
      <c r="L276" s="25"/>
      <c r="M276" s="25" t="str">
        <f>IFERROR(_xlfn.XLOOKUP($Q276,'Elenco Casse'!$D:$D,'Elenco Casse'!$E:$E),"")</f>
        <v/>
      </c>
      <c r="N276" s="25" t="str">
        <f>IFERROR(_xlfn.XLOOKUP($Q276,'Elenco Casse'!$D:$D,'Elenco Casse'!$F:$F),"")</f>
        <v/>
      </c>
      <c r="O276" s="286"/>
      <c r="P276" s="295" t="str">
        <f>IFERROR(_xlfn.XLOOKUP($Q276,'Elenco Casse'!$D:$D,'Elenco Casse'!$G:$G),"")</f>
        <v/>
      </c>
      <c r="Q276" s="355"/>
      <c r="R276" s="23"/>
      <c r="S276" s="25"/>
      <c r="T276" s="25"/>
      <c r="U276" s="23" t="str">
        <f>IF(ISNUMBER(SEARCH("Parcel",$T276)),"X","")</f>
        <v/>
      </c>
      <c r="V276" s="23" t="str">
        <f>IF(ISNUMBER(SEARCH("Freight",$T276)),"X","")</f>
        <v/>
      </c>
      <c r="W276" s="26"/>
      <c r="X276" s="27"/>
      <c r="Y276" s="25" t="str">
        <f>IF(Out_Table[[#This Row],[DOC Del. hr. (RTH)]]&lt;&gt;"","XXX","")</f>
        <v/>
      </c>
      <c r="Z276" s="25"/>
      <c r="AA276" s="25"/>
      <c r="AB276" s="57"/>
      <c r="AC276" s="25"/>
      <c r="AD276" s="25"/>
      <c r="AE276" s="57"/>
      <c r="AF276" s="57"/>
      <c r="AG276" s="25"/>
      <c r="AH276" s="57"/>
      <c r="AI276" s="339"/>
      <c r="AJ276" s="339"/>
      <c r="AK276" s="297" t="str">
        <f>IF(X276&lt;&gt;"",CONCATENATE(IF(AA276&lt;&gt;"",CONCATENATE(Z276," ",AA276," ",BI276),""),IF(AD276&lt;&gt;"",CONCATENATE(","," ",AC276," ",AD276," ",BJ276),""),IF(AG276&lt;&gt;"",CONCATENATE(","," ",AF276," ",AG276," ",BK276),""),IF(AJ276&lt;&gt;"",CONCATENATE(","," ","DD"," ",BL276),"")," ",IF(AI276&lt;&gt;"",CONCATENATE(" - ",AI276," Bag"),"")),"")</f>
        <v/>
      </c>
      <c r="AL276" s="287"/>
      <c r="AM276" s="287"/>
      <c r="AN276" s="287"/>
      <c r="AO276" s="287"/>
      <c r="AP276" s="370" t="str">
        <f>IFERROR(VLOOKUP($E273,Outlist!$A$5:$V$120,20,FALSE),"")</f>
        <v/>
      </c>
      <c r="AQ276" s="288" t="str">
        <f>IFERROR(IF(VLOOKUP($A276,#REF!,8,FALSE)&lt;&gt;"",VLOOKUP($A276,#REF!,8,FALSE),""),"")</f>
        <v/>
      </c>
      <c r="AS276" s="24"/>
      <c r="AT276" s="24"/>
      <c r="AU276" s="27"/>
      <c r="AV276" s="27"/>
      <c r="AX276" s="20" t="str">
        <f>IFERROR(IF(Out_Table[[#This Row],[Cancellazione linea]]="Cancellata","yes",""),"")</f>
        <v/>
      </c>
      <c r="AY276" s="72" t="str">
        <f>IF(BA276="",BZ276,IF(AND(BA276&lt;(--"23:59:59"),BA276&gt;(--"15:00:00"),G276&lt;(--"14:00:00"),G276&gt;(--"00:00:01")),"",IF(BA276&gt;G276,BZ276,"")))</f>
        <v/>
      </c>
      <c r="AZ276" s="27"/>
      <c r="BA276" s="32"/>
      <c r="BB276" s="72"/>
      <c r="BC276" s="72" t="str">
        <f>IFERROR(VLOOKUP(Out_Table[[#This Row],[Aggiornamento STATUS]],'INformazioni per calcoli'!$Y$70:$AA$76,2,FALSE),"")</f>
        <v/>
      </c>
      <c r="BD276" s="289"/>
      <c r="BE276" s="289"/>
      <c r="BF276" s="47" t="str">
        <f>LEFT($E276,3)</f>
        <v/>
      </c>
      <c r="BG276" s="298" t="str">
        <f>IF(Out_Table[[#This Row],[Ora Uscita    (GH)]]&lt;&gt;"","x","")</f>
        <v/>
      </c>
      <c r="BH276" s="299" t="e">
        <f>VLOOKUP($O276,'INformazioni per calcoli'!$Y$20:$AA$23,3,FALSE)</f>
        <v>#N/A</v>
      </c>
      <c r="BI276" s="299" t="e">
        <f>MROUND(Out_Table[[#This Row],[Mtr. Trailer]]*AB276,0.5)</f>
        <v>#N/A</v>
      </c>
      <c r="BJ276" s="299" t="e">
        <f>MROUND(Out_Table[[#This Row],[Mtr. Trailer]]*AE276,0.5)</f>
        <v>#N/A</v>
      </c>
      <c r="BK276" s="299" t="e">
        <f>MROUND(Out_Table[[#This Row],[Mtr. Trailer]]*AH276,0.5)</f>
        <v>#N/A</v>
      </c>
      <c r="BL276" s="300">
        <f>Out_Table[[#This Row],[Double Deck trailer N° bumpers]]</f>
        <v>0</v>
      </c>
      <c r="BM276" s="301"/>
      <c r="BN276" s="299">
        <f>B276</f>
        <v>0</v>
      </c>
      <c r="BO276" s="299">
        <f>E276</f>
        <v>0</v>
      </c>
      <c r="BP276" s="302">
        <f>IF(AND(G276&gt;(--"00:00:01"),G276&lt;(--"15:00:00")),IF(AND(X276&gt;(--"00:00:01"),X276&lt;(--"15:00:00")),G276-X276,G276+1-X276),G276-X276)</f>
        <v>0</v>
      </c>
      <c r="BQ276" s="303">
        <f>AE276+AF276+AH276+AJ276</f>
        <v>0</v>
      </c>
      <c r="BR276" s="304" t="str">
        <f>IF(OR(BP276&lt;=(--"00:20:00"),BQ276&gt;=100%),"OK","Not OK")</f>
        <v>OK</v>
      </c>
      <c r="BS276" s="302">
        <f>IF(AND(G276&gt;(--"00:00:01"),G276&lt;(--"15:00:00")),IF(AND(AU276&gt;(--"00:00:01"),AU276&lt;(--"15:00:00")),G276-AU276,G276+1-AU276),G276-AU276)</f>
        <v>0</v>
      </c>
      <c r="BT276" s="302">
        <f>IF(AND(AZ276&gt;(--"00:00:01"),AZ276&lt;(--"15:00:00")),IF(AND(AU276&gt;(--"00:00:01"),AU276&lt;(--"15:00:00")),AZ276-AU276,AZ276+1-AU276),AZ276-AU276)</f>
        <v>0</v>
      </c>
      <c r="BU276" s="302">
        <f>IF(AND(BA276&gt;(--"00:00:01"),BA276&lt;(--"15:00:00")),IF(AND(AZ276&gt;(--"00:00:01"),AZ276&lt;(--"15:00:00")),BA276-AZ276,BA276+1-AZ276),BA276-AZ276)</f>
        <v>0</v>
      </c>
      <c r="BV276" s="299">
        <f>AV276</f>
        <v>0</v>
      </c>
      <c r="BW276" s="301"/>
      <c r="BX276" s="299" t="str">
        <f>IF(AV276="T Status",IF(AV276&lt;&gt;T276,"X",""),"")</f>
        <v/>
      </c>
      <c r="BY276" s="301"/>
      <c r="BZ276" s="299" t="str">
        <f>IF(X276&lt;&gt;"",IF(CC276="X","Driver Delay",IF(CA276="X","Paperwork Delay",IF(CB276="X","Late freight late sort",IF(CD276="X","Chiamare Control Room",IF(CE276="X","Chiamare Control Room",IF(CF276="X","Chiamare Control Room","")))))),"")</f>
        <v/>
      </c>
      <c r="CA276" s="302" t="str">
        <f>IF(K276="",IF(IF(AND(G276&gt;(--"00:00:01"),G276&lt;(--"15:00:00")),IF(AND(AT276&gt;(--"08:00:00"),AT276&lt;(--"23:59:59")),G276+1-AT276,G276-AT276),G276-AT276)&gt;(--"00:20:00"),"","X"),"")</f>
        <v>X</v>
      </c>
      <c r="CB276" s="299" t="str">
        <f>IF(K276="",IF(BP276&gt;=(--"00:20:00"),"","X"),"")</f>
        <v>X</v>
      </c>
      <c r="CC276" s="299" t="str">
        <f>IF(OR(AV276="Autista non presente",AV276="Dati driver non presenti"),"X","")</f>
        <v/>
      </c>
      <c r="CD276" s="299" t="str">
        <f>IF(K276="",IF(AND(CC276="",BS276&lt;(--"00:20:00")),"X",""),"")</f>
        <v>X</v>
      </c>
      <c r="CE276" s="299" t="str">
        <f>IF(K276="",IF(BT276&gt;(--"00:15:00"),"X",""),IF(AZ276&lt;&gt;"",IF(G276-AZ276&gt;(--"00:30:00"),"X",""),""))</f>
        <v/>
      </c>
      <c r="CF276" s="299" t="str">
        <f>IF(AND(CA276="",CB276="",CC276="",CD276="",CE276=""),"X","")</f>
        <v/>
      </c>
      <c r="CG276" s="301"/>
      <c r="CH276" s="299" t="str">
        <f>IF(BT276&gt;(--"00:15:00"),"X","")</f>
        <v/>
      </c>
      <c r="CI276" s="302" t="str">
        <f>AY276</f>
        <v/>
      </c>
      <c r="CJ276" s="299" t="str">
        <f>IF(AND(CH276&lt;&gt;"",CI276&lt;&gt;"",LEFT(B276,3)="ITD"),AP276,"")</f>
        <v/>
      </c>
      <c r="CK276" s="305" t="str">
        <f>IF(CJ276&lt;&gt;"",BT276,"")</f>
        <v/>
      </c>
      <c r="CL276" s="301"/>
      <c r="CM276" s="305" t="str">
        <f>IFERROR(VLOOKUP(Q276,'Elenco Casse'!$D$4:$F$292,3,FALSE),"")</f>
        <v/>
      </c>
      <c r="CN276" s="301"/>
      <c r="CO276" s="305" t="str">
        <f>IFERROR(VLOOKUP(S276,'Elenco Casse'!$D$4:$F$292,3,FALSE),"")</f>
        <v/>
      </c>
      <c r="CP276" s="305" t="str">
        <f>IFERROR(IF(VLOOKUP($E276,Outlist!$A$5:$S$120,19,FALSE)&lt;&gt;0,"Y",""),"")</f>
        <v/>
      </c>
      <c r="CQ276" s="301"/>
      <c r="CR276" s="305" t="str">
        <f>CONCATENATE($B276,$E276,$G276)</f>
        <v/>
      </c>
      <c r="CS276" s="301"/>
      <c r="CT276" s="305" t="e">
        <f>VLOOKUP(Out_Table[[#This Row],[Destination             ORANGE (From Planning)]],Outlist!$A$5:$W$120,22,FALSE)</f>
        <v>#N/A</v>
      </c>
    </row>
    <row r="277" spans="1:98" s="20" customFormat="1" ht="15">
      <c r="A277" s="305" t="str">
        <f>$CR277</f>
        <v/>
      </c>
      <c r="B277" s="284"/>
      <c r="C277" s="290" t="str">
        <f ca="1">IFERROR(IF(LEFT(B277,3)='STAT 77'!$X$2,_xlfn.XLOOKUP(B277,'STAT 77'!C:C,'STAT 77'!B:B),_xlfn.XLOOKUP(B277,'STAT 77'!B:B,'STAT 77'!C:C)),"NON TROVATO")</f>
        <v>NON TROVATO</v>
      </c>
      <c r="D277" s="25"/>
      <c r="E277" s="290"/>
      <c r="F277" s="290" t="str">
        <f>IFERROR(VLOOKUP(E277,'Cambio O2P'!C:E,2,FALSE),"")</f>
        <v/>
      </c>
      <c r="G277" s="285"/>
      <c r="H277" s="293" t="str">
        <f ca="1">IFERROR(IF(AND('INformazioni per calcoli'!$AB$3&lt;(--"14:30"),'INformazioni per calcoli'!$AB$3&gt;(--"10:00")),"",IF($B277="","",IF($X277&lt;&gt;"","Mezzo Chiuso",IF($W277="","Non al Carico",IF($G277-'INformazioni per calcoli'!$AB$5-'INformazioni per calcoli'!$AB$3+$J277&lt;0,"LFLS",IF($K277&lt;&gt;"","Safe Parking",IF($W277&lt;&gt;"",IF($E277="MXP",$G277-'INformazioni per calcoli'!$AB$6-'INformazioni per calcoli'!$AB$3+$J277,$G277-'INformazioni per calcoli'!$AB$5-'INformazioni per calcoli'!$AB$3+$J277),"Non al carico"))))))),"")</f>
        <v/>
      </c>
      <c r="I277" s="17" t="str">
        <f ca="1">IFERROR(IF($H277&lt;&gt;"",IF($H277="Safe Parking","",IF($W277&lt;&gt;"",IF(AND($U277="X",$V277="X"),$H277-(--"00:30"),""),IF($X277&lt;&gt;"","Mezzo Chiuso","Non al carico"))),""),"")</f>
        <v/>
      </c>
      <c r="J277" s="306" t="str">
        <f>IFERROR(IF($B277&lt;&gt;"",IF(AND('INformazioni per calcoli'!$AB$3&lt;(--"15:00"),'INformazioni per calcoli'!$AB$3&gt;(--"00:00")),0,IF($G277&lt;(--"18:30"),"+1",0)),""),"")</f>
        <v/>
      </c>
      <c r="K277" s="17"/>
      <c r="L277" s="25"/>
      <c r="M277" s="25" t="str">
        <f>IFERROR(_xlfn.XLOOKUP($Q277,'Elenco Casse'!$D:$D,'Elenco Casse'!$E:$E),"")</f>
        <v/>
      </c>
      <c r="N277" s="25" t="str">
        <f>IFERROR(_xlfn.XLOOKUP($Q277,'Elenco Casse'!$D:$D,'Elenco Casse'!$F:$F),"")</f>
        <v/>
      </c>
      <c r="O277" s="286"/>
      <c r="P277" s="295" t="str">
        <f>IFERROR(_xlfn.XLOOKUP($Q277,'Elenco Casse'!$D:$D,'Elenco Casse'!$G:$G),"")</f>
        <v/>
      </c>
      <c r="Q277" s="355"/>
      <c r="R277" s="23"/>
      <c r="S277" s="25"/>
      <c r="T277" s="25"/>
      <c r="U277" s="23" t="str">
        <f>IF(ISNUMBER(SEARCH("Parcel",$T277)),"X","")</f>
        <v/>
      </c>
      <c r="V277" s="23" t="str">
        <f>IF(ISNUMBER(SEARCH("Freight",$T277)),"X","")</f>
        <v/>
      </c>
      <c r="W277" s="26"/>
      <c r="X277" s="27"/>
      <c r="Y277" s="25" t="str">
        <f>IF(Out_Table[[#This Row],[DOC Del. hr. (RTH)]]&lt;&gt;"","XXX","")</f>
        <v/>
      </c>
      <c r="Z277" s="25"/>
      <c r="AA277" s="25"/>
      <c r="AB277" s="57"/>
      <c r="AC277" s="25"/>
      <c r="AD277" s="25"/>
      <c r="AE277" s="57"/>
      <c r="AF277" s="57"/>
      <c r="AG277" s="25"/>
      <c r="AH277" s="57"/>
      <c r="AI277" s="339"/>
      <c r="AJ277" s="339"/>
      <c r="AK277" s="297" t="str">
        <f>IF(X277&lt;&gt;"",CONCATENATE(IF(AA277&lt;&gt;"",CONCATENATE(Z277," ",AA277," ",BI277),""),IF(AD277&lt;&gt;"",CONCATENATE(","," ",AC277," ",AD277," ",BJ277),""),IF(AG277&lt;&gt;"",CONCATENATE(","," ",AF277," ",AG277," ",BK277),""),IF(AJ277&lt;&gt;"",CONCATENATE(","," ","DD"," ",BL277),"")," ",IF(AI277&lt;&gt;"",CONCATENATE(" - ",AI277," Bag"),"")),"")</f>
        <v/>
      </c>
      <c r="AL277" s="287"/>
      <c r="AM277" s="287"/>
      <c r="AN277" s="287"/>
      <c r="AO277" s="287"/>
      <c r="AP277" s="370" t="str">
        <f>IFERROR(VLOOKUP($E274,Outlist!$A$5:$V$120,20,FALSE),"")</f>
        <v/>
      </c>
      <c r="AQ277" s="288" t="str">
        <f>IFERROR(IF(VLOOKUP($A277,#REF!,8,FALSE)&lt;&gt;"",VLOOKUP($A277,#REF!,8,FALSE),""),"")</f>
        <v/>
      </c>
      <c r="AS277" s="24"/>
      <c r="AT277" s="24"/>
      <c r="AU277" s="27"/>
      <c r="AV277" s="27"/>
      <c r="AX277" s="20" t="str">
        <f>IFERROR(IF(Out_Table[[#This Row],[Cancellazione linea]]="Cancellata","yes",""),"")</f>
        <v/>
      </c>
      <c r="AY277" s="72" t="str">
        <f>IF(BA277="",BZ277,IF(AND(BA277&lt;(--"23:59:59"),BA277&gt;(--"15:00:00"),G277&lt;(--"14:00:00"),G277&gt;(--"00:00:01")),"",IF(BA277&gt;G277,BZ277,"")))</f>
        <v/>
      </c>
      <c r="AZ277" s="27"/>
      <c r="BA277" s="32"/>
      <c r="BB277" s="72"/>
      <c r="BC277" s="72" t="str">
        <f>IFERROR(VLOOKUP(Out_Table[[#This Row],[Aggiornamento STATUS]],'INformazioni per calcoli'!$Y$70:$AA$76,2,FALSE),"")</f>
        <v/>
      </c>
      <c r="BD277" s="289"/>
      <c r="BE277" s="289"/>
      <c r="BF277" s="47" t="str">
        <f>LEFT($E277,3)</f>
        <v/>
      </c>
      <c r="BG277" s="298" t="str">
        <f>IF(Out_Table[[#This Row],[Ora Uscita    (GH)]]&lt;&gt;"","x","")</f>
        <v/>
      </c>
      <c r="BH277" s="299" t="e">
        <f>VLOOKUP($O277,'INformazioni per calcoli'!$Y$20:$AA$23,3,FALSE)</f>
        <v>#N/A</v>
      </c>
      <c r="BI277" s="299" t="e">
        <f>MROUND(Out_Table[[#This Row],[Mtr. Trailer]]*AB277,0.5)</f>
        <v>#N/A</v>
      </c>
      <c r="BJ277" s="299" t="e">
        <f>MROUND(Out_Table[[#This Row],[Mtr. Trailer]]*AE277,0.5)</f>
        <v>#N/A</v>
      </c>
      <c r="BK277" s="299" t="e">
        <f>MROUND(Out_Table[[#This Row],[Mtr. Trailer]]*AH277,0.5)</f>
        <v>#N/A</v>
      </c>
      <c r="BL277" s="300">
        <f>Out_Table[[#This Row],[Double Deck trailer N° bumpers]]</f>
        <v>0</v>
      </c>
      <c r="BM277" s="301"/>
      <c r="BN277" s="299">
        <f>B277</f>
        <v>0</v>
      </c>
      <c r="BO277" s="299">
        <f>E277</f>
        <v>0</v>
      </c>
      <c r="BP277" s="302">
        <f>IF(AND(G277&gt;(--"00:00:01"),G277&lt;(--"15:00:00")),IF(AND(X277&gt;(--"00:00:01"),X277&lt;(--"15:00:00")),G277-X277,G277+1-X277),G277-X277)</f>
        <v>0</v>
      </c>
      <c r="BQ277" s="303">
        <f>AE277+AF277+AH277+AJ277</f>
        <v>0</v>
      </c>
      <c r="BR277" s="304" t="str">
        <f>IF(OR(BP277&lt;=(--"00:20:00"),BQ277&gt;=100%),"OK","Not OK")</f>
        <v>OK</v>
      </c>
      <c r="BS277" s="302">
        <f>IF(AND(G277&gt;(--"00:00:01"),G277&lt;(--"15:00:00")),IF(AND(AU277&gt;(--"00:00:01"),AU277&lt;(--"15:00:00")),G277-AU277,G277+1-AU277),G277-AU277)</f>
        <v>0</v>
      </c>
      <c r="BT277" s="302">
        <f>IF(AND(AZ277&gt;(--"00:00:01"),AZ277&lt;(--"15:00:00")),IF(AND(AU277&gt;(--"00:00:01"),AU277&lt;(--"15:00:00")),AZ277-AU277,AZ277+1-AU277),AZ277-AU277)</f>
        <v>0</v>
      </c>
      <c r="BU277" s="302">
        <f>IF(AND(BA277&gt;(--"00:00:01"),BA277&lt;(--"15:00:00")),IF(AND(AZ277&gt;(--"00:00:01"),AZ277&lt;(--"15:00:00")),BA277-AZ277,BA277+1-AZ277),BA277-AZ277)</f>
        <v>0</v>
      </c>
      <c r="BV277" s="299">
        <f>AV277</f>
        <v>0</v>
      </c>
      <c r="BW277" s="301"/>
      <c r="BX277" s="299" t="str">
        <f>IF(AV277="T Status",IF(AV277&lt;&gt;T277,"X",""),"")</f>
        <v/>
      </c>
      <c r="BY277" s="301"/>
      <c r="BZ277" s="299" t="str">
        <f>IF(X277&lt;&gt;"",IF(CC277="X","Driver Delay",IF(CA277="X","Paperwork Delay",IF(CB277="X","Late freight late sort",IF(CD277="X","Chiamare Control Room",IF(CE277="X","Chiamare Control Room",IF(CF277="X","Chiamare Control Room","")))))),"")</f>
        <v/>
      </c>
      <c r="CA277" s="302" t="str">
        <f>IF(K277="",IF(IF(AND(G277&gt;(--"00:00:01"),G277&lt;(--"15:00:00")),IF(AND(AT277&gt;(--"08:00:00"),AT277&lt;(--"23:59:59")),G277+1-AT277,G277-AT277),G277-AT277)&gt;(--"00:20:00"),"","X"),"")</f>
        <v>X</v>
      </c>
      <c r="CB277" s="299" t="str">
        <f>IF(K277="",IF(BP277&gt;=(--"00:20:00"),"","X"),"")</f>
        <v>X</v>
      </c>
      <c r="CC277" s="299" t="str">
        <f>IF(OR(AV277="Autista non presente",AV277="Dati driver non presenti"),"X","")</f>
        <v/>
      </c>
      <c r="CD277" s="299" t="str">
        <f>IF(K277="",IF(AND(CC277="",BS277&lt;(--"00:20:00")),"X",""),"")</f>
        <v>X</v>
      </c>
      <c r="CE277" s="299" t="str">
        <f>IF(K277="",IF(BT277&gt;(--"00:15:00"),"X",""),IF(AZ277&lt;&gt;"",IF(G277-AZ277&gt;(--"00:30:00"),"X",""),""))</f>
        <v/>
      </c>
      <c r="CF277" s="299" t="str">
        <f>IF(AND(CA277="",CB277="",CC277="",CD277="",CE277=""),"X","")</f>
        <v/>
      </c>
      <c r="CG277" s="301"/>
      <c r="CH277" s="299" t="str">
        <f>IF(BT277&gt;(--"00:15:00"),"X","")</f>
        <v/>
      </c>
      <c r="CI277" s="302" t="str">
        <f>AY277</f>
        <v/>
      </c>
      <c r="CJ277" s="299" t="str">
        <f>IF(AND(CH277&lt;&gt;"",CI277&lt;&gt;"",LEFT(B277,3)="ITD"),AP277,"")</f>
        <v/>
      </c>
      <c r="CK277" s="305" t="str">
        <f>IF(CJ277&lt;&gt;"",BT277,"")</f>
        <v/>
      </c>
      <c r="CL277" s="301"/>
      <c r="CM277" s="305" t="str">
        <f>IFERROR(VLOOKUP(Q277,'Elenco Casse'!$D$4:$F$292,3,FALSE),"")</f>
        <v/>
      </c>
      <c r="CN277" s="301"/>
      <c r="CO277" s="305" t="str">
        <f>IFERROR(VLOOKUP(S277,'Elenco Casse'!$D$4:$F$292,3,FALSE),"")</f>
        <v/>
      </c>
      <c r="CP277" s="305" t="str">
        <f>IFERROR(IF(VLOOKUP($E277,Outlist!$A$5:$S$120,19,FALSE)&lt;&gt;0,"Y",""),"")</f>
        <v/>
      </c>
      <c r="CQ277" s="301"/>
      <c r="CR277" s="305" t="str">
        <f>CONCATENATE($B277,$E277,$G277)</f>
        <v/>
      </c>
      <c r="CS277" s="301"/>
      <c r="CT277" s="305" t="e">
        <f>VLOOKUP(Out_Table[[#This Row],[Destination             ORANGE (From Planning)]],Outlist!$A$5:$W$120,22,FALSE)</f>
        <v>#N/A</v>
      </c>
    </row>
    <row r="278" spans="1:98" s="20" customFormat="1" ht="15">
      <c r="A278" s="305" t="str">
        <f>$CR278</f>
        <v/>
      </c>
      <c r="B278" s="284"/>
      <c r="C278" s="290" t="str">
        <f ca="1">IFERROR(IF(LEFT(B278,3)='STAT 77'!$X$2,_xlfn.XLOOKUP(B278,'STAT 77'!C:C,'STAT 77'!B:B),_xlfn.XLOOKUP(B278,'STAT 77'!B:B,'STAT 77'!C:C)),"NON TROVATO")</f>
        <v>NON TROVATO</v>
      </c>
      <c r="D278" s="25"/>
      <c r="E278" s="290"/>
      <c r="F278" s="290" t="str">
        <f>IFERROR(VLOOKUP(E278,'Cambio O2P'!C:E,2,FALSE),"")</f>
        <v/>
      </c>
      <c r="G278" s="285"/>
      <c r="H278" s="293" t="str">
        <f ca="1">IFERROR(IF(AND('INformazioni per calcoli'!$AB$3&lt;(--"14:30"),'INformazioni per calcoli'!$AB$3&gt;(--"10:00")),"",IF($B278="","",IF($X278&lt;&gt;"","Mezzo Chiuso",IF($W278="","Non al Carico",IF($G278-'INformazioni per calcoli'!$AB$5-'INformazioni per calcoli'!$AB$3+$J278&lt;0,"LFLS",IF($K278&lt;&gt;"","Safe Parking",IF($W278&lt;&gt;"",IF($E278="MXP",$G278-'INformazioni per calcoli'!$AB$6-'INformazioni per calcoli'!$AB$3+$J278,$G278-'INformazioni per calcoli'!$AB$5-'INformazioni per calcoli'!$AB$3+$J278),"Non al carico"))))))),"")</f>
        <v/>
      </c>
      <c r="I278" s="17" t="str">
        <f ca="1">IFERROR(IF($H278&lt;&gt;"",IF($H278="Safe Parking","",IF($W278&lt;&gt;"",IF(AND($U278="X",$V278="X"),$H278-(--"00:30"),""),IF($X278&lt;&gt;"","Mezzo Chiuso","Non al carico"))),""),"")</f>
        <v/>
      </c>
      <c r="J278" s="306" t="str">
        <f>IFERROR(IF($B278&lt;&gt;"",IF(AND('INformazioni per calcoli'!$AB$3&lt;(--"15:00"),'INformazioni per calcoli'!$AB$3&gt;(--"00:00")),0,IF($G278&lt;(--"18:30"),"+1",0)),""),"")</f>
        <v/>
      </c>
      <c r="K278" s="17"/>
      <c r="L278" s="25"/>
      <c r="M278" s="25" t="str">
        <f>IFERROR(_xlfn.XLOOKUP($Q278,'Elenco Casse'!$D:$D,'Elenco Casse'!$E:$E),"")</f>
        <v/>
      </c>
      <c r="N278" s="25" t="str">
        <f>IFERROR(_xlfn.XLOOKUP($Q278,'Elenco Casse'!$D:$D,'Elenco Casse'!$F:$F),"")</f>
        <v/>
      </c>
      <c r="O278" s="286"/>
      <c r="P278" s="295" t="str">
        <f>IFERROR(_xlfn.XLOOKUP($Q278,'Elenco Casse'!$D:$D,'Elenco Casse'!$G:$G),"")</f>
        <v/>
      </c>
      <c r="Q278" s="355"/>
      <c r="R278" s="23"/>
      <c r="S278" s="25"/>
      <c r="T278" s="25"/>
      <c r="U278" s="23" t="str">
        <f>IF(ISNUMBER(SEARCH("Parcel",$T278)),"X","")</f>
        <v/>
      </c>
      <c r="V278" s="23" t="str">
        <f>IF(ISNUMBER(SEARCH("Freight",$T278)),"X","")</f>
        <v/>
      </c>
      <c r="W278" s="26"/>
      <c r="X278" s="27"/>
      <c r="Y278" s="25" t="str">
        <f>IF(Out_Table[[#This Row],[DOC Del. hr. (RTH)]]&lt;&gt;"","XXX","")</f>
        <v/>
      </c>
      <c r="Z278" s="25"/>
      <c r="AA278" s="25"/>
      <c r="AB278" s="57"/>
      <c r="AC278" s="25"/>
      <c r="AD278" s="25"/>
      <c r="AE278" s="57"/>
      <c r="AF278" s="57"/>
      <c r="AG278" s="25"/>
      <c r="AH278" s="57"/>
      <c r="AI278" s="339"/>
      <c r="AJ278" s="339"/>
      <c r="AK278" s="297" t="str">
        <f>IF(X278&lt;&gt;"",CONCATENATE(IF(AA278&lt;&gt;"",CONCATENATE(Z278," ",AA278," ",BI278),""),IF(AD278&lt;&gt;"",CONCATENATE(","," ",AC278," ",AD278," ",BJ278),""),IF(AG278&lt;&gt;"",CONCATENATE(","," ",AF278," ",AG278," ",BK278),""),IF(AJ278&lt;&gt;"",CONCATENATE(","," ","DD"," ",BL278),"")," ",IF(AI278&lt;&gt;"",CONCATENATE(" - ",AI278," Bag"),"")),"")</f>
        <v/>
      </c>
      <c r="AL278" s="287"/>
      <c r="AM278" s="287"/>
      <c r="AN278" s="287"/>
      <c r="AO278" s="287"/>
      <c r="AP278" s="370" t="str">
        <f>IFERROR(VLOOKUP($E275,Outlist!$A$5:$V$120,20,FALSE),"")</f>
        <v/>
      </c>
      <c r="AQ278" s="288" t="str">
        <f>IFERROR(IF(VLOOKUP($A278,#REF!,8,FALSE)&lt;&gt;"",VLOOKUP($A278,#REF!,8,FALSE),""),"")</f>
        <v/>
      </c>
      <c r="AS278" s="24"/>
      <c r="AT278" s="24"/>
      <c r="AU278" s="27"/>
      <c r="AV278" s="27"/>
      <c r="AX278" s="20" t="str">
        <f>IFERROR(IF(Out_Table[[#This Row],[Cancellazione linea]]="Cancellata","yes",""),"")</f>
        <v/>
      </c>
      <c r="AY278" s="72" t="str">
        <f>IF(BA278="",BZ278,IF(AND(BA278&lt;(--"23:59:59"),BA278&gt;(--"15:00:00"),G278&lt;(--"14:00:00"),G278&gt;(--"00:00:01")),"",IF(BA278&gt;G278,BZ278,"")))</f>
        <v/>
      </c>
      <c r="AZ278" s="27"/>
      <c r="BA278" s="32"/>
      <c r="BB278" s="72"/>
      <c r="BC278" s="72" t="str">
        <f>IFERROR(VLOOKUP(Out_Table[[#This Row],[Aggiornamento STATUS]],'INformazioni per calcoli'!$Y$70:$AA$76,2,FALSE),"")</f>
        <v/>
      </c>
      <c r="BD278" s="289"/>
      <c r="BE278" s="289"/>
      <c r="BF278" s="47" t="str">
        <f>LEFT($E278,3)</f>
        <v/>
      </c>
      <c r="BG278" s="298" t="str">
        <f>IF(Out_Table[[#This Row],[Ora Uscita    (GH)]]&lt;&gt;"","x","")</f>
        <v/>
      </c>
      <c r="BH278" s="299" t="e">
        <f>VLOOKUP($O278,'INformazioni per calcoli'!$Y$20:$AA$23,3,FALSE)</f>
        <v>#N/A</v>
      </c>
      <c r="BI278" s="299" t="e">
        <f>MROUND(Out_Table[[#This Row],[Mtr. Trailer]]*AB278,0.5)</f>
        <v>#N/A</v>
      </c>
      <c r="BJ278" s="299" t="e">
        <f>MROUND(Out_Table[[#This Row],[Mtr. Trailer]]*AE278,0.5)</f>
        <v>#N/A</v>
      </c>
      <c r="BK278" s="299" t="e">
        <f>MROUND(Out_Table[[#This Row],[Mtr. Trailer]]*AH278,0.5)</f>
        <v>#N/A</v>
      </c>
      <c r="BL278" s="300">
        <f>Out_Table[[#This Row],[Double Deck trailer N° bumpers]]</f>
        <v>0</v>
      </c>
      <c r="BM278" s="301"/>
      <c r="BN278" s="299">
        <f>B278</f>
        <v>0</v>
      </c>
      <c r="BO278" s="299">
        <f>E278</f>
        <v>0</v>
      </c>
      <c r="BP278" s="302">
        <f>IF(AND(G278&gt;(--"00:00:01"),G278&lt;(--"15:00:00")),IF(AND(X278&gt;(--"00:00:01"),X278&lt;(--"15:00:00")),G278-X278,G278+1-X278),G278-X278)</f>
        <v>0</v>
      </c>
      <c r="BQ278" s="303">
        <f>AE278+AF278+AH278+AJ278</f>
        <v>0</v>
      </c>
      <c r="BR278" s="304" t="str">
        <f>IF(OR(BP278&lt;=(--"00:20:00"),BQ278&gt;=100%),"OK","Not OK")</f>
        <v>OK</v>
      </c>
      <c r="BS278" s="302">
        <f>IF(AND(G278&gt;(--"00:00:01"),G278&lt;(--"15:00:00")),IF(AND(AU278&gt;(--"00:00:01"),AU278&lt;(--"15:00:00")),G278-AU278,G278+1-AU278),G278-AU278)</f>
        <v>0</v>
      </c>
      <c r="BT278" s="302">
        <f>IF(AND(AZ278&gt;(--"00:00:01"),AZ278&lt;(--"15:00:00")),IF(AND(AU278&gt;(--"00:00:01"),AU278&lt;(--"15:00:00")),AZ278-AU278,AZ278+1-AU278),AZ278-AU278)</f>
        <v>0</v>
      </c>
      <c r="BU278" s="302">
        <f>IF(AND(BA278&gt;(--"00:00:01"),BA278&lt;(--"15:00:00")),IF(AND(AZ278&gt;(--"00:00:01"),AZ278&lt;(--"15:00:00")),BA278-AZ278,BA278+1-AZ278),BA278-AZ278)</f>
        <v>0</v>
      </c>
      <c r="BV278" s="299">
        <f>AV278</f>
        <v>0</v>
      </c>
      <c r="BW278" s="301"/>
      <c r="BX278" s="299" t="str">
        <f>IF(AV278="T Status",IF(AV278&lt;&gt;T278,"X",""),"")</f>
        <v/>
      </c>
      <c r="BY278" s="301"/>
      <c r="BZ278" s="299" t="str">
        <f>IF(X278&lt;&gt;"",IF(CC278="X","Driver Delay",IF(CA278="X","Paperwork Delay",IF(CB278="X","Late freight late sort",IF(CD278="X","Chiamare Control Room",IF(CE278="X","Chiamare Control Room",IF(CF278="X","Chiamare Control Room","")))))),"")</f>
        <v/>
      </c>
      <c r="CA278" s="302" t="str">
        <f>IF(K278="",IF(IF(AND(G278&gt;(--"00:00:01"),G278&lt;(--"15:00:00")),IF(AND(AT278&gt;(--"08:00:00"),AT278&lt;(--"23:59:59")),G278+1-AT278,G278-AT278),G278-AT278)&gt;(--"00:20:00"),"","X"),"")</f>
        <v>X</v>
      </c>
      <c r="CB278" s="299" t="str">
        <f>IF(K278="",IF(BP278&gt;=(--"00:20:00"),"","X"),"")</f>
        <v>X</v>
      </c>
      <c r="CC278" s="299" t="str">
        <f>IF(OR(AV278="Autista non presente",AV278="Dati driver non presenti"),"X","")</f>
        <v/>
      </c>
      <c r="CD278" s="299" t="str">
        <f>IF(K278="",IF(AND(CC278="",BS278&lt;(--"00:20:00")),"X",""),"")</f>
        <v>X</v>
      </c>
      <c r="CE278" s="299" t="str">
        <f>IF(K278="",IF(BT278&gt;(--"00:15:00"),"X",""),IF(AZ278&lt;&gt;"",IF(G278-AZ278&gt;(--"00:30:00"),"X",""),""))</f>
        <v/>
      </c>
      <c r="CF278" s="299" t="str">
        <f>IF(AND(CA278="",CB278="",CC278="",CD278="",CE278=""),"X","")</f>
        <v/>
      </c>
      <c r="CG278" s="301"/>
      <c r="CH278" s="299" t="str">
        <f>IF(BT278&gt;(--"00:15:00"),"X","")</f>
        <v/>
      </c>
      <c r="CI278" s="302" t="str">
        <f>AY278</f>
        <v/>
      </c>
      <c r="CJ278" s="299" t="str">
        <f>IF(AND(CH278&lt;&gt;"",CI278&lt;&gt;"",LEFT(B278,3)="ITD"),AP278,"")</f>
        <v/>
      </c>
      <c r="CK278" s="305" t="str">
        <f>IF(CJ278&lt;&gt;"",BT278,"")</f>
        <v/>
      </c>
      <c r="CL278" s="301"/>
      <c r="CM278" s="305" t="str">
        <f>IFERROR(VLOOKUP(Q278,'Elenco Casse'!$D$4:$F$292,3,FALSE),"")</f>
        <v/>
      </c>
      <c r="CN278" s="301"/>
      <c r="CO278" s="305" t="str">
        <f>IFERROR(VLOOKUP(S278,'Elenco Casse'!$D$4:$F$292,3,FALSE),"")</f>
        <v/>
      </c>
      <c r="CP278" s="305" t="str">
        <f>IFERROR(IF(VLOOKUP($E278,Outlist!$A$5:$S$120,19,FALSE)&lt;&gt;0,"Y",""),"")</f>
        <v/>
      </c>
      <c r="CQ278" s="301"/>
      <c r="CR278" s="305" t="str">
        <f>CONCATENATE($B278,$E278,$G278)</f>
        <v/>
      </c>
      <c r="CS278" s="301"/>
      <c r="CT278" s="305" t="e">
        <f>VLOOKUP(Out_Table[[#This Row],[Destination             ORANGE (From Planning)]],Outlist!$A$5:$W$120,22,FALSE)</f>
        <v>#N/A</v>
      </c>
    </row>
    <row r="279" spans="1:98" s="20" customFormat="1" ht="15">
      <c r="A279" s="305" t="str">
        <f>$CR279</f>
        <v/>
      </c>
      <c r="B279" s="284"/>
      <c r="C279" s="290" t="str">
        <f ca="1">IFERROR(IF(LEFT(B279,3)='STAT 77'!$X$2,_xlfn.XLOOKUP(B279,'STAT 77'!C:C,'STAT 77'!B:B),_xlfn.XLOOKUP(B279,'STAT 77'!B:B,'STAT 77'!C:C)),"NON TROVATO")</f>
        <v>NON TROVATO</v>
      </c>
      <c r="D279" s="25"/>
      <c r="E279" s="290"/>
      <c r="F279" s="290" t="str">
        <f>IFERROR(VLOOKUP(E279,'Cambio O2P'!C:E,2,FALSE),"")</f>
        <v/>
      </c>
      <c r="G279" s="285"/>
      <c r="H279" s="293" t="str">
        <f ca="1">IFERROR(IF(AND('INformazioni per calcoli'!$AB$3&lt;(--"14:30"),'INformazioni per calcoli'!$AB$3&gt;(--"10:00")),"",IF($B279="","",IF($X279&lt;&gt;"","Mezzo Chiuso",IF($W279="","Non al Carico",IF($G279-'INformazioni per calcoli'!$AB$5-'INformazioni per calcoli'!$AB$3+$J279&lt;0,"LFLS",IF($K279&lt;&gt;"","Safe Parking",IF($W279&lt;&gt;"",IF($E279="MXP",$G279-'INformazioni per calcoli'!$AB$6-'INformazioni per calcoli'!$AB$3+$J279,$G279-'INformazioni per calcoli'!$AB$5-'INformazioni per calcoli'!$AB$3+$J279),"Non al carico"))))))),"")</f>
        <v/>
      </c>
      <c r="I279" s="17" t="str">
        <f ca="1">IFERROR(IF($H279&lt;&gt;"",IF($H279="Safe Parking","",IF($W279&lt;&gt;"",IF(AND($U279="X",$V279="X"),$H279-(--"00:30"),""),IF($X279&lt;&gt;"","Mezzo Chiuso","Non al carico"))),""),"")</f>
        <v/>
      </c>
      <c r="J279" s="306" t="str">
        <f>IFERROR(IF($B279&lt;&gt;"",IF(AND('INformazioni per calcoli'!$AB$3&lt;(--"15:00"),'INformazioni per calcoli'!$AB$3&gt;(--"00:00")),0,IF($G279&lt;(--"18:30"),"+1",0)),""),"")</f>
        <v/>
      </c>
      <c r="K279" s="27"/>
      <c r="L279" s="25"/>
      <c r="M279" s="25" t="str">
        <f>IFERROR(_xlfn.XLOOKUP($Q279,'Elenco Casse'!$D:$D,'Elenco Casse'!$E:$E),"")</f>
        <v/>
      </c>
      <c r="N279" s="25" t="str">
        <f>IFERROR(_xlfn.XLOOKUP($Q279,'Elenco Casse'!$D:$D,'Elenco Casse'!$F:$F),"")</f>
        <v/>
      </c>
      <c r="O279" s="286"/>
      <c r="P279" s="295" t="str">
        <f>IFERROR(_xlfn.XLOOKUP($Q279,'Elenco Casse'!$D:$D,'Elenco Casse'!$G:$G),"")</f>
        <v/>
      </c>
      <c r="Q279" s="355"/>
      <c r="R279" s="23"/>
      <c r="S279" s="25"/>
      <c r="T279" s="25"/>
      <c r="U279" s="23" t="str">
        <f>IF(ISNUMBER(SEARCH("Parcel",$T279)),"X","")</f>
        <v/>
      </c>
      <c r="V279" s="23" t="str">
        <f>IF(ISNUMBER(SEARCH("Freight",$T279)),"X","")</f>
        <v/>
      </c>
      <c r="W279" s="26"/>
      <c r="X279" s="27"/>
      <c r="Y279" s="25" t="str">
        <f>IF(Out_Table[[#This Row],[DOC Del. hr. (RTH)]]&lt;&gt;"","XXX","")</f>
        <v/>
      </c>
      <c r="Z279" s="25"/>
      <c r="AA279" s="25"/>
      <c r="AB279" s="57"/>
      <c r="AC279" s="25"/>
      <c r="AD279" s="25"/>
      <c r="AE279" s="57"/>
      <c r="AF279" s="57"/>
      <c r="AG279" s="25"/>
      <c r="AH279" s="57"/>
      <c r="AI279" s="339"/>
      <c r="AJ279" s="339"/>
      <c r="AK279" s="297" t="str">
        <f>IF(X279&lt;&gt;"",CONCATENATE(IF(AA279&lt;&gt;"",CONCATENATE(Z279," ",AA279," ",BI279),""),IF(AD279&lt;&gt;"",CONCATENATE(","," ",AC279," ",AD279," ",BJ279),""),IF(AG279&lt;&gt;"",CONCATENATE(","," ",AF279," ",AG279," ",BK279),""),IF(AJ279&lt;&gt;"",CONCATENATE(","," ","DD"," ",BL279),"")," ",IF(AI279&lt;&gt;"",CONCATENATE(" - ",AI279," Bag"),"")),"")</f>
        <v/>
      </c>
      <c r="AL279" s="287"/>
      <c r="AM279" s="287"/>
      <c r="AN279" s="287"/>
      <c r="AO279" s="287"/>
      <c r="AP279" s="370" t="str">
        <f>IFERROR(VLOOKUP($E276,Outlist!$A$5:$V$120,20,FALSE),"")</f>
        <v/>
      </c>
      <c r="AQ279" s="288" t="str">
        <f>IFERROR(IF(VLOOKUP($A279,#REF!,8,FALSE)&lt;&gt;"",VLOOKUP($A279,#REF!,8,FALSE),""),"")</f>
        <v/>
      </c>
      <c r="AS279" s="24"/>
      <c r="AT279" s="24"/>
      <c r="AU279" s="27"/>
      <c r="AV279" s="27"/>
      <c r="AX279" s="20" t="str">
        <f>IFERROR(IF(Out_Table[[#This Row],[Cancellazione linea]]="Cancellata","yes",""),"")</f>
        <v/>
      </c>
      <c r="AY279" s="72" t="str">
        <f>IF(BA279="",BZ279,IF(AND(BA279&lt;(--"23:59:59"),BA279&gt;(--"15:00:00"),G279&lt;(--"14:00:00"),G279&gt;(--"00:00:01")),"",IF(BA279&gt;G279,BZ279,"")))</f>
        <v/>
      </c>
      <c r="AZ279" s="27"/>
      <c r="BA279" s="32"/>
      <c r="BB279" s="72"/>
      <c r="BC279" s="72" t="str">
        <f>IFERROR(VLOOKUP(Out_Table[[#This Row],[Aggiornamento STATUS]],'INformazioni per calcoli'!$Y$70:$AA$76,2,FALSE),"")</f>
        <v/>
      </c>
      <c r="BD279" s="289"/>
      <c r="BE279" s="289"/>
      <c r="BF279" s="47" t="str">
        <f>LEFT($E279,3)</f>
        <v/>
      </c>
      <c r="BG279" s="298" t="str">
        <f>IF(Out_Table[[#This Row],[Ora Uscita    (GH)]]&lt;&gt;"","x","")</f>
        <v/>
      </c>
      <c r="BH279" s="299" t="e">
        <f>VLOOKUP($O279,'INformazioni per calcoli'!$Y$20:$AA$23,3,FALSE)</f>
        <v>#N/A</v>
      </c>
      <c r="BI279" s="299" t="e">
        <f>MROUND(Out_Table[[#This Row],[Mtr. Trailer]]*AB279,0.5)</f>
        <v>#N/A</v>
      </c>
      <c r="BJ279" s="299" t="e">
        <f>MROUND(Out_Table[[#This Row],[Mtr. Trailer]]*AE279,0.5)</f>
        <v>#N/A</v>
      </c>
      <c r="BK279" s="299" t="e">
        <f>MROUND(Out_Table[[#This Row],[Mtr. Trailer]]*AH279,0.5)</f>
        <v>#N/A</v>
      </c>
      <c r="BL279" s="300">
        <f>Out_Table[[#This Row],[Double Deck trailer N° bumpers]]</f>
        <v>0</v>
      </c>
      <c r="BM279" s="301"/>
      <c r="BN279" s="299">
        <f>B279</f>
        <v>0</v>
      </c>
      <c r="BO279" s="299">
        <f>E279</f>
        <v>0</v>
      </c>
      <c r="BP279" s="302">
        <f>IF(AND(G279&gt;(--"00:00:01"),G279&lt;(--"15:00:00")),IF(AND(X279&gt;(--"00:00:01"),X279&lt;(--"15:00:00")),G279-X279,G279+1-X279),G279-X279)</f>
        <v>0</v>
      </c>
      <c r="BQ279" s="303">
        <f>AE279+AF279+AH279+AJ279</f>
        <v>0</v>
      </c>
      <c r="BR279" s="304" t="str">
        <f>IF(OR(BP279&lt;=(--"00:20:00"),BQ279&gt;=100%),"OK","Not OK")</f>
        <v>OK</v>
      </c>
      <c r="BS279" s="302">
        <f>IF(AND(G279&gt;(--"00:00:01"),G279&lt;(--"15:00:00")),IF(AND(AU279&gt;(--"00:00:01"),AU279&lt;(--"15:00:00")),G279-AU279,G279+1-AU279),G279-AU279)</f>
        <v>0</v>
      </c>
      <c r="BT279" s="302">
        <f>IF(AND(AZ279&gt;(--"00:00:01"),AZ279&lt;(--"15:00:00")),IF(AND(AU279&gt;(--"00:00:01"),AU279&lt;(--"15:00:00")),AZ279-AU279,AZ279+1-AU279),AZ279-AU279)</f>
        <v>0</v>
      </c>
      <c r="BU279" s="302">
        <f>IF(AND(BA279&gt;(--"00:00:01"),BA279&lt;(--"15:00:00")),IF(AND(AZ279&gt;(--"00:00:01"),AZ279&lt;(--"15:00:00")),BA279-AZ279,BA279+1-AZ279),BA279-AZ279)</f>
        <v>0</v>
      </c>
      <c r="BV279" s="299">
        <f>AV279</f>
        <v>0</v>
      </c>
      <c r="BW279" s="301"/>
      <c r="BX279" s="299" t="str">
        <f>IF(AV279="T Status",IF(AV279&lt;&gt;T279,"X",""),"")</f>
        <v/>
      </c>
      <c r="BY279" s="301"/>
      <c r="BZ279" s="299" t="str">
        <f>IF(X279&lt;&gt;"",IF(CC279="X","Driver Delay",IF(CA279="X","Paperwork Delay",IF(CB279="X","Late freight late sort",IF(CD279="X","Chiamare Control Room",IF(CE279="X","Chiamare Control Room",IF(CF279="X","Chiamare Control Room","")))))),"")</f>
        <v/>
      </c>
      <c r="CA279" s="302" t="str">
        <f>IF(K279="",IF(IF(AND(G279&gt;(--"00:00:01"),G279&lt;(--"15:00:00")),IF(AND(AT279&gt;(--"08:00:00"),AT279&lt;(--"23:59:59")),G279+1-AT279,G279-AT279),G279-AT279)&gt;(--"00:20:00"),"","X"),"")</f>
        <v>X</v>
      </c>
      <c r="CB279" s="299" t="str">
        <f>IF(K279="",IF(BP279&gt;=(--"00:20:00"),"","X"),"")</f>
        <v>X</v>
      </c>
      <c r="CC279" s="299" t="str">
        <f>IF(OR(AV279="Autista non presente",AV279="Dati driver non presenti"),"X","")</f>
        <v/>
      </c>
      <c r="CD279" s="299" t="str">
        <f>IF(K279="",IF(AND(CC279="",BS279&lt;(--"00:20:00")),"X",""),"")</f>
        <v>X</v>
      </c>
      <c r="CE279" s="299" t="str">
        <f>IF(K279="",IF(BT279&gt;(--"00:15:00"),"X",""),IF(AZ279&lt;&gt;"",IF(G279-AZ279&gt;(--"00:30:00"),"X",""),""))</f>
        <v/>
      </c>
      <c r="CF279" s="299" t="str">
        <f>IF(AND(CA279="",CB279="",CC279="",CD279="",CE279=""),"X","")</f>
        <v/>
      </c>
      <c r="CG279" s="301"/>
      <c r="CH279" s="299" t="str">
        <f>IF(BT279&gt;(--"00:15:00"),"X","")</f>
        <v/>
      </c>
      <c r="CI279" s="302" t="str">
        <f>AY279</f>
        <v/>
      </c>
      <c r="CJ279" s="299" t="str">
        <f>IF(AND(CH279&lt;&gt;"",CI279&lt;&gt;"",LEFT(B279,3)="ITD"),AP279,"")</f>
        <v/>
      </c>
      <c r="CK279" s="305" t="str">
        <f>IF(CJ279&lt;&gt;"",BT279,"")</f>
        <v/>
      </c>
      <c r="CL279" s="301"/>
      <c r="CM279" s="305" t="str">
        <f>IFERROR(VLOOKUP(Q279,'Elenco Casse'!$D$4:$F$292,3,FALSE),"")</f>
        <v/>
      </c>
      <c r="CN279" s="301"/>
      <c r="CO279" s="305" t="str">
        <f>IFERROR(VLOOKUP(S279,'Elenco Casse'!$D$4:$F$292,3,FALSE),"")</f>
        <v/>
      </c>
      <c r="CP279" s="305" t="str">
        <f>IFERROR(IF(VLOOKUP($E279,Outlist!$A$5:$S$120,19,FALSE)&lt;&gt;0,"Y",""),"")</f>
        <v/>
      </c>
      <c r="CQ279" s="301"/>
      <c r="CR279" s="305" t="str">
        <f>CONCATENATE($B279,$E279,$G279)</f>
        <v/>
      </c>
      <c r="CS279" s="301"/>
      <c r="CT279" s="305" t="e">
        <f>VLOOKUP(Out_Table[[#This Row],[Destination             ORANGE (From Planning)]],Outlist!$A$5:$W$120,22,FALSE)</f>
        <v>#N/A</v>
      </c>
    </row>
    <row r="280" spans="1:98" s="20" customFormat="1" ht="15">
      <c r="A280" s="305" t="str">
        <f>$CR280</f>
        <v/>
      </c>
      <c r="B280" s="284"/>
      <c r="C280" s="290" t="str">
        <f ca="1">IFERROR(IF(LEFT(B280,3)='STAT 77'!$X$2,_xlfn.XLOOKUP(B280,'STAT 77'!C:C,'STAT 77'!B:B),_xlfn.XLOOKUP(B280,'STAT 77'!B:B,'STAT 77'!C:C)),"NON TROVATO")</f>
        <v>NON TROVATO</v>
      </c>
      <c r="D280" s="25"/>
      <c r="E280" s="290"/>
      <c r="F280" s="290" t="str">
        <f>IFERROR(VLOOKUP(E280,'Cambio O2P'!C:E,2,FALSE),"")</f>
        <v/>
      </c>
      <c r="G280" s="285"/>
      <c r="H280" s="293" t="str">
        <f ca="1">IFERROR(IF(AND('INformazioni per calcoli'!$AB$3&lt;(--"14:30"),'INformazioni per calcoli'!$AB$3&gt;(--"10:00")),"",IF($B280="","",IF($X280&lt;&gt;"","Mezzo Chiuso",IF($W280="","Non al Carico",IF($G280-'INformazioni per calcoli'!$AB$5-'INformazioni per calcoli'!$AB$3+$J280&lt;0,"LFLS",IF($K280&lt;&gt;"","Safe Parking",IF($W280&lt;&gt;"",IF($E280="MXP",$G280-'INformazioni per calcoli'!$AB$6-'INformazioni per calcoli'!$AB$3+$J280,$G280-'INformazioni per calcoli'!$AB$5-'INformazioni per calcoli'!$AB$3+$J280),"Non al carico"))))))),"")</f>
        <v/>
      </c>
      <c r="I280" s="17" t="str">
        <f ca="1">IFERROR(IF($H280&lt;&gt;"",IF($H280="Safe Parking","",IF($W280&lt;&gt;"",IF(AND($U280="X",$V280="X"),$H280-(--"00:30"),""),IF($X280&lt;&gt;"","Mezzo Chiuso","Non al carico"))),""),"")</f>
        <v/>
      </c>
      <c r="J280" s="306" t="str">
        <f>IFERROR(IF($B280&lt;&gt;"",IF(AND('INformazioni per calcoli'!$AB$3&lt;(--"15:00"),'INformazioni per calcoli'!$AB$3&gt;(--"00:00")),0,IF($G280&lt;(--"18:30"),"+1",0)),""),"")</f>
        <v/>
      </c>
      <c r="K280" s="27"/>
      <c r="L280" s="25"/>
      <c r="M280" s="25" t="str">
        <f>IFERROR(_xlfn.XLOOKUP($Q280,'Elenco Casse'!$D:$D,'Elenco Casse'!$E:$E),"")</f>
        <v/>
      </c>
      <c r="N280" s="25" t="str">
        <f>IFERROR(_xlfn.XLOOKUP($Q280,'Elenco Casse'!$D:$D,'Elenco Casse'!$F:$F),"")</f>
        <v/>
      </c>
      <c r="O280" s="286"/>
      <c r="P280" s="295" t="str">
        <f>IFERROR(_xlfn.XLOOKUP($Q280,'Elenco Casse'!$D:$D,'Elenco Casse'!$G:$G),"")</f>
        <v/>
      </c>
      <c r="Q280" s="355"/>
      <c r="R280" s="23"/>
      <c r="S280" s="25"/>
      <c r="T280" s="25"/>
      <c r="U280" s="23" t="str">
        <f>IF(ISNUMBER(SEARCH("Parcel",$T280)),"X","")</f>
        <v/>
      </c>
      <c r="V280" s="23" t="str">
        <f>IF(ISNUMBER(SEARCH("Freight",$T280)),"X","")</f>
        <v/>
      </c>
      <c r="W280" s="26"/>
      <c r="X280" s="27"/>
      <c r="Y280" s="25" t="str">
        <f>IF(Out_Table[[#This Row],[DOC Del. hr. (RTH)]]&lt;&gt;"","XXX","")</f>
        <v/>
      </c>
      <c r="Z280" s="25"/>
      <c r="AA280" s="25"/>
      <c r="AB280" s="57"/>
      <c r="AC280" s="25"/>
      <c r="AD280" s="25"/>
      <c r="AE280" s="57"/>
      <c r="AF280" s="57"/>
      <c r="AG280" s="25"/>
      <c r="AH280" s="57"/>
      <c r="AI280" s="339"/>
      <c r="AJ280" s="339"/>
      <c r="AK280" s="297" t="str">
        <f>IF(X280&lt;&gt;"",CONCATENATE(IF(AA280&lt;&gt;"",CONCATENATE(Z280," ",AA280," ",BI280),""),IF(AD280&lt;&gt;"",CONCATENATE(","," ",AC280," ",AD280," ",BJ280),""),IF(AG280&lt;&gt;"",CONCATENATE(","," ",AF280," ",AG280," ",BK280),""),IF(AJ280&lt;&gt;"",CONCATENATE(","," ","DD"," ",BL280),"")," ",IF(AI280&lt;&gt;"",CONCATENATE(" - ",AI280," Bag"),"")),"")</f>
        <v/>
      </c>
      <c r="AL280" s="287"/>
      <c r="AM280" s="287"/>
      <c r="AN280" s="287"/>
      <c r="AO280" s="287"/>
      <c r="AP280" s="370" t="str">
        <f>IFERROR(VLOOKUP($E277,Outlist!$A$5:$V$120,20,FALSE),"")</f>
        <v/>
      </c>
      <c r="AQ280" s="288" t="str">
        <f>IFERROR(IF(VLOOKUP($A280,#REF!,8,FALSE)&lt;&gt;"",VLOOKUP($A280,#REF!,8,FALSE),""),"")</f>
        <v/>
      </c>
      <c r="AS280" s="24"/>
      <c r="AT280" s="24"/>
      <c r="AU280" s="27"/>
      <c r="AV280" s="27"/>
      <c r="AX280" s="20" t="str">
        <f>IFERROR(IF(Out_Table[[#This Row],[Cancellazione linea]]="Cancellata","yes",""),"")</f>
        <v/>
      </c>
      <c r="AY280" s="72" t="str">
        <f>IF(BA280="",BZ280,IF(AND(BA280&lt;(--"23:59:59"),BA280&gt;(--"15:00:00"),G280&lt;(--"14:00:00"),G280&gt;(--"00:00:01")),"",IF(BA280&gt;G280,BZ280,"")))</f>
        <v/>
      </c>
      <c r="AZ280" s="27"/>
      <c r="BA280" s="32"/>
      <c r="BB280" s="72"/>
      <c r="BC280" s="72" t="str">
        <f>IFERROR(VLOOKUP(Out_Table[[#This Row],[Aggiornamento STATUS]],'INformazioni per calcoli'!$Y$70:$AA$76,2,FALSE),"")</f>
        <v/>
      </c>
      <c r="BD280" s="289"/>
      <c r="BE280" s="289"/>
      <c r="BF280" s="47" t="str">
        <f>LEFT($E280,3)</f>
        <v/>
      </c>
      <c r="BG280" s="298" t="str">
        <f>IF(Out_Table[[#This Row],[Ora Uscita    (GH)]]&lt;&gt;"","x","")</f>
        <v/>
      </c>
      <c r="BH280" s="299" t="e">
        <f>VLOOKUP($O280,'INformazioni per calcoli'!$Y$20:$AA$23,3,FALSE)</f>
        <v>#N/A</v>
      </c>
      <c r="BI280" s="299" t="e">
        <f>MROUND(Out_Table[[#This Row],[Mtr. Trailer]]*AB280,0.5)</f>
        <v>#N/A</v>
      </c>
      <c r="BJ280" s="299" t="e">
        <f>MROUND(Out_Table[[#This Row],[Mtr. Trailer]]*AE280,0.5)</f>
        <v>#N/A</v>
      </c>
      <c r="BK280" s="299" t="e">
        <f>MROUND(Out_Table[[#This Row],[Mtr. Trailer]]*AH280,0.5)</f>
        <v>#N/A</v>
      </c>
      <c r="BL280" s="300">
        <f>Out_Table[[#This Row],[Double Deck trailer N° bumpers]]</f>
        <v>0</v>
      </c>
      <c r="BM280" s="301"/>
      <c r="BN280" s="299">
        <f>B280</f>
        <v>0</v>
      </c>
      <c r="BO280" s="299">
        <f>E280</f>
        <v>0</v>
      </c>
      <c r="BP280" s="302">
        <f>IF(AND(G280&gt;(--"00:00:01"),G280&lt;(--"15:00:00")),IF(AND(X280&gt;(--"00:00:01"),X280&lt;(--"15:00:00")),G280-X280,G280+1-X280),G280-X280)</f>
        <v>0</v>
      </c>
      <c r="BQ280" s="303">
        <f>AE280+AF280+AH280+AJ280</f>
        <v>0</v>
      </c>
      <c r="BR280" s="304" t="str">
        <f>IF(OR(BP280&lt;=(--"00:20:00"),BQ280&gt;=100%),"OK","Not OK")</f>
        <v>OK</v>
      </c>
      <c r="BS280" s="302">
        <f>IF(AND(G280&gt;(--"00:00:01"),G280&lt;(--"15:00:00")),IF(AND(AU280&gt;(--"00:00:01"),AU280&lt;(--"15:00:00")),G280-AU280,G280+1-AU280),G280-AU280)</f>
        <v>0</v>
      </c>
      <c r="BT280" s="302">
        <f>IF(AND(AZ280&gt;(--"00:00:01"),AZ280&lt;(--"15:00:00")),IF(AND(AU280&gt;(--"00:00:01"),AU280&lt;(--"15:00:00")),AZ280-AU280,AZ280+1-AU280),AZ280-AU280)</f>
        <v>0</v>
      </c>
      <c r="BU280" s="302">
        <f>IF(AND(BA280&gt;(--"00:00:01"),BA280&lt;(--"15:00:00")),IF(AND(AZ280&gt;(--"00:00:01"),AZ280&lt;(--"15:00:00")),BA280-AZ280,BA280+1-AZ280),BA280-AZ280)</f>
        <v>0</v>
      </c>
      <c r="BV280" s="299">
        <f>AV280</f>
        <v>0</v>
      </c>
      <c r="BW280" s="301"/>
      <c r="BX280" s="299" t="str">
        <f>IF(AV280="T Status",IF(AV280&lt;&gt;T280,"X",""),"")</f>
        <v/>
      </c>
      <c r="BY280" s="301"/>
      <c r="BZ280" s="299" t="str">
        <f>IF(X280&lt;&gt;"",IF(CC280="X","Driver Delay",IF(CA280="X","Paperwork Delay",IF(CB280="X","Late freight late sort",IF(CD280="X","Chiamare Control Room",IF(CE280="X","Chiamare Control Room",IF(CF280="X","Chiamare Control Room","")))))),"")</f>
        <v/>
      </c>
      <c r="CA280" s="302" t="str">
        <f>IF(K280="",IF(IF(AND(G280&gt;(--"00:00:01"),G280&lt;(--"15:00:00")),IF(AND(AT280&gt;(--"08:00:00"),AT280&lt;(--"23:59:59")),G280+1-AT280,G280-AT280),G280-AT280)&gt;(--"00:20:00"),"","X"),"")</f>
        <v>X</v>
      </c>
      <c r="CB280" s="299" t="str">
        <f>IF(K280="",IF(BP280&gt;=(--"00:20:00"),"","X"),"")</f>
        <v>X</v>
      </c>
      <c r="CC280" s="299" t="str">
        <f>IF(OR(AV280="Autista non presente",AV280="Dati driver non presenti"),"X","")</f>
        <v/>
      </c>
      <c r="CD280" s="299" t="str">
        <f>IF(K280="",IF(AND(CC280="",BS280&lt;(--"00:20:00")),"X",""),"")</f>
        <v>X</v>
      </c>
      <c r="CE280" s="299" t="str">
        <f>IF(K280="",IF(BT280&gt;(--"00:15:00"),"X",""),IF(AZ280&lt;&gt;"",IF(G280-AZ280&gt;(--"00:30:00"),"X",""),""))</f>
        <v/>
      </c>
      <c r="CF280" s="299" t="str">
        <f>IF(AND(CA280="",CB280="",CC280="",CD280="",CE280=""),"X","")</f>
        <v/>
      </c>
      <c r="CG280" s="301"/>
      <c r="CH280" s="299" t="str">
        <f>IF(BT280&gt;(--"00:15:00"),"X","")</f>
        <v/>
      </c>
      <c r="CI280" s="302" t="str">
        <f>AY280</f>
        <v/>
      </c>
      <c r="CJ280" s="299" t="str">
        <f>IF(AND(CH280&lt;&gt;"",CI280&lt;&gt;"",LEFT(B280,3)="ITD"),AP280,"")</f>
        <v/>
      </c>
      <c r="CK280" s="305" t="str">
        <f>IF(CJ280&lt;&gt;"",BT280,"")</f>
        <v/>
      </c>
      <c r="CL280" s="301"/>
      <c r="CM280" s="305" t="str">
        <f>IFERROR(VLOOKUP(Q280,'Elenco Casse'!$D$4:$F$292,3,FALSE),"")</f>
        <v/>
      </c>
      <c r="CN280" s="301"/>
      <c r="CO280" s="305" t="str">
        <f>IFERROR(VLOOKUP(S280,'Elenco Casse'!$D$4:$F$292,3,FALSE),"")</f>
        <v/>
      </c>
      <c r="CP280" s="305" t="str">
        <f>IFERROR(IF(VLOOKUP($E280,Outlist!$A$5:$S$120,19,FALSE)&lt;&gt;0,"Y",""),"")</f>
        <v/>
      </c>
      <c r="CQ280" s="301"/>
      <c r="CR280" s="305" t="str">
        <f>CONCATENATE($B280,$E280,$G280)</f>
        <v/>
      </c>
      <c r="CS280" s="301"/>
      <c r="CT280" s="305" t="e">
        <f>VLOOKUP(Out_Table[[#This Row],[Destination             ORANGE (From Planning)]],Outlist!$A$5:$W$120,22,FALSE)</f>
        <v>#N/A</v>
      </c>
    </row>
    <row r="281" spans="1:98" s="20" customFormat="1" ht="15">
      <c r="A281" s="305" t="str">
        <f>$CR281</f>
        <v/>
      </c>
      <c r="B281" s="284"/>
      <c r="C281" s="290" t="str">
        <f ca="1">IFERROR(IF(LEFT(B281,3)='STAT 77'!$X$2,_xlfn.XLOOKUP(B281,'STAT 77'!C:C,'STAT 77'!B:B),_xlfn.XLOOKUP(B281,'STAT 77'!B:B,'STAT 77'!C:C)),"NON TROVATO")</f>
        <v>NON TROVATO</v>
      </c>
      <c r="D281" s="25"/>
      <c r="E281" s="290"/>
      <c r="F281" s="290" t="str">
        <f>IFERROR(VLOOKUP(E281,'Cambio O2P'!C:E,2,FALSE),"")</f>
        <v/>
      </c>
      <c r="G281" s="285"/>
      <c r="H281" s="293" t="str">
        <f ca="1">IFERROR(IF(AND('INformazioni per calcoli'!$AB$3&lt;(--"14:30"),'INformazioni per calcoli'!$AB$3&gt;(--"10:00")),"",IF($B281="","",IF($X281&lt;&gt;"","Mezzo Chiuso",IF($W281="","Non al Carico",IF($G281-'INformazioni per calcoli'!$AB$5-'INformazioni per calcoli'!$AB$3+$J281&lt;0,"LFLS",IF($K281&lt;&gt;"","Safe Parking",IF($W281&lt;&gt;"",IF($E281="MXP",$G281-'INformazioni per calcoli'!$AB$6-'INformazioni per calcoli'!$AB$3+$J281,$G281-'INformazioni per calcoli'!$AB$5-'INformazioni per calcoli'!$AB$3+$J281),"Non al carico"))))))),"")</f>
        <v/>
      </c>
      <c r="I281" s="17" t="str">
        <f ca="1">IFERROR(IF($H281&lt;&gt;"",IF($H281="Safe Parking","",IF($W281&lt;&gt;"",IF(AND($U281="X",$V281="X"),$H281-(--"00:30"),""),IF($X281&lt;&gt;"","Mezzo Chiuso","Non al carico"))),""),"")</f>
        <v/>
      </c>
      <c r="J281" s="306" t="str">
        <f>IFERROR(IF($B281&lt;&gt;"",IF(AND('INformazioni per calcoli'!$AB$3&lt;(--"15:00"),'INformazioni per calcoli'!$AB$3&gt;(--"00:00")),0,IF($G281&lt;(--"18:30"),"+1",0)),""),"")</f>
        <v/>
      </c>
      <c r="K281" s="27"/>
      <c r="L281" s="25"/>
      <c r="M281" s="25" t="str">
        <f>IFERROR(_xlfn.XLOOKUP($Q281,'Elenco Casse'!$D:$D,'Elenco Casse'!$E:$E),"")</f>
        <v/>
      </c>
      <c r="N281" s="25" t="str">
        <f>IFERROR(_xlfn.XLOOKUP($Q281,'Elenco Casse'!$D:$D,'Elenco Casse'!$F:$F),"")</f>
        <v/>
      </c>
      <c r="O281" s="286"/>
      <c r="P281" s="295" t="str">
        <f>IFERROR(_xlfn.XLOOKUP($Q281,'Elenco Casse'!$D:$D,'Elenco Casse'!$G:$G),"")</f>
        <v/>
      </c>
      <c r="Q281" s="355"/>
      <c r="R281" s="23"/>
      <c r="S281" s="25"/>
      <c r="T281" s="25"/>
      <c r="U281" s="23" t="str">
        <f>IF(ISNUMBER(SEARCH("Parcel",$T281)),"X","")</f>
        <v/>
      </c>
      <c r="V281" s="23" t="str">
        <f>IF(ISNUMBER(SEARCH("Freight",$T281)),"X","")</f>
        <v/>
      </c>
      <c r="W281" s="26"/>
      <c r="X281" s="27"/>
      <c r="Y281" s="25" t="str">
        <f>IF(Out_Table[[#This Row],[DOC Del. hr. (RTH)]]&lt;&gt;"","XXX","")</f>
        <v/>
      </c>
      <c r="Z281" s="25"/>
      <c r="AA281" s="25"/>
      <c r="AB281" s="57"/>
      <c r="AC281" s="25"/>
      <c r="AD281" s="25"/>
      <c r="AE281" s="57"/>
      <c r="AF281" s="57"/>
      <c r="AG281" s="25"/>
      <c r="AH281" s="57"/>
      <c r="AI281" s="339"/>
      <c r="AJ281" s="339"/>
      <c r="AK281" s="297" t="str">
        <f>IF(X281&lt;&gt;"",CONCATENATE(IF(AA281&lt;&gt;"",CONCATENATE(Z281," ",AA281," ",BI281),""),IF(AD281&lt;&gt;"",CONCATENATE(","," ",AC281," ",AD281," ",BJ281),""),IF(AG281&lt;&gt;"",CONCATENATE(","," ",AF281," ",AG281," ",BK281),""),IF(AJ281&lt;&gt;"",CONCATENATE(","," ","DD"," ",BL281),"")," ",IF(AI281&lt;&gt;"",CONCATENATE(" - ",AI281," Bag"),"")),"")</f>
        <v/>
      </c>
      <c r="AL281" s="287"/>
      <c r="AM281" s="287"/>
      <c r="AN281" s="287"/>
      <c r="AO281" s="287"/>
      <c r="AP281" s="370" t="str">
        <f>IFERROR(VLOOKUP($E278,Outlist!$A$5:$V$120,20,FALSE),"")</f>
        <v/>
      </c>
      <c r="AQ281" s="288" t="str">
        <f>IFERROR(IF(VLOOKUP($A281,#REF!,8,FALSE)&lt;&gt;"",VLOOKUP($A281,#REF!,8,FALSE),""),"")</f>
        <v/>
      </c>
      <c r="AS281" s="24"/>
      <c r="AT281" s="24"/>
      <c r="AU281" s="27"/>
      <c r="AV281" s="27"/>
      <c r="AX281" s="20" t="str">
        <f>IFERROR(IF(Out_Table[[#This Row],[Cancellazione linea]]="Cancellata","yes",""),"")</f>
        <v/>
      </c>
      <c r="AY281" s="72" t="str">
        <f>IF(BA281="",BZ281,IF(AND(BA281&lt;(--"23:59:59"),BA281&gt;(--"15:00:00"),G281&lt;(--"14:00:00"),G281&gt;(--"00:00:01")),"",IF(BA281&gt;G281,BZ281,"")))</f>
        <v/>
      </c>
      <c r="AZ281" s="27"/>
      <c r="BA281" s="32"/>
      <c r="BB281" s="72"/>
      <c r="BC281" s="72" t="str">
        <f>IFERROR(VLOOKUP(Out_Table[[#This Row],[Aggiornamento STATUS]],'INformazioni per calcoli'!$Y$70:$AA$76,2,FALSE),"")</f>
        <v/>
      </c>
      <c r="BD281" s="289"/>
      <c r="BE281" s="289"/>
      <c r="BF281" s="47" t="str">
        <f>LEFT($E281,3)</f>
        <v/>
      </c>
      <c r="BG281" s="298" t="str">
        <f>IF(Out_Table[[#This Row],[Ora Uscita    (GH)]]&lt;&gt;"","x","")</f>
        <v/>
      </c>
      <c r="BH281" s="299" t="e">
        <f>VLOOKUP($O281,'INformazioni per calcoli'!$Y$20:$AA$23,3,FALSE)</f>
        <v>#N/A</v>
      </c>
      <c r="BI281" s="299" t="e">
        <f>MROUND(Out_Table[[#This Row],[Mtr. Trailer]]*AB281,0.5)</f>
        <v>#N/A</v>
      </c>
      <c r="BJ281" s="299" t="e">
        <f>MROUND(Out_Table[[#This Row],[Mtr. Trailer]]*AE281,0.5)</f>
        <v>#N/A</v>
      </c>
      <c r="BK281" s="299" t="e">
        <f>MROUND(Out_Table[[#This Row],[Mtr. Trailer]]*AH281,0.5)</f>
        <v>#N/A</v>
      </c>
      <c r="BL281" s="300">
        <f>Out_Table[[#This Row],[Double Deck trailer N° bumpers]]</f>
        <v>0</v>
      </c>
      <c r="BM281" s="301"/>
      <c r="BN281" s="299">
        <f>B281</f>
        <v>0</v>
      </c>
      <c r="BO281" s="299">
        <f>E281</f>
        <v>0</v>
      </c>
      <c r="BP281" s="302">
        <f>IF(AND(G281&gt;(--"00:00:01"),G281&lt;(--"15:00:00")),IF(AND(X281&gt;(--"00:00:01"),X281&lt;(--"15:00:00")),G281-X281,G281+1-X281),G281-X281)</f>
        <v>0</v>
      </c>
      <c r="BQ281" s="303">
        <f>AE281+AF281+AH281+AJ281</f>
        <v>0</v>
      </c>
      <c r="BR281" s="304" t="str">
        <f>IF(OR(BP281&lt;=(--"00:20:00"),BQ281&gt;=100%),"OK","Not OK")</f>
        <v>OK</v>
      </c>
      <c r="BS281" s="302">
        <f>IF(AND(G281&gt;(--"00:00:01"),G281&lt;(--"15:00:00")),IF(AND(AU281&gt;(--"00:00:01"),AU281&lt;(--"15:00:00")),G281-AU281,G281+1-AU281),G281-AU281)</f>
        <v>0</v>
      </c>
      <c r="BT281" s="302">
        <f>IF(AND(AZ281&gt;(--"00:00:01"),AZ281&lt;(--"15:00:00")),IF(AND(AU281&gt;(--"00:00:01"),AU281&lt;(--"15:00:00")),AZ281-AU281,AZ281+1-AU281),AZ281-AU281)</f>
        <v>0</v>
      </c>
      <c r="BU281" s="302">
        <f>IF(AND(BA281&gt;(--"00:00:01"),BA281&lt;(--"15:00:00")),IF(AND(AZ281&gt;(--"00:00:01"),AZ281&lt;(--"15:00:00")),BA281-AZ281,BA281+1-AZ281),BA281-AZ281)</f>
        <v>0</v>
      </c>
      <c r="BV281" s="299">
        <f>AV281</f>
        <v>0</v>
      </c>
      <c r="BW281" s="301"/>
      <c r="BX281" s="299" t="str">
        <f>IF(AV281="T Status",IF(AV281&lt;&gt;T281,"X",""),"")</f>
        <v/>
      </c>
      <c r="BY281" s="301"/>
      <c r="BZ281" s="299" t="str">
        <f>IF(X281&lt;&gt;"",IF(CC281="X","Driver Delay",IF(CA281="X","Paperwork Delay",IF(CB281="X","Late freight late sort",IF(CD281="X","Chiamare Control Room",IF(CE281="X","Chiamare Control Room",IF(CF281="X","Chiamare Control Room","")))))),"")</f>
        <v/>
      </c>
      <c r="CA281" s="302" t="str">
        <f>IF(K281="",IF(IF(AND(G281&gt;(--"00:00:01"),G281&lt;(--"15:00:00")),IF(AND(AT281&gt;(--"08:00:00"),AT281&lt;(--"23:59:59")),G281+1-AT281,G281-AT281),G281-AT281)&gt;(--"00:20:00"),"","X"),"")</f>
        <v>X</v>
      </c>
      <c r="CB281" s="299" t="str">
        <f>IF(K281="",IF(BP281&gt;=(--"00:20:00"),"","X"),"")</f>
        <v>X</v>
      </c>
      <c r="CC281" s="299" t="str">
        <f>IF(OR(AV281="Autista non presente",AV281="Dati driver non presenti"),"X","")</f>
        <v/>
      </c>
      <c r="CD281" s="299" t="str">
        <f>IF(K281="",IF(AND(CC281="",BS281&lt;(--"00:20:00")),"X",""),"")</f>
        <v>X</v>
      </c>
      <c r="CE281" s="299" t="str">
        <f>IF(K281="",IF(BT281&gt;(--"00:15:00"),"X",""),IF(AZ281&lt;&gt;"",IF(G281-AZ281&gt;(--"00:30:00"),"X",""),""))</f>
        <v/>
      </c>
      <c r="CF281" s="299" t="str">
        <f>IF(AND(CA281="",CB281="",CC281="",CD281="",CE281=""),"X","")</f>
        <v/>
      </c>
      <c r="CG281" s="301"/>
      <c r="CH281" s="299" t="str">
        <f>IF(BT281&gt;(--"00:15:00"),"X","")</f>
        <v/>
      </c>
      <c r="CI281" s="302" t="str">
        <f>AY281</f>
        <v/>
      </c>
      <c r="CJ281" s="299" t="str">
        <f>IF(AND(CH281&lt;&gt;"",CI281&lt;&gt;"",LEFT(B281,3)="ITD"),AP281,"")</f>
        <v/>
      </c>
      <c r="CK281" s="305" t="str">
        <f>IF(CJ281&lt;&gt;"",BT281,"")</f>
        <v/>
      </c>
      <c r="CL281" s="301"/>
      <c r="CM281" s="305" t="str">
        <f>IFERROR(VLOOKUP(Q281,'Elenco Casse'!$D$4:$F$292,3,FALSE),"")</f>
        <v/>
      </c>
      <c r="CN281" s="301"/>
      <c r="CO281" s="305" t="str">
        <f>IFERROR(VLOOKUP(S281,'Elenco Casse'!$D$4:$F$292,3,FALSE),"")</f>
        <v/>
      </c>
      <c r="CP281" s="305" t="str">
        <f>IFERROR(IF(VLOOKUP($E281,Outlist!$A$5:$S$120,19,FALSE)&lt;&gt;0,"Y",""),"")</f>
        <v/>
      </c>
      <c r="CQ281" s="301"/>
      <c r="CR281" s="305" t="str">
        <f>CONCATENATE($B281,$E281,$G281)</f>
        <v/>
      </c>
      <c r="CS281" s="301"/>
      <c r="CT281" s="305" t="e">
        <f>VLOOKUP(Out_Table[[#This Row],[Destination             ORANGE (From Planning)]],Outlist!$A$5:$W$120,22,FALSE)</f>
        <v>#N/A</v>
      </c>
    </row>
    <row r="282" spans="1:98" s="20" customFormat="1" ht="15">
      <c r="A282" s="305" t="str">
        <f>$CR282</f>
        <v/>
      </c>
      <c r="B282" s="284"/>
      <c r="C282" s="290" t="str">
        <f ca="1">IFERROR(IF(LEFT(B282,3)='STAT 77'!$X$2,_xlfn.XLOOKUP(B282,'STAT 77'!C:C,'STAT 77'!B:B),_xlfn.XLOOKUP(B282,'STAT 77'!B:B,'STAT 77'!C:C)),"NON TROVATO")</f>
        <v>NON TROVATO</v>
      </c>
      <c r="D282" s="25"/>
      <c r="E282" s="290"/>
      <c r="F282" s="290" t="str">
        <f>IFERROR(VLOOKUP(E282,'Cambio O2P'!C:E,2,FALSE),"")</f>
        <v/>
      </c>
      <c r="G282" s="285"/>
      <c r="H282" s="293" t="str">
        <f ca="1">IFERROR(IF(AND('INformazioni per calcoli'!$AB$3&lt;(--"14:30"),'INformazioni per calcoli'!$AB$3&gt;(--"10:00")),"",IF($B282="","",IF($X282&lt;&gt;"","Mezzo Chiuso",IF($W282="","Non al Carico",IF($G282-'INformazioni per calcoli'!$AB$5-'INformazioni per calcoli'!$AB$3+$J282&lt;0,"LFLS",IF($K282&lt;&gt;"","Safe Parking",IF($W282&lt;&gt;"",IF($E282="MXP",$G282-'INformazioni per calcoli'!$AB$6-'INformazioni per calcoli'!$AB$3+$J282,$G282-'INformazioni per calcoli'!$AB$5-'INformazioni per calcoli'!$AB$3+$J282),"Non al carico"))))))),"")</f>
        <v/>
      </c>
      <c r="I282" s="17" t="str">
        <f ca="1">IFERROR(IF($H282&lt;&gt;"",IF($H282="Safe Parking","",IF($W282&lt;&gt;"",IF(AND($U282="X",$V282="X"),$H282-(--"00:30"),""),IF($X282&lt;&gt;"","Mezzo Chiuso","Non al carico"))),""),"")</f>
        <v/>
      </c>
      <c r="J282" s="306" t="str">
        <f>IFERROR(IF($B282&lt;&gt;"",IF(AND('INformazioni per calcoli'!$AB$3&lt;(--"15:00"),'INformazioni per calcoli'!$AB$3&gt;(--"00:00")),0,IF($G282&lt;(--"18:30"),"+1",0)),""),"")</f>
        <v/>
      </c>
      <c r="K282" s="17"/>
      <c r="L282" s="25"/>
      <c r="M282" s="25" t="str">
        <f>IFERROR(_xlfn.XLOOKUP($Q282,'Elenco Casse'!$D:$D,'Elenco Casse'!$E:$E),"")</f>
        <v/>
      </c>
      <c r="N282" s="25" t="str">
        <f>IFERROR(_xlfn.XLOOKUP($Q282,'Elenco Casse'!$D:$D,'Elenco Casse'!$F:$F),"")</f>
        <v/>
      </c>
      <c r="O282" s="286"/>
      <c r="P282" s="295" t="str">
        <f>IFERROR(_xlfn.XLOOKUP($Q282,'Elenco Casse'!$D:$D,'Elenco Casse'!$G:$G),"")</f>
        <v/>
      </c>
      <c r="Q282" s="355"/>
      <c r="R282" s="23"/>
      <c r="S282" s="25"/>
      <c r="T282" s="25"/>
      <c r="U282" s="23" t="str">
        <f>IF(ISNUMBER(SEARCH("Parcel",$T282)),"X","")</f>
        <v/>
      </c>
      <c r="V282" s="23" t="str">
        <f>IF(ISNUMBER(SEARCH("Freight",$T282)),"X","")</f>
        <v/>
      </c>
      <c r="W282" s="26"/>
      <c r="X282" s="27"/>
      <c r="Y282" s="25" t="str">
        <f>IF(Out_Table[[#This Row],[DOC Del. hr. (RTH)]]&lt;&gt;"","XXX","")</f>
        <v/>
      </c>
      <c r="Z282" s="25"/>
      <c r="AA282" s="25"/>
      <c r="AB282" s="57"/>
      <c r="AC282" s="25"/>
      <c r="AD282" s="25"/>
      <c r="AE282" s="57"/>
      <c r="AF282" s="57"/>
      <c r="AG282" s="25"/>
      <c r="AH282" s="57"/>
      <c r="AI282" s="339"/>
      <c r="AJ282" s="339"/>
      <c r="AK282" s="297" t="str">
        <f>IF(X282&lt;&gt;"",CONCATENATE(IF(AA282&lt;&gt;"",CONCATENATE(Z282," ",AA282," ",BI282),""),IF(AD282&lt;&gt;"",CONCATENATE(","," ",AC282," ",AD282," ",BJ282),""),IF(AG282&lt;&gt;"",CONCATENATE(","," ",AF282," ",AG282," ",BK282),""),IF(AJ282&lt;&gt;"",CONCATENATE(","," ","DD"," ",BL282),"")," ",IF(AI282&lt;&gt;"",CONCATENATE(" - ",AI282," Bag"),"")),"")</f>
        <v/>
      </c>
      <c r="AL282" s="287"/>
      <c r="AM282" s="287"/>
      <c r="AN282" s="287"/>
      <c r="AO282" s="287"/>
      <c r="AP282" s="370" t="str">
        <f>IFERROR(VLOOKUP($E279,Outlist!$A$5:$V$120,20,FALSE),"")</f>
        <v/>
      </c>
      <c r="AQ282" s="288" t="str">
        <f>IFERROR(IF(VLOOKUP($A282,#REF!,8,FALSE)&lt;&gt;"",VLOOKUP($A282,#REF!,8,FALSE),""),"")</f>
        <v/>
      </c>
      <c r="AS282" s="24"/>
      <c r="AT282" s="24"/>
      <c r="AU282" s="27"/>
      <c r="AV282" s="27"/>
      <c r="AX282" s="20" t="str">
        <f>IFERROR(IF(Out_Table[[#This Row],[Cancellazione linea]]="Cancellata","yes",""),"")</f>
        <v/>
      </c>
      <c r="AY282" s="72" t="str">
        <f>IF(BA282="",BZ282,IF(AND(BA282&lt;(--"23:59:59"),BA282&gt;(--"15:00:00"),G282&lt;(--"14:00:00"),G282&gt;(--"00:00:01")),"",IF(BA282&gt;G282,BZ282,"")))</f>
        <v/>
      </c>
      <c r="AZ282" s="27"/>
      <c r="BA282" s="32"/>
      <c r="BB282" s="72"/>
      <c r="BC282" s="72" t="str">
        <f>IFERROR(VLOOKUP(Out_Table[[#This Row],[Aggiornamento STATUS]],'INformazioni per calcoli'!$Y$70:$AA$76,2,FALSE),"")</f>
        <v/>
      </c>
      <c r="BD282" s="289"/>
      <c r="BE282" s="289"/>
      <c r="BF282" s="47" t="str">
        <f>LEFT($E282,3)</f>
        <v/>
      </c>
      <c r="BG282" s="298" t="str">
        <f>IF(Out_Table[[#This Row],[Ora Uscita    (GH)]]&lt;&gt;"","x","")</f>
        <v/>
      </c>
      <c r="BH282" s="299" t="e">
        <f>VLOOKUP($O282,'INformazioni per calcoli'!$Y$20:$AA$23,3,FALSE)</f>
        <v>#N/A</v>
      </c>
      <c r="BI282" s="299" t="e">
        <f>MROUND(Out_Table[[#This Row],[Mtr. Trailer]]*AB282,0.5)</f>
        <v>#N/A</v>
      </c>
      <c r="BJ282" s="299" t="e">
        <f>MROUND(Out_Table[[#This Row],[Mtr. Trailer]]*AE282,0.5)</f>
        <v>#N/A</v>
      </c>
      <c r="BK282" s="299" t="e">
        <f>MROUND(Out_Table[[#This Row],[Mtr. Trailer]]*AH282,0.5)</f>
        <v>#N/A</v>
      </c>
      <c r="BL282" s="300">
        <f>Out_Table[[#This Row],[Double Deck trailer N° bumpers]]</f>
        <v>0</v>
      </c>
      <c r="BM282" s="301"/>
      <c r="BN282" s="299">
        <f>B282</f>
        <v>0</v>
      </c>
      <c r="BO282" s="299">
        <f>E282</f>
        <v>0</v>
      </c>
      <c r="BP282" s="302">
        <f>IF(AND(G282&gt;(--"00:00:01"),G282&lt;(--"15:00:00")),IF(AND(X282&gt;(--"00:00:01"),X282&lt;(--"15:00:00")),G282-X282,G282+1-X282),G282-X282)</f>
        <v>0</v>
      </c>
      <c r="BQ282" s="303">
        <f>AE282+AF282+AH282+AJ282</f>
        <v>0</v>
      </c>
      <c r="BR282" s="304" t="str">
        <f>IF(OR(BP282&lt;=(--"00:20:00"),BQ282&gt;=100%),"OK","Not OK")</f>
        <v>OK</v>
      </c>
      <c r="BS282" s="302">
        <f>IF(AND(G282&gt;(--"00:00:01"),G282&lt;(--"15:00:00")),IF(AND(AU282&gt;(--"00:00:01"),AU282&lt;(--"15:00:00")),G282-AU282,G282+1-AU282),G282-AU282)</f>
        <v>0</v>
      </c>
      <c r="BT282" s="302">
        <f>IF(AND(AZ282&gt;(--"00:00:01"),AZ282&lt;(--"15:00:00")),IF(AND(AU282&gt;(--"00:00:01"),AU282&lt;(--"15:00:00")),AZ282-AU282,AZ282+1-AU282),AZ282-AU282)</f>
        <v>0</v>
      </c>
      <c r="BU282" s="302">
        <f>IF(AND(BA282&gt;(--"00:00:01"),BA282&lt;(--"15:00:00")),IF(AND(AZ282&gt;(--"00:00:01"),AZ282&lt;(--"15:00:00")),BA282-AZ282,BA282+1-AZ282),BA282-AZ282)</f>
        <v>0</v>
      </c>
      <c r="BV282" s="299">
        <f>AV282</f>
        <v>0</v>
      </c>
      <c r="BW282" s="301"/>
      <c r="BX282" s="299" t="str">
        <f>IF(AV282="T Status",IF(AV282&lt;&gt;T282,"X",""),"")</f>
        <v/>
      </c>
      <c r="BY282" s="301"/>
      <c r="BZ282" s="299" t="str">
        <f>IF(X282&lt;&gt;"",IF(CC282="X","Driver Delay",IF(CA282="X","Paperwork Delay",IF(CB282="X","Late freight late sort",IF(CD282="X","Chiamare Control Room",IF(CE282="X","Chiamare Control Room",IF(CF282="X","Chiamare Control Room","")))))),"")</f>
        <v/>
      </c>
      <c r="CA282" s="302" t="str">
        <f>IF(K282="",IF(IF(AND(G282&gt;(--"00:00:01"),G282&lt;(--"15:00:00")),IF(AND(AT282&gt;(--"08:00:00"),AT282&lt;(--"23:59:59")),G282+1-AT282,G282-AT282),G282-AT282)&gt;(--"00:20:00"),"","X"),"")</f>
        <v>X</v>
      </c>
      <c r="CB282" s="299" t="str">
        <f>IF(K282="",IF(BP282&gt;=(--"00:20:00"),"","X"),"")</f>
        <v>X</v>
      </c>
      <c r="CC282" s="299" t="str">
        <f>IF(OR(AV282="Autista non presente",AV282="Dati driver non presenti"),"X","")</f>
        <v/>
      </c>
      <c r="CD282" s="299" t="str">
        <f>IF(K282="",IF(AND(CC282="",BS282&lt;(--"00:20:00")),"X",""),"")</f>
        <v>X</v>
      </c>
      <c r="CE282" s="299" t="str">
        <f>IF(K282="",IF(BT282&gt;(--"00:15:00"),"X",""),IF(AZ282&lt;&gt;"",IF(G282-AZ282&gt;(--"00:30:00"),"X",""),""))</f>
        <v/>
      </c>
      <c r="CF282" s="299" t="str">
        <f>IF(AND(CA282="",CB282="",CC282="",CD282="",CE282=""),"X","")</f>
        <v/>
      </c>
      <c r="CG282" s="301"/>
      <c r="CH282" s="299" t="str">
        <f>IF(BT282&gt;(--"00:15:00"),"X","")</f>
        <v/>
      </c>
      <c r="CI282" s="302" t="str">
        <f>AY282</f>
        <v/>
      </c>
      <c r="CJ282" s="299" t="str">
        <f>IF(AND(CH282&lt;&gt;"",CI282&lt;&gt;"",LEFT(B282,3)="ITD"),AP282,"")</f>
        <v/>
      </c>
      <c r="CK282" s="305" t="str">
        <f>IF(CJ282&lt;&gt;"",BT282,"")</f>
        <v/>
      </c>
      <c r="CL282" s="301"/>
      <c r="CM282" s="305" t="str">
        <f>IFERROR(VLOOKUP(Q282,'Elenco Casse'!$D$4:$F$292,3,FALSE),"")</f>
        <v/>
      </c>
      <c r="CN282" s="301"/>
      <c r="CO282" s="305" t="str">
        <f>IFERROR(VLOOKUP(S282,'Elenco Casse'!$D$4:$F$292,3,FALSE),"")</f>
        <v/>
      </c>
      <c r="CP282" s="305" t="str">
        <f>IFERROR(IF(VLOOKUP($E282,Outlist!$A$5:$S$120,19,FALSE)&lt;&gt;0,"Y",""),"")</f>
        <v/>
      </c>
      <c r="CQ282" s="301"/>
      <c r="CR282" s="305" t="str">
        <f>CONCATENATE($B282,$E282,$G282)</f>
        <v/>
      </c>
      <c r="CS282" s="301"/>
      <c r="CT282" s="305" t="e">
        <f>VLOOKUP(Out_Table[[#This Row],[Destination             ORANGE (From Planning)]],Outlist!$A$5:$W$120,22,FALSE)</f>
        <v>#N/A</v>
      </c>
    </row>
    <row r="283" spans="1:98" s="20" customFormat="1" ht="15">
      <c r="A283" s="305" t="str">
        <f>$CR283</f>
        <v/>
      </c>
      <c r="B283" s="284"/>
      <c r="C283" s="290" t="str">
        <f ca="1">IFERROR(IF(LEFT(B283,3)='STAT 77'!$X$2,_xlfn.XLOOKUP(B283,'STAT 77'!C:C,'STAT 77'!B:B),_xlfn.XLOOKUP(B283,'STAT 77'!B:B,'STAT 77'!C:C)),"NON TROVATO")</f>
        <v>NON TROVATO</v>
      </c>
      <c r="D283" s="25"/>
      <c r="E283" s="290"/>
      <c r="F283" s="290" t="str">
        <f>IFERROR(VLOOKUP(E283,'Cambio O2P'!C:E,2,FALSE),"")</f>
        <v/>
      </c>
      <c r="G283" s="285"/>
      <c r="H283" s="293" t="str">
        <f ca="1">IFERROR(IF(AND('INformazioni per calcoli'!$AB$3&lt;(--"14:30"),'INformazioni per calcoli'!$AB$3&gt;(--"10:00")),"",IF($B283="","",IF($X283&lt;&gt;"","Mezzo Chiuso",IF($W283="","Non al Carico",IF($G283-'INformazioni per calcoli'!$AB$5-'INformazioni per calcoli'!$AB$3+$J283&lt;0,"LFLS",IF($K283&lt;&gt;"","Safe Parking",IF($W283&lt;&gt;"",IF($E283="MXP",$G283-'INformazioni per calcoli'!$AB$6-'INformazioni per calcoli'!$AB$3+$J283,$G283-'INformazioni per calcoli'!$AB$5-'INformazioni per calcoli'!$AB$3+$J283),"Non al carico"))))))),"")</f>
        <v/>
      </c>
      <c r="I283" s="17" t="str">
        <f ca="1">IFERROR(IF($H283&lt;&gt;"",IF($H283="Safe Parking","",IF($W283&lt;&gt;"",IF(AND($U283="X",$V283="X"),$H283-(--"00:30"),""),IF($X283&lt;&gt;"","Mezzo Chiuso","Non al carico"))),""),"")</f>
        <v/>
      </c>
      <c r="J283" s="306" t="str">
        <f>IFERROR(IF($B283&lt;&gt;"",IF(AND('INformazioni per calcoli'!$AB$3&lt;(--"15:00"),'INformazioni per calcoli'!$AB$3&gt;(--"00:00")),0,IF($G283&lt;(--"18:30"),"+1",0)),""),"")</f>
        <v/>
      </c>
      <c r="K283" s="17"/>
      <c r="L283" s="25"/>
      <c r="M283" s="25" t="str">
        <f>IFERROR(_xlfn.XLOOKUP($Q283,'Elenco Casse'!$D:$D,'Elenco Casse'!$E:$E),"")</f>
        <v/>
      </c>
      <c r="N283" s="25" t="str">
        <f>IFERROR(_xlfn.XLOOKUP($Q283,'Elenco Casse'!$D:$D,'Elenco Casse'!$F:$F),"")</f>
        <v/>
      </c>
      <c r="O283" s="286"/>
      <c r="P283" s="295" t="str">
        <f>IFERROR(_xlfn.XLOOKUP($Q283,'Elenco Casse'!$D:$D,'Elenco Casse'!$G:$G),"")</f>
        <v/>
      </c>
      <c r="Q283" s="355"/>
      <c r="R283" s="23"/>
      <c r="S283" s="25"/>
      <c r="T283" s="25"/>
      <c r="U283" s="23" t="str">
        <f>IF(ISNUMBER(SEARCH("Parcel",$T283)),"X","")</f>
        <v/>
      </c>
      <c r="V283" s="23" t="str">
        <f>IF(ISNUMBER(SEARCH("Freight",$T283)),"X","")</f>
        <v/>
      </c>
      <c r="W283" s="26"/>
      <c r="X283" s="27"/>
      <c r="Y283" s="25" t="str">
        <f>IF(Out_Table[[#This Row],[DOC Del. hr. (RTH)]]&lt;&gt;"","XXX","")</f>
        <v/>
      </c>
      <c r="Z283" s="25"/>
      <c r="AA283" s="25"/>
      <c r="AB283" s="57"/>
      <c r="AC283" s="25"/>
      <c r="AD283" s="25"/>
      <c r="AE283" s="57"/>
      <c r="AF283" s="57"/>
      <c r="AG283" s="25"/>
      <c r="AH283" s="57"/>
      <c r="AI283" s="339"/>
      <c r="AJ283" s="339"/>
      <c r="AK283" s="297" t="str">
        <f>IF(X283&lt;&gt;"",CONCATENATE(IF(AA283&lt;&gt;"",CONCATENATE(Z283," ",AA283," ",BI283),""),IF(AD283&lt;&gt;"",CONCATENATE(","," ",AC283," ",AD283," ",BJ283),""),IF(AG283&lt;&gt;"",CONCATENATE(","," ",AF283," ",AG283," ",BK283),""),IF(AJ283&lt;&gt;"",CONCATENATE(","," ","DD"," ",BL283),"")," ",IF(AI283&lt;&gt;"",CONCATENATE(" - ",AI283," Bag"),"")),"")</f>
        <v/>
      </c>
      <c r="AL283" s="287"/>
      <c r="AM283" s="287"/>
      <c r="AN283" s="287"/>
      <c r="AO283" s="287"/>
      <c r="AP283" s="370" t="str">
        <f>IFERROR(VLOOKUP($E280,Outlist!$A$5:$V$120,20,FALSE),"")</f>
        <v/>
      </c>
      <c r="AQ283" s="288" t="str">
        <f>IFERROR(IF(VLOOKUP($A283,#REF!,8,FALSE)&lt;&gt;"",VLOOKUP($A283,#REF!,8,FALSE),""),"")</f>
        <v/>
      </c>
      <c r="AS283" s="24"/>
      <c r="AT283" s="24"/>
      <c r="AU283" s="27"/>
      <c r="AV283" s="27"/>
      <c r="AX283" s="20" t="str">
        <f>IFERROR(IF(Out_Table[[#This Row],[Cancellazione linea]]="Cancellata","yes",""),"")</f>
        <v/>
      </c>
      <c r="AY283" s="72" t="str">
        <f>IF(BA283="",BZ283,IF(AND(BA283&lt;(--"23:59:59"),BA283&gt;(--"15:00:00"),G283&lt;(--"14:00:00"),G283&gt;(--"00:00:01")),"",IF(BA283&gt;G283,BZ283,"")))</f>
        <v/>
      </c>
      <c r="AZ283" s="27"/>
      <c r="BA283" s="32"/>
      <c r="BB283" s="72"/>
      <c r="BC283" s="72" t="str">
        <f>IFERROR(VLOOKUP(Out_Table[[#This Row],[Aggiornamento STATUS]],'INformazioni per calcoli'!$Y$70:$AA$76,2,FALSE),"")</f>
        <v/>
      </c>
      <c r="BD283" s="289"/>
      <c r="BE283" s="289"/>
      <c r="BF283" s="47" t="str">
        <f>LEFT($E283,3)</f>
        <v/>
      </c>
      <c r="BG283" s="298" t="str">
        <f>IF(Out_Table[[#This Row],[Ora Uscita    (GH)]]&lt;&gt;"","x","")</f>
        <v/>
      </c>
      <c r="BH283" s="299" t="e">
        <f>VLOOKUP($O283,'INformazioni per calcoli'!$Y$20:$AA$23,3,FALSE)</f>
        <v>#N/A</v>
      </c>
      <c r="BI283" s="299" t="e">
        <f>MROUND(Out_Table[[#This Row],[Mtr. Trailer]]*AB283,0.5)</f>
        <v>#N/A</v>
      </c>
      <c r="BJ283" s="299" t="e">
        <f>MROUND(Out_Table[[#This Row],[Mtr. Trailer]]*AE283,0.5)</f>
        <v>#N/A</v>
      </c>
      <c r="BK283" s="299" t="e">
        <f>MROUND(Out_Table[[#This Row],[Mtr. Trailer]]*AH283,0.5)</f>
        <v>#N/A</v>
      </c>
      <c r="BL283" s="300">
        <f>Out_Table[[#This Row],[Double Deck trailer N° bumpers]]</f>
        <v>0</v>
      </c>
      <c r="BM283" s="301"/>
      <c r="BN283" s="299">
        <f>B283</f>
        <v>0</v>
      </c>
      <c r="BO283" s="299">
        <f>E283</f>
        <v>0</v>
      </c>
      <c r="BP283" s="302">
        <f>IF(AND(G283&gt;(--"00:00:01"),G283&lt;(--"15:00:00")),IF(AND(X283&gt;(--"00:00:01"),X283&lt;(--"15:00:00")),G283-X283,G283+1-X283),G283-X283)</f>
        <v>0</v>
      </c>
      <c r="BQ283" s="303">
        <f>AE283+AF283+AH283+AJ283</f>
        <v>0</v>
      </c>
      <c r="BR283" s="304" t="str">
        <f>IF(OR(BP283&lt;=(--"00:20:00"),BQ283&gt;=100%),"OK","Not OK")</f>
        <v>OK</v>
      </c>
      <c r="BS283" s="302">
        <f>IF(AND(G283&gt;(--"00:00:01"),G283&lt;(--"15:00:00")),IF(AND(AU283&gt;(--"00:00:01"),AU283&lt;(--"15:00:00")),G283-AU283,G283+1-AU283),G283-AU283)</f>
        <v>0</v>
      </c>
      <c r="BT283" s="302">
        <f>IF(AND(AZ283&gt;(--"00:00:01"),AZ283&lt;(--"15:00:00")),IF(AND(AU283&gt;(--"00:00:01"),AU283&lt;(--"15:00:00")),AZ283-AU283,AZ283+1-AU283),AZ283-AU283)</f>
        <v>0</v>
      </c>
      <c r="BU283" s="302">
        <f>IF(AND(BA283&gt;(--"00:00:01"),BA283&lt;(--"15:00:00")),IF(AND(AZ283&gt;(--"00:00:01"),AZ283&lt;(--"15:00:00")),BA283-AZ283,BA283+1-AZ283),BA283-AZ283)</f>
        <v>0</v>
      </c>
      <c r="BV283" s="299">
        <f>AV283</f>
        <v>0</v>
      </c>
      <c r="BW283" s="301"/>
      <c r="BX283" s="299" t="str">
        <f>IF(AV283="T Status",IF(AV283&lt;&gt;T283,"X",""),"")</f>
        <v/>
      </c>
      <c r="BY283" s="301"/>
      <c r="BZ283" s="299" t="str">
        <f>IF(X283&lt;&gt;"",IF(CC283="X","Driver Delay",IF(CA283="X","Paperwork Delay",IF(CB283="X","Late freight late sort",IF(CD283="X","Chiamare Control Room",IF(CE283="X","Chiamare Control Room",IF(CF283="X","Chiamare Control Room","")))))),"")</f>
        <v/>
      </c>
      <c r="CA283" s="302" t="str">
        <f>IF(K283="",IF(IF(AND(G283&gt;(--"00:00:01"),G283&lt;(--"15:00:00")),IF(AND(AT283&gt;(--"08:00:00"),AT283&lt;(--"23:59:59")),G283+1-AT283,G283-AT283),G283-AT283)&gt;(--"00:20:00"),"","X"),"")</f>
        <v>X</v>
      </c>
      <c r="CB283" s="299" t="str">
        <f>IF(K283="",IF(BP283&gt;=(--"00:20:00"),"","X"),"")</f>
        <v>X</v>
      </c>
      <c r="CC283" s="299" t="str">
        <f>IF(OR(AV283="Autista non presente",AV283="Dati driver non presenti"),"X","")</f>
        <v/>
      </c>
      <c r="CD283" s="299" t="str">
        <f>IF(K283="",IF(AND(CC283="",BS283&lt;(--"00:20:00")),"X",""),"")</f>
        <v>X</v>
      </c>
      <c r="CE283" s="299" t="str">
        <f>IF(K283="",IF(BT283&gt;(--"00:15:00"),"X",""),IF(AZ283&lt;&gt;"",IF(G283-AZ283&gt;(--"00:30:00"),"X",""),""))</f>
        <v/>
      </c>
      <c r="CF283" s="299" t="str">
        <f>IF(AND(CA283="",CB283="",CC283="",CD283="",CE283=""),"X","")</f>
        <v/>
      </c>
      <c r="CG283" s="301"/>
      <c r="CH283" s="299" t="str">
        <f>IF(BT283&gt;(--"00:15:00"),"X","")</f>
        <v/>
      </c>
      <c r="CI283" s="302" t="str">
        <f>AY283</f>
        <v/>
      </c>
      <c r="CJ283" s="299" t="str">
        <f>IF(AND(CH283&lt;&gt;"",CI283&lt;&gt;"",LEFT(B283,3)="ITD"),AP283,"")</f>
        <v/>
      </c>
      <c r="CK283" s="305" t="str">
        <f>IF(CJ283&lt;&gt;"",BT283,"")</f>
        <v/>
      </c>
      <c r="CL283" s="301"/>
      <c r="CM283" s="305" t="str">
        <f>IFERROR(VLOOKUP(Q283,'Elenco Casse'!$D$4:$F$292,3,FALSE),"")</f>
        <v/>
      </c>
      <c r="CN283" s="301"/>
      <c r="CO283" s="305" t="str">
        <f>IFERROR(VLOOKUP(S283,'Elenco Casse'!$D$4:$F$292,3,FALSE),"")</f>
        <v/>
      </c>
      <c r="CP283" s="305" t="str">
        <f>IFERROR(IF(VLOOKUP($E283,Outlist!$A$5:$S$120,19,FALSE)&lt;&gt;0,"Y",""),"")</f>
        <v/>
      </c>
      <c r="CQ283" s="301"/>
      <c r="CR283" s="305" t="str">
        <f>CONCATENATE($B283,$E283,$G283)</f>
        <v/>
      </c>
      <c r="CS283" s="301"/>
      <c r="CT283" s="305" t="e">
        <f>VLOOKUP(Out_Table[[#This Row],[Destination             ORANGE (From Planning)]],Outlist!$A$5:$W$120,22,FALSE)</f>
        <v>#N/A</v>
      </c>
    </row>
    <row r="284" spans="1:98" s="20" customFormat="1" ht="15">
      <c r="A284" s="305" t="str">
        <f>$CR284</f>
        <v/>
      </c>
      <c r="B284" s="284"/>
      <c r="C284" s="290" t="str">
        <f ca="1">IFERROR(IF(LEFT(B284,3)='STAT 77'!$X$2,_xlfn.XLOOKUP(B284,'STAT 77'!C:C,'STAT 77'!B:B),_xlfn.XLOOKUP(B284,'STAT 77'!B:B,'STAT 77'!C:C)),"NON TROVATO")</f>
        <v>NON TROVATO</v>
      </c>
      <c r="D284" s="25"/>
      <c r="E284" s="290"/>
      <c r="F284" s="290" t="str">
        <f>IFERROR(VLOOKUP(E284,'Cambio O2P'!C:E,2,FALSE),"")</f>
        <v/>
      </c>
      <c r="G284" s="285"/>
      <c r="H284" s="293" t="str">
        <f ca="1">IFERROR(IF(AND('INformazioni per calcoli'!$AB$3&lt;(--"14:30"),'INformazioni per calcoli'!$AB$3&gt;(--"10:00")),"",IF($B284="","",IF($X284&lt;&gt;"","Mezzo Chiuso",IF($W284="","Non al Carico",IF($G284-'INformazioni per calcoli'!$AB$5-'INformazioni per calcoli'!$AB$3+$J284&lt;0,"LFLS",IF($K284&lt;&gt;"","Safe Parking",IF($W284&lt;&gt;"",IF($E284="MXP",$G284-'INformazioni per calcoli'!$AB$6-'INformazioni per calcoli'!$AB$3+$J284,$G284-'INformazioni per calcoli'!$AB$5-'INformazioni per calcoli'!$AB$3+$J284),"Non al carico"))))))),"")</f>
        <v/>
      </c>
      <c r="I284" s="17" t="str">
        <f ca="1">IFERROR(IF($H284&lt;&gt;"",IF($H284="Safe Parking","",IF($W284&lt;&gt;"",IF(AND($U284="X",$V284="X"),$H284-(--"00:30"),""),IF($X284&lt;&gt;"","Mezzo Chiuso","Non al carico"))),""),"")</f>
        <v/>
      </c>
      <c r="J284" s="306" t="str">
        <f>IFERROR(IF($B284&lt;&gt;"",IF(AND('INformazioni per calcoli'!$AB$3&lt;(--"15:00"),'INformazioni per calcoli'!$AB$3&gt;(--"00:00")),0,IF($G284&lt;(--"18:30"),"+1",0)),""),"")</f>
        <v/>
      </c>
      <c r="K284" s="17"/>
      <c r="L284" s="25"/>
      <c r="M284" s="25" t="str">
        <f>IFERROR(_xlfn.XLOOKUP($Q284,'Elenco Casse'!$D:$D,'Elenco Casse'!$E:$E),"")</f>
        <v/>
      </c>
      <c r="N284" s="25" t="str">
        <f>IFERROR(_xlfn.XLOOKUP($Q284,'Elenco Casse'!$D:$D,'Elenco Casse'!$F:$F),"")</f>
        <v/>
      </c>
      <c r="O284" s="286"/>
      <c r="P284" s="295" t="str">
        <f>IFERROR(_xlfn.XLOOKUP($Q284,'Elenco Casse'!$D:$D,'Elenco Casse'!$G:$G),"")</f>
        <v/>
      </c>
      <c r="Q284" s="355"/>
      <c r="R284" s="23"/>
      <c r="S284" s="25"/>
      <c r="T284" s="25"/>
      <c r="U284" s="23" t="str">
        <f>IF(ISNUMBER(SEARCH("Parcel",$T284)),"X","")</f>
        <v/>
      </c>
      <c r="V284" s="23" t="str">
        <f>IF(ISNUMBER(SEARCH("Freight",$T284)),"X","")</f>
        <v/>
      </c>
      <c r="W284" s="26"/>
      <c r="X284" s="27"/>
      <c r="Y284" s="25" t="str">
        <f>IF(Out_Table[[#This Row],[DOC Del. hr. (RTH)]]&lt;&gt;"","XXX","")</f>
        <v/>
      </c>
      <c r="Z284" s="25"/>
      <c r="AA284" s="25"/>
      <c r="AB284" s="57"/>
      <c r="AC284" s="25"/>
      <c r="AD284" s="25"/>
      <c r="AE284" s="57"/>
      <c r="AF284" s="57"/>
      <c r="AG284" s="25"/>
      <c r="AH284" s="57"/>
      <c r="AI284" s="339"/>
      <c r="AJ284" s="339"/>
      <c r="AK284" s="297" t="str">
        <f>IF(X284&lt;&gt;"",CONCATENATE(IF(AA284&lt;&gt;"",CONCATENATE(Z284," ",AA284," ",BI284),""),IF(AD284&lt;&gt;"",CONCATENATE(","," ",AC284," ",AD284," ",BJ284),""),IF(AG284&lt;&gt;"",CONCATENATE(","," ",AF284," ",AG284," ",BK284),""),IF(AJ284&lt;&gt;"",CONCATENATE(","," ","DD"," ",BL284),"")," ",IF(AI284&lt;&gt;"",CONCATENATE(" - ",AI284," Bag"),"")),"")</f>
        <v/>
      </c>
      <c r="AL284" s="287"/>
      <c r="AM284" s="287"/>
      <c r="AN284" s="287"/>
      <c r="AO284" s="287"/>
      <c r="AP284" s="370" t="str">
        <f>IFERROR(VLOOKUP($E281,Outlist!$A$5:$V$120,20,FALSE),"")</f>
        <v/>
      </c>
      <c r="AQ284" s="288" t="str">
        <f>IFERROR(IF(VLOOKUP($A284,#REF!,8,FALSE)&lt;&gt;"",VLOOKUP($A284,#REF!,8,FALSE),""),"")</f>
        <v/>
      </c>
      <c r="AS284" s="24"/>
      <c r="AT284" s="24"/>
      <c r="AU284" s="27"/>
      <c r="AV284" s="27"/>
      <c r="AX284" s="20" t="str">
        <f>IFERROR(IF(Out_Table[[#This Row],[Cancellazione linea]]="Cancellata","yes",""),"")</f>
        <v/>
      </c>
      <c r="AY284" s="72" t="str">
        <f>IF(BA284="",BZ284,IF(AND(BA284&lt;(--"23:59:59"),BA284&gt;(--"15:00:00"),G284&lt;(--"14:00:00"),G284&gt;(--"00:00:01")),"",IF(BA284&gt;G284,BZ284,"")))</f>
        <v/>
      </c>
      <c r="AZ284" s="27"/>
      <c r="BA284" s="32"/>
      <c r="BB284" s="72"/>
      <c r="BC284" s="72" t="str">
        <f>IFERROR(VLOOKUP(Out_Table[[#This Row],[Aggiornamento STATUS]],'INformazioni per calcoli'!$Y$70:$AA$76,2,FALSE),"")</f>
        <v/>
      </c>
      <c r="BD284" s="289"/>
      <c r="BE284" s="289"/>
      <c r="BF284" s="47" t="str">
        <f>LEFT($E284,3)</f>
        <v/>
      </c>
      <c r="BG284" s="298" t="str">
        <f>IF(Out_Table[[#This Row],[Ora Uscita    (GH)]]&lt;&gt;"","x","")</f>
        <v/>
      </c>
      <c r="BH284" s="299" t="e">
        <f>VLOOKUP($O284,'INformazioni per calcoli'!$Y$20:$AA$23,3,FALSE)</f>
        <v>#N/A</v>
      </c>
      <c r="BI284" s="299" t="e">
        <f>MROUND(Out_Table[[#This Row],[Mtr. Trailer]]*AB284,0.5)</f>
        <v>#N/A</v>
      </c>
      <c r="BJ284" s="299" t="e">
        <f>MROUND(Out_Table[[#This Row],[Mtr. Trailer]]*AE284,0.5)</f>
        <v>#N/A</v>
      </c>
      <c r="BK284" s="299" t="e">
        <f>MROUND(Out_Table[[#This Row],[Mtr. Trailer]]*AH284,0.5)</f>
        <v>#N/A</v>
      </c>
      <c r="BL284" s="300">
        <f>Out_Table[[#This Row],[Double Deck trailer N° bumpers]]</f>
        <v>0</v>
      </c>
      <c r="BM284" s="301"/>
      <c r="BN284" s="299">
        <f>B284</f>
        <v>0</v>
      </c>
      <c r="BO284" s="299">
        <f>E284</f>
        <v>0</v>
      </c>
      <c r="BP284" s="302">
        <f>IF(AND(G284&gt;(--"00:00:01"),G284&lt;(--"15:00:00")),IF(AND(X284&gt;(--"00:00:01"),X284&lt;(--"15:00:00")),G284-X284,G284+1-X284),G284-X284)</f>
        <v>0</v>
      </c>
      <c r="BQ284" s="303">
        <f>AE284+AF284+AH284+AJ284</f>
        <v>0</v>
      </c>
      <c r="BR284" s="304" t="str">
        <f>IF(OR(BP284&lt;=(--"00:20:00"),BQ284&gt;=100%),"OK","Not OK")</f>
        <v>OK</v>
      </c>
      <c r="BS284" s="302">
        <f>IF(AND(G284&gt;(--"00:00:01"),G284&lt;(--"15:00:00")),IF(AND(AU284&gt;(--"00:00:01"),AU284&lt;(--"15:00:00")),G284-AU284,G284+1-AU284),G284-AU284)</f>
        <v>0</v>
      </c>
      <c r="BT284" s="302">
        <f>IF(AND(AZ284&gt;(--"00:00:01"),AZ284&lt;(--"15:00:00")),IF(AND(AU284&gt;(--"00:00:01"),AU284&lt;(--"15:00:00")),AZ284-AU284,AZ284+1-AU284),AZ284-AU284)</f>
        <v>0</v>
      </c>
      <c r="BU284" s="302">
        <f>IF(AND(BA284&gt;(--"00:00:01"),BA284&lt;(--"15:00:00")),IF(AND(AZ284&gt;(--"00:00:01"),AZ284&lt;(--"15:00:00")),BA284-AZ284,BA284+1-AZ284),BA284-AZ284)</f>
        <v>0</v>
      </c>
      <c r="BV284" s="299">
        <f>AV284</f>
        <v>0</v>
      </c>
      <c r="BW284" s="301"/>
      <c r="BX284" s="299" t="str">
        <f>IF(AV284="T Status",IF(AV284&lt;&gt;T284,"X",""),"")</f>
        <v/>
      </c>
      <c r="BY284" s="301"/>
      <c r="BZ284" s="299" t="str">
        <f>IF(X284&lt;&gt;"",IF(CC284="X","Driver Delay",IF(CA284="X","Paperwork Delay",IF(CB284="X","Late freight late sort",IF(CD284="X","Chiamare Control Room",IF(CE284="X","Chiamare Control Room",IF(CF284="X","Chiamare Control Room","")))))),"")</f>
        <v/>
      </c>
      <c r="CA284" s="302" t="str">
        <f>IF(K284="",IF(IF(AND(G284&gt;(--"00:00:01"),G284&lt;(--"15:00:00")),IF(AND(AT284&gt;(--"08:00:00"),AT284&lt;(--"23:59:59")),G284+1-AT284,G284-AT284),G284-AT284)&gt;(--"00:20:00"),"","X"),"")</f>
        <v>X</v>
      </c>
      <c r="CB284" s="299" t="str">
        <f>IF(K284="",IF(BP284&gt;=(--"00:20:00"),"","X"),"")</f>
        <v>X</v>
      </c>
      <c r="CC284" s="299" t="str">
        <f>IF(OR(AV284="Autista non presente",AV284="Dati driver non presenti"),"X","")</f>
        <v/>
      </c>
      <c r="CD284" s="299" t="str">
        <f>IF(K284="",IF(AND(CC284="",BS284&lt;(--"00:20:00")),"X",""),"")</f>
        <v>X</v>
      </c>
      <c r="CE284" s="299" t="str">
        <f>IF(K284="",IF(BT284&gt;(--"00:15:00"),"X",""),IF(AZ284&lt;&gt;"",IF(G284-AZ284&gt;(--"00:30:00"),"X",""),""))</f>
        <v/>
      </c>
      <c r="CF284" s="299" t="str">
        <f>IF(AND(CA284="",CB284="",CC284="",CD284="",CE284=""),"X","")</f>
        <v/>
      </c>
      <c r="CG284" s="301"/>
      <c r="CH284" s="299" t="str">
        <f>IF(BT284&gt;(--"00:15:00"),"X","")</f>
        <v/>
      </c>
      <c r="CI284" s="302" t="str">
        <f>AY284</f>
        <v/>
      </c>
      <c r="CJ284" s="299" t="str">
        <f>IF(AND(CH284&lt;&gt;"",CI284&lt;&gt;"",LEFT(B284,3)="ITD"),AP284,"")</f>
        <v/>
      </c>
      <c r="CK284" s="305" t="str">
        <f>IF(CJ284&lt;&gt;"",BT284,"")</f>
        <v/>
      </c>
      <c r="CL284" s="301"/>
      <c r="CM284" s="305" t="str">
        <f>IFERROR(VLOOKUP(Q284,'Elenco Casse'!$D$4:$F$292,3,FALSE),"")</f>
        <v/>
      </c>
      <c r="CN284" s="301"/>
      <c r="CO284" s="305" t="str">
        <f>IFERROR(VLOOKUP(S284,'Elenco Casse'!$D$4:$F$292,3,FALSE),"")</f>
        <v/>
      </c>
      <c r="CP284" s="305" t="str">
        <f>IFERROR(IF(VLOOKUP($E284,Outlist!$A$5:$S$120,19,FALSE)&lt;&gt;0,"Y",""),"")</f>
        <v/>
      </c>
      <c r="CQ284" s="301"/>
      <c r="CR284" s="305" t="str">
        <f>CONCATENATE($B284,$E284,$G284)</f>
        <v/>
      </c>
      <c r="CS284" s="301"/>
      <c r="CT284" s="305" t="e">
        <f>VLOOKUP(Out_Table[[#This Row],[Destination             ORANGE (From Planning)]],Outlist!$A$5:$W$120,22,FALSE)</f>
        <v>#N/A</v>
      </c>
    </row>
    <row r="285" spans="1:98" s="20" customFormat="1" ht="15">
      <c r="A285" s="305" t="str">
        <f>$CR285</f>
        <v/>
      </c>
      <c r="B285" s="284"/>
      <c r="C285" s="290" t="str">
        <f ca="1">IFERROR(IF(LEFT(B285,3)='STAT 77'!$X$2,_xlfn.XLOOKUP(B285,'STAT 77'!C:C,'STAT 77'!B:B),_xlfn.XLOOKUP(B285,'STAT 77'!B:B,'STAT 77'!C:C)),"NON TROVATO")</f>
        <v>NON TROVATO</v>
      </c>
      <c r="D285" s="25"/>
      <c r="E285" s="290"/>
      <c r="F285" s="290" t="str">
        <f>IFERROR(VLOOKUP(E285,'Cambio O2P'!C:E,2,FALSE),"")</f>
        <v/>
      </c>
      <c r="G285" s="285"/>
      <c r="H285" s="293" t="str">
        <f ca="1">IFERROR(IF(AND('INformazioni per calcoli'!$AB$3&lt;(--"14:30"),'INformazioni per calcoli'!$AB$3&gt;(--"10:00")),"",IF($B285="","",IF($X285&lt;&gt;"","Mezzo Chiuso",IF($W285="","Non al Carico",IF($G285-'INformazioni per calcoli'!$AB$5-'INformazioni per calcoli'!$AB$3+$J285&lt;0,"LFLS",IF($K285&lt;&gt;"","Safe Parking",IF($W285&lt;&gt;"",IF($E285="MXP",$G285-'INformazioni per calcoli'!$AB$6-'INformazioni per calcoli'!$AB$3+$J285,$G285-'INformazioni per calcoli'!$AB$5-'INformazioni per calcoli'!$AB$3+$J285),"Non al carico"))))))),"")</f>
        <v/>
      </c>
      <c r="I285" s="17" t="str">
        <f ca="1">IFERROR(IF($H285&lt;&gt;"",IF($H285="Safe Parking","",IF($W285&lt;&gt;"",IF(AND($U285="X",$V285="X"),$H285-(--"00:30"),""),IF($X285&lt;&gt;"","Mezzo Chiuso","Non al carico"))),""),"")</f>
        <v/>
      </c>
      <c r="J285" s="306" t="str">
        <f>IFERROR(IF($B285&lt;&gt;"",IF(AND('INformazioni per calcoli'!$AB$3&lt;(--"15:00"),'INformazioni per calcoli'!$AB$3&gt;(--"00:00")),0,IF($G285&lt;(--"18:30"),"+1",0)),""),"")</f>
        <v/>
      </c>
      <c r="K285" s="17"/>
      <c r="L285" s="25"/>
      <c r="M285" s="25" t="str">
        <f>IFERROR(_xlfn.XLOOKUP($Q285,'Elenco Casse'!$D:$D,'Elenco Casse'!$E:$E),"")</f>
        <v/>
      </c>
      <c r="N285" s="25" t="str">
        <f>IFERROR(_xlfn.XLOOKUP($Q285,'Elenco Casse'!$D:$D,'Elenco Casse'!$F:$F),"")</f>
        <v/>
      </c>
      <c r="O285" s="286"/>
      <c r="P285" s="295" t="str">
        <f>IFERROR(_xlfn.XLOOKUP($Q285,'Elenco Casse'!$D:$D,'Elenco Casse'!$G:$G),"")</f>
        <v/>
      </c>
      <c r="Q285" s="355"/>
      <c r="R285" s="23"/>
      <c r="S285" s="25"/>
      <c r="T285" s="25"/>
      <c r="U285" s="23" t="str">
        <f>IF(ISNUMBER(SEARCH("Parcel",$T285)),"X","")</f>
        <v/>
      </c>
      <c r="V285" s="23" t="str">
        <f>IF(ISNUMBER(SEARCH("Freight",$T285)),"X","")</f>
        <v/>
      </c>
      <c r="W285" s="26"/>
      <c r="X285" s="27"/>
      <c r="Y285" s="25" t="str">
        <f>IF(Out_Table[[#This Row],[DOC Del. hr. (RTH)]]&lt;&gt;"","XXX","")</f>
        <v/>
      </c>
      <c r="Z285" s="25"/>
      <c r="AA285" s="25"/>
      <c r="AB285" s="57"/>
      <c r="AC285" s="25"/>
      <c r="AD285" s="25"/>
      <c r="AE285" s="57"/>
      <c r="AF285" s="57"/>
      <c r="AG285" s="25"/>
      <c r="AH285" s="57"/>
      <c r="AI285" s="339"/>
      <c r="AJ285" s="339"/>
      <c r="AK285" s="297" t="str">
        <f>IF(X285&lt;&gt;"",CONCATENATE(IF(AA285&lt;&gt;"",CONCATENATE(Z285," ",AA285," ",BI285),""),IF(AD285&lt;&gt;"",CONCATENATE(","," ",AC285," ",AD285," ",BJ285),""),IF(AG285&lt;&gt;"",CONCATENATE(","," ",AF285," ",AG285," ",BK285),""),IF(AJ285&lt;&gt;"",CONCATENATE(","," ","DD"," ",BL285),"")," ",IF(AI285&lt;&gt;"",CONCATENATE(" - ",AI285," Bag"),"")),"")</f>
        <v/>
      </c>
      <c r="AL285" s="287"/>
      <c r="AM285" s="287"/>
      <c r="AN285" s="287"/>
      <c r="AO285" s="287"/>
      <c r="AP285" s="370" t="str">
        <f>IFERROR(VLOOKUP($E282,Outlist!$A$5:$V$120,20,FALSE),"")</f>
        <v/>
      </c>
      <c r="AQ285" s="288" t="str">
        <f>IFERROR(IF(VLOOKUP($A285,#REF!,8,FALSE)&lt;&gt;"",VLOOKUP($A285,#REF!,8,FALSE),""),"")</f>
        <v/>
      </c>
      <c r="AS285" s="24"/>
      <c r="AT285" s="24"/>
      <c r="AU285" s="27"/>
      <c r="AV285" s="27"/>
      <c r="AX285" s="20" t="str">
        <f>IFERROR(IF(Out_Table[[#This Row],[Cancellazione linea]]="Cancellata","yes",""),"")</f>
        <v/>
      </c>
      <c r="AY285" s="72" t="str">
        <f>IF(BA285="",BZ285,IF(AND(BA285&lt;(--"23:59:59"),BA285&gt;(--"15:00:00"),G285&lt;(--"14:00:00"),G285&gt;(--"00:00:01")),"",IF(BA285&gt;G285,BZ285,"")))</f>
        <v/>
      </c>
      <c r="AZ285" s="27"/>
      <c r="BA285" s="32"/>
      <c r="BB285" s="72"/>
      <c r="BC285" s="72" t="str">
        <f>IFERROR(VLOOKUP(Out_Table[[#This Row],[Aggiornamento STATUS]],'INformazioni per calcoli'!$Y$70:$AA$76,2,FALSE),"")</f>
        <v/>
      </c>
      <c r="BD285" s="289"/>
      <c r="BE285" s="289"/>
      <c r="BF285" s="47" t="str">
        <f>LEFT($E285,3)</f>
        <v/>
      </c>
      <c r="BG285" s="298" t="str">
        <f>IF(Out_Table[[#This Row],[Ora Uscita    (GH)]]&lt;&gt;"","x","")</f>
        <v/>
      </c>
      <c r="BH285" s="299" t="e">
        <f>VLOOKUP($O285,'INformazioni per calcoli'!$Y$20:$AA$23,3,FALSE)</f>
        <v>#N/A</v>
      </c>
      <c r="BI285" s="299" t="e">
        <f>MROUND(Out_Table[[#This Row],[Mtr. Trailer]]*AB285,0.5)</f>
        <v>#N/A</v>
      </c>
      <c r="BJ285" s="299" t="e">
        <f>MROUND(Out_Table[[#This Row],[Mtr. Trailer]]*AE285,0.5)</f>
        <v>#N/A</v>
      </c>
      <c r="BK285" s="299" t="e">
        <f>MROUND(Out_Table[[#This Row],[Mtr. Trailer]]*AH285,0.5)</f>
        <v>#N/A</v>
      </c>
      <c r="BL285" s="300">
        <f>Out_Table[[#This Row],[Double Deck trailer N° bumpers]]</f>
        <v>0</v>
      </c>
      <c r="BM285" s="301"/>
      <c r="BN285" s="299">
        <f>B285</f>
        <v>0</v>
      </c>
      <c r="BO285" s="299">
        <f>E285</f>
        <v>0</v>
      </c>
      <c r="BP285" s="302">
        <f>IF(AND(G285&gt;(--"00:00:01"),G285&lt;(--"15:00:00")),IF(AND(X285&gt;(--"00:00:01"),X285&lt;(--"15:00:00")),G285-X285,G285+1-X285),G285-X285)</f>
        <v>0</v>
      </c>
      <c r="BQ285" s="303">
        <f>AE285+AF285+AH285+AJ285</f>
        <v>0</v>
      </c>
      <c r="BR285" s="304" t="str">
        <f>IF(OR(BP285&lt;=(--"00:20:00"),BQ285&gt;=100%),"OK","Not OK")</f>
        <v>OK</v>
      </c>
      <c r="BS285" s="302">
        <f>IF(AND(G285&gt;(--"00:00:01"),G285&lt;(--"15:00:00")),IF(AND(AU285&gt;(--"00:00:01"),AU285&lt;(--"15:00:00")),G285-AU285,G285+1-AU285),G285-AU285)</f>
        <v>0</v>
      </c>
      <c r="BT285" s="302">
        <f>IF(AND(AZ285&gt;(--"00:00:01"),AZ285&lt;(--"15:00:00")),IF(AND(AU285&gt;(--"00:00:01"),AU285&lt;(--"15:00:00")),AZ285-AU285,AZ285+1-AU285),AZ285-AU285)</f>
        <v>0</v>
      </c>
      <c r="BU285" s="302">
        <f>IF(AND(BA285&gt;(--"00:00:01"),BA285&lt;(--"15:00:00")),IF(AND(AZ285&gt;(--"00:00:01"),AZ285&lt;(--"15:00:00")),BA285-AZ285,BA285+1-AZ285),BA285-AZ285)</f>
        <v>0</v>
      </c>
      <c r="BV285" s="299">
        <f>AV285</f>
        <v>0</v>
      </c>
      <c r="BW285" s="301"/>
      <c r="BX285" s="299" t="str">
        <f>IF(AV285="T Status",IF(AV285&lt;&gt;T285,"X",""),"")</f>
        <v/>
      </c>
      <c r="BY285" s="301"/>
      <c r="BZ285" s="299" t="str">
        <f>IF(X285&lt;&gt;"",IF(CC285="X","Driver Delay",IF(CA285="X","Paperwork Delay",IF(CB285="X","Late freight late sort",IF(CD285="X","Chiamare Control Room",IF(CE285="X","Chiamare Control Room",IF(CF285="X","Chiamare Control Room","")))))),"")</f>
        <v/>
      </c>
      <c r="CA285" s="302" t="str">
        <f>IF(K285="",IF(IF(AND(G285&gt;(--"00:00:01"),G285&lt;(--"15:00:00")),IF(AND(AT285&gt;(--"08:00:00"),AT285&lt;(--"23:59:59")),G285+1-AT285,G285-AT285),G285-AT285)&gt;(--"00:20:00"),"","X"),"")</f>
        <v>X</v>
      </c>
      <c r="CB285" s="299" t="str">
        <f>IF(K285="",IF(BP285&gt;=(--"00:20:00"),"","X"),"")</f>
        <v>X</v>
      </c>
      <c r="CC285" s="299" t="str">
        <f>IF(OR(AV285="Autista non presente",AV285="Dati driver non presenti"),"X","")</f>
        <v/>
      </c>
      <c r="CD285" s="299" t="str">
        <f>IF(K285="",IF(AND(CC285="",BS285&lt;(--"00:20:00")),"X",""),"")</f>
        <v>X</v>
      </c>
      <c r="CE285" s="299" t="str">
        <f>IF(K285="",IF(BT285&gt;(--"00:15:00"),"X",""),IF(AZ285&lt;&gt;"",IF(G285-AZ285&gt;(--"00:30:00"),"X",""),""))</f>
        <v/>
      </c>
      <c r="CF285" s="299" t="str">
        <f>IF(AND(CA285="",CB285="",CC285="",CD285="",CE285=""),"X","")</f>
        <v/>
      </c>
      <c r="CG285" s="301"/>
      <c r="CH285" s="299" t="str">
        <f>IF(BT285&gt;(--"00:15:00"),"X","")</f>
        <v/>
      </c>
      <c r="CI285" s="302" t="str">
        <f>AY285</f>
        <v/>
      </c>
      <c r="CJ285" s="299" t="str">
        <f>IF(AND(CH285&lt;&gt;"",CI285&lt;&gt;"",LEFT(B285,3)="ITD"),AP285,"")</f>
        <v/>
      </c>
      <c r="CK285" s="305" t="str">
        <f>IF(CJ285&lt;&gt;"",BT285,"")</f>
        <v/>
      </c>
      <c r="CL285" s="301"/>
      <c r="CM285" s="305" t="str">
        <f>IFERROR(VLOOKUP(Q285,'Elenco Casse'!$D$4:$F$292,3,FALSE),"")</f>
        <v/>
      </c>
      <c r="CN285" s="301"/>
      <c r="CO285" s="305" t="str">
        <f>IFERROR(VLOOKUP(S285,'Elenco Casse'!$D$4:$F$292,3,FALSE),"")</f>
        <v/>
      </c>
      <c r="CP285" s="305" t="str">
        <f>IFERROR(IF(VLOOKUP($E285,Outlist!$A$5:$S$120,19,FALSE)&lt;&gt;0,"Y",""),"")</f>
        <v/>
      </c>
      <c r="CQ285" s="301"/>
      <c r="CR285" s="305" t="str">
        <f>CONCATENATE($B285,$E285,$G285)</f>
        <v/>
      </c>
      <c r="CS285" s="301"/>
      <c r="CT285" s="305" t="e">
        <f>VLOOKUP(Out_Table[[#This Row],[Destination             ORANGE (From Planning)]],Outlist!$A$5:$W$120,22,FALSE)</f>
        <v>#N/A</v>
      </c>
    </row>
    <row r="286" spans="1:98" s="20" customFormat="1" ht="15">
      <c r="A286" s="305" t="str">
        <f>$CR286</f>
        <v/>
      </c>
      <c r="B286" s="284"/>
      <c r="C286" s="290" t="str">
        <f ca="1">IFERROR(IF(LEFT(B286,3)='STAT 77'!$X$2,_xlfn.XLOOKUP(B286,'STAT 77'!C:C,'STAT 77'!B:B),_xlfn.XLOOKUP(B286,'STAT 77'!B:B,'STAT 77'!C:C)),"NON TROVATO")</f>
        <v>NON TROVATO</v>
      </c>
      <c r="D286" s="25"/>
      <c r="E286" s="290"/>
      <c r="F286" s="290" t="str">
        <f>IFERROR(VLOOKUP(E286,'Cambio O2P'!C:E,2,FALSE),"")</f>
        <v/>
      </c>
      <c r="G286" s="285"/>
      <c r="H286" s="293" t="str">
        <f ca="1">IFERROR(IF(AND('INformazioni per calcoli'!$AB$3&lt;(--"14:30"),'INformazioni per calcoli'!$AB$3&gt;(--"10:00")),"",IF($B286="","",IF($X286&lt;&gt;"","Mezzo Chiuso",IF($W286="","Non al Carico",IF($G286-'INformazioni per calcoli'!$AB$5-'INformazioni per calcoli'!$AB$3+$J286&lt;0,"LFLS",IF($K286&lt;&gt;"","Safe Parking",IF($W286&lt;&gt;"",IF($E286="MXP",$G286-'INformazioni per calcoli'!$AB$6-'INformazioni per calcoli'!$AB$3+$J286,$G286-'INformazioni per calcoli'!$AB$5-'INformazioni per calcoli'!$AB$3+$J286),"Non al carico"))))))),"")</f>
        <v/>
      </c>
      <c r="I286" s="17" t="str">
        <f ca="1">IFERROR(IF($H286&lt;&gt;"",IF($H286="Safe Parking","",IF($W286&lt;&gt;"",IF(AND($U286="X",$V286="X"),$H286-(--"00:30"),""),IF($X286&lt;&gt;"","Mezzo Chiuso","Non al carico"))),""),"")</f>
        <v/>
      </c>
      <c r="J286" s="306" t="str">
        <f>IFERROR(IF($B286&lt;&gt;"",IF(AND('INformazioni per calcoli'!$AB$3&lt;(--"15:00"),'INformazioni per calcoli'!$AB$3&gt;(--"00:00")),0,IF($G286&lt;(--"18:30"),"+1",0)),""),"")</f>
        <v/>
      </c>
      <c r="K286" s="17"/>
      <c r="L286" s="25"/>
      <c r="M286" s="25" t="str">
        <f>IFERROR(_xlfn.XLOOKUP($Q286,'Elenco Casse'!$D:$D,'Elenco Casse'!$E:$E),"")</f>
        <v/>
      </c>
      <c r="N286" s="25" t="str">
        <f>IFERROR(_xlfn.XLOOKUP($Q286,'Elenco Casse'!$D:$D,'Elenco Casse'!$F:$F),"")</f>
        <v/>
      </c>
      <c r="O286" s="286"/>
      <c r="P286" s="295" t="str">
        <f>IFERROR(_xlfn.XLOOKUP($Q286,'Elenco Casse'!$D:$D,'Elenco Casse'!$G:$G),"")</f>
        <v/>
      </c>
      <c r="Q286" s="355"/>
      <c r="R286" s="23"/>
      <c r="S286" s="25"/>
      <c r="T286" s="25"/>
      <c r="U286" s="23" t="str">
        <f>IF(ISNUMBER(SEARCH("Parcel",$T286)),"X","")</f>
        <v/>
      </c>
      <c r="V286" s="23" t="str">
        <f>IF(ISNUMBER(SEARCH("Freight",$T286)),"X","")</f>
        <v/>
      </c>
      <c r="W286" s="26"/>
      <c r="X286" s="27"/>
      <c r="Y286" s="25" t="str">
        <f>IF(Out_Table[[#This Row],[DOC Del. hr. (RTH)]]&lt;&gt;"","XXX","")</f>
        <v/>
      </c>
      <c r="Z286" s="25"/>
      <c r="AA286" s="25"/>
      <c r="AB286" s="57"/>
      <c r="AC286" s="25"/>
      <c r="AD286" s="25"/>
      <c r="AE286" s="57"/>
      <c r="AF286" s="57"/>
      <c r="AG286" s="25"/>
      <c r="AH286" s="57"/>
      <c r="AI286" s="339"/>
      <c r="AJ286" s="339"/>
      <c r="AK286" s="297" t="str">
        <f>IF(X286&lt;&gt;"",CONCATENATE(IF(AA286&lt;&gt;"",CONCATENATE(Z286," ",AA286," ",BI286),""),IF(AD286&lt;&gt;"",CONCATENATE(","," ",AC286," ",AD286," ",BJ286),""),IF(AG286&lt;&gt;"",CONCATENATE(","," ",AF286," ",AG286," ",BK286),""),IF(AJ286&lt;&gt;"",CONCATENATE(","," ","DD"," ",BL286),"")," ",IF(AI286&lt;&gt;"",CONCATENATE(" - ",AI286," Bag"),"")),"")</f>
        <v/>
      </c>
      <c r="AL286" s="287"/>
      <c r="AM286" s="287"/>
      <c r="AN286" s="287"/>
      <c r="AO286" s="287"/>
      <c r="AP286" s="370" t="str">
        <f>IFERROR(VLOOKUP($E283,Outlist!$A$5:$V$120,20,FALSE),"")</f>
        <v/>
      </c>
      <c r="AQ286" s="288" t="str">
        <f>IFERROR(IF(VLOOKUP($A286,#REF!,8,FALSE)&lt;&gt;"",VLOOKUP($A286,#REF!,8,FALSE),""),"")</f>
        <v/>
      </c>
      <c r="AS286" s="24"/>
      <c r="AT286" s="24"/>
      <c r="AU286" s="27"/>
      <c r="AV286" s="27"/>
      <c r="AX286" s="20" t="str">
        <f>IFERROR(IF(Out_Table[[#This Row],[Cancellazione linea]]="Cancellata","yes",""),"")</f>
        <v/>
      </c>
      <c r="AY286" s="72" t="str">
        <f>IF(BA286="",BZ286,IF(AND(BA286&lt;(--"23:59:59"),BA286&gt;(--"15:00:00"),G286&lt;(--"14:00:00"),G286&gt;(--"00:00:01")),"",IF(BA286&gt;G286,BZ286,"")))</f>
        <v/>
      </c>
      <c r="AZ286" s="27"/>
      <c r="BA286" s="32"/>
      <c r="BB286" s="72"/>
      <c r="BC286" s="72" t="str">
        <f>IFERROR(VLOOKUP(Out_Table[[#This Row],[Aggiornamento STATUS]],'INformazioni per calcoli'!$Y$70:$AA$76,2,FALSE),"")</f>
        <v/>
      </c>
      <c r="BD286" s="289"/>
      <c r="BE286" s="289"/>
      <c r="BF286" s="47" t="str">
        <f>LEFT($E286,3)</f>
        <v/>
      </c>
      <c r="BG286" s="298" t="str">
        <f>IF(Out_Table[[#This Row],[Ora Uscita    (GH)]]&lt;&gt;"","x","")</f>
        <v/>
      </c>
      <c r="BH286" s="299" t="e">
        <f>VLOOKUP($O286,'INformazioni per calcoli'!$Y$20:$AA$23,3,FALSE)</f>
        <v>#N/A</v>
      </c>
      <c r="BI286" s="299" t="e">
        <f>MROUND(Out_Table[[#This Row],[Mtr. Trailer]]*AB286,0.5)</f>
        <v>#N/A</v>
      </c>
      <c r="BJ286" s="299" t="e">
        <f>MROUND(Out_Table[[#This Row],[Mtr. Trailer]]*AE286,0.5)</f>
        <v>#N/A</v>
      </c>
      <c r="BK286" s="299" t="e">
        <f>MROUND(Out_Table[[#This Row],[Mtr. Trailer]]*AH286,0.5)</f>
        <v>#N/A</v>
      </c>
      <c r="BL286" s="300">
        <f>Out_Table[[#This Row],[Double Deck trailer N° bumpers]]</f>
        <v>0</v>
      </c>
      <c r="BM286" s="301"/>
      <c r="BN286" s="299">
        <f>B286</f>
        <v>0</v>
      </c>
      <c r="BO286" s="299">
        <f>E286</f>
        <v>0</v>
      </c>
      <c r="BP286" s="302">
        <f>IF(AND(G286&gt;(--"00:00:01"),G286&lt;(--"15:00:00")),IF(AND(X286&gt;(--"00:00:01"),X286&lt;(--"15:00:00")),G286-X286,G286+1-X286),G286-X286)</f>
        <v>0</v>
      </c>
      <c r="BQ286" s="303">
        <f>AE286+AF286+AH286+AJ286</f>
        <v>0</v>
      </c>
      <c r="BR286" s="304" t="str">
        <f>IF(OR(BP286&lt;=(--"00:20:00"),BQ286&gt;=100%),"OK","Not OK")</f>
        <v>OK</v>
      </c>
      <c r="BS286" s="302">
        <f>IF(AND(G286&gt;(--"00:00:01"),G286&lt;(--"15:00:00")),IF(AND(AU286&gt;(--"00:00:01"),AU286&lt;(--"15:00:00")),G286-AU286,G286+1-AU286),G286-AU286)</f>
        <v>0</v>
      </c>
      <c r="BT286" s="302">
        <f>IF(AND(AZ286&gt;(--"00:00:01"),AZ286&lt;(--"15:00:00")),IF(AND(AU286&gt;(--"00:00:01"),AU286&lt;(--"15:00:00")),AZ286-AU286,AZ286+1-AU286),AZ286-AU286)</f>
        <v>0</v>
      </c>
      <c r="BU286" s="302">
        <f>IF(AND(BA286&gt;(--"00:00:01"),BA286&lt;(--"15:00:00")),IF(AND(AZ286&gt;(--"00:00:01"),AZ286&lt;(--"15:00:00")),BA286-AZ286,BA286+1-AZ286),BA286-AZ286)</f>
        <v>0</v>
      </c>
      <c r="BV286" s="299">
        <f>AV286</f>
        <v>0</v>
      </c>
      <c r="BW286" s="301"/>
      <c r="BX286" s="299" t="str">
        <f>IF(AV286="T Status",IF(AV286&lt;&gt;T286,"X",""),"")</f>
        <v/>
      </c>
      <c r="BY286" s="301"/>
      <c r="BZ286" s="299" t="str">
        <f>IF(X286&lt;&gt;"",IF(CC286="X","Driver Delay",IF(CA286="X","Paperwork Delay",IF(CB286="X","Late freight late sort",IF(CD286="X","Chiamare Control Room",IF(CE286="X","Chiamare Control Room",IF(CF286="X","Chiamare Control Room","")))))),"")</f>
        <v/>
      </c>
      <c r="CA286" s="302" t="str">
        <f>IF(K286="",IF(IF(AND(G286&gt;(--"00:00:01"),G286&lt;(--"15:00:00")),IF(AND(AT286&gt;(--"08:00:00"),AT286&lt;(--"23:59:59")),G286+1-AT286,G286-AT286),G286-AT286)&gt;(--"00:20:00"),"","X"),"")</f>
        <v>X</v>
      </c>
      <c r="CB286" s="299" t="str">
        <f>IF(K286="",IF(BP286&gt;=(--"00:20:00"),"","X"),"")</f>
        <v>X</v>
      </c>
      <c r="CC286" s="299" t="str">
        <f>IF(OR(AV286="Autista non presente",AV286="Dati driver non presenti"),"X","")</f>
        <v/>
      </c>
      <c r="CD286" s="299" t="str">
        <f>IF(K286="",IF(AND(CC286="",BS286&lt;(--"00:20:00")),"X",""),"")</f>
        <v>X</v>
      </c>
      <c r="CE286" s="299" t="str">
        <f>IF(K286="",IF(BT286&gt;(--"00:15:00"),"X",""),IF(AZ286&lt;&gt;"",IF(G286-AZ286&gt;(--"00:30:00"),"X",""),""))</f>
        <v/>
      </c>
      <c r="CF286" s="299" t="str">
        <f>IF(AND(CA286="",CB286="",CC286="",CD286="",CE286=""),"X","")</f>
        <v/>
      </c>
      <c r="CG286" s="301"/>
      <c r="CH286" s="299" t="str">
        <f>IF(BT286&gt;(--"00:15:00"),"X","")</f>
        <v/>
      </c>
      <c r="CI286" s="302" t="str">
        <f>AY286</f>
        <v/>
      </c>
      <c r="CJ286" s="299" t="str">
        <f>IF(AND(CH286&lt;&gt;"",CI286&lt;&gt;"",LEFT(B286,3)="ITD"),AP286,"")</f>
        <v/>
      </c>
      <c r="CK286" s="305" t="str">
        <f>IF(CJ286&lt;&gt;"",BT286,"")</f>
        <v/>
      </c>
      <c r="CL286" s="301"/>
      <c r="CM286" s="305" t="str">
        <f>IFERROR(VLOOKUP(Q286,'Elenco Casse'!$D$4:$F$292,3,FALSE),"")</f>
        <v/>
      </c>
      <c r="CN286" s="301"/>
      <c r="CO286" s="305" t="str">
        <f>IFERROR(VLOOKUP(S286,'Elenco Casse'!$D$4:$F$292,3,FALSE),"")</f>
        <v/>
      </c>
      <c r="CP286" s="305" t="str">
        <f>IFERROR(IF(VLOOKUP($E286,Outlist!$A$5:$S$120,19,FALSE)&lt;&gt;0,"Y",""),"")</f>
        <v/>
      </c>
      <c r="CQ286" s="301"/>
      <c r="CR286" s="305" t="str">
        <f>CONCATENATE($B286,$E286,$G286)</f>
        <v/>
      </c>
      <c r="CS286" s="301"/>
      <c r="CT286" s="305" t="e">
        <f>VLOOKUP(Out_Table[[#This Row],[Destination             ORANGE (From Planning)]],Outlist!$A$5:$W$120,22,FALSE)</f>
        <v>#N/A</v>
      </c>
    </row>
    <row r="287" spans="1:98" s="20" customFormat="1" ht="15">
      <c r="A287" s="305" t="str">
        <f>$CR287</f>
        <v/>
      </c>
      <c r="B287" s="284"/>
      <c r="C287" s="290" t="str">
        <f ca="1">IFERROR(IF(LEFT(B287,3)='STAT 77'!$X$2,_xlfn.XLOOKUP(B287,'STAT 77'!C:C,'STAT 77'!B:B),_xlfn.XLOOKUP(B287,'STAT 77'!B:B,'STAT 77'!C:C)),"NON TROVATO")</f>
        <v>NON TROVATO</v>
      </c>
      <c r="D287" s="25"/>
      <c r="E287" s="290"/>
      <c r="F287" s="290" t="str">
        <f>IFERROR(VLOOKUP(E287,'Cambio O2P'!C:E,2,FALSE),"")</f>
        <v/>
      </c>
      <c r="G287" s="285"/>
      <c r="H287" s="293" t="str">
        <f ca="1">IFERROR(IF(AND('INformazioni per calcoli'!$AB$3&lt;(--"14:30"),'INformazioni per calcoli'!$AB$3&gt;(--"10:00")),"",IF($B287="","",IF($X287&lt;&gt;"","Mezzo Chiuso",IF($W287="","Non al Carico",IF($G287-'INformazioni per calcoli'!$AB$5-'INformazioni per calcoli'!$AB$3+$J287&lt;0,"LFLS",IF($K287&lt;&gt;"","Safe Parking",IF($W287&lt;&gt;"",IF($E287="MXP",$G287-'INformazioni per calcoli'!$AB$6-'INformazioni per calcoli'!$AB$3+$J287,$G287-'INformazioni per calcoli'!$AB$5-'INformazioni per calcoli'!$AB$3+$J287),"Non al carico"))))))),"")</f>
        <v/>
      </c>
      <c r="I287" s="17" t="str">
        <f ca="1">IFERROR(IF($H287&lt;&gt;"",IF($H287="Safe Parking","",IF($W287&lt;&gt;"",IF(AND($U287="X",$V287="X"),$H287-(--"00:30"),""),IF($X287&lt;&gt;"","Mezzo Chiuso","Non al carico"))),""),"")</f>
        <v/>
      </c>
      <c r="J287" s="306" t="str">
        <f>IFERROR(IF($B287&lt;&gt;"",IF(AND('INformazioni per calcoli'!$AB$3&lt;(--"15:00"),'INformazioni per calcoli'!$AB$3&gt;(--"00:00")),0,IF($G287&lt;(--"18:30"),"+1",0)),""),"")</f>
        <v/>
      </c>
      <c r="K287" s="17"/>
      <c r="L287" s="25"/>
      <c r="M287" s="25" t="str">
        <f>IFERROR(_xlfn.XLOOKUP($Q287,'Elenco Casse'!$D:$D,'Elenco Casse'!$E:$E),"")</f>
        <v/>
      </c>
      <c r="N287" s="25" t="str">
        <f>IFERROR(_xlfn.XLOOKUP($Q287,'Elenco Casse'!$D:$D,'Elenco Casse'!$F:$F),"")</f>
        <v/>
      </c>
      <c r="O287" s="286"/>
      <c r="P287" s="295" t="str">
        <f>IFERROR(_xlfn.XLOOKUP($Q287,'Elenco Casse'!$D:$D,'Elenco Casse'!$G:$G),"")</f>
        <v/>
      </c>
      <c r="Q287" s="355"/>
      <c r="R287" s="23"/>
      <c r="S287" s="25"/>
      <c r="T287" s="25"/>
      <c r="U287" s="23" t="str">
        <f>IF(ISNUMBER(SEARCH("Parcel",$T287)),"X","")</f>
        <v/>
      </c>
      <c r="V287" s="23" t="str">
        <f>IF(ISNUMBER(SEARCH("Freight",$T287)),"X","")</f>
        <v/>
      </c>
      <c r="W287" s="26"/>
      <c r="X287" s="27"/>
      <c r="Y287" s="25" t="str">
        <f>IF(Out_Table[[#This Row],[DOC Del. hr. (RTH)]]&lt;&gt;"","XXX","")</f>
        <v/>
      </c>
      <c r="Z287" s="25"/>
      <c r="AA287" s="25"/>
      <c r="AB287" s="57"/>
      <c r="AC287" s="25"/>
      <c r="AD287" s="25"/>
      <c r="AE287" s="57"/>
      <c r="AF287" s="57"/>
      <c r="AG287" s="25"/>
      <c r="AH287" s="57"/>
      <c r="AI287" s="339"/>
      <c r="AJ287" s="339"/>
      <c r="AK287" s="297" t="str">
        <f>IF(X287&lt;&gt;"",CONCATENATE(IF(AA287&lt;&gt;"",CONCATENATE(Z287," ",AA287," ",BI287),""),IF(AD287&lt;&gt;"",CONCATENATE(","," ",AC287," ",AD287," ",BJ287),""),IF(AG287&lt;&gt;"",CONCATENATE(","," ",AF287," ",AG287," ",BK287),""),IF(AJ287&lt;&gt;"",CONCATENATE(","," ","DD"," ",BL287),"")," ",IF(AI287&lt;&gt;"",CONCATENATE(" - ",AI287," Bag"),"")),"")</f>
        <v/>
      </c>
      <c r="AL287" s="287"/>
      <c r="AM287" s="287"/>
      <c r="AN287" s="287"/>
      <c r="AO287" s="287"/>
      <c r="AP287" s="370" t="str">
        <f>IFERROR(VLOOKUP($E284,Outlist!$A$5:$V$120,20,FALSE),"")</f>
        <v/>
      </c>
      <c r="AQ287" s="288" t="str">
        <f>IFERROR(IF(VLOOKUP($A287,#REF!,8,FALSE)&lt;&gt;"",VLOOKUP($A287,#REF!,8,FALSE),""),"")</f>
        <v/>
      </c>
      <c r="AS287" s="24"/>
      <c r="AT287" s="24"/>
      <c r="AU287" s="27"/>
      <c r="AV287" s="27"/>
      <c r="AX287" s="20" t="str">
        <f>IFERROR(IF(Out_Table[[#This Row],[Cancellazione linea]]="Cancellata","yes",""),"")</f>
        <v/>
      </c>
      <c r="AY287" s="72" t="str">
        <f>IF(BA287="",BZ287,IF(AND(BA287&lt;(--"23:59:59"),BA287&gt;(--"15:00:00"),G287&lt;(--"14:00:00"),G287&gt;(--"00:00:01")),"",IF(BA287&gt;G287,BZ287,"")))</f>
        <v/>
      </c>
      <c r="AZ287" s="27"/>
      <c r="BA287" s="32"/>
      <c r="BB287" s="72"/>
      <c r="BC287" s="72" t="str">
        <f>IFERROR(VLOOKUP(Out_Table[[#This Row],[Aggiornamento STATUS]],'INformazioni per calcoli'!$Y$70:$AA$76,2,FALSE),"")</f>
        <v/>
      </c>
      <c r="BD287" s="289"/>
      <c r="BE287" s="289"/>
      <c r="BF287" s="47" t="str">
        <f>LEFT($E287,3)</f>
        <v/>
      </c>
      <c r="BG287" s="298" t="str">
        <f>IF(Out_Table[[#This Row],[Ora Uscita    (GH)]]&lt;&gt;"","x","")</f>
        <v/>
      </c>
      <c r="BH287" s="299" t="e">
        <f>VLOOKUP($O287,'INformazioni per calcoli'!$Y$20:$AA$23,3,FALSE)</f>
        <v>#N/A</v>
      </c>
      <c r="BI287" s="299" t="e">
        <f>MROUND(Out_Table[[#This Row],[Mtr. Trailer]]*AB287,0.5)</f>
        <v>#N/A</v>
      </c>
      <c r="BJ287" s="299" t="e">
        <f>MROUND(Out_Table[[#This Row],[Mtr. Trailer]]*AE287,0.5)</f>
        <v>#N/A</v>
      </c>
      <c r="BK287" s="299" t="e">
        <f>MROUND(Out_Table[[#This Row],[Mtr. Trailer]]*AH287,0.5)</f>
        <v>#N/A</v>
      </c>
      <c r="BL287" s="300">
        <f>Out_Table[[#This Row],[Double Deck trailer N° bumpers]]</f>
        <v>0</v>
      </c>
      <c r="BM287" s="301"/>
      <c r="BN287" s="299">
        <f>B287</f>
        <v>0</v>
      </c>
      <c r="BO287" s="299">
        <f>E287</f>
        <v>0</v>
      </c>
      <c r="BP287" s="302">
        <f>IF(AND(G287&gt;(--"00:00:01"),G287&lt;(--"15:00:00")),IF(AND(X287&gt;(--"00:00:01"),X287&lt;(--"15:00:00")),G287-X287,G287+1-X287),G287-X287)</f>
        <v>0</v>
      </c>
      <c r="BQ287" s="303">
        <f>AE287+AF287+AH287+AJ287</f>
        <v>0</v>
      </c>
      <c r="BR287" s="304" t="str">
        <f>IF(OR(BP287&lt;=(--"00:20:00"),BQ287&gt;=100%),"OK","Not OK")</f>
        <v>OK</v>
      </c>
      <c r="BS287" s="302">
        <f>IF(AND(G287&gt;(--"00:00:01"),G287&lt;(--"15:00:00")),IF(AND(AU287&gt;(--"00:00:01"),AU287&lt;(--"15:00:00")),G287-AU287,G287+1-AU287),G287-AU287)</f>
        <v>0</v>
      </c>
      <c r="BT287" s="302">
        <f>IF(AND(AZ287&gt;(--"00:00:01"),AZ287&lt;(--"15:00:00")),IF(AND(AU287&gt;(--"00:00:01"),AU287&lt;(--"15:00:00")),AZ287-AU287,AZ287+1-AU287),AZ287-AU287)</f>
        <v>0</v>
      </c>
      <c r="BU287" s="302">
        <f>IF(AND(BA287&gt;(--"00:00:01"),BA287&lt;(--"15:00:00")),IF(AND(AZ287&gt;(--"00:00:01"),AZ287&lt;(--"15:00:00")),BA287-AZ287,BA287+1-AZ287),BA287-AZ287)</f>
        <v>0</v>
      </c>
      <c r="BV287" s="299">
        <f>AV287</f>
        <v>0</v>
      </c>
      <c r="BW287" s="301"/>
      <c r="BX287" s="299" t="str">
        <f>IF(AV287="T Status",IF(AV287&lt;&gt;T287,"X",""),"")</f>
        <v/>
      </c>
      <c r="BY287" s="301"/>
      <c r="BZ287" s="299" t="str">
        <f>IF(X287&lt;&gt;"",IF(CC287="X","Driver Delay",IF(CA287="X","Paperwork Delay",IF(CB287="X","Late freight late sort",IF(CD287="X","Chiamare Control Room",IF(CE287="X","Chiamare Control Room",IF(CF287="X","Chiamare Control Room","")))))),"")</f>
        <v/>
      </c>
      <c r="CA287" s="302" t="str">
        <f>IF(K287="",IF(IF(AND(G287&gt;(--"00:00:01"),G287&lt;(--"15:00:00")),IF(AND(AT287&gt;(--"08:00:00"),AT287&lt;(--"23:59:59")),G287+1-AT287,G287-AT287),G287-AT287)&gt;(--"00:20:00"),"","X"),"")</f>
        <v>X</v>
      </c>
      <c r="CB287" s="299" t="str">
        <f>IF(K287="",IF(BP287&gt;=(--"00:20:00"),"","X"),"")</f>
        <v>X</v>
      </c>
      <c r="CC287" s="299" t="str">
        <f>IF(OR(AV287="Autista non presente",AV287="Dati driver non presenti"),"X","")</f>
        <v/>
      </c>
      <c r="CD287" s="299" t="str">
        <f>IF(K287="",IF(AND(CC287="",BS287&lt;(--"00:20:00")),"X",""),"")</f>
        <v>X</v>
      </c>
      <c r="CE287" s="299" t="str">
        <f>IF(K287="",IF(BT287&gt;(--"00:15:00"),"X",""),IF(AZ287&lt;&gt;"",IF(G287-AZ287&gt;(--"00:30:00"),"X",""),""))</f>
        <v/>
      </c>
      <c r="CF287" s="299" t="str">
        <f>IF(AND(CA287="",CB287="",CC287="",CD287="",CE287=""),"X","")</f>
        <v/>
      </c>
      <c r="CG287" s="301"/>
      <c r="CH287" s="299" t="str">
        <f>IF(BT287&gt;(--"00:15:00"),"X","")</f>
        <v/>
      </c>
      <c r="CI287" s="302" t="str">
        <f>AY287</f>
        <v/>
      </c>
      <c r="CJ287" s="299" t="str">
        <f>IF(AND(CH287&lt;&gt;"",CI287&lt;&gt;"",LEFT(B287,3)="ITD"),AP287,"")</f>
        <v/>
      </c>
      <c r="CK287" s="305" t="str">
        <f>IF(CJ287&lt;&gt;"",BT287,"")</f>
        <v/>
      </c>
      <c r="CL287" s="301"/>
      <c r="CM287" s="305" t="str">
        <f>IFERROR(VLOOKUP(Q287,'Elenco Casse'!$D$4:$F$292,3,FALSE),"")</f>
        <v/>
      </c>
      <c r="CN287" s="301"/>
      <c r="CO287" s="305" t="str">
        <f>IFERROR(VLOOKUP(S287,'Elenco Casse'!$D$4:$F$292,3,FALSE),"")</f>
        <v/>
      </c>
      <c r="CP287" s="305" t="str">
        <f>IFERROR(IF(VLOOKUP($E287,Outlist!$A$5:$S$120,19,FALSE)&lt;&gt;0,"Y",""),"")</f>
        <v/>
      </c>
      <c r="CQ287" s="301"/>
      <c r="CR287" s="305" t="str">
        <f>CONCATENATE($B287,$E287,$G287)</f>
        <v/>
      </c>
      <c r="CS287" s="301"/>
      <c r="CT287" s="305" t="e">
        <f>VLOOKUP(Out_Table[[#This Row],[Destination             ORANGE (From Planning)]],Outlist!$A$5:$W$120,22,FALSE)</f>
        <v>#N/A</v>
      </c>
    </row>
    <row r="288" spans="1:98" s="20" customFormat="1" ht="15">
      <c r="A288" s="305" t="str">
        <f>$CR288</f>
        <v/>
      </c>
      <c r="B288" s="284"/>
      <c r="C288" s="290" t="str">
        <f ca="1">IFERROR(IF(LEFT(B288,3)='STAT 77'!$X$2,_xlfn.XLOOKUP(B288,'STAT 77'!C:C,'STAT 77'!B:B),_xlfn.XLOOKUP(B288,'STAT 77'!B:B,'STAT 77'!C:C)),"NON TROVATO")</f>
        <v>NON TROVATO</v>
      </c>
      <c r="D288" s="25"/>
      <c r="E288" s="290"/>
      <c r="F288" s="290" t="str">
        <f>IFERROR(VLOOKUP(E288,'Cambio O2P'!C:E,2,FALSE),"")</f>
        <v/>
      </c>
      <c r="G288" s="285"/>
      <c r="H288" s="293" t="str">
        <f ca="1">IFERROR(IF(AND('INformazioni per calcoli'!$AB$3&lt;(--"14:30"),'INformazioni per calcoli'!$AB$3&gt;(--"10:00")),"",IF($B288="","",IF($X288&lt;&gt;"","Mezzo Chiuso",IF($W288="","Non al Carico",IF($G288-'INformazioni per calcoli'!$AB$5-'INformazioni per calcoli'!$AB$3+$J288&lt;0,"LFLS",IF($K288&lt;&gt;"","Safe Parking",IF($W288&lt;&gt;"",IF($E288="MXP",$G288-'INformazioni per calcoli'!$AB$6-'INformazioni per calcoli'!$AB$3+$J288,$G288-'INformazioni per calcoli'!$AB$5-'INformazioni per calcoli'!$AB$3+$J288),"Non al carico"))))))),"")</f>
        <v/>
      </c>
      <c r="I288" s="17" t="str">
        <f ca="1">IFERROR(IF($H288&lt;&gt;"",IF($H288="Safe Parking","",IF($W288&lt;&gt;"",IF(AND($U288="X",$V288="X"),$H288-(--"00:30"),""),IF($X288&lt;&gt;"","Mezzo Chiuso","Non al carico"))),""),"")</f>
        <v/>
      </c>
      <c r="J288" s="306" t="str">
        <f>IFERROR(IF($B288&lt;&gt;"",IF(AND('INformazioni per calcoli'!$AB$3&lt;(--"15:00"),'INformazioni per calcoli'!$AB$3&gt;(--"00:00")),0,IF($G288&lt;(--"18:30"),"+1",0)),""),"")</f>
        <v/>
      </c>
      <c r="K288" s="27"/>
      <c r="L288" s="25"/>
      <c r="M288" s="25" t="str">
        <f>IFERROR(_xlfn.XLOOKUP($Q288,'Elenco Casse'!$D:$D,'Elenco Casse'!$E:$E),"")</f>
        <v/>
      </c>
      <c r="N288" s="25" t="str">
        <f>IFERROR(_xlfn.XLOOKUP($Q288,'Elenco Casse'!$D:$D,'Elenco Casse'!$F:$F),"")</f>
        <v/>
      </c>
      <c r="O288" s="286"/>
      <c r="P288" s="295" t="str">
        <f>IFERROR(_xlfn.XLOOKUP($Q288,'Elenco Casse'!$D:$D,'Elenco Casse'!$G:$G),"")</f>
        <v/>
      </c>
      <c r="Q288" s="355"/>
      <c r="R288" s="23"/>
      <c r="S288" s="25"/>
      <c r="T288" s="25"/>
      <c r="U288" s="23" t="str">
        <f>IF(ISNUMBER(SEARCH("Parcel",$T288)),"X","")</f>
        <v/>
      </c>
      <c r="V288" s="23" t="str">
        <f>IF(ISNUMBER(SEARCH("Freight",$T288)),"X","")</f>
        <v/>
      </c>
      <c r="W288" s="26"/>
      <c r="X288" s="27"/>
      <c r="Y288" s="25" t="str">
        <f>IF(Out_Table[[#This Row],[DOC Del. hr. (RTH)]]&lt;&gt;"","XXX","")</f>
        <v/>
      </c>
      <c r="Z288" s="25"/>
      <c r="AA288" s="25"/>
      <c r="AB288" s="57"/>
      <c r="AC288" s="25"/>
      <c r="AD288" s="25"/>
      <c r="AE288" s="57"/>
      <c r="AF288" s="57"/>
      <c r="AG288" s="25"/>
      <c r="AH288" s="57"/>
      <c r="AI288" s="339"/>
      <c r="AJ288" s="339"/>
      <c r="AK288" s="297" t="str">
        <f>IF(X288&lt;&gt;"",CONCATENATE(IF(AA288&lt;&gt;"",CONCATENATE(Z288," ",AA288," ",BI288),""),IF(AD288&lt;&gt;"",CONCATENATE(","," ",AC288," ",AD288," ",BJ288),""),IF(AG288&lt;&gt;"",CONCATENATE(","," ",AF288," ",AG288," ",BK288),""),IF(AJ288&lt;&gt;"",CONCATENATE(","," ","DD"," ",BL288),"")," ",IF(AI288&lt;&gt;"",CONCATENATE(" - ",AI288," Bag"),"")),"")</f>
        <v/>
      </c>
      <c r="AL288" s="287"/>
      <c r="AM288" s="287"/>
      <c r="AN288" s="287"/>
      <c r="AO288" s="287"/>
      <c r="AP288" s="370" t="str">
        <f>IFERROR(VLOOKUP($E285,Outlist!$A$5:$V$120,20,FALSE),"")</f>
        <v/>
      </c>
      <c r="AQ288" s="288" t="str">
        <f>IFERROR(IF(VLOOKUP($A288,#REF!,8,FALSE)&lt;&gt;"",VLOOKUP($A288,#REF!,8,FALSE),""),"")</f>
        <v/>
      </c>
      <c r="AS288" s="24"/>
      <c r="AT288" s="24"/>
      <c r="AU288" s="27"/>
      <c r="AV288" s="27"/>
      <c r="AX288" s="20" t="str">
        <f>IFERROR(IF(Out_Table[[#This Row],[Cancellazione linea]]="Cancellata","yes",""),"")</f>
        <v/>
      </c>
      <c r="AY288" s="72" t="str">
        <f>IF(BA288="",BZ288,IF(AND(BA288&lt;(--"23:59:59"),BA288&gt;(--"15:00:00"),G288&lt;(--"14:00:00"),G288&gt;(--"00:00:01")),"",IF(BA288&gt;G288,BZ288,"")))</f>
        <v/>
      </c>
      <c r="AZ288" s="27"/>
      <c r="BA288" s="32"/>
      <c r="BB288" s="72"/>
      <c r="BC288" s="72" t="str">
        <f>IFERROR(VLOOKUP(Out_Table[[#This Row],[Aggiornamento STATUS]],'INformazioni per calcoli'!$Y$70:$AA$76,2,FALSE),"")</f>
        <v/>
      </c>
      <c r="BD288" s="289"/>
      <c r="BE288" s="289"/>
      <c r="BF288" s="47" t="str">
        <f>LEFT($E288,3)</f>
        <v/>
      </c>
      <c r="BG288" s="298" t="str">
        <f>IF(Out_Table[[#This Row],[Ora Uscita    (GH)]]&lt;&gt;"","x","")</f>
        <v/>
      </c>
      <c r="BH288" s="299" t="e">
        <f>VLOOKUP($O288,'INformazioni per calcoli'!$Y$20:$AA$23,3,FALSE)</f>
        <v>#N/A</v>
      </c>
      <c r="BI288" s="299" t="e">
        <f>MROUND(Out_Table[[#This Row],[Mtr. Trailer]]*AB288,0.5)</f>
        <v>#N/A</v>
      </c>
      <c r="BJ288" s="299" t="e">
        <f>MROUND(Out_Table[[#This Row],[Mtr. Trailer]]*AE288,0.5)</f>
        <v>#N/A</v>
      </c>
      <c r="BK288" s="299" t="e">
        <f>MROUND(Out_Table[[#This Row],[Mtr. Trailer]]*AH288,0.5)</f>
        <v>#N/A</v>
      </c>
      <c r="BL288" s="300">
        <f>Out_Table[[#This Row],[Double Deck trailer N° bumpers]]</f>
        <v>0</v>
      </c>
      <c r="BM288" s="301"/>
      <c r="BN288" s="299">
        <f>B288</f>
        <v>0</v>
      </c>
      <c r="BO288" s="299">
        <f>E288</f>
        <v>0</v>
      </c>
      <c r="BP288" s="302">
        <f>IF(AND(G288&gt;(--"00:00:01"),G288&lt;(--"15:00:00")),IF(AND(X288&gt;(--"00:00:01"),X288&lt;(--"15:00:00")),G288-X288,G288+1-X288),G288-X288)</f>
        <v>0</v>
      </c>
      <c r="BQ288" s="303">
        <f>AE288+AF288+AH288+AJ288</f>
        <v>0</v>
      </c>
      <c r="BR288" s="304" t="str">
        <f>IF(OR(BP288&lt;=(--"00:20:00"),BQ288&gt;=100%),"OK","Not OK")</f>
        <v>OK</v>
      </c>
      <c r="BS288" s="302">
        <f>IF(AND(G288&gt;(--"00:00:01"),G288&lt;(--"15:00:00")),IF(AND(AU288&gt;(--"00:00:01"),AU288&lt;(--"15:00:00")),G288-AU288,G288+1-AU288),G288-AU288)</f>
        <v>0</v>
      </c>
      <c r="BT288" s="302">
        <f>IF(AND(AZ288&gt;(--"00:00:01"),AZ288&lt;(--"15:00:00")),IF(AND(AU288&gt;(--"00:00:01"),AU288&lt;(--"15:00:00")),AZ288-AU288,AZ288+1-AU288),AZ288-AU288)</f>
        <v>0</v>
      </c>
      <c r="BU288" s="302">
        <f>IF(AND(BA288&gt;(--"00:00:01"),BA288&lt;(--"15:00:00")),IF(AND(AZ288&gt;(--"00:00:01"),AZ288&lt;(--"15:00:00")),BA288-AZ288,BA288+1-AZ288),BA288-AZ288)</f>
        <v>0</v>
      </c>
      <c r="BV288" s="299">
        <f>AV288</f>
        <v>0</v>
      </c>
      <c r="BW288" s="301"/>
      <c r="BX288" s="299" t="str">
        <f>IF(AV288="T Status",IF(AV288&lt;&gt;T288,"X",""),"")</f>
        <v/>
      </c>
      <c r="BY288" s="301"/>
      <c r="BZ288" s="299" t="str">
        <f>IF(X288&lt;&gt;"",IF(CC288="X","Driver Delay",IF(CA288="X","Paperwork Delay",IF(CB288="X","Late freight late sort",IF(CD288="X","Chiamare Control Room",IF(CE288="X","Chiamare Control Room",IF(CF288="X","Chiamare Control Room","")))))),"")</f>
        <v/>
      </c>
      <c r="CA288" s="302" t="str">
        <f>IF(K288="",IF(IF(AND(G288&gt;(--"00:00:01"),G288&lt;(--"15:00:00")),IF(AND(AT288&gt;(--"08:00:00"),AT288&lt;(--"23:59:59")),G288+1-AT288,G288-AT288),G288-AT288)&gt;(--"00:20:00"),"","X"),"")</f>
        <v>X</v>
      </c>
      <c r="CB288" s="299" t="str">
        <f>IF(K288="",IF(BP288&gt;=(--"00:20:00"),"","X"),"")</f>
        <v>X</v>
      </c>
      <c r="CC288" s="299" t="str">
        <f>IF(OR(AV288="Autista non presente",AV288="Dati driver non presenti"),"X","")</f>
        <v/>
      </c>
      <c r="CD288" s="299" t="str">
        <f>IF(K288="",IF(AND(CC288="",BS288&lt;(--"00:20:00")),"X",""),"")</f>
        <v>X</v>
      </c>
      <c r="CE288" s="299" t="str">
        <f>IF(K288="",IF(BT288&gt;(--"00:15:00"),"X",""),IF(AZ288&lt;&gt;"",IF(G288-AZ288&gt;(--"00:30:00"),"X",""),""))</f>
        <v/>
      </c>
      <c r="CF288" s="299" t="str">
        <f>IF(AND(CA288="",CB288="",CC288="",CD288="",CE288=""),"X","")</f>
        <v/>
      </c>
      <c r="CG288" s="301"/>
      <c r="CH288" s="299" t="str">
        <f>IF(BT288&gt;(--"00:15:00"),"X","")</f>
        <v/>
      </c>
      <c r="CI288" s="302" t="str">
        <f>AY288</f>
        <v/>
      </c>
      <c r="CJ288" s="299" t="str">
        <f>IF(AND(CH288&lt;&gt;"",CI288&lt;&gt;"",LEFT(B288,3)="ITD"),AP288,"")</f>
        <v/>
      </c>
      <c r="CK288" s="305" t="str">
        <f>IF(CJ288&lt;&gt;"",BT288,"")</f>
        <v/>
      </c>
      <c r="CL288" s="301"/>
      <c r="CM288" s="305" t="str">
        <f>IFERROR(VLOOKUP(Q288,'Elenco Casse'!$D$4:$F$292,3,FALSE),"")</f>
        <v/>
      </c>
      <c r="CN288" s="301"/>
      <c r="CO288" s="305" t="str">
        <f>IFERROR(VLOOKUP(S288,'Elenco Casse'!$D$4:$F$292,3,FALSE),"")</f>
        <v/>
      </c>
      <c r="CP288" s="305" t="str">
        <f>IFERROR(IF(VLOOKUP($E288,Outlist!$A$5:$S$120,19,FALSE)&lt;&gt;0,"Y",""),"")</f>
        <v/>
      </c>
      <c r="CQ288" s="301"/>
      <c r="CR288" s="305" t="str">
        <f>CONCATENATE($B288,$E288,$G288)</f>
        <v/>
      </c>
      <c r="CS288" s="301"/>
      <c r="CT288" s="305" t="e">
        <f>VLOOKUP(Out_Table[[#This Row],[Destination             ORANGE (From Planning)]],Outlist!$A$5:$W$120,22,FALSE)</f>
        <v>#N/A</v>
      </c>
    </row>
    <row r="289" spans="1:98" s="20" customFormat="1" ht="15">
      <c r="A289" s="305" t="str">
        <f>$CR289</f>
        <v/>
      </c>
      <c r="B289" s="284"/>
      <c r="C289" s="290" t="str">
        <f ca="1">IFERROR(IF(LEFT(B289,3)='STAT 77'!$X$2,_xlfn.XLOOKUP(B289,'STAT 77'!C:C,'STAT 77'!B:B),_xlfn.XLOOKUP(B289,'STAT 77'!B:B,'STAT 77'!C:C)),"NON TROVATO")</f>
        <v>NON TROVATO</v>
      </c>
      <c r="D289" s="25"/>
      <c r="E289" s="290"/>
      <c r="F289" s="290" t="str">
        <f>IFERROR(VLOOKUP(E289,'Cambio O2P'!C:E,2,FALSE),"")</f>
        <v/>
      </c>
      <c r="G289" s="285"/>
      <c r="H289" s="293" t="str">
        <f ca="1">IFERROR(IF(AND('INformazioni per calcoli'!$AB$3&lt;(--"14:30"),'INformazioni per calcoli'!$AB$3&gt;(--"10:00")),"",IF($B289="","",IF($X289&lt;&gt;"","Mezzo Chiuso",IF($W289="","Non al Carico",IF($G289-'INformazioni per calcoli'!$AB$5-'INformazioni per calcoli'!$AB$3+$J289&lt;0,"LFLS",IF($K289&lt;&gt;"","Safe Parking",IF($W289&lt;&gt;"",IF($E289="MXP",$G289-'INformazioni per calcoli'!$AB$6-'INformazioni per calcoli'!$AB$3+$J289,$G289-'INformazioni per calcoli'!$AB$5-'INformazioni per calcoli'!$AB$3+$J289),"Non al carico"))))))),"")</f>
        <v/>
      </c>
      <c r="I289" s="17" t="str">
        <f ca="1">IFERROR(IF($H289&lt;&gt;"",IF($H289="Safe Parking","",IF($W289&lt;&gt;"",IF(AND($U289="X",$V289="X"),$H289-(--"00:30"),""),IF($X289&lt;&gt;"","Mezzo Chiuso","Non al carico"))),""),"")</f>
        <v/>
      </c>
      <c r="J289" s="306" t="str">
        <f>IFERROR(IF($B289&lt;&gt;"",IF(AND('INformazioni per calcoli'!$AB$3&lt;(--"15:00"),'INformazioni per calcoli'!$AB$3&gt;(--"00:00")),0,IF($G289&lt;(--"18:30"),"+1",0)),""),"")</f>
        <v/>
      </c>
      <c r="K289" s="17"/>
      <c r="L289" s="25"/>
      <c r="M289" s="25" t="str">
        <f>IFERROR(_xlfn.XLOOKUP($Q289,'Elenco Casse'!$D:$D,'Elenco Casse'!$E:$E),"")</f>
        <v/>
      </c>
      <c r="N289" s="25" t="str">
        <f>IFERROR(_xlfn.XLOOKUP($Q289,'Elenco Casse'!$D:$D,'Elenco Casse'!$F:$F),"")</f>
        <v/>
      </c>
      <c r="O289" s="286"/>
      <c r="P289" s="295" t="str">
        <f>IFERROR(_xlfn.XLOOKUP($Q289,'Elenco Casse'!$D:$D,'Elenco Casse'!$G:$G),"")</f>
        <v/>
      </c>
      <c r="Q289" s="355"/>
      <c r="R289" s="23"/>
      <c r="S289" s="25"/>
      <c r="T289" s="25"/>
      <c r="U289" s="23" t="str">
        <f>IF(ISNUMBER(SEARCH("Parcel",$T289)),"X","")</f>
        <v/>
      </c>
      <c r="V289" s="23" t="str">
        <f>IF(ISNUMBER(SEARCH("Freight",$T289)),"X","")</f>
        <v/>
      </c>
      <c r="W289" s="26"/>
      <c r="X289" s="27"/>
      <c r="Y289" s="25" t="str">
        <f>IF(Out_Table[[#This Row],[DOC Del. hr. (RTH)]]&lt;&gt;"","XXX","")</f>
        <v/>
      </c>
      <c r="Z289" s="25"/>
      <c r="AA289" s="25"/>
      <c r="AB289" s="57"/>
      <c r="AC289" s="25"/>
      <c r="AD289" s="25"/>
      <c r="AE289" s="57"/>
      <c r="AF289" s="57"/>
      <c r="AG289" s="25"/>
      <c r="AH289" s="57"/>
      <c r="AI289" s="339"/>
      <c r="AJ289" s="339"/>
      <c r="AK289" s="297" t="str">
        <f>IF(X289&lt;&gt;"",CONCATENATE(IF(AA289&lt;&gt;"",CONCATENATE(Z289," ",AA289," ",BI289),""),IF(AD289&lt;&gt;"",CONCATENATE(","," ",AC289," ",AD289," ",BJ289),""),IF(AG289&lt;&gt;"",CONCATENATE(","," ",AF289," ",AG289," ",BK289),""),IF(AJ289&lt;&gt;"",CONCATENATE(","," ","DD"," ",BL289),"")," ",IF(AI289&lt;&gt;"",CONCATENATE(" - ",AI289," Bag"),"")),"")</f>
        <v/>
      </c>
      <c r="AL289" s="287"/>
      <c r="AM289" s="287"/>
      <c r="AN289" s="287"/>
      <c r="AO289" s="287"/>
      <c r="AP289" s="370" t="str">
        <f>IFERROR(VLOOKUP($E286,Outlist!$A$5:$V$120,20,FALSE),"")</f>
        <v/>
      </c>
      <c r="AQ289" s="288" t="str">
        <f>IFERROR(IF(VLOOKUP($A289,#REF!,8,FALSE)&lt;&gt;"",VLOOKUP($A289,#REF!,8,FALSE),""),"")</f>
        <v/>
      </c>
      <c r="AS289" s="24"/>
      <c r="AT289" s="24"/>
      <c r="AU289" s="27"/>
      <c r="AV289" s="27"/>
      <c r="AX289" s="20" t="str">
        <f>IFERROR(IF(Out_Table[[#This Row],[Cancellazione linea]]="Cancellata","yes",""),"")</f>
        <v/>
      </c>
      <c r="AY289" s="72" t="str">
        <f>IF(BA289="",BZ289,IF(AND(BA289&lt;(--"23:59:59"),BA289&gt;(--"15:00:00"),G289&lt;(--"14:00:00"),G289&gt;(--"00:00:01")),"",IF(BA289&gt;G289,BZ289,"")))</f>
        <v/>
      </c>
      <c r="AZ289" s="27"/>
      <c r="BA289" s="32"/>
      <c r="BB289" s="72"/>
      <c r="BC289" s="72" t="str">
        <f>IFERROR(VLOOKUP(Out_Table[[#This Row],[Aggiornamento STATUS]],'INformazioni per calcoli'!$Y$70:$AA$76,2,FALSE),"")</f>
        <v/>
      </c>
      <c r="BD289" s="289"/>
      <c r="BE289" s="289"/>
      <c r="BF289" s="47" t="str">
        <f>LEFT($E289,3)</f>
        <v/>
      </c>
      <c r="BG289" s="298" t="str">
        <f>IF(Out_Table[[#This Row],[Ora Uscita    (GH)]]&lt;&gt;"","x","")</f>
        <v/>
      </c>
      <c r="BH289" s="299" t="e">
        <f>VLOOKUP($O289,'INformazioni per calcoli'!$Y$20:$AA$23,3,FALSE)</f>
        <v>#N/A</v>
      </c>
      <c r="BI289" s="299" t="e">
        <f>MROUND(Out_Table[[#This Row],[Mtr. Trailer]]*AB289,0.5)</f>
        <v>#N/A</v>
      </c>
      <c r="BJ289" s="299" t="e">
        <f>MROUND(Out_Table[[#This Row],[Mtr. Trailer]]*AE289,0.5)</f>
        <v>#N/A</v>
      </c>
      <c r="BK289" s="299" t="e">
        <f>MROUND(Out_Table[[#This Row],[Mtr. Trailer]]*AH289,0.5)</f>
        <v>#N/A</v>
      </c>
      <c r="BL289" s="300">
        <f>Out_Table[[#This Row],[Double Deck trailer N° bumpers]]</f>
        <v>0</v>
      </c>
      <c r="BM289" s="301"/>
      <c r="BN289" s="299">
        <f>B289</f>
        <v>0</v>
      </c>
      <c r="BO289" s="299">
        <f>E289</f>
        <v>0</v>
      </c>
      <c r="BP289" s="302">
        <f>IF(AND(G289&gt;(--"00:00:01"),G289&lt;(--"15:00:00")),IF(AND(X289&gt;(--"00:00:01"),X289&lt;(--"15:00:00")),G289-X289,G289+1-X289),G289-X289)</f>
        <v>0</v>
      </c>
      <c r="BQ289" s="303">
        <f>AE289+AF289+AH289+AJ289</f>
        <v>0</v>
      </c>
      <c r="BR289" s="304" t="str">
        <f>IF(OR(BP289&lt;=(--"00:20:00"),BQ289&gt;=100%),"OK","Not OK")</f>
        <v>OK</v>
      </c>
      <c r="BS289" s="302">
        <f>IF(AND(G289&gt;(--"00:00:01"),G289&lt;(--"15:00:00")),IF(AND(AU289&gt;(--"00:00:01"),AU289&lt;(--"15:00:00")),G289-AU289,G289+1-AU289),G289-AU289)</f>
        <v>0</v>
      </c>
      <c r="BT289" s="302">
        <f>IF(AND(AZ289&gt;(--"00:00:01"),AZ289&lt;(--"15:00:00")),IF(AND(AU289&gt;(--"00:00:01"),AU289&lt;(--"15:00:00")),AZ289-AU289,AZ289+1-AU289),AZ289-AU289)</f>
        <v>0</v>
      </c>
      <c r="BU289" s="302">
        <f>IF(AND(BA289&gt;(--"00:00:01"),BA289&lt;(--"15:00:00")),IF(AND(AZ289&gt;(--"00:00:01"),AZ289&lt;(--"15:00:00")),BA289-AZ289,BA289+1-AZ289),BA289-AZ289)</f>
        <v>0</v>
      </c>
      <c r="BV289" s="299">
        <f>AV289</f>
        <v>0</v>
      </c>
      <c r="BW289" s="301"/>
      <c r="BX289" s="299" t="str">
        <f>IF(AV289="T Status",IF(AV289&lt;&gt;T289,"X",""),"")</f>
        <v/>
      </c>
      <c r="BY289" s="301"/>
      <c r="BZ289" s="299" t="str">
        <f>IF(X289&lt;&gt;"",IF(CC289="X","Driver Delay",IF(CA289="X","Paperwork Delay",IF(CB289="X","Late freight late sort",IF(CD289="X","Chiamare Control Room",IF(CE289="X","Chiamare Control Room",IF(CF289="X","Chiamare Control Room","")))))),"")</f>
        <v/>
      </c>
      <c r="CA289" s="302" t="str">
        <f>IF(K289="",IF(IF(AND(G289&gt;(--"00:00:01"),G289&lt;(--"15:00:00")),IF(AND(AT289&gt;(--"08:00:00"),AT289&lt;(--"23:59:59")),G289+1-AT289,G289-AT289),G289-AT289)&gt;(--"00:20:00"),"","X"),"")</f>
        <v>X</v>
      </c>
      <c r="CB289" s="299" t="str">
        <f>IF(K289="",IF(BP289&gt;=(--"00:20:00"),"","X"),"")</f>
        <v>X</v>
      </c>
      <c r="CC289" s="299" t="str">
        <f>IF(OR(AV289="Autista non presente",AV289="Dati driver non presenti"),"X","")</f>
        <v/>
      </c>
      <c r="CD289" s="299" t="str">
        <f>IF(K289="",IF(AND(CC289="",BS289&lt;(--"00:20:00")),"X",""),"")</f>
        <v>X</v>
      </c>
      <c r="CE289" s="299" t="str">
        <f>IF(K289="",IF(BT289&gt;(--"00:15:00"),"X",""),IF(AZ289&lt;&gt;"",IF(G289-AZ289&gt;(--"00:30:00"),"X",""),""))</f>
        <v/>
      </c>
      <c r="CF289" s="299" t="str">
        <f>IF(AND(CA289="",CB289="",CC289="",CD289="",CE289=""),"X","")</f>
        <v/>
      </c>
      <c r="CG289" s="301"/>
      <c r="CH289" s="299" t="str">
        <f>IF(BT289&gt;(--"00:15:00"),"X","")</f>
        <v/>
      </c>
      <c r="CI289" s="302" t="str">
        <f>AY289</f>
        <v/>
      </c>
      <c r="CJ289" s="299" t="str">
        <f>IF(AND(CH289&lt;&gt;"",CI289&lt;&gt;"",LEFT(B289,3)="ITD"),AP289,"")</f>
        <v/>
      </c>
      <c r="CK289" s="305" t="str">
        <f>IF(CJ289&lt;&gt;"",BT289,"")</f>
        <v/>
      </c>
      <c r="CL289" s="301"/>
      <c r="CM289" s="305" t="str">
        <f>IFERROR(VLOOKUP(Q289,'Elenco Casse'!$D$4:$F$292,3,FALSE),"")</f>
        <v/>
      </c>
      <c r="CN289" s="301"/>
      <c r="CO289" s="305" t="str">
        <f>IFERROR(VLOOKUP(S289,'Elenco Casse'!$D$4:$F$292,3,FALSE),"")</f>
        <v/>
      </c>
      <c r="CP289" s="305" t="str">
        <f>IFERROR(IF(VLOOKUP($E289,Outlist!$A$5:$S$120,19,FALSE)&lt;&gt;0,"Y",""),"")</f>
        <v/>
      </c>
      <c r="CQ289" s="301"/>
      <c r="CR289" s="305" t="str">
        <f>CONCATENATE($B289,$E289,$G289)</f>
        <v/>
      </c>
      <c r="CS289" s="301"/>
      <c r="CT289" s="305" t="e">
        <f>VLOOKUP(Out_Table[[#This Row],[Destination             ORANGE (From Planning)]],Outlist!$A$5:$W$120,22,FALSE)</f>
        <v>#N/A</v>
      </c>
    </row>
    <row r="290" spans="1:98" s="20" customFormat="1" ht="15">
      <c r="A290" s="305" t="str">
        <f>$CR290</f>
        <v/>
      </c>
      <c r="B290" s="284"/>
      <c r="C290" s="290" t="str">
        <f ca="1">IFERROR(IF(LEFT(B290,3)='STAT 77'!$X$2,_xlfn.XLOOKUP(B290,'STAT 77'!C:C,'STAT 77'!B:B),_xlfn.XLOOKUP(B290,'STAT 77'!B:B,'STAT 77'!C:C)),"NON TROVATO")</f>
        <v>NON TROVATO</v>
      </c>
      <c r="D290" s="25"/>
      <c r="E290" s="290"/>
      <c r="F290" s="290" t="str">
        <f>IFERROR(VLOOKUP(E290,'Cambio O2P'!C:E,2,FALSE),"")</f>
        <v/>
      </c>
      <c r="G290" s="285"/>
      <c r="H290" s="293" t="str">
        <f ca="1">IFERROR(IF(AND('INformazioni per calcoli'!$AB$3&lt;(--"14:30"),'INformazioni per calcoli'!$AB$3&gt;(--"10:00")),"",IF($B290="","",IF($X290&lt;&gt;"","Mezzo Chiuso",IF($W290="","Non al Carico",IF($G290-'INformazioni per calcoli'!$AB$5-'INformazioni per calcoli'!$AB$3+$J290&lt;0,"LFLS",IF($K290&lt;&gt;"","Safe Parking",IF($W290&lt;&gt;"",IF($E290="MXP",$G290-'INformazioni per calcoli'!$AB$6-'INformazioni per calcoli'!$AB$3+$J290,$G290-'INformazioni per calcoli'!$AB$5-'INformazioni per calcoli'!$AB$3+$J290),"Non al carico"))))))),"")</f>
        <v/>
      </c>
      <c r="I290" s="17" t="str">
        <f ca="1">IFERROR(IF($H290&lt;&gt;"",IF($H290="Safe Parking","",IF($W290&lt;&gt;"",IF(AND($U290="X",$V290="X"),$H290-(--"00:30"),""),IF($X290&lt;&gt;"","Mezzo Chiuso","Non al carico"))),""),"")</f>
        <v/>
      </c>
      <c r="J290" s="306" t="str">
        <f>IFERROR(IF($B290&lt;&gt;"",IF(AND('INformazioni per calcoli'!$AB$3&lt;(--"15:00"),'INformazioni per calcoli'!$AB$3&gt;(--"00:00")),0,IF($G290&lt;(--"18:30"),"+1",0)),""),"")</f>
        <v/>
      </c>
      <c r="K290" s="27"/>
      <c r="L290" s="25"/>
      <c r="M290" s="25" t="str">
        <f>IFERROR(_xlfn.XLOOKUP($Q290,'Elenco Casse'!$D:$D,'Elenco Casse'!$E:$E),"")</f>
        <v/>
      </c>
      <c r="N290" s="25" t="str">
        <f>IFERROR(_xlfn.XLOOKUP($Q290,'Elenco Casse'!$D:$D,'Elenco Casse'!$F:$F),"")</f>
        <v/>
      </c>
      <c r="O290" s="286"/>
      <c r="P290" s="295" t="str">
        <f>IFERROR(_xlfn.XLOOKUP($Q290,'Elenco Casse'!$D:$D,'Elenco Casse'!$G:$G),"")</f>
        <v/>
      </c>
      <c r="Q290" s="355"/>
      <c r="R290" s="23"/>
      <c r="S290" s="25"/>
      <c r="T290" s="25"/>
      <c r="U290" s="23" t="str">
        <f>IF(ISNUMBER(SEARCH("Parcel",$T290)),"X","")</f>
        <v/>
      </c>
      <c r="V290" s="23" t="str">
        <f>IF(ISNUMBER(SEARCH("Freight",$T290)),"X","")</f>
        <v/>
      </c>
      <c r="W290" s="26"/>
      <c r="X290" s="27"/>
      <c r="Y290" s="25" t="str">
        <f>IF(Out_Table[[#This Row],[DOC Del. hr. (RTH)]]&lt;&gt;"","XXX","")</f>
        <v/>
      </c>
      <c r="Z290" s="25"/>
      <c r="AA290" s="25"/>
      <c r="AB290" s="57"/>
      <c r="AC290" s="25"/>
      <c r="AD290" s="25"/>
      <c r="AE290" s="57"/>
      <c r="AF290" s="57"/>
      <c r="AG290" s="25"/>
      <c r="AH290" s="57"/>
      <c r="AI290" s="339"/>
      <c r="AJ290" s="339"/>
      <c r="AK290" s="297" t="str">
        <f>IF(X290&lt;&gt;"",CONCATENATE(IF(AA290&lt;&gt;"",CONCATENATE(Z290," ",AA290," ",BI290),""),IF(AD290&lt;&gt;"",CONCATENATE(","," ",AC290," ",AD290," ",BJ290),""),IF(AG290&lt;&gt;"",CONCATENATE(","," ",AF290," ",AG290," ",BK290),""),IF(AJ290&lt;&gt;"",CONCATENATE(","," ","DD"," ",BL290),"")," ",IF(AI290&lt;&gt;"",CONCATENATE(" - ",AI290," Bag"),"")),"")</f>
        <v/>
      </c>
      <c r="AL290" s="287"/>
      <c r="AM290" s="287"/>
      <c r="AN290" s="287"/>
      <c r="AO290" s="287"/>
      <c r="AP290" s="370" t="str">
        <f>IFERROR(VLOOKUP($E287,Outlist!$A$5:$V$120,20,FALSE),"")</f>
        <v/>
      </c>
      <c r="AQ290" s="288" t="str">
        <f>IFERROR(IF(VLOOKUP($A290,#REF!,8,FALSE)&lt;&gt;"",VLOOKUP($A290,#REF!,8,FALSE),""),"")</f>
        <v/>
      </c>
      <c r="AS290" s="24"/>
      <c r="AT290" s="24"/>
      <c r="AU290" s="27"/>
      <c r="AV290" s="27"/>
      <c r="AX290" s="20" t="str">
        <f>IFERROR(IF(Out_Table[[#This Row],[Cancellazione linea]]="Cancellata","yes",""),"")</f>
        <v/>
      </c>
      <c r="AY290" s="72" t="str">
        <f>IF(BA290="",BZ290,IF(AND(BA290&lt;(--"23:59:59"),BA290&gt;(--"15:00:00"),G290&lt;(--"14:00:00"),G290&gt;(--"00:00:01")),"",IF(BA290&gt;G290,BZ290,"")))</f>
        <v/>
      </c>
      <c r="AZ290" s="27"/>
      <c r="BA290" s="32"/>
      <c r="BB290" s="72"/>
      <c r="BC290" s="72" t="str">
        <f>IFERROR(VLOOKUP(Out_Table[[#This Row],[Aggiornamento STATUS]],'INformazioni per calcoli'!$Y$70:$AA$76,2,FALSE),"")</f>
        <v/>
      </c>
      <c r="BD290" s="289"/>
      <c r="BE290" s="289"/>
      <c r="BF290" s="47" t="str">
        <f>LEFT($E290,3)</f>
        <v/>
      </c>
      <c r="BG290" s="298" t="str">
        <f>IF(Out_Table[[#This Row],[Ora Uscita    (GH)]]&lt;&gt;"","x","")</f>
        <v/>
      </c>
      <c r="BH290" s="299" t="e">
        <f>VLOOKUP($O290,'INformazioni per calcoli'!$Y$20:$AA$23,3,FALSE)</f>
        <v>#N/A</v>
      </c>
      <c r="BI290" s="299" t="e">
        <f>MROUND(Out_Table[[#This Row],[Mtr. Trailer]]*AB290,0.5)</f>
        <v>#N/A</v>
      </c>
      <c r="BJ290" s="299" t="e">
        <f>MROUND(Out_Table[[#This Row],[Mtr. Trailer]]*AE290,0.5)</f>
        <v>#N/A</v>
      </c>
      <c r="BK290" s="299" t="e">
        <f>MROUND(Out_Table[[#This Row],[Mtr. Trailer]]*AH290,0.5)</f>
        <v>#N/A</v>
      </c>
      <c r="BL290" s="300">
        <f>Out_Table[[#This Row],[Double Deck trailer N° bumpers]]</f>
        <v>0</v>
      </c>
      <c r="BM290" s="301"/>
      <c r="BN290" s="299">
        <f>B290</f>
        <v>0</v>
      </c>
      <c r="BO290" s="299">
        <f>E290</f>
        <v>0</v>
      </c>
      <c r="BP290" s="302">
        <f>IF(AND(G290&gt;(--"00:00:01"),G290&lt;(--"15:00:00")),IF(AND(X290&gt;(--"00:00:01"),X290&lt;(--"15:00:00")),G290-X290,G290+1-X290),G290-X290)</f>
        <v>0</v>
      </c>
      <c r="BQ290" s="303">
        <f>AE290+AF290+AH290+AJ290</f>
        <v>0</v>
      </c>
      <c r="BR290" s="304" t="str">
        <f>IF(OR(BP290&lt;=(--"00:20:00"),BQ290&gt;=100%),"OK","Not OK")</f>
        <v>OK</v>
      </c>
      <c r="BS290" s="302">
        <f>IF(AND(G290&gt;(--"00:00:01"),G290&lt;(--"15:00:00")),IF(AND(AU290&gt;(--"00:00:01"),AU290&lt;(--"15:00:00")),G290-AU290,G290+1-AU290),G290-AU290)</f>
        <v>0</v>
      </c>
      <c r="BT290" s="302">
        <f>IF(AND(AZ290&gt;(--"00:00:01"),AZ290&lt;(--"15:00:00")),IF(AND(AU290&gt;(--"00:00:01"),AU290&lt;(--"15:00:00")),AZ290-AU290,AZ290+1-AU290),AZ290-AU290)</f>
        <v>0</v>
      </c>
      <c r="BU290" s="302">
        <f>IF(AND(BA290&gt;(--"00:00:01"),BA290&lt;(--"15:00:00")),IF(AND(AZ290&gt;(--"00:00:01"),AZ290&lt;(--"15:00:00")),BA290-AZ290,BA290+1-AZ290),BA290-AZ290)</f>
        <v>0</v>
      </c>
      <c r="BV290" s="299">
        <f>AV290</f>
        <v>0</v>
      </c>
      <c r="BW290" s="301"/>
      <c r="BX290" s="299" t="str">
        <f>IF(AV290="T Status",IF(AV290&lt;&gt;T290,"X",""),"")</f>
        <v/>
      </c>
      <c r="BY290" s="301"/>
      <c r="BZ290" s="299" t="str">
        <f>IF(X290&lt;&gt;"",IF(CC290="X","Driver Delay",IF(CA290="X","Paperwork Delay",IF(CB290="X","Late freight late sort",IF(CD290="X","Chiamare Control Room",IF(CE290="X","Chiamare Control Room",IF(CF290="X","Chiamare Control Room","")))))),"")</f>
        <v/>
      </c>
      <c r="CA290" s="302" t="str">
        <f>IF(K290="",IF(IF(AND(G290&gt;(--"00:00:01"),G290&lt;(--"15:00:00")),IF(AND(AT290&gt;(--"08:00:00"),AT290&lt;(--"23:59:59")),G290+1-AT290,G290-AT290),G290-AT290)&gt;(--"00:20:00"),"","X"),"")</f>
        <v>X</v>
      </c>
      <c r="CB290" s="299" t="str">
        <f>IF(K290="",IF(BP290&gt;=(--"00:20:00"),"","X"),"")</f>
        <v>X</v>
      </c>
      <c r="CC290" s="299" t="str">
        <f>IF(OR(AV290="Autista non presente",AV290="Dati driver non presenti"),"X","")</f>
        <v/>
      </c>
      <c r="CD290" s="299" t="str">
        <f>IF(K290="",IF(AND(CC290="",BS290&lt;(--"00:20:00")),"X",""),"")</f>
        <v>X</v>
      </c>
      <c r="CE290" s="299" t="str">
        <f>IF(K290="",IF(BT290&gt;(--"00:15:00"),"X",""),IF(AZ290&lt;&gt;"",IF(G290-AZ290&gt;(--"00:30:00"),"X",""),""))</f>
        <v/>
      </c>
      <c r="CF290" s="299" t="str">
        <f>IF(AND(CA290="",CB290="",CC290="",CD290="",CE290=""),"X","")</f>
        <v/>
      </c>
      <c r="CG290" s="301"/>
      <c r="CH290" s="299" t="str">
        <f>IF(BT290&gt;(--"00:15:00"),"X","")</f>
        <v/>
      </c>
      <c r="CI290" s="302" t="str">
        <f>AY290</f>
        <v/>
      </c>
      <c r="CJ290" s="299" t="str">
        <f>IF(AND(CH290&lt;&gt;"",CI290&lt;&gt;"",LEFT(B290,3)="ITD"),AP290,"")</f>
        <v/>
      </c>
      <c r="CK290" s="305" t="str">
        <f>IF(CJ290&lt;&gt;"",BT290,"")</f>
        <v/>
      </c>
      <c r="CL290" s="301"/>
      <c r="CM290" s="305" t="str">
        <f>IFERROR(VLOOKUP(Q290,'Elenco Casse'!$D$4:$F$292,3,FALSE),"")</f>
        <v/>
      </c>
      <c r="CN290" s="301"/>
      <c r="CO290" s="305" t="str">
        <f>IFERROR(VLOOKUP(S290,'Elenco Casse'!$D$4:$F$292,3,FALSE),"")</f>
        <v/>
      </c>
      <c r="CP290" s="305" t="str">
        <f>IFERROR(IF(VLOOKUP($E290,Outlist!$A$5:$S$120,19,FALSE)&lt;&gt;0,"Y",""),"")</f>
        <v/>
      </c>
      <c r="CQ290" s="301"/>
      <c r="CR290" s="305" t="str">
        <f>CONCATENATE($B290,$E290,$G290)</f>
        <v/>
      </c>
      <c r="CS290" s="301"/>
      <c r="CT290" s="305" t="e">
        <f>VLOOKUP(Out_Table[[#This Row],[Destination             ORANGE (From Planning)]],Outlist!$A$5:$W$120,22,FALSE)</f>
        <v>#N/A</v>
      </c>
    </row>
    <row r="291" spans="1:98" s="20" customFormat="1" ht="15">
      <c r="A291" s="305" t="str">
        <f>$CR291</f>
        <v/>
      </c>
      <c r="B291" s="284"/>
      <c r="C291" s="290" t="str">
        <f ca="1">IFERROR(IF(LEFT(B291,3)='STAT 77'!$X$2,_xlfn.XLOOKUP(B291,'STAT 77'!C:C,'STAT 77'!B:B),_xlfn.XLOOKUP(B291,'STAT 77'!B:B,'STAT 77'!C:C)),"NON TROVATO")</f>
        <v>NON TROVATO</v>
      </c>
      <c r="D291" s="25"/>
      <c r="E291" s="290"/>
      <c r="F291" s="290" t="str">
        <f>IFERROR(VLOOKUP(E291,'Cambio O2P'!C:E,2,FALSE),"")</f>
        <v/>
      </c>
      <c r="G291" s="285"/>
      <c r="H291" s="293" t="str">
        <f ca="1">IFERROR(IF(AND('INformazioni per calcoli'!$AB$3&lt;(--"14:30"),'INformazioni per calcoli'!$AB$3&gt;(--"10:00")),"",IF($B291="","",IF($X291&lt;&gt;"","Mezzo Chiuso",IF($W291="","Non al Carico",IF($G291-'INformazioni per calcoli'!$AB$5-'INformazioni per calcoli'!$AB$3+$J291&lt;0,"LFLS",IF($K291&lt;&gt;"","Safe Parking",IF($W291&lt;&gt;"",IF($E291="MXP",$G291-'INformazioni per calcoli'!$AB$6-'INformazioni per calcoli'!$AB$3+$J291,$G291-'INformazioni per calcoli'!$AB$5-'INformazioni per calcoli'!$AB$3+$J291),"Non al carico"))))))),"")</f>
        <v/>
      </c>
      <c r="I291" s="17" t="str">
        <f ca="1">IFERROR(IF($H291&lt;&gt;"",IF($H291="Safe Parking","",IF($W291&lt;&gt;"",IF(AND($U291="X",$V291="X"),$H291-(--"00:30"),""),IF($X291&lt;&gt;"","Mezzo Chiuso","Non al carico"))),""),"")</f>
        <v/>
      </c>
      <c r="J291" s="306" t="str">
        <f>IFERROR(IF($B291&lt;&gt;"",IF(AND('INformazioni per calcoli'!$AB$3&lt;(--"15:00"),'INformazioni per calcoli'!$AB$3&gt;(--"00:00")),0,IF($G291&lt;(--"18:30"),"+1",0)),""),"")</f>
        <v/>
      </c>
      <c r="K291" s="17"/>
      <c r="L291" s="25"/>
      <c r="M291" s="25" t="str">
        <f>IFERROR(_xlfn.XLOOKUP($Q291,'Elenco Casse'!$D:$D,'Elenco Casse'!$E:$E),"")</f>
        <v/>
      </c>
      <c r="N291" s="25" t="str">
        <f>IFERROR(_xlfn.XLOOKUP($Q291,'Elenco Casse'!$D:$D,'Elenco Casse'!$F:$F),"")</f>
        <v/>
      </c>
      <c r="O291" s="286"/>
      <c r="P291" s="295" t="str">
        <f>IFERROR(_xlfn.XLOOKUP($Q291,'Elenco Casse'!$D:$D,'Elenco Casse'!$G:$G),"")</f>
        <v/>
      </c>
      <c r="Q291" s="355"/>
      <c r="R291" s="23"/>
      <c r="S291" s="25"/>
      <c r="T291" s="25"/>
      <c r="U291" s="23" t="str">
        <f>IF(ISNUMBER(SEARCH("Parcel",$T291)),"X","")</f>
        <v/>
      </c>
      <c r="V291" s="23" t="str">
        <f>IF(ISNUMBER(SEARCH("Freight",$T291)),"X","")</f>
        <v/>
      </c>
      <c r="W291" s="26"/>
      <c r="X291" s="27"/>
      <c r="Y291" s="25" t="str">
        <f>IF(Out_Table[[#This Row],[DOC Del. hr. (RTH)]]&lt;&gt;"","XXX","")</f>
        <v/>
      </c>
      <c r="Z291" s="25"/>
      <c r="AA291" s="25"/>
      <c r="AB291" s="57"/>
      <c r="AC291" s="25"/>
      <c r="AD291" s="25"/>
      <c r="AE291" s="57"/>
      <c r="AF291" s="57"/>
      <c r="AG291" s="25"/>
      <c r="AH291" s="57"/>
      <c r="AI291" s="339"/>
      <c r="AJ291" s="339"/>
      <c r="AK291" s="297" t="str">
        <f>IF(X291&lt;&gt;"",CONCATENATE(IF(AA291&lt;&gt;"",CONCATENATE(Z291," ",AA291," ",BI291),""),IF(AD291&lt;&gt;"",CONCATENATE(","," ",AC291," ",AD291," ",BJ291),""),IF(AG291&lt;&gt;"",CONCATENATE(","," ",AF291," ",AG291," ",BK291),""),IF(AJ291&lt;&gt;"",CONCATENATE(","," ","DD"," ",BL291),"")," ",IF(AI291&lt;&gt;"",CONCATENATE(" - ",AI291," Bag"),"")),"")</f>
        <v/>
      </c>
      <c r="AL291" s="287"/>
      <c r="AM291" s="287"/>
      <c r="AN291" s="287"/>
      <c r="AO291" s="287"/>
      <c r="AP291" s="370" t="str">
        <f>IFERROR(VLOOKUP($E288,Outlist!$A$5:$V$120,20,FALSE),"")</f>
        <v/>
      </c>
      <c r="AQ291" s="288" t="str">
        <f>IFERROR(IF(VLOOKUP($A291,#REF!,8,FALSE)&lt;&gt;"",VLOOKUP($A291,#REF!,8,FALSE),""),"")</f>
        <v/>
      </c>
      <c r="AS291" s="24"/>
      <c r="AT291" s="24"/>
      <c r="AU291" s="27"/>
      <c r="AV291" s="27"/>
      <c r="AX291" s="20" t="str">
        <f>IFERROR(IF(Out_Table[[#This Row],[Cancellazione linea]]="Cancellata","yes",""),"")</f>
        <v/>
      </c>
      <c r="AY291" s="72" t="str">
        <f>IF(BA291="",BZ291,IF(AND(BA291&lt;(--"23:59:59"),BA291&gt;(--"15:00:00"),G291&lt;(--"14:00:00"),G291&gt;(--"00:00:01")),"",IF(BA291&gt;G291,BZ291,"")))</f>
        <v/>
      </c>
      <c r="AZ291" s="27"/>
      <c r="BA291" s="32"/>
      <c r="BB291" s="72"/>
      <c r="BC291" s="72" t="str">
        <f>IFERROR(VLOOKUP(Out_Table[[#This Row],[Aggiornamento STATUS]],'INformazioni per calcoli'!$Y$70:$AA$76,2,FALSE),"")</f>
        <v/>
      </c>
      <c r="BD291" s="289"/>
      <c r="BE291" s="289"/>
      <c r="BF291" s="47" t="str">
        <f>LEFT($E291,3)</f>
        <v/>
      </c>
      <c r="BG291" s="298" t="str">
        <f>IF(Out_Table[[#This Row],[Ora Uscita    (GH)]]&lt;&gt;"","x","")</f>
        <v/>
      </c>
      <c r="BH291" s="299" t="e">
        <f>VLOOKUP($O291,'INformazioni per calcoli'!$Y$20:$AA$23,3,FALSE)</f>
        <v>#N/A</v>
      </c>
      <c r="BI291" s="299" t="e">
        <f>MROUND(Out_Table[[#This Row],[Mtr. Trailer]]*AB291,0.5)</f>
        <v>#N/A</v>
      </c>
      <c r="BJ291" s="299" t="e">
        <f>MROUND(Out_Table[[#This Row],[Mtr. Trailer]]*AE291,0.5)</f>
        <v>#N/A</v>
      </c>
      <c r="BK291" s="299" t="e">
        <f>MROUND(Out_Table[[#This Row],[Mtr. Trailer]]*AH291,0.5)</f>
        <v>#N/A</v>
      </c>
      <c r="BL291" s="300">
        <f>Out_Table[[#This Row],[Double Deck trailer N° bumpers]]</f>
        <v>0</v>
      </c>
      <c r="BM291" s="301"/>
      <c r="BN291" s="299">
        <f>B291</f>
        <v>0</v>
      </c>
      <c r="BO291" s="299">
        <f>E291</f>
        <v>0</v>
      </c>
      <c r="BP291" s="302">
        <f>IF(AND(G291&gt;(--"00:00:01"),G291&lt;(--"15:00:00")),IF(AND(X291&gt;(--"00:00:01"),X291&lt;(--"15:00:00")),G291-X291,G291+1-X291),G291-X291)</f>
        <v>0</v>
      </c>
      <c r="BQ291" s="303">
        <f>AE291+AF291+AH291+AJ291</f>
        <v>0</v>
      </c>
      <c r="BR291" s="304" t="str">
        <f>IF(OR(BP291&lt;=(--"00:20:00"),BQ291&gt;=100%),"OK","Not OK")</f>
        <v>OK</v>
      </c>
      <c r="BS291" s="302">
        <f>IF(AND(G291&gt;(--"00:00:01"),G291&lt;(--"15:00:00")),IF(AND(AU291&gt;(--"00:00:01"),AU291&lt;(--"15:00:00")),G291-AU291,G291+1-AU291),G291-AU291)</f>
        <v>0</v>
      </c>
      <c r="BT291" s="302">
        <f>IF(AND(AZ291&gt;(--"00:00:01"),AZ291&lt;(--"15:00:00")),IF(AND(AU291&gt;(--"00:00:01"),AU291&lt;(--"15:00:00")),AZ291-AU291,AZ291+1-AU291),AZ291-AU291)</f>
        <v>0</v>
      </c>
      <c r="BU291" s="302">
        <f>IF(AND(BA291&gt;(--"00:00:01"),BA291&lt;(--"15:00:00")),IF(AND(AZ291&gt;(--"00:00:01"),AZ291&lt;(--"15:00:00")),BA291-AZ291,BA291+1-AZ291),BA291-AZ291)</f>
        <v>0</v>
      </c>
      <c r="BV291" s="299">
        <f>AV291</f>
        <v>0</v>
      </c>
      <c r="BW291" s="301"/>
      <c r="BX291" s="299" t="str">
        <f>IF(AV291="T Status",IF(AV291&lt;&gt;T291,"X",""),"")</f>
        <v/>
      </c>
      <c r="BY291" s="301"/>
      <c r="BZ291" s="299" t="str">
        <f>IF(X291&lt;&gt;"",IF(CC291="X","Driver Delay",IF(CA291="X","Paperwork Delay",IF(CB291="X","Late freight late sort",IF(CD291="X","Chiamare Control Room",IF(CE291="X","Chiamare Control Room",IF(CF291="X","Chiamare Control Room","")))))),"")</f>
        <v/>
      </c>
      <c r="CA291" s="302" t="str">
        <f>IF(K291="",IF(IF(AND(G291&gt;(--"00:00:01"),G291&lt;(--"15:00:00")),IF(AND(AT291&gt;(--"08:00:00"),AT291&lt;(--"23:59:59")),G291+1-AT291,G291-AT291),G291-AT291)&gt;(--"00:20:00"),"","X"),"")</f>
        <v>X</v>
      </c>
      <c r="CB291" s="299" t="str">
        <f>IF(K291="",IF(BP291&gt;=(--"00:20:00"),"","X"),"")</f>
        <v>X</v>
      </c>
      <c r="CC291" s="299" t="str">
        <f>IF(OR(AV291="Autista non presente",AV291="Dati driver non presenti"),"X","")</f>
        <v/>
      </c>
      <c r="CD291" s="299" t="str">
        <f>IF(K291="",IF(AND(CC291="",BS291&lt;(--"00:20:00")),"X",""),"")</f>
        <v>X</v>
      </c>
      <c r="CE291" s="299" t="str">
        <f>IF(K291="",IF(BT291&gt;(--"00:15:00"),"X",""),IF(AZ291&lt;&gt;"",IF(G291-AZ291&gt;(--"00:30:00"),"X",""),""))</f>
        <v/>
      </c>
      <c r="CF291" s="299" t="str">
        <f>IF(AND(CA291="",CB291="",CC291="",CD291="",CE291=""),"X","")</f>
        <v/>
      </c>
      <c r="CG291" s="301"/>
      <c r="CH291" s="299" t="str">
        <f>IF(BT291&gt;(--"00:15:00"),"X","")</f>
        <v/>
      </c>
      <c r="CI291" s="302" t="str">
        <f>AY291</f>
        <v/>
      </c>
      <c r="CJ291" s="299" t="str">
        <f>IF(AND(CH291&lt;&gt;"",CI291&lt;&gt;"",LEFT(B291,3)="ITD"),AP291,"")</f>
        <v/>
      </c>
      <c r="CK291" s="305" t="str">
        <f>IF(CJ291&lt;&gt;"",BT291,"")</f>
        <v/>
      </c>
      <c r="CL291" s="301"/>
      <c r="CM291" s="305" t="str">
        <f>IFERROR(VLOOKUP(Q291,'Elenco Casse'!$D$4:$F$292,3,FALSE),"")</f>
        <v/>
      </c>
      <c r="CN291" s="301"/>
      <c r="CO291" s="305" t="str">
        <f>IFERROR(VLOOKUP(S291,'Elenco Casse'!$D$4:$F$292,3,FALSE),"")</f>
        <v/>
      </c>
      <c r="CP291" s="305" t="str">
        <f>IFERROR(IF(VLOOKUP($E291,Outlist!$A$5:$S$120,19,FALSE)&lt;&gt;0,"Y",""),"")</f>
        <v/>
      </c>
      <c r="CQ291" s="301"/>
      <c r="CR291" s="305" t="str">
        <f>CONCATENATE($B291,$E291,$G291)</f>
        <v/>
      </c>
      <c r="CS291" s="301"/>
      <c r="CT291" s="305" t="e">
        <f>VLOOKUP(Out_Table[[#This Row],[Destination             ORANGE (From Planning)]],Outlist!$A$5:$W$120,22,FALSE)</f>
        <v>#N/A</v>
      </c>
    </row>
    <row r="292" spans="1:98" s="20" customFormat="1" ht="15">
      <c r="A292" s="305" t="str">
        <f>$CR292</f>
        <v/>
      </c>
      <c r="B292" s="284"/>
      <c r="C292" s="290" t="str">
        <f ca="1">IFERROR(IF(LEFT(B292,3)='STAT 77'!$X$2,_xlfn.XLOOKUP(B292,'STAT 77'!C:C,'STAT 77'!B:B),_xlfn.XLOOKUP(B292,'STAT 77'!B:B,'STAT 77'!C:C)),"NON TROVATO")</f>
        <v>NON TROVATO</v>
      </c>
      <c r="D292" s="25"/>
      <c r="E292" s="290"/>
      <c r="F292" s="290" t="str">
        <f>IFERROR(VLOOKUP(E292,'Cambio O2P'!C:E,2,FALSE),"")</f>
        <v/>
      </c>
      <c r="G292" s="285"/>
      <c r="H292" s="293" t="str">
        <f ca="1">IFERROR(IF(AND('INformazioni per calcoli'!$AB$3&lt;(--"14:30"),'INformazioni per calcoli'!$AB$3&gt;(--"10:00")),"",IF($B292="","",IF($X292&lt;&gt;"","Mezzo Chiuso",IF($W292="","Non al Carico",IF($G292-'INformazioni per calcoli'!$AB$5-'INformazioni per calcoli'!$AB$3+$J292&lt;0,"LFLS",IF($K292&lt;&gt;"","Safe Parking",IF($W292&lt;&gt;"",IF($E292="MXP",$G292-'INformazioni per calcoli'!$AB$6-'INformazioni per calcoli'!$AB$3+$J292,$G292-'INformazioni per calcoli'!$AB$5-'INformazioni per calcoli'!$AB$3+$J292),"Non al carico"))))))),"")</f>
        <v/>
      </c>
      <c r="I292" s="17" t="str">
        <f ca="1">IFERROR(IF($H292&lt;&gt;"",IF($H292="Safe Parking","",IF($W292&lt;&gt;"",IF(AND($U292="X",$V292="X"),$H292-(--"00:30"),""),IF($X292&lt;&gt;"","Mezzo Chiuso","Non al carico"))),""),"")</f>
        <v/>
      </c>
      <c r="J292" s="306" t="str">
        <f>IFERROR(IF($B292&lt;&gt;"",IF(AND('INformazioni per calcoli'!$AB$3&lt;(--"15:00"),'INformazioni per calcoli'!$AB$3&gt;(--"00:00")),0,IF($G292&lt;(--"18:30"),"+1",0)),""),"")</f>
        <v/>
      </c>
      <c r="K292" s="17"/>
      <c r="L292" s="25"/>
      <c r="M292" s="25" t="str">
        <f>IFERROR(_xlfn.XLOOKUP($Q292,'Elenco Casse'!$D:$D,'Elenco Casse'!$E:$E),"")</f>
        <v/>
      </c>
      <c r="N292" s="25" t="str">
        <f>IFERROR(_xlfn.XLOOKUP($Q292,'Elenco Casse'!$D:$D,'Elenco Casse'!$F:$F),"")</f>
        <v/>
      </c>
      <c r="O292" s="286"/>
      <c r="P292" s="295" t="str">
        <f>IFERROR(_xlfn.XLOOKUP($Q292,'Elenco Casse'!$D:$D,'Elenco Casse'!$G:$G),"")</f>
        <v/>
      </c>
      <c r="Q292" s="355"/>
      <c r="R292" s="23"/>
      <c r="S292" s="25"/>
      <c r="T292" s="25"/>
      <c r="U292" s="23" t="str">
        <f>IF(ISNUMBER(SEARCH("Parcel",$T292)),"X","")</f>
        <v/>
      </c>
      <c r="V292" s="23" t="str">
        <f>IF(ISNUMBER(SEARCH("Freight",$T292)),"X","")</f>
        <v/>
      </c>
      <c r="W292" s="26"/>
      <c r="X292" s="27"/>
      <c r="Y292" s="25" t="str">
        <f>IF(Out_Table[[#This Row],[DOC Del. hr. (RTH)]]&lt;&gt;"","XXX","")</f>
        <v/>
      </c>
      <c r="Z292" s="25"/>
      <c r="AA292" s="25"/>
      <c r="AB292" s="57"/>
      <c r="AC292" s="25"/>
      <c r="AD292" s="25"/>
      <c r="AE292" s="57"/>
      <c r="AF292" s="57"/>
      <c r="AG292" s="25"/>
      <c r="AH292" s="57"/>
      <c r="AI292" s="339"/>
      <c r="AJ292" s="339"/>
      <c r="AK292" s="297" t="str">
        <f>IF(X292&lt;&gt;"",CONCATENATE(IF(AA292&lt;&gt;"",CONCATENATE(Z292," ",AA292," ",BI292),""),IF(AD292&lt;&gt;"",CONCATENATE(","," ",AC292," ",AD292," ",BJ292),""),IF(AG292&lt;&gt;"",CONCATENATE(","," ",AF292," ",AG292," ",BK292),""),IF(AJ292&lt;&gt;"",CONCATENATE(","," ","DD"," ",BL292),"")," ",IF(AI292&lt;&gt;"",CONCATENATE(" - ",AI292," Bag"),"")),"")</f>
        <v/>
      </c>
      <c r="AL292" s="287"/>
      <c r="AM292" s="287"/>
      <c r="AN292" s="287"/>
      <c r="AO292" s="287"/>
      <c r="AP292" s="370" t="str">
        <f>IFERROR(VLOOKUP($E289,Outlist!$A$5:$V$120,20,FALSE),"")</f>
        <v/>
      </c>
      <c r="AQ292" s="288" t="str">
        <f>IFERROR(IF(VLOOKUP($A292,#REF!,8,FALSE)&lt;&gt;"",VLOOKUP($A292,#REF!,8,FALSE),""),"")</f>
        <v/>
      </c>
      <c r="AS292" s="24"/>
      <c r="AT292" s="24"/>
      <c r="AU292" s="27"/>
      <c r="AV292" s="27"/>
      <c r="AX292" s="20" t="str">
        <f>IFERROR(IF(Out_Table[[#This Row],[Cancellazione linea]]="Cancellata","yes",""),"")</f>
        <v/>
      </c>
      <c r="AY292" s="72" t="str">
        <f>IF(BA292="",BZ292,IF(AND(BA292&lt;(--"23:59:59"),BA292&gt;(--"15:00:00"),G292&lt;(--"14:00:00"),G292&gt;(--"00:00:01")),"",IF(BA292&gt;G292,BZ292,"")))</f>
        <v/>
      </c>
      <c r="AZ292" s="27"/>
      <c r="BA292" s="32"/>
      <c r="BB292" s="72"/>
      <c r="BC292" s="72" t="str">
        <f>IFERROR(VLOOKUP(Out_Table[[#This Row],[Aggiornamento STATUS]],'INformazioni per calcoli'!$Y$70:$AA$76,2,FALSE),"")</f>
        <v/>
      </c>
      <c r="BD292" s="289"/>
      <c r="BE292" s="289"/>
      <c r="BF292" s="47" t="str">
        <f>LEFT($E292,3)</f>
        <v/>
      </c>
      <c r="BG292" s="298" t="str">
        <f>IF(Out_Table[[#This Row],[Ora Uscita    (GH)]]&lt;&gt;"","x","")</f>
        <v/>
      </c>
      <c r="BH292" s="299" t="e">
        <f>VLOOKUP($O292,'INformazioni per calcoli'!$Y$20:$AA$23,3,FALSE)</f>
        <v>#N/A</v>
      </c>
      <c r="BI292" s="299" t="e">
        <f>MROUND(Out_Table[[#This Row],[Mtr. Trailer]]*AB292,0.5)</f>
        <v>#N/A</v>
      </c>
      <c r="BJ292" s="299" t="e">
        <f>MROUND(Out_Table[[#This Row],[Mtr. Trailer]]*AE292,0.5)</f>
        <v>#N/A</v>
      </c>
      <c r="BK292" s="299" t="e">
        <f>MROUND(Out_Table[[#This Row],[Mtr. Trailer]]*AH292,0.5)</f>
        <v>#N/A</v>
      </c>
      <c r="BL292" s="300">
        <f>Out_Table[[#This Row],[Double Deck trailer N° bumpers]]</f>
        <v>0</v>
      </c>
      <c r="BM292" s="301"/>
      <c r="BN292" s="299">
        <f>B292</f>
        <v>0</v>
      </c>
      <c r="BO292" s="299">
        <f>E292</f>
        <v>0</v>
      </c>
      <c r="BP292" s="302">
        <f>IF(AND(G292&gt;(--"00:00:01"),G292&lt;(--"15:00:00")),IF(AND(X292&gt;(--"00:00:01"),X292&lt;(--"15:00:00")),G292-X292,G292+1-X292),G292-X292)</f>
        <v>0</v>
      </c>
      <c r="BQ292" s="303">
        <f>AE292+AF292+AH292+AJ292</f>
        <v>0</v>
      </c>
      <c r="BR292" s="304" t="str">
        <f>IF(OR(BP292&lt;=(--"00:20:00"),BQ292&gt;=100%),"OK","Not OK")</f>
        <v>OK</v>
      </c>
      <c r="BS292" s="302">
        <f>IF(AND(G292&gt;(--"00:00:01"),G292&lt;(--"15:00:00")),IF(AND(AU292&gt;(--"00:00:01"),AU292&lt;(--"15:00:00")),G292-AU292,G292+1-AU292),G292-AU292)</f>
        <v>0</v>
      </c>
      <c r="BT292" s="302">
        <f>IF(AND(AZ292&gt;(--"00:00:01"),AZ292&lt;(--"15:00:00")),IF(AND(AU292&gt;(--"00:00:01"),AU292&lt;(--"15:00:00")),AZ292-AU292,AZ292+1-AU292),AZ292-AU292)</f>
        <v>0</v>
      </c>
      <c r="BU292" s="302">
        <f>IF(AND(BA292&gt;(--"00:00:01"),BA292&lt;(--"15:00:00")),IF(AND(AZ292&gt;(--"00:00:01"),AZ292&lt;(--"15:00:00")),BA292-AZ292,BA292+1-AZ292),BA292-AZ292)</f>
        <v>0</v>
      </c>
      <c r="BV292" s="299">
        <f>AV292</f>
        <v>0</v>
      </c>
      <c r="BW292" s="301"/>
      <c r="BX292" s="299" t="str">
        <f>IF(AV292="T Status",IF(AV292&lt;&gt;T292,"X",""),"")</f>
        <v/>
      </c>
      <c r="BY292" s="301"/>
      <c r="BZ292" s="299" t="str">
        <f>IF(X292&lt;&gt;"",IF(CC292="X","Driver Delay",IF(CA292="X","Paperwork Delay",IF(CB292="X","Late freight late sort",IF(CD292="X","Chiamare Control Room",IF(CE292="X","Chiamare Control Room",IF(CF292="X","Chiamare Control Room","")))))),"")</f>
        <v/>
      </c>
      <c r="CA292" s="302" t="str">
        <f>IF(K292="",IF(IF(AND(G292&gt;(--"00:00:01"),G292&lt;(--"15:00:00")),IF(AND(AT292&gt;(--"08:00:00"),AT292&lt;(--"23:59:59")),G292+1-AT292,G292-AT292),G292-AT292)&gt;(--"00:20:00"),"","X"),"")</f>
        <v>X</v>
      </c>
      <c r="CB292" s="299" t="str">
        <f>IF(K292="",IF(BP292&gt;=(--"00:20:00"),"","X"),"")</f>
        <v>X</v>
      </c>
      <c r="CC292" s="299" t="str">
        <f>IF(OR(AV292="Autista non presente",AV292="Dati driver non presenti"),"X","")</f>
        <v/>
      </c>
      <c r="CD292" s="299" t="str">
        <f>IF(K292="",IF(AND(CC292="",BS292&lt;(--"00:20:00")),"X",""),"")</f>
        <v>X</v>
      </c>
      <c r="CE292" s="299" t="str">
        <f>IF(K292="",IF(BT292&gt;(--"00:15:00"),"X",""),IF(AZ292&lt;&gt;"",IF(G292-AZ292&gt;(--"00:30:00"),"X",""),""))</f>
        <v/>
      </c>
      <c r="CF292" s="299" t="str">
        <f>IF(AND(CA292="",CB292="",CC292="",CD292="",CE292=""),"X","")</f>
        <v/>
      </c>
      <c r="CG292" s="301"/>
      <c r="CH292" s="299" t="str">
        <f>IF(BT292&gt;(--"00:15:00"),"X","")</f>
        <v/>
      </c>
      <c r="CI292" s="302" t="str">
        <f>AY292</f>
        <v/>
      </c>
      <c r="CJ292" s="299" t="str">
        <f>IF(AND(CH292&lt;&gt;"",CI292&lt;&gt;"",LEFT(B292,3)="ITD"),AP292,"")</f>
        <v/>
      </c>
      <c r="CK292" s="305" t="str">
        <f>IF(CJ292&lt;&gt;"",BT292,"")</f>
        <v/>
      </c>
      <c r="CL292" s="301"/>
      <c r="CM292" s="305" t="str">
        <f>IFERROR(VLOOKUP(Q292,'Elenco Casse'!$D$4:$F$292,3,FALSE),"")</f>
        <v/>
      </c>
      <c r="CN292" s="301"/>
      <c r="CO292" s="305" t="str">
        <f>IFERROR(VLOOKUP(S292,'Elenco Casse'!$D$4:$F$292,3,FALSE),"")</f>
        <v/>
      </c>
      <c r="CP292" s="305" t="str">
        <f>IFERROR(IF(VLOOKUP($E292,Outlist!$A$5:$S$120,19,FALSE)&lt;&gt;0,"Y",""),"")</f>
        <v/>
      </c>
      <c r="CQ292" s="301"/>
      <c r="CR292" s="305" t="str">
        <f>CONCATENATE($B292,$E292,$G292)</f>
        <v/>
      </c>
      <c r="CS292" s="301"/>
      <c r="CT292" s="305" t="e">
        <f>VLOOKUP(Out_Table[[#This Row],[Destination             ORANGE (From Planning)]],Outlist!$A$5:$W$120,22,FALSE)</f>
        <v>#N/A</v>
      </c>
    </row>
    <row r="293" spans="1:98" s="20" customFormat="1" ht="15">
      <c r="A293" s="305" t="str">
        <f>$CR293</f>
        <v/>
      </c>
      <c r="B293" s="284"/>
      <c r="C293" s="290" t="str">
        <f ca="1">IFERROR(IF(LEFT(B293,3)='STAT 77'!$X$2,_xlfn.XLOOKUP(B293,'STAT 77'!C:C,'STAT 77'!B:B),_xlfn.XLOOKUP(B293,'STAT 77'!B:B,'STAT 77'!C:C)),"NON TROVATO")</f>
        <v>NON TROVATO</v>
      </c>
      <c r="D293" s="25"/>
      <c r="E293" s="290"/>
      <c r="F293" s="290" t="str">
        <f>IFERROR(VLOOKUP(E293,'Cambio O2P'!C:E,2,FALSE),"")</f>
        <v/>
      </c>
      <c r="G293" s="285"/>
      <c r="H293" s="293" t="str">
        <f ca="1">IFERROR(IF(AND('INformazioni per calcoli'!$AB$3&lt;(--"14:30"),'INformazioni per calcoli'!$AB$3&gt;(--"10:00")),"",IF($B293="","",IF($X293&lt;&gt;"","Mezzo Chiuso",IF($W293="","Non al Carico",IF($G293-'INformazioni per calcoli'!$AB$5-'INformazioni per calcoli'!$AB$3+$J293&lt;0,"LFLS",IF($K293&lt;&gt;"","Safe Parking",IF($W293&lt;&gt;"",IF($E293="MXP",$G293-'INformazioni per calcoli'!$AB$6-'INformazioni per calcoli'!$AB$3+$J293,$G293-'INformazioni per calcoli'!$AB$5-'INformazioni per calcoli'!$AB$3+$J293),"Non al carico"))))))),"")</f>
        <v/>
      </c>
      <c r="I293" s="17" t="str">
        <f ca="1">IFERROR(IF($H293&lt;&gt;"",IF($H293="Safe Parking","",IF($W293&lt;&gt;"",IF(AND($U293="X",$V293="X"),$H293-(--"00:30"),""),IF($X293&lt;&gt;"","Mezzo Chiuso","Non al carico"))),""),"")</f>
        <v/>
      </c>
      <c r="J293" s="306" t="str">
        <f>IFERROR(IF($B293&lt;&gt;"",IF(AND('INformazioni per calcoli'!$AB$3&lt;(--"15:00"),'INformazioni per calcoli'!$AB$3&gt;(--"00:00")),0,IF($G293&lt;(--"18:30"),"+1",0)),""),"")</f>
        <v/>
      </c>
      <c r="K293" s="17"/>
      <c r="L293" s="25"/>
      <c r="M293" s="25" t="str">
        <f>IFERROR(_xlfn.XLOOKUP($Q293,'Elenco Casse'!$D:$D,'Elenco Casse'!$E:$E),"")</f>
        <v/>
      </c>
      <c r="N293" s="25" t="str">
        <f>IFERROR(_xlfn.XLOOKUP($Q293,'Elenco Casse'!$D:$D,'Elenco Casse'!$F:$F),"")</f>
        <v/>
      </c>
      <c r="O293" s="286"/>
      <c r="P293" s="295" t="str">
        <f>IFERROR(_xlfn.XLOOKUP($Q293,'Elenco Casse'!$D:$D,'Elenco Casse'!$G:$G),"")</f>
        <v/>
      </c>
      <c r="Q293" s="355"/>
      <c r="R293" s="23"/>
      <c r="S293" s="25"/>
      <c r="T293" s="25"/>
      <c r="U293" s="23" t="str">
        <f>IF(ISNUMBER(SEARCH("Parcel",$T293)),"X","")</f>
        <v/>
      </c>
      <c r="V293" s="23" t="str">
        <f>IF(ISNUMBER(SEARCH("Freight",$T293)),"X","")</f>
        <v/>
      </c>
      <c r="W293" s="26"/>
      <c r="X293" s="27"/>
      <c r="Y293" s="25" t="str">
        <f>IF(Out_Table[[#This Row],[DOC Del. hr. (RTH)]]&lt;&gt;"","XXX","")</f>
        <v/>
      </c>
      <c r="Z293" s="25"/>
      <c r="AA293" s="25"/>
      <c r="AB293" s="57"/>
      <c r="AC293" s="25"/>
      <c r="AD293" s="25"/>
      <c r="AE293" s="57"/>
      <c r="AF293" s="57"/>
      <c r="AG293" s="25"/>
      <c r="AH293" s="57"/>
      <c r="AI293" s="339"/>
      <c r="AJ293" s="339"/>
      <c r="AK293" s="297" t="str">
        <f>IF(X293&lt;&gt;"",CONCATENATE(IF(AA293&lt;&gt;"",CONCATENATE(Z293," ",AA293," ",BI293),""),IF(AD293&lt;&gt;"",CONCATENATE(","," ",AC293," ",AD293," ",BJ293),""),IF(AG293&lt;&gt;"",CONCATENATE(","," ",AF293," ",AG293," ",BK293),""),IF(AJ293&lt;&gt;"",CONCATENATE(","," ","DD"," ",BL293),"")," ",IF(AI293&lt;&gt;"",CONCATENATE(" - ",AI293," Bag"),"")),"")</f>
        <v/>
      </c>
      <c r="AL293" s="287"/>
      <c r="AM293" s="287"/>
      <c r="AN293" s="287"/>
      <c r="AO293" s="287"/>
      <c r="AP293" s="370" t="str">
        <f>IFERROR(VLOOKUP($E290,Outlist!$A$5:$V$120,20,FALSE),"")</f>
        <v/>
      </c>
      <c r="AQ293" s="288" t="str">
        <f>IFERROR(IF(VLOOKUP($A293,#REF!,8,FALSE)&lt;&gt;"",VLOOKUP($A293,#REF!,8,FALSE),""),"")</f>
        <v/>
      </c>
      <c r="AS293" s="24"/>
      <c r="AT293" s="24"/>
      <c r="AU293" s="27"/>
      <c r="AV293" s="27"/>
      <c r="AX293" s="20" t="str">
        <f>IFERROR(IF(Out_Table[[#This Row],[Cancellazione linea]]="Cancellata","yes",""),"")</f>
        <v/>
      </c>
      <c r="AY293" s="72" t="str">
        <f>IF(BA293="",BZ293,IF(AND(BA293&lt;(--"23:59:59"),BA293&gt;(--"15:00:00"),G293&lt;(--"14:00:00"),G293&gt;(--"00:00:01")),"",IF(BA293&gt;G293,BZ293,"")))</f>
        <v/>
      </c>
      <c r="AZ293" s="27"/>
      <c r="BA293" s="32"/>
      <c r="BB293" s="72"/>
      <c r="BC293" s="72" t="str">
        <f>IFERROR(VLOOKUP(Out_Table[[#This Row],[Aggiornamento STATUS]],'INformazioni per calcoli'!$Y$70:$AA$76,2,FALSE),"")</f>
        <v/>
      </c>
      <c r="BD293" s="289"/>
      <c r="BE293" s="289"/>
      <c r="BF293" s="47" t="str">
        <f>LEFT($E293,3)</f>
        <v/>
      </c>
      <c r="BG293" s="298" t="str">
        <f>IF(Out_Table[[#This Row],[Ora Uscita    (GH)]]&lt;&gt;"","x","")</f>
        <v/>
      </c>
      <c r="BH293" s="299" t="e">
        <f>VLOOKUP($O293,'INformazioni per calcoli'!$Y$20:$AA$23,3,FALSE)</f>
        <v>#N/A</v>
      </c>
      <c r="BI293" s="299" t="e">
        <f>MROUND(Out_Table[[#This Row],[Mtr. Trailer]]*AB293,0.5)</f>
        <v>#N/A</v>
      </c>
      <c r="BJ293" s="299" t="e">
        <f>MROUND(Out_Table[[#This Row],[Mtr. Trailer]]*AE293,0.5)</f>
        <v>#N/A</v>
      </c>
      <c r="BK293" s="299" t="e">
        <f>MROUND(Out_Table[[#This Row],[Mtr. Trailer]]*AH293,0.5)</f>
        <v>#N/A</v>
      </c>
      <c r="BL293" s="300">
        <f>Out_Table[[#This Row],[Double Deck trailer N° bumpers]]</f>
        <v>0</v>
      </c>
      <c r="BM293" s="301"/>
      <c r="BN293" s="299">
        <f>B293</f>
        <v>0</v>
      </c>
      <c r="BO293" s="299">
        <f>E293</f>
        <v>0</v>
      </c>
      <c r="BP293" s="302">
        <f>IF(AND(G293&gt;(--"00:00:01"),G293&lt;(--"15:00:00")),IF(AND(X293&gt;(--"00:00:01"),X293&lt;(--"15:00:00")),G293-X293,G293+1-X293),G293-X293)</f>
        <v>0</v>
      </c>
      <c r="BQ293" s="303">
        <f>AE293+AF293+AH293+AJ293</f>
        <v>0</v>
      </c>
      <c r="BR293" s="304" t="str">
        <f>IF(OR(BP293&lt;=(--"00:20:00"),BQ293&gt;=100%),"OK","Not OK")</f>
        <v>OK</v>
      </c>
      <c r="BS293" s="302">
        <f>IF(AND(G293&gt;(--"00:00:01"),G293&lt;(--"15:00:00")),IF(AND(AU293&gt;(--"00:00:01"),AU293&lt;(--"15:00:00")),G293-AU293,G293+1-AU293),G293-AU293)</f>
        <v>0</v>
      </c>
      <c r="BT293" s="302">
        <f>IF(AND(AZ293&gt;(--"00:00:01"),AZ293&lt;(--"15:00:00")),IF(AND(AU293&gt;(--"00:00:01"),AU293&lt;(--"15:00:00")),AZ293-AU293,AZ293+1-AU293),AZ293-AU293)</f>
        <v>0</v>
      </c>
      <c r="BU293" s="302">
        <f>IF(AND(BA293&gt;(--"00:00:01"),BA293&lt;(--"15:00:00")),IF(AND(AZ293&gt;(--"00:00:01"),AZ293&lt;(--"15:00:00")),BA293-AZ293,BA293+1-AZ293),BA293-AZ293)</f>
        <v>0</v>
      </c>
      <c r="BV293" s="299">
        <f>AV293</f>
        <v>0</v>
      </c>
      <c r="BW293" s="301"/>
      <c r="BX293" s="299" t="str">
        <f>IF(AV293="T Status",IF(AV293&lt;&gt;T293,"X",""),"")</f>
        <v/>
      </c>
      <c r="BY293" s="301"/>
      <c r="BZ293" s="299" t="str">
        <f>IF(X293&lt;&gt;"",IF(CC293="X","Driver Delay",IF(CA293="X","Paperwork Delay",IF(CB293="X","Late freight late sort",IF(CD293="X","Chiamare Control Room",IF(CE293="X","Chiamare Control Room",IF(CF293="X","Chiamare Control Room","")))))),"")</f>
        <v/>
      </c>
      <c r="CA293" s="302" t="str">
        <f>IF(K293="",IF(IF(AND(G293&gt;(--"00:00:01"),G293&lt;(--"15:00:00")),IF(AND(AT293&gt;(--"08:00:00"),AT293&lt;(--"23:59:59")),G293+1-AT293,G293-AT293),G293-AT293)&gt;(--"00:20:00"),"","X"),"")</f>
        <v>X</v>
      </c>
      <c r="CB293" s="299" t="str">
        <f>IF(K293="",IF(BP293&gt;=(--"00:20:00"),"","X"),"")</f>
        <v>X</v>
      </c>
      <c r="CC293" s="299" t="str">
        <f>IF(OR(AV293="Autista non presente",AV293="Dati driver non presenti"),"X","")</f>
        <v/>
      </c>
      <c r="CD293" s="299" t="str">
        <f>IF(K293="",IF(AND(CC293="",BS293&lt;(--"00:20:00")),"X",""),"")</f>
        <v>X</v>
      </c>
      <c r="CE293" s="299" t="str">
        <f>IF(K293="",IF(BT293&gt;(--"00:15:00"),"X",""),IF(AZ293&lt;&gt;"",IF(G293-AZ293&gt;(--"00:30:00"),"X",""),""))</f>
        <v/>
      </c>
      <c r="CF293" s="299" t="str">
        <f>IF(AND(CA293="",CB293="",CC293="",CD293="",CE293=""),"X","")</f>
        <v/>
      </c>
      <c r="CG293" s="301"/>
      <c r="CH293" s="299" t="str">
        <f>IF(BT293&gt;(--"00:15:00"),"X","")</f>
        <v/>
      </c>
      <c r="CI293" s="302" t="str">
        <f>AY293</f>
        <v/>
      </c>
      <c r="CJ293" s="299" t="str">
        <f>IF(AND(CH293&lt;&gt;"",CI293&lt;&gt;"",LEFT(B293,3)="ITD"),AP293,"")</f>
        <v/>
      </c>
      <c r="CK293" s="305" t="str">
        <f>IF(CJ293&lt;&gt;"",BT293,"")</f>
        <v/>
      </c>
      <c r="CL293" s="301"/>
      <c r="CM293" s="305" t="str">
        <f>IFERROR(VLOOKUP(Q293,'Elenco Casse'!$D$4:$F$292,3,FALSE),"")</f>
        <v/>
      </c>
      <c r="CN293" s="301"/>
      <c r="CO293" s="305" t="str">
        <f>IFERROR(VLOOKUP(S293,'Elenco Casse'!$D$4:$F$292,3,FALSE),"")</f>
        <v/>
      </c>
      <c r="CP293" s="305" t="str">
        <f>IFERROR(IF(VLOOKUP($E293,Outlist!$A$5:$S$120,19,FALSE)&lt;&gt;0,"Y",""),"")</f>
        <v/>
      </c>
      <c r="CQ293" s="301"/>
      <c r="CR293" s="305" t="str">
        <f>CONCATENATE($B293,$E293,$G293)</f>
        <v/>
      </c>
      <c r="CS293" s="301"/>
      <c r="CT293" s="305" t="e">
        <f>VLOOKUP(Out_Table[[#This Row],[Destination             ORANGE (From Planning)]],Outlist!$A$5:$W$120,22,FALSE)</f>
        <v>#N/A</v>
      </c>
    </row>
    <row r="294" spans="1:98" s="20" customFormat="1" ht="15">
      <c r="A294" s="305" t="str">
        <f>$CR294</f>
        <v/>
      </c>
      <c r="B294" s="284"/>
      <c r="C294" s="290" t="str">
        <f ca="1">IFERROR(IF(LEFT(B294,3)='STAT 77'!$X$2,_xlfn.XLOOKUP(B294,'STAT 77'!C:C,'STAT 77'!B:B),_xlfn.XLOOKUP(B294,'STAT 77'!B:B,'STAT 77'!C:C)),"NON TROVATO")</f>
        <v>NON TROVATO</v>
      </c>
      <c r="D294" s="25"/>
      <c r="E294" s="290"/>
      <c r="F294" s="290" t="str">
        <f>IFERROR(VLOOKUP(E294,'Cambio O2P'!C:E,2,FALSE),"")</f>
        <v/>
      </c>
      <c r="G294" s="285"/>
      <c r="H294" s="293" t="str">
        <f ca="1">IFERROR(IF(AND('INformazioni per calcoli'!$AB$3&lt;(--"14:30"),'INformazioni per calcoli'!$AB$3&gt;(--"10:00")),"",IF($B294="","",IF($X294&lt;&gt;"","Mezzo Chiuso",IF($W294="","Non al Carico",IF($G294-'INformazioni per calcoli'!$AB$5-'INformazioni per calcoli'!$AB$3+$J294&lt;0,"LFLS",IF($K294&lt;&gt;"","Safe Parking",IF($W294&lt;&gt;"",IF($E294="MXP",$G294-'INformazioni per calcoli'!$AB$6-'INformazioni per calcoli'!$AB$3+$J294,$G294-'INformazioni per calcoli'!$AB$5-'INformazioni per calcoli'!$AB$3+$J294),"Non al carico"))))))),"")</f>
        <v/>
      </c>
      <c r="I294" s="17" t="str">
        <f ca="1">IFERROR(IF($H294&lt;&gt;"",IF($H294="Safe Parking","",IF($W294&lt;&gt;"",IF(AND($U294="X",$V294="X"),$H294-(--"00:30"),""),IF($X294&lt;&gt;"","Mezzo Chiuso","Non al carico"))),""),"")</f>
        <v/>
      </c>
      <c r="J294" s="306" t="str">
        <f>IFERROR(IF($B294&lt;&gt;"",IF(AND('INformazioni per calcoli'!$AB$3&lt;(--"15:00"),'INformazioni per calcoli'!$AB$3&gt;(--"00:00")),0,IF($G294&lt;(--"18:30"),"+1",0)),""),"")</f>
        <v/>
      </c>
      <c r="K294" s="27"/>
      <c r="L294" s="25"/>
      <c r="M294" s="25" t="str">
        <f>IFERROR(_xlfn.XLOOKUP($Q294,'Elenco Casse'!$D:$D,'Elenco Casse'!$E:$E),"")</f>
        <v/>
      </c>
      <c r="N294" s="25" t="str">
        <f>IFERROR(_xlfn.XLOOKUP($Q294,'Elenco Casse'!$D:$D,'Elenco Casse'!$F:$F),"")</f>
        <v/>
      </c>
      <c r="O294" s="286"/>
      <c r="P294" s="295" t="str">
        <f>IFERROR(_xlfn.XLOOKUP($Q294,'Elenco Casse'!$D:$D,'Elenco Casse'!$G:$G),"")</f>
        <v/>
      </c>
      <c r="Q294" s="355"/>
      <c r="R294" s="23"/>
      <c r="S294" s="25"/>
      <c r="T294" s="25"/>
      <c r="U294" s="23" t="str">
        <f>IF(ISNUMBER(SEARCH("Parcel",$T294)),"X","")</f>
        <v/>
      </c>
      <c r="V294" s="23" t="str">
        <f>IF(ISNUMBER(SEARCH("Freight",$T294)),"X","")</f>
        <v/>
      </c>
      <c r="W294" s="26"/>
      <c r="X294" s="27"/>
      <c r="Y294" s="25" t="str">
        <f>IF(Out_Table[[#This Row],[DOC Del. hr. (RTH)]]&lt;&gt;"","XXX","")</f>
        <v/>
      </c>
      <c r="Z294" s="25"/>
      <c r="AA294" s="25"/>
      <c r="AB294" s="57"/>
      <c r="AC294" s="25"/>
      <c r="AD294" s="25"/>
      <c r="AE294" s="57"/>
      <c r="AF294" s="57"/>
      <c r="AG294" s="25"/>
      <c r="AH294" s="57"/>
      <c r="AI294" s="339"/>
      <c r="AJ294" s="339"/>
      <c r="AK294" s="297" t="str">
        <f>IF(X294&lt;&gt;"",CONCATENATE(IF(AA294&lt;&gt;"",CONCATENATE(Z294," ",AA294," ",BI294),""),IF(AD294&lt;&gt;"",CONCATENATE(","," ",AC294," ",AD294," ",BJ294),""),IF(AG294&lt;&gt;"",CONCATENATE(","," ",AF294," ",AG294," ",BK294),""),IF(AJ294&lt;&gt;"",CONCATENATE(","," ","DD"," ",BL294),"")," ",IF(AI294&lt;&gt;"",CONCATENATE(" - ",AI294," Bag"),"")),"")</f>
        <v/>
      </c>
      <c r="AL294" s="287"/>
      <c r="AM294" s="287"/>
      <c r="AN294" s="287"/>
      <c r="AO294" s="287"/>
      <c r="AP294" s="370" t="str">
        <f>IFERROR(VLOOKUP($E291,Outlist!$A$5:$V$120,20,FALSE),"")</f>
        <v/>
      </c>
      <c r="AQ294" s="288" t="str">
        <f>IFERROR(IF(VLOOKUP($A294,#REF!,8,FALSE)&lt;&gt;"",VLOOKUP($A294,#REF!,8,FALSE),""),"")</f>
        <v/>
      </c>
      <c r="AS294" s="24"/>
      <c r="AT294" s="24"/>
      <c r="AU294" s="27"/>
      <c r="AV294" s="27"/>
      <c r="AX294" s="20" t="str">
        <f>IFERROR(IF(Out_Table[[#This Row],[Cancellazione linea]]="Cancellata","yes",""),"")</f>
        <v/>
      </c>
      <c r="AY294" s="72" t="str">
        <f>IF(BA294="",BZ294,IF(AND(BA294&lt;(--"23:59:59"),BA294&gt;(--"15:00:00"),G294&lt;(--"14:00:00"),G294&gt;(--"00:00:01")),"",IF(BA294&gt;G294,BZ294,"")))</f>
        <v/>
      </c>
      <c r="AZ294" s="27"/>
      <c r="BA294" s="32"/>
      <c r="BB294" s="72"/>
      <c r="BC294" s="72" t="str">
        <f>IFERROR(VLOOKUP(Out_Table[[#This Row],[Aggiornamento STATUS]],'INformazioni per calcoli'!$Y$70:$AA$76,2,FALSE),"")</f>
        <v/>
      </c>
      <c r="BD294" s="289"/>
      <c r="BE294" s="289"/>
      <c r="BF294" s="47" t="str">
        <f>LEFT($E294,3)</f>
        <v/>
      </c>
      <c r="BG294" s="298" t="str">
        <f>IF(Out_Table[[#This Row],[Ora Uscita    (GH)]]&lt;&gt;"","x","")</f>
        <v/>
      </c>
      <c r="BH294" s="299" t="e">
        <f>VLOOKUP($O294,'INformazioni per calcoli'!$Y$20:$AA$23,3,FALSE)</f>
        <v>#N/A</v>
      </c>
      <c r="BI294" s="299" t="e">
        <f>MROUND(Out_Table[[#This Row],[Mtr. Trailer]]*AB294,0.5)</f>
        <v>#N/A</v>
      </c>
      <c r="BJ294" s="299" t="e">
        <f>MROUND(Out_Table[[#This Row],[Mtr. Trailer]]*AE294,0.5)</f>
        <v>#N/A</v>
      </c>
      <c r="BK294" s="299" t="e">
        <f>MROUND(Out_Table[[#This Row],[Mtr. Trailer]]*AH294,0.5)</f>
        <v>#N/A</v>
      </c>
      <c r="BL294" s="300">
        <f>Out_Table[[#This Row],[Double Deck trailer N° bumpers]]</f>
        <v>0</v>
      </c>
      <c r="BM294" s="301"/>
      <c r="BN294" s="299">
        <f>B294</f>
        <v>0</v>
      </c>
      <c r="BO294" s="299">
        <f>E294</f>
        <v>0</v>
      </c>
      <c r="BP294" s="302">
        <f>IF(AND(G294&gt;(--"00:00:01"),G294&lt;(--"15:00:00")),IF(AND(X294&gt;(--"00:00:01"),X294&lt;(--"15:00:00")),G294-X294,G294+1-X294),G294-X294)</f>
        <v>0</v>
      </c>
      <c r="BQ294" s="303">
        <f>AE294+AF294+AH294+AJ294</f>
        <v>0</v>
      </c>
      <c r="BR294" s="304" t="str">
        <f>IF(OR(BP294&lt;=(--"00:20:00"),BQ294&gt;=100%),"OK","Not OK")</f>
        <v>OK</v>
      </c>
      <c r="BS294" s="302">
        <f>IF(AND(G294&gt;(--"00:00:01"),G294&lt;(--"15:00:00")),IF(AND(AU294&gt;(--"00:00:01"),AU294&lt;(--"15:00:00")),G294-AU294,G294+1-AU294),G294-AU294)</f>
        <v>0</v>
      </c>
      <c r="BT294" s="302">
        <f>IF(AND(AZ294&gt;(--"00:00:01"),AZ294&lt;(--"15:00:00")),IF(AND(AU294&gt;(--"00:00:01"),AU294&lt;(--"15:00:00")),AZ294-AU294,AZ294+1-AU294),AZ294-AU294)</f>
        <v>0</v>
      </c>
      <c r="BU294" s="302">
        <f>IF(AND(BA294&gt;(--"00:00:01"),BA294&lt;(--"15:00:00")),IF(AND(AZ294&gt;(--"00:00:01"),AZ294&lt;(--"15:00:00")),BA294-AZ294,BA294+1-AZ294),BA294-AZ294)</f>
        <v>0</v>
      </c>
      <c r="BV294" s="299">
        <f>AV294</f>
        <v>0</v>
      </c>
      <c r="BW294" s="301"/>
      <c r="BX294" s="299" t="str">
        <f>IF(AV294="T Status",IF(AV294&lt;&gt;T294,"X",""),"")</f>
        <v/>
      </c>
      <c r="BY294" s="301"/>
      <c r="BZ294" s="299" t="str">
        <f>IF(X294&lt;&gt;"",IF(CC294="X","Driver Delay",IF(CA294="X","Paperwork Delay",IF(CB294="X","Late freight late sort",IF(CD294="X","Chiamare Control Room",IF(CE294="X","Chiamare Control Room",IF(CF294="X","Chiamare Control Room","")))))),"")</f>
        <v/>
      </c>
      <c r="CA294" s="302" t="str">
        <f>IF(K294="",IF(IF(AND(G294&gt;(--"00:00:01"),G294&lt;(--"15:00:00")),IF(AND(AT294&gt;(--"08:00:00"),AT294&lt;(--"23:59:59")),G294+1-AT294,G294-AT294),G294-AT294)&gt;(--"00:20:00"),"","X"),"")</f>
        <v>X</v>
      </c>
      <c r="CB294" s="299" t="str">
        <f>IF(K294="",IF(BP294&gt;=(--"00:20:00"),"","X"),"")</f>
        <v>X</v>
      </c>
      <c r="CC294" s="299" t="str">
        <f>IF(OR(AV294="Autista non presente",AV294="Dati driver non presenti"),"X","")</f>
        <v/>
      </c>
      <c r="CD294" s="299" t="str">
        <f>IF(K294="",IF(AND(CC294="",BS294&lt;(--"00:20:00")),"X",""),"")</f>
        <v>X</v>
      </c>
      <c r="CE294" s="299" t="str">
        <f>IF(K294="",IF(BT294&gt;(--"00:15:00"),"X",""),IF(AZ294&lt;&gt;"",IF(G294-AZ294&gt;(--"00:30:00"),"X",""),""))</f>
        <v/>
      </c>
      <c r="CF294" s="299" t="str">
        <f>IF(AND(CA294="",CB294="",CC294="",CD294="",CE294=""),"X","")</f>
        <v/>
      </c>
      <c r="CG294" s="301"/>
      <c r="CH294" s="299" t="str">
        <f>IF(BT294&gt;(--"00:15:00"),"X","")</f>
        <v/>
      </c>
      <c r="CI294" s="302" t="str">
        <f>AY294</f>
        <v/>
      </c>
      <c r="CJ294" s="299" t="str">
        <f>IF(AND(CH294&lt;&gt;"",CI294&lt;&gt;"",LEFT(B294,3)="ITD"),AP294,"")</f>
        <v/>
      </c>
      <c r="CK294" s="305" t="str">
        <f>IF(CJ294&lt;&gt;"",BT294,"")</f>
        <v/>
      </c>
      <c r="CL294" s="301"/>
      <c r="CM294" s="305" t="str">
        <f>IFERROR(VLOOKUP(Q294,'Elenco Casse'!$D$4:$F$292,3,FALSE),"")</f>
        <v/>
      </c>
      <c r="CN294" s="301"/>
      <c r="CO294" s="305" t="str">
        <f>IFERROR(VLOOKUP(S294,'Elenco Casse'!$D$4:$F$292,3,FALSE),"")</f>
        <v/>
      </c>
      <c r="CP294" s="305" t="str">
        <f>IFERROR(IF(VLOOKUP($E294,Outlist!$A$5:$S$120,19,FALSE)&lt;&gt;0,"Y",""),"")</f>
        <v/>
      </c>
      <c r="CQ294" s="301"/>
      <c r="CR294" s="305" t="str">
        <f>CONCATENATE($B294,$E294,$G294)</f>
        <v/>
      </c>
      <c r="CS294" s="301"/>
      <c r="CT294" s="305" t="e">
        <f>VLOOKUP(Out_Table[[#This Row],[Destination             ORANGE (From Planning)]],Outlist!$A$5:$W$120,22,FALSE)</f>
        <v>#N/A</v>
      </c>
    </row>
    <row r="295" spans="1:98" s="20" customFormat="1" ht="15">
      <c r="A295" s="305" t="str">
        <f>$CR295</f>
        <v/>
      </c>
      <c r="B295" s="284"/>
      <c r="C295" s="290" t="str">
        <f ca="1">IFERROR(IF(LEFT(B295,3)='STAT 77'!$X$2,_xlfn.XLOOKUP(B295,'STAT 77'!C:C,'STAT 77'!B:B),_xlfn.XLOOKUP(B295,'STAT 77'!B:B,'STAT 77'!C:C)),"NON TROVATO")</f>
        <v>NON TROVATO</v>
      </c>
      <c r="D295" s="25"/>
      <c r="E295" s="290"/>
      <c r="F295" s="290" t="str">
        <f>IFERROR(VLOOKUP(E295,'Cambio O2P'!C:E,2,FALSE),"")</f>
        <v/>
      </c>
      <c r="G295" s="285"/>
      <c r="H295" s="293" t="str">
        <f ca="1">IFERROR(IF(AND('INformazioni per calcoli'!$AB$3&lt;(--"14:30"),'INformazioni per calcoli'!$AB$3&gt;(--"10:00")),"",IF($B295="","",IF($X295&lt;&gt;"","Mezzo Chiuso",IF($W295="","Non al Carico",IF($G295-'INformazioni per calcoli'!$AB$5-'INformazioni per calcoli'!$AB$3+$J295&lt;0,"LFLS",IF($K295&lt;&gt;"","Safe Parking",IF($W295&lt;&gt;"",IF($E295="MXP",$G295-'INformazioni per calcoli'!$AB$6-'INformazioni per calcoli'!$AB$3+$J295,$G295-'INformazioni per calcoli'!$AB$5-'INformazioni per calcoli'!$AB$3+$J295),"Non al carico"))))))),"")</f>
        <v/>
      </c>
      <c r="I295" s="17" t="str">
        <f ca="1">IFERROR(IF($H295&lt;&gt;"",IF($H295="Safe Parking","",IF($W295&lt;&gt;"",IF(AND($U295="X",$V295="X"),$H295-(--"00:30"),""),IF($X295&lt;&gt;"","Mezzo Chiuso","Non al carico"))),""),"")</f>
        <v/>
      </c>
      <c r="J295" s="306" t="str">
        <f>IFERROR(IF($B295&lt;&gt;"",IF(AND('INformazioni per calcoli'!$AB$3&lt;(--"15:00"),'INformazioni per calcoli'!$AB$3&gt;(--"00:00")),0,IF($G295&lt;(--"18:30"),"+1",0)),""),"")</f>
        <v/>
      </c>
      <c r="K295" s="27"/>
      <c r="L295" s="25"/>
      <c r="M295" s="25" t="str">
        <f>IFERROR(_xlfn.XLOOKUP($Q295,'Elenco Casse'!$D:$D,'Elenco Casse'!$E:$E),"")</f>
        <v/>
      </c>
      <c r="N295" s="25" t="str">
        <f>IFERROR(_xlfn.XLOOKUP($Q295,'Elenco Casse'!$D:$D,'Elenco Casse'!$F:$F),"")</f>
        <v/>
      </c>
      <c r="O295" s="286"/>
      <c r="P295" s="295" t="str">
        <f>IFERROR(_xlfn.XLOOKUP($Q295,'Elenco Casse'!$D:$D,'Elenco Casse'!$G:$G),"")</f>
        <v/>
      </c>
      <c r="Q295" s="355"/>
      <c r="R295" s="23"/>
      <c r="S295" s="25"/>
      <c r="T295" s="25"/>
      <c r="U295" s="23" t="str">
        <f>IF(ISNUMBER(SEARCH("Parcel",$T295)),"X","")</f>
        <v/>
      </c>
      <c r="V295" s="23" t="str">
        <f>IF(ISNUMBER(SEARCH("Freight",$T295)),"X","")</f>
        <v/>
      </c>
      <c r="W295" s="26"/>
      <c r="X295" s="27"/>
      <c r="Y295" s="25" t="str">
        <f>IF(Out_Table[[#This Row],[DOC Del. hr. (RTH)]]&lt;&gt;"","XXX","")</f>
        <v/>
      </c>
      <c r="Z295" s="25"/>
      <c r="AA295" s="25"/>
      <c r="AB295" s="57"/>
      <c r="AC295" s="25"/>
      <c r="AD295" s="25"/>
      <c r="AE295" s="57"/>
      <c r="AF295" s="57"/>
      <c r="AG295" s="25"/>
      <c r="AH295" s="57"/>
      <c r="AI295" s="339"/>
      <c r="AJ295" s="339"/>
      <c r="AK295" s="297" t="str">
        <f>IF(X295&lt;&gt;"",CONCATENATE(IF(AA295&lt;&gt;"",CONCATENATE(Z295," ",AA295," ",BI295),""),IF(AD295&lt;&gt;"",CONCATENATE(","," ",AC295," ",AD295," ",BJ295),""),IF(AG295&lt;&gt;"",CONCATENATE(","," ",AF295," ",AG295," ",BK295),""),IF(AJ295&lt;&gt;"",CONCATENATE(","," ","DD"," ",BL295),"")," ",IF(AI295&lt;&gt;"",CONCATENATE(" - ",AI295," Bag"),"")),"")</f>
        <v/>
      </c>
      <c r="AL295" s="287"/>
      <c r="AM295" s="287"/>
      <c r="AN295" s="287"/>
      <c r="AO295" s="287"/>
      <c r="AP295" s="370" t="str">
        <f>IFERROR(VLOOKUP($E292,Outlist!$A$5:$V$120,20,FALSE),"")</f>
        <v/>
      </c>
      <c r="AQ295" s="288" t="str">
        <f>IFERROR(IF(VLOOKUP($A295,#REF!,8,FALSE)&lt;&gt;"",VLOOKUP($A295,#REF!,8,FALSE),""),"")</f>
        <v/>
      </c>
      <c r="AS295" s="24"/>
      <c r="AT295" s="24"/>
      <c r="AU295" s="27"/>
      <c r="AV295" s="27"/>
      <c r="AX295" s="20" t="str">
        <f>IFERROR(IF(Out_Table[[#This Row],[Cancellazione linea]]="Cancellata","yes",""),"")</f>
        <v/>
      </c>
      <c r="AY295" s="72" t="str">
        <f>IF(BA295="",BZ295,IF(AND(BA295&lt;(--"23:59:59"),BA295&gt;(--"15:00:00"),G295&lt;(--"14:00:00"),G295&gt;(--"00:00:01")),"",IF(BA295&gt;G295,BZ295,"")))</f>
        <v/>
      </c>
      <c r="AZ295" s="27"/>
      <c r="BA295" s="32"/>
      <c r="BB295" s="72"/>
      <c r="BC295" s="72" t="str">
        <f>IFERROR(VLOOKUP(Out_Table[[#This Row],[Aggiornamento STATUS]],'INformazioni per calcoli'!$Y$70:$AA$76,2,FALSE),"")</f>
        <v/>
      </c>
      <c r="BD295" s="289"/>
      <c r="BE295" s="289"/>
      <c r="BF295" s="47" t="str">
        <f>LEFT($E295,3)</f>
        <v/>
      </c>
      <c r="BG295" s="298" t="str">
        <f>IF(Out_Table[[#This Row],[Ora Uscita    (GH)]]&lt;&gt;"","x","")</f>
        <v/>
      </c>
      <c r="BH295" s="299" t="e">
        <f>VLOOKUP($O295,'INformazioni per calcoli'!$Y$20:$AA$23,3,FALSE)</f>
        <v>#N/A</v>
      </c>
      <c r="BI295" s="299" t="e">
        <f>MROUND(Out_Table[[#This Row],[Mtr. Trailer]]*AB295,0.5)</f>
        <v>#N/A</v>
      </c>
      <c r="BJ295" s="299" t="e">
        <f>MROUND(Out_Table[[#This Row],[Mtr. Trailer]]*AE295,0.5)</f>
        <v>#N/A</v>
      </c>
      <c r="BK295" s="299" t="e">
        <f>MROUND(Out_Table[[#This Row],[Mtr. Trailer]]*AH295,0.5)</f>
        <v>#N/A</v>
      </c>
      <c r="BL295" s="300">
        <f>Out_Table[[#This Row],[Double Deck trailer N° bumpers]]</f>
        <v>0</v>
      </c>
      <c r="BM295" s="301"/>
      <c r="BN295" s="299">
        <f>B295</f>
        <v>0</v>
      </c>
      <c r="BO295" s="299">
        <f>E295</f>
        <v>0</v>
      </c>
      <c r="BP295" s="302">
        <f>IF(AND(G295&gt;(--"00:00:01"),G295&lt;(--"15:00:00")),IF(AND(X295&gt;(--"00:00:01"),X295&lt;(--"15:00:00")),G295-X295,G295+1-X295),G295-X295)</f>
        <v>0</v>
      </c>
      <c r="BQ295" s="303">
        <f>AE295+AF295+AH295+AJ295</f>
        <v>0</v>
      </c>
      <c r="BR295" s="304" t="str">
        <f>IF(OR(BP295&lt;=(--"00:20:00"),BQ295&gt;=100%),"OK","Not OK")</f>
        <v>OK</v>
      </c>
      <c r="BS295" s="302">
        <f>IF(AND(G295&gt;(--"00:00:01"),G295&lt;(--"15:00:00")),IF(AND(AU295&gt;(--"00:00:01"),AU295&lt;(--"15:00:00")),G295-AU295,G295+1-AU295),G295-AU295)</f>
        <v>0</v>
      </c>
      <c r="BT295" s="302">
        <f>IF(AND(AZ295&gt;(--"00:00:01"),AZ295&lt;(--"15:00:00")),IF(AND(AU295&gt;(--"00:00:01"),AU295&lt;(--"15:00:00")),AZ295-AU295,AZ295+1-AU295),AZ295-AU295)</f>
        <v>0</v>
      </c>
      <c r="BU295" s="302">
        <f>IF(AND(BA295&gt;(--"00:00:01"),BA295&lt;(--"15:00:00")),IF(AND(AZ295&gt;(--"00:00:01"),AZ295&lt;(--"15:00:00")),BA295-AZ295,BA295+1-AZ295),BA295-AZ295)</f>
        <v>0</v>
      </c>
      <c r="BV295" s="299">
        <f>AV295</f>
        <v>0</v>
      </c>
      <c r="BW295" s="301"/>
      <c r="BX295" s="299" t="str">
        <f>IF(AV295="T Status",IF(AV295&lt;&gt;T295,"X",""),"")</f>
        <v/>
      </c>
      <c r="BY295" s="301"/>
      <c r="BZ295" s="299" t="str">
        <f>IF(X295&lt;&gt;"",IF(CC295="X","Driver Delay",IF(CA295="X","Paperwork Delay",IF(CB295="X","Late freight late sort",IF(CD295="X","Chiamare Control Room",IF(CE295="X","Chiamare Control Room",IF(CF295="X","Chiamare Control Room","")))))),"")</f>
        <v/>
      </c>
      <c r="CA295" s="302" t="str">
        <f>IF(K295="",IF(IF(AND(G295&gt;(--"00:00:01"),G295&lt;(--"15:00:00")),IF(AND(AT295&gt;(--"08:00:00"),AT295&lt;(--"23:59:59")),G295+1-AT295,G295-AT295),G295-AT295)&gt;(--"00:20:00"),"","X"),"")</f>
        <v>X</v>
      </c>
      <c r="CB295" s="299" t="str">
        <f>IF(K295="",IF(BP295&gt;=(--"00:20:00"),"","X"),"")</f>
        <v>X</v>
      </c>
      <c r="CC295" s="299" t="str">
        <f>IF(OR(AV295="Autista non presente",AV295="Dati driver non presenti"),"X","")</f>
        <v/>
      </c>
      <c r="CD295" s="299" t="str">
        <f>IF(K295="",IF(AND(CC295="",BS295&lt;(--"00:20:00")),"X",""),"")</f>
        <v>X</v>
      </c>
      <c r="CE295" s="299" t="str">
        <f>IF(K295="",IF(BT295&gt;(--"00:15:00"),"X",""),IF(AZ295&lt;&gt;"",IF(G295-AZ295&gt;(--"00:30:00"),"X",""),""))</f>
        <v/>
      </c>
      <c r="CF295" s="299" t="str">
        <f>IF(AND(CA295="",CB295="",CC295="",CD295="",CE295=""),"X","")</f>
        <v/>
      </c>
      <c r="CG295" s="301"/>
      <c r="CH295" s="299" t="str">
        <f>IF(BT295&gt;(--"00:15:00"),"X","")</f>
        <v/>
      </c>
      <c r="CI295" s="302" t="str">
        <f>AY295</f>
        <v/>
      </c>
      <c r="CJ295" s="299" t="str">
        <f>IF(AND(CH295&lt;&gt;"",CI295&lt;&gt;"",LEFT(B295,3)="ITD"),AP295,"")</f>
        <v/>
      </c>
      <c r="CK295" s="305" t="str">
        <f>IF(CJ295&lt;&gt;"",BT295,"")</f>
        <v/>
      </c>
      <c r="CL295" s="301"/>
      <c r="CM295" s="305" t="str">
        <f>IFERROR(VLOOKUP(Q295,'Elenco Casse'!$D$4:$F$292,3,FALSE),"")</f>
        <v/>
      </c>
      <c r="CN295" s="301"/>
      <c r="CO295" s="305" t="str">
        <f>IFERROR(VLOOKUP(S295,'Elenco Casse'!$D$4:$F$292,3,FALSE),"")</f>
        <v/>
      </c>
      <c r="CP295" s="305" t="str">
        <f>IFERROR(IF(VLOOKUP($E295,Outlist!$A$5:$S$120,19,FALSE)&lt;&gt;0,"Y",""),"")</f>
        <v/>
      </c>
      <c r="CQ295" s="301"/>
      <c r="CR295" s="305" t="str">
        <f>CONCATENATE($B295,$E295,$G295)</f>
        <v/>
      </c>
      <c r="CS295" s="301"/>
      <c r="CT295" s="305" t="e">
        <f>VLOOKUP(Out_Table[[#This Row],[Destination             ORANGE (From Planning)]],Outlist!$A$5:$W$120,22,FALSE)</f>
        <v>#N/A</v>
      </c>
    </row>
    <row r="296" spans="1:98" s="20" customFormat="1" ht="15">
      <c r="A296" s="305" t="str">
        <f>$CR296</f>
        <v/>
      </c>
      <c r="B296" s="284"/>
      <c r="C296" s="290" t="str">
        <f ca="1">IFERROR(IF(LEFT(B296,3)='STAT 77'!$X$2,_xlfn.XLOOKUP(B296,'STAT 77'!C:C,'STAT 77'!B:B),_xlfn.XLOOKUP(B296,'STAT 77'!B:B,'STAT 77'!C:C)),"NON TROVATO")</f>
        <v>NON TROVATO</v>
      </c>
      <c r="D296" s="25"/>
      <c r="E296" s="290"/>
      <c r="F296" s="290" t="str">
        <f>IFERROR(VLOOKUP(E296,'Cambio O2P'!C:E,2,FALSE),"")</f>
        <v/>
      </c>
      <c r="G296" s="285"/>
      <c r="H296" s="293" t="str">
        <f ca="1">IFERROR(IF(AND('INformazioni per calcoli'!$AB$3&lt;(--"14:30"),'INformazioni per calcoli'!$AB$3&gt;(--"10:00")),"",IF($B296="","",IF($X296&lt;&gt;"","Mezzo Chiuso",IF($W296="","Non al Carico",IF($G296-'INformazioni per calcoli'!$AB$5-'INformazioni per calcoli'!$AB$3+$J296&lt;0,"LFLS",IF($K296&lt;&gt;"","Safe Parking",IF($W296&lt;&gt;"",IF($E296="MXP",$G296-'INformazioni per calcoli'!$AB$6-'INformazioni per calcoli'!$AB$3+$J296,$G296-'INformazioni per calcoli'!$AB$5-'INformazioni per calcoli'!$AB$3+$J296),"Non al carico"))))))),"")</f>
        <v/>
      </c>
      <c r="I296" s="17" t="str">
        <f ca="1">IFERROR(IF($H296&lt;&gt;"",IF($H296="Safe Parking","",IF($W296&lt;&gt;"",IF(AND($U296="X",$V296="X"),$H296-(--"00:30"),""),IF($X296&lt;&gt;"","Mezzo Chiuso","Non al carico"))),""),"")</f>
        <v/>
      </c>
      <c r="J296" s="306" t="str">
        <f>IFERROR(IF($B296&lt;&gt;"",IF(AND('INformazioni per calcoli'!$AB$3&lt;(--"15:00"),'INformazioni per calcoli'!$AB$3&gt;(--"00:00")),0,IF($G296&lt;(--"18:30"),"+1",0)),""),"")</f>
        <v/>
      </c>
      <c r="K296" s="17"/>
      <c r="L296" s="25"/>
      <c r="M296" s="25" t="str">
        <f>IFERROR(_xlfn.XLOOKUP($Q296,'Elenco Casse'!$D:$D,'Elenco Casse'!$E:$E),"")</f>
        <v/>
      </c>
      <c r="N296" s="25" t="str">
        <f>IFERROR(_xlfn.XLOOKUP($Q296,'Elenco Casse'!$D:$D,'Elenco Casse'!$F:$F),"")</f>
        <v/>
      </c>
      <c r="O296" s="286"/>
      <c r="P296" s="295" t="str">
        <f>IFERROR(_xlfn.XLOOKUP($Q296,'Elenco Casse'!$D:$D,'Elenco Casse'!$G:$G),"")</f>
        <v/>
      </c>
      <c r="Q296" s="355"/>
      <c r="R296" s="23"/>
      <c r="S296" s="25"/>
      <c r="T296" s="25"/>
      <c r="U296" s="23" t="str">
        <f>IF(ISNUMBER(SEARCH("Parcel",$T296)),"X","")</f>
        <v/>
      </c>
      <c r="V296" s="23" t="str">
        <f>IF(ISNUMBER(SEARCH("Freight",$T296)),"X","")</f>
        <v/>
      </c>
      <c r="W296" s="26"/>
      <c r="X296" s="27"/>
      <c r="Y296" s="25" t="str">
        <f>IF(Out_Table[[#This Row],[DOC Del. hr. (RTH)]]&lt;&gt;"","XXX","")</f>
        <v/>
      </c>
      <c r="Z296" s="25"/>
      <c r="AA296" s="25"/>
      <c r="AB296" s="57"/>
      <c r="AC296" s="25"/>
      <c r="AD296" s="25"/>
      <c r="AE296" s="57"/>
      <c r="AF296" s="57"/>
      <c r="AG296" s="25"/>
      <c r="AH296" s="57"/>
      <c r="AI296" s="339"/>
      <c r="AJ296" s="339"/>
      <c r="AK296" s="297" t="str">
        <f>IF(X296&lt;&gt;"",CONCATENATE(IF(AA296&lt;&gt;"",CONCATENATE(Z296," ",AA296," ",BI296),""),IF(AD296&lt;&gt;"",CONCATENATE(","," ",AC296," ",AD296," ",BJ296),""),IF(AG296&lt;&gt;"",CONCATENATE(","," ",AF296," ",AG296," ",BK296),""),IF(AJ296&lt;&gt;"",CONCATENATE(","," ","DD"," ",BL296),"")," ",IF(AI296&lt;&gt;"",CONCATENATE(" - ",AI296," Bag"),"")),"")</f>
        <v/>
      </c>
      <c r="AL296" s="287"/>
      <c r="AM296" s="287"/>
      <c r="AN296" s="287"/>
      <c r="AO296" s="287"/>
      <c r="AP296" s="370" t="str">
        <f>IFERROR(VLOOKUP($E293,Outlist!$A$5:$V$120,20,FALSE),"")</f>
        <v/>
      </c>
      <c r="AQ296" s="288" t="str">
        <f>IFERROR(IF(VLOOKUP($A296,#REF!,8,FALSE)&lt;&gt;"",VLOOKUP($A296,#REF!,8,FALSE),""),"")</f>
        <v/>
      </c>
      <c r="AS296" s="24"/>
      <c r="AT296" s="24"/>
      <c r="AU296" s="27"/>
      <c r="AV296" s="27"/>
      <c r="AX296" s="20" t="str">
        <f>IFERROR(IF(Out_Table[[#This Row],[Cancellazione linea]]="Cancellata","yes",""),"")</f>
        <v/>
      </c>
      <c r="AY296" s="72" t="str">
        <f>IF(BA296="",BZ296,IF(AND(BA296&lt;(--"23:59:59"),BA296&gt;(--"15:00:00"),G296&lt;(--"14:00:00"),G296&gt;(--"00:00:01")),"",IF(BA296&gt;G296,BZ296,"")))</f>
        <v/>
      </c>
      <c r="AZ296" s="27"/>
      <c r="BA296" s="32"/>
      <c r="BB296" s="72"/>
      <c r="BC296" s="72" t="str">
        <f>IFERROR(VLOOKUP(Out_Table[[#This Row],[Aggiornamento STATUS]],'INformazioni per calcoli'!$Y$70:$AA$76,2,FALSE),"")</f>
        <v/>
      </c>
      <c r="BD296" s="289"/>
      <c r="BE296" s="289"/>
      <c r="BF296" s="47" t="str">
        <f>LEFT($E296,3)</f>
        <v/>
      </c>
      <c r="BG296" s="298" t="str">
        <f>IF(Out_Table[[#This Row],[Ora Uscita    (GH)]]&lt;&gt;"","x","")</f>
        <v/>
      </c>
      <c r="BH296" s="299" t="e">
        <f>VLOOKUP($O296,'INformazioni per calcoli'!$Y$20:$AA$23,3,FALSE)</f>
        <v>#N/A</v>
      </c>
      <c r="BI296" s="299" t="e">
        <f>MROUND(Out_Table[[#This Row],[Mtr. Trailer]]*AB296,0.5)</f>
        <v>#N/A</v>
      </c>
      <c r="BJ296" s="299" t="e">
        <f>MROUND(Out_Table[[#This Row],[Mtr. Trailer]]*AE296,0.5)</f>
        <v>#N/A</v>
      </c>
      <c r="BK296" s="299" t="e">
        <f>MROUND(Out_Table[[#This Row],[Mtr. Trailer]]*AH296,0.5)</f>
        <v>#N/A</v>
      </c>
      <c r="BL296" s="300">
        <f>Out_Table[[#This Row],[Double Deck trailer N° bumpers]]</f>
        <v>0</v>
      </c>
      <c r="BM296" s="301"/>
      <c r="BN296" s="299">
        <f>B296</f>
        <v>0</v>
      </c>
      <c r="BO296" s="299">
        <f>E296</f>
        <v>0</v>
      </c>
      <c r="BP296" s="302">
        <f>IF(AND(G296&gt;(--"00:00:01"),G296&lt;(--"15:00:00")),IF(AND(X296&gt;(--"00:00:01"),X296&lt;(--"15:00:00")),G296-X296,G296+1-X296),G296-X296)</f>
        <v>0</v>
      </c>
      <c r="BQ296" s="303">
        <f>AE296+AF296+AH296+AJ296</f>
        <v>0</v>
      </c>
      <c r="BR296" s="304" t="str">
        <f>IF(OR(BP296&lt;=(--"00:20:00"),BQ296&gt;=100%),"OK","Not OK")</f>
        <v>OK</v>
      </c>
      <c r="BS296" s="302">
        <f>IF(AND(G296&gt;(--"00:00:01"),G296&lt;(--"15:00:00")),IF(AND(AU296&gt;(--"00:00:01"),AU296&lt;(--"15:00:00")),G296-AU296,G296+1-AU296),G296-AU296)</f>
        <v>0</v>
      </c>
      <c r="BT296" s="302">
        <f>IF(AND(AZ296&gt;(--"00:00:01"),AZ296&lt;(--"15:00:00")),IF(AND(AU296&gt;(--"00:00:01"),AU296&lt;(--"15:00:00")),AZ296-AU296,AZ296+1-AU296),AZ296-AU296)</f>
        <v>0</v>
      </c>
      <c r="BU296" s="302">
        <f>IF(AND(BA296&gt;(--"00:00:01"),BA296&lt;(--"15:00:00")),IF(AND(AZ296&gt;(--"00:00:01"),AZ296&lt;(--"15:00:00")),BA296-AZ296,BA296+1-AZ296),BA296-AZ296)</f>
        <v>0</v>
      </c>
      <c r="BV296" s="299">
        <f>AV296</f>
        <v>0</v>
      </c>
      <c r="BW296" s="301"/>
      <c r="BX296" s="299" t="str">
        <f>IF(AV296="T Status",IF(AV296&lt;&gt;T296,"X",""),"")</f>
        <v/>
      </c>
      <c r="BY296" s="301"/>
      <c r="BZ296" s="299" t="str">
        <f>IF(X296&lt;&gt;"",IF(CC296="X","Driver Delay",IF(CA296="X","Paperwork Delay",IF(CB296="X","Late freight late sort",IF(CD296="X","Chiamare Control Room",IF(CE296="X","Chiamare Control Room",IF(CF296="X","Chiamare Control Room","")))))),"")</f>
        <v/>
      </c>
      <c r="CA296" s="302" t="str">
        <f>IF(K296="",IF(IF(AND(G296&gt;(--"00:00:01"),G296&lt;(--"15:00:00")),IF(AND(AT296&gt;(--"08:00:00"),AT296&lt;(--"23:59:59")),G296+1-AT296,G296-AT296),G296-AT296)&gt;(--"00:20:00"),"","X"),"")</f>
        <v>X</v>
      </c>
      <c r="CB296" s="299" t="str">
        <f>IF(K296="",IF(BP296&gt;=(--"00:20:00"),"","X"),"")</f>
        <v>X</v>
      </c>
      <c r="CC296" s="299" t="str">
        <f>IF(OR(AV296="Autista non presente",AV296="Dati driver non presenti"),"X","")</f>
        <v/>
      </c>
      <c r="CD296" s="299" t="str">
        <f>IF(K296="",IF(AND(CC296="",BS296&lt;(--"00:20:00")),"X",""),"")</f>
        <v>X</v>
      </c>
      <c r="CE296" s="299" t="str">
        <f>IF(K296="",IF(BT296&gt;(--"00:15:00"),"X",""),IF(AZ296&lt;&gt;"",IF(G296-AZ296&gt;(--"00:30:00"),"X",""),""))</f>
        <v/>
      </c>
      <c r="CF296" s="299" t="str">
        <f>IF(AND(CA296="",CB296="",CC296="",CD296="",CE296=""),"X","")</f>
        <v/>
      </c>
      <c r="CG296" s="301"/>
      <c r="CH296" s="299" t="str">
        <f>IF(BT296&gt;(--"00:15:00"),"X","")</f>
        <v/>
      </c>
      <c r="CI296" s="302" t="str">
        <f>AY296</f>
        <v/>
      </c>
      <c r="CJ296" s="299" t="str">
        <f>IF(AND(CH296&lt;&gt;"",CI296&lt;&gt;"",LEFT(B296,3)="ITD"),AP296,"")</f>
        <v/>
      </c>
      <c r="CK296" s="305" t="str">
        <f>IF(CJ296&lt;&gt;"",BT296,"")</f>
        <v/>
      </c>
      <c r="CL296" s="301"/>
      <c r="CM296" s="305" t="str">
        <f>IFERROR(VLOOKUP(Q296,'Elenco Casse'!$D$4:$F$292,3,FALSE),"")</f>
        <v/>
      </c>
      <c r="CN296" s="301"/>
      <c r="CO296" s="305" t="str">
        <f>IFERROR(VLOOKUP(S296,'Elenco Casse'!$D$4:$F$292,3,FALSE),"")</f>
        <v/>
      </c>
      <c r="CP296" s="305" t="str">
        <f>IFERROR(IF(VLOOKUP($E296,Outlist!$A$5:$S$120,19,FALSE)&lt;&gt;0,"Y",""),"")</f>
        <v/>
      </c>
      <c r="CQ296" s="301"/>
      <c r="CR296" s="305" t="str">
        <f>CONCATENATE($B296,$E296,$G296)</f>
        <v/>
      </c>
      <c r="CS296" s="301"/>
      <c r="CT296" s="305" t="e">
        <f>VLOOKUP(Out_Table[[#This Row],[Destination             ORANGE (From Planning)]],Outlist!$A$5:$W$120,22,FALSE)</f>
        <v>#N/A</v>
      </c>
    </row>
    <row r="297" spans="1:98" s="20" customFormat="1" ht="15">
      <c r="A297" s="305" t="str">
        <f>$CR297</f>
        <v/>
      </c>
      <c r="B297" s="284"/>
      <c r="C297" s="290" t="str">
        <f ca="1">IFERROR(IF(LEFT(B297,3)='STAT 77'!$X$2,_xlfn.XLOOKUP(B297,'STAT 77'!C:C,'STAT 77'!B:B),_xlfn.XLOOKUP(B297,'STAT 77'!B:B,'STAT 77'!C:C)),"NON TROVATO")</f>
        <v>NON TROVATO</v>
      </c>
      <c r="D297" s="25"/>
      <c r="E297" s="290"/>
      <c r="F297" s="290" t="str">
        <f>IFERROR(VLOOKUP(E297,'Cambio O2P'!C:E,2,FALSE),"")</f>
        <v/>
      </c>
      <c r="G297" s="285"/>
      <c r="H297" s="293" t="str">
        <f ca="1">IFERROR(IF(AND('INformazioni per calcoli'!$AB$3&lt;(--"14:30"),'INformazioni per calcoli'!$AB$3&gt;(--"10:00")),"",IF($B297="","",IF($X297&lt;&gt;"","Mezzo Chiuso",IF($W297="","Non al Carico",IF($G297-'INformazioni per calcoli'!$AB$5-'INformazioni per calcoli'!$AB$3+$J297&lt;0,"LFLS",IF($K297&lt;&gt;"","Safe Parking",IF($W297&lt;&gt;"",IF($E297="MXP",$G297-'INformazioni per calcoli'!$AB$6-'INformazioni per calcoli'!$AB$3+$J297,$G297-'INformazioni per calcoli'!$AB$5-'INformazioni per calcoli'!$AB$3+$J297),"Non al carico"))))))),"")</f>
        <v/>
      </c>
      <c r="I297" s="17" t="str">
        <f ca="1">IFERROR(IF($H297&lt;&gt;"",IF($H297="Safe Parking","",IF($W297&lt;&gt;"",IF(AND($U297="X",$V297="X"),$H297-(--"00:30"),""),IF($X297&lt;&gt;"","Mezzo Chiuso","Non al carico"))),""),"")</f>
        <v/>
      </c>
      <c r="J297" s="306" t="str">
        <f>IFERROR(IF($B297&lt;&gt;"",IF(AND('INformazioni per calcoli'!$AB$3&lt;(--"15:00"),'INformazioni per calcoli'!$AB$3&gt;(--"00:00")),0,IF($G297&lt;(--"18:30"),"+1",0)),""),"")</f>
        <v/>
      </c>
      <c r="K297" s="27"/>
      <c r="L297" s="25"/>
      <c r="M297" s="25" t="str">
        <f>IFERROR(_xlfn.XLOOKUP($Q297,'Elenco Casse'!$D:$D,'Elenco Casse'!$E:$E),"")</f>
        <v/>
      </c>
      <c r="N297" s="25" t="str">
        <f>IFERROR(_xlfn.XLOOKUP($Q297,'Elenco Casse'!$D:$D,'Elenco Casse'!$F:$F),"")</f>
        <v/>
      </c>
      <c r="O297" s="286"/>
      <c r="P297" s="295" t="str">
        <f>IFERROR(_xlfn.XLOOKUP($Q297,'Elenco Casse'!$D:$D,'Elenco Casse'!$G:$G),"")</f>
        <v/>
      </c>
      <c r="Q297" s="355"/>
      <c r="R297" s="23"/>
      <c r="S297" s="25"/>
      <c r="T297" s="25"/>
      <c r="U297" s="23" t="str">
        <f>IF(ISNUMBER(SEARCH("Parcel",$T297)),"X","")</f>
        <v/>
      </c>
      <c r="V297" s="23" t="str">
        <f>IF(ISNUMBER(SEARCH("Freight",$T297)),"X","")</f>
        <v/>
      </c>
      <c r="W297" s="26"/>
      <c r="X297" s="27"/>
      <c r="Y297" s="25" t="str">
        <f>IF(Out_Table[[#This Row],[DOC Del. hr. (RTH)]]&lt;&gt;"","XXX","")</f>
        <v/>
      </c>
      <c r="Z297" s="25"/>
      <c r="AA297" s="25"/>
      <c r="AB297" s="57"/>
      <c r="AC297" s="25"/>
      <c r="AD297" s="25"/>
      <c r="AE297" s="57"/>
      <c r="AF297" s="57"/>
      <c r="AG297" s="25"/>
      <c r="AH297" s="57"/>
      <c r="AI297" s="339"/>
      <c r="AJ297" s="339"/>
      <c r="AK297" s="297" t="str">
        <f>IF(X297&lt;&gt;"",CONCATENATE(IF(AA297&lt;&gt;"",CONCATENATE(Z297," ",AA297," ",BI297),""),IF(AD297&lt;&gt;"",CONCATENATE(","," ",AC297," ",AD297," ",BJ297),""),IF(AG297&lt;&gt;"",CONCATENATE(","," ",AF297," ",AG297," ",BK297),""),IF(AJ297&lt;&gt;"",CONCATENATE(","," ","DD"," ",BL297),"")," ",IF(AI297&lt;&gt;"",CONCATENATE(" - ",AI297," Bag"),"")),"")</f>
        <v/>
      </c>
      <c r="AL297" s="287"/>
      <c r="AM297" s="287"/>
      <c r="AN297" s="287"/>
      <c r="AO297" s="287"/>
      <c r="AP297" s="370" t="str">
        <f>IFERROR(VLOOKUP($E294,Outlist!$A$5:$V$120,20,FALSE),"")</f>
        <v/>
      </c>
      <c r="AQ297" s="288" t="str">
        <f>IFERROR(IF(VLOOKUP($A297,#REF!,8,FALSE)&lt;&gt;"",VLOOKUP($A297,#REF!,8,FALSE),""),"")</f>
        <v/>
      </c>
      <c r="AS297" s="24"/>
      <c r="AT297" s="24"/>
      <c r="AU297" s="27"/>
      <c r="AV297" s="27"/>
      <c r="AX297" s="20" t="str">
        <f>IFERROR(IF(Out_Table[[#This Row],[Cancellazione linea]]="Cancellata","yes",""),"")</f>
        <v/>
      </c>
      <c r="AY297" s="72" t="str">
        <f>IF(BA297="",BZ297,IF(AND(BA297&lt;(--"23:59:59"),BA297&gt;(--"15:00:00"),G297&lt;(--"14:00:00"),G297&gt;(--"00:00:01")),"",IF(BA297&gt;G297,BZ297,"")))</f>
        <v/>
      </c>
      <c r="AZ297" s="27"/>
      <c r="BA297" s="32"/>
      <c r="BB297" s="72"/>
      <c r="BC297" s="72" t="str">
        <f>IFERROR(VLOOKUP(Out_Table[[#This Row],[Aggiornamento STATUS]],'INformazioni per calcoli'!$Y$70:$AA$76,2,FALSE),"")</f>
        <v/>
      </c>
      <c r="BD297" s="289"/>
      <c r="BE297" s="289"/>
      <c r="BF297" s="47" t="str">
        <f>LEFT($E297,3)</f>
        <v/>
      </c>
      <c r="BG297" s="298" t="str">
        <f>IF(Out_Table[[#This Row],[Ora Uscita    (GH)]]&lt;&gt;"","x","")</f>
        <v/>
      </c>
      <c r="BH297" s="299" t="e">
        <f>VLOOKUP($O297,'INformazioni per calcoli'!$Y$20:$AA$23,3,FALSE)</f>
        <v>#N/A</v>
      </c>
      <c r="BI297" s="299" t="e">
        <f>MROUND(Out_Table[[#This Row],[Mtr. Trailer]]*AB297,0.5)</f>
        <v>#N/A</v>
      </c>
      <c r="BJ297" s="299" t="e">
        <f>MROUND(Out_Table[[#This Row],[Mtr. Trailer]]*AE297,0.5)</f>
        <v>#N/A</v>
      </c>
      <c r="BK297" s="299" t="e">
        <f>MROUND(Out_Table[[#This Row],[Mtr. Trailer]]*AH297,0.5)</f>
        <v>#N/A</v>
      </c>
      <c r="BL297" s="300">
        <f>Out_Table[[#This Row],[Double Deck trailer N° bumpers]]</f>
        <v>0</v>
      </c>
      <c r="BM297" s="301"/>
      <c r="BN297" s="299">
        <f>B297</f>
        <v>0</v>
      </c>
      <c r="BO297" s="299">
        <f>E297</f>
        <v>0</v>
      </c>
      <c r="BP297" s="302">
        <f>IF(AND(G297&gt;(--"00:00:01"),G297&lt;(--"15:00:00")),IF(AND(X297&gt;(--"00:00:01"),X297&lt;(--"15:00:00")),G297-X297,G297+1-X297),G297-X297)</f>
        <v>0</v>
      </c>
      <c r="BQ297" s="303">
        <f>AE297+AF297+AH297+AJ297</f>
        <v>0</v>
      </c>
      <c r="BR297" s="304" t="str">
        <f>IF(OR(BP297&lt;=(--"00:20:00"),BQ297&gt;=100%),"OK","Not OK")</f>
        <v>OK</v>
      </c>
      <c r="BS297" s="302">
        <f>IF(AND(G297&gt;(--"00:00:01"),G297&lt;(--"15:00:00")),IF(AND(AU297&gt;(--"00:00:01"),AU297&lt;(--"15:00:00")),G297-AU297,G297+1-AU297),G297-AU297)</f>
        <v>0</v>
      </c>
      <c r="BT297" s="302">
        <f>IF(AND(AZ297&gt;(--"00:00:01"),AZ297&lt;(--"15:00:00")),IF(AND(AU297&gt;(--"00:00:01"),AU297&lt;(--"15:00:00")),AZ297-AU297,AZ297+1-AU297),AZ297-AU297)</f>
        <v>0</v>
      </c>
      <c r="BU297" s="302">
        <f>IF(AND(BA297&gt;(--"00:00:01"),BA297&lt;(--"15:00:00")),IF(AND(AZ297&gt;(--"00:00:01"),AZ297&lt;(--"15:00:00")),BA297-AZ297,BA297+1-AZ297),BA297-AZ297)</f>
        <v>0</v>
      </c>
      <c r="BV297" s="299">
        <f>AV297</f>
        <v>0</v>
      </c>
      <c r="BW297" s="301"/>
      <c r="BX297" s="299" t="str">
        <f>IF(AV297="T Status",IF(AV297&lt;&gt;T297,"X",""),"")</f>
        <v/>
      </c>
      <c r="BY297" s="301"/>
      <c r="BZ297" s="299" t="str">
        <f>IF(X297&lt;&gt;"",IF(CC297="X","Driver Delay",IF(CA297="X","Paperwork Delay",IF(CB297="X","Late freight late sort",IF(CD297="X","Chiamare Control Room",IF(CE297="X","Chiamare Control Room",IF(CF297="X","Chiamare Control Room","")))))),"")</f>
        <v/>
      </c>
      <c r="CA297" s="302" t="str">
        <f>IF(K297="",IF(IF(AND(G297&gt;(--"00:00:01"),G297&lt;(--"15:00:00")),IF(AND(AT297&gt;(--"08:00:00"),AT297&lt;(--"23:59:59")),G297+1-AT297,G297-AT297),G297-AT297)&gt;(--"00:20:00"),"","X"),"")</f>
        <v>X</v>
      </c>
      <c r="CB297" s="299" t="str">
        <f>IF(K297="",IF(BP297&gt;=(--"00:20:00"),"","X"),"")</f>
        <v>X</v>
      </c>
      <c r="CC297" s="299" t="str">
        <f>IF(OR(AV297="Autista non presente",AV297="Dati driver non presenti"),"X","")</f>
        <v/>
      </c>
      <c r="CD297" s="299" t="str">
        <f>IF(K297="",IF(AND(CC297="",BS297&lt;(--"00:20:00")),"X",""),"")</f>
        <v>X</v>
      </c>
      <c r="CE297" s="299" t="str">
        <f>IF(K297="",IF(BT297&gt;(--"00:15:00"),"X",""),IF(AZ297&lt;&gt;"",IF(G297-AZ297&gt;(--"00:30:00"),"X",""),""))</f>
        <v/>
      </c>
      <c r="CF297" s="299" t="str">
        <f>IF(AND(CA297="",CB297="",CC297="",CD297="",CE297=""),"X","")</f>
        <v/>
      </c>
      <c r="CG297" s="301"/>
      <c r="CH297" s="299" t="str">
        <f>IF(BT297&gt;(--"00:15:00"),"X","")</f>
        <v/>
      </c>
      <c r="CI297" s="302" t="str">
        <f>AY297</f>
        <v/>
      </c>
      <c r="CJ297" s="299" t="str">
        <f>IF(AND(CH297&lt;&gt;"",CI297&lt;&gt;"",LEFT(B297,3)="ITD"),AP297,"")</f>
        <v/>
      </c>
      <c r="CK297" s="305" t="str">
        <f>IF(CJ297&lt;&gt;"",BT297,"")</f>
        <v/>
      </c>
      <c r="CL297" s="301"/>
      <c r="CM297" s="305" t="str">
        <f>IFERROR(VLOOKUP(Q297,'Elenco Casse'!$D$4:$F$292,3,FALSE),"")</f>
        <v/>
      </c>
      <c r="CN297" s="301"/>
      <c r="CO297" s="305" t="str">
        <f>IFERROR(VLOOKUP(S297,'Elenco Casse'!$D$4:$F$292,3,FALSE),"")</f>
        <v/>
      </c>
      <c r="CP297" s="305" t="str">
        <f>IFERROR(IF(VLOOKUP($E297,Outlist!$A$5:$S$120,19,FALSE)&lt;&gt;0,"Y",""),"")</f>
        <v/>
      </c>
      <c r="CQ297" s="301"/>
      <c r="CR297" s="305" t="str">
        <f>CONCATENATE($B297,$E297,$G297)</f>
        <v/>
      </c>
      <c r="CS297" s="301"/>
      <c r="CT297" s="305" t="e">
        <f>VLOOKUP(Out_Table[[#This Row],[Destination             ORANGE (From Planning)]],Outlist!$A$5:$W$120,22,FALSE)</f>
        <v>#N/A</v>
      </c>
    </row>
    <row r="298" spans="1:98" s="20" customFormat="1" ht="15">
      <c r="A298" s="305" t="str">
        <f>$CR298</f>
        <v/>
      </c>
      <c r="B298" s="284"/>
      <c r="C298" s="290" t="str">
        <f ca="1">IFERROR(IF(LEFT(B298,3)='STAT 77'!$X$2,_xlfn.XLOOKUP(B298,'STAT 77'!C:C,'STAT 77'!B:B),_xlfn.XLOOKUP(B298,'STAT 77'!B:B,'STAT 77'!C:C)),"NON TROVATO")</f>
        <v>NON TROVATO</v>
      </c>
      <c r="D298" s="25"/>
      <c r="E298" s="290"/>
      <c r="F298" s="290" t="str">
        <f>IFERROR(VLOOKUP(E298,'Cambio O2P'!C:E,2,FALSE),"")</f>
        <v/>
      </c>
      <c r="G298" s="285"/>
      <c r="H298" s="293" t="str">
        <f ca="1">IFERROR(IF(AND('INformazioni per calcoli'!$AB$3&lt;(--"14:30"),'INformazioni per calcoli'!$AB$3&gt;(--"10:00")),"",IF($B298="","",IF($X298&lt;&gt;"","Mezzo Chiuso",IF($W298="","Non al Carico",IF($G298-'INformazioni per calcoli'!$AB$5-'INformazioni per calcoli'!$AB$3+$J298&lt;0,"LFLS",IF($K298&lt;&gt;"","Safe Parking",IF($W298&lt;&gt;"",IF($E298="MXP",$G298-'INformazioni per calcoli'!$AB$6-'INformazioni per calcoli'!$AB$3+$J298,$G298-'INformazioni per calcoli'!$AB$5-'INformazioni per calcoli'!$AB$3+$J298),"Non al carico"))))))),"")</f>
        <v/>
      </c>
      <c r="I298" s="17" t="str">
        <f ca="1">IFERROR(IF($H298&lt;&gt;"",IF($H298="Safe Parking","",IF($W298&lt;&gt;"",IF(AND($U298="X",$V298="X"),$H298-(--"00:30"),""),IF($X298&lt;&gt;"","Mezzo Chiuso","Non al carico"))),""),"")</f>
        <v/>
      </c>
      <c r="J298" s="306" t="str">
        <f>IFERROR(IF($B298&lt;&gt;"",IF(AND('INformazioni per calcoli'!$AB$3&lt;(--"15:00"),'INformazioni per calcoli'!$AB$3&gt;(--"00:00")),0,IF($G298&lt;(--"18:30"),"+1",0)),""),"")</f>
        <v/>
      </c>
      <c r="K298" s="17"/>
      <c r="L298" s="25"/>
      <c r="M298" s="25" t="str">
        <f>IFERROR(_xlfn.XLOOKUP($Q298,'Elenco Casse'!$D:$D,'Elenco Casse'!$E:$E),"")</f>
        <v/>
      </c>
      <c r="N298" s="25" t="str">
        <f>IFERROR(_xlfn.XLOOKUP($Q298,'Elenco Casse'!$D:$D,'Elenco Casse'!$F:$F),"")</f>
        <v/>
      </c>
      <c r="O298" s="286"/>
      <c r="P298" s="295" t="str">
        <f>IFERROR(_xlfn.XLOOKUP($Q298,'Elenco Casse'!$D:$D,'Elenco Casse'!$G:$G),"")</f>
        <v/>
      </c>
      <c r="Q298" s="355"/>
      <c r="R298" s="23"/>
      <c r="S298" s="25"/>
      <c r="T298" s="25"/>
      <c r="U298" s="23" t="str">
        <f>IF(ISNUMBER(SEARCH("Parcel",$T298)),"X","")</f>
        <v/>
      </c>
      <c r="V298" s="23" t="str">
        <f>IF(ISNUMBER(SEARCH("Freight",$T298)),"X","")</f>
        <v/>
      </c>
      <c r="W298" s="26"/>
      <c r="X298" s="27"/>
      <c r="Y298" s="25" t="str">
        <f>IF(Out_Table[[#This Row],[DOC Del. hr. (RTH)]]&lt;&gt;"","XXX","")</f>
        <v/>
      </c>
      <c r="Z298" s="25"/>
      <c r="AA298" s="25"/>
      <c r="AB298" s="57"/>
      <c r="AC298" s="25"/>
      <c r="AD298" s="25"/>
      <c r="AE298" s="57"/>
      <c r="AF298" s="57"/>
      <c r="AG298" s="25"/>
      <c r="AH298" s="57"/>
      <c r="AI298" s="339"/>
      <c r="AJ298" s="339"/>
      <c r="AK298" s="297" t="str">
        <f>IF(X298&lt;&gt;"",CONCATENATE(IF(AA298&lt;&gt;"",CONCATENATE(Z298," ",AA298," ",BI298),""),IF(AD298&lt;&gt;"",CONCATENATE(","," ",AC298," ",AD298," ",BJ298),""),IF(AG298&lt;&gt;"",CONCATENATE(","," ",AF298," ",AG298," ",BK298),""),IF(AJ298&lt;&gt;"",CONCATENATE(","," ","DD"," ",BL298),"")," ",IF(AI298&lt;&gt;"",CONCATENATE(" - ",AI298," Bag"),"")),"")</f>
        <v/>
      </c>
      <c r="AL298" s="287"/>
      <c r="AM298" s="287"/>
      <c r="AN298" s="287"/>
      <c r="AO298" s="287"/>
      <c r="AP298" s="370" t="str">
        <f>IFERROR(VLOOKUP($E295,Outlist!$A$5:$V$120,20,FALSE),"")</f>
        <v/>
      </c>
      <c r="AQ298" s="288" t="str">
        <f>IFERROR(IF(VLOOKUP($A298,#REF!,8,FALSE)&lt;&gt;"",VLOOKUP($A298,#REF!,8,FALSE),""),"")</f>
        <v/>
      </c>
      <c r="AS298" s="24"/>
      <c r="AT298" s="24"/>
      <c r="AU298" s="27"/>
      <c r="AV298" s="27"/>
      <c r="AX298" s="20" t="str">
        <f>IFERROR(IF(Out_Table[[#This Row],[Cancellazione linea]]="Cancellata","yes",""),"")</f>
        <v/>
      </c>
      <c r="AY298" s="72" t="str">
        <f>IF(BA298="",BZ298,IF(AND(BA298&lt;(--"23:59:59"),BA298&gt;(--"15:00:00"),G298&lt;(--"14:00:00"),G298&gt;(--"00:00:01")),"",IF(BA298&gt;G298,BZ298,"")))</f>
        <v/>
      </c>
      <c r="AZ298" s="27"/>
      <c r="BA298" s="32"/>
      <c r="BB298" s="72"/>
      <c r="BC298" s="72" t="str">
        <f>IFERROR(VLOOKUP(Out_Table[[#This Row],[Aggiornamento STATUS]],'INformazioni per calcoli'!$Y$70:$AA$76,2,FALSE),"")</f>
        <v/>
      </c>
      <c r="BD298" s="289"/>
      <c r="BE298" s="289"/>
      <c r="BF298" s="47" t="str">
        <f>LEFT($E298,3)</f>
        <v/>
      </c>
      <c r="BG298" s="298" t="str">
        <f>IF(Out_Table[[#This Row],[Ora Uscita    (GH)]]&lt;&gt;"","x","")</f>
        <v/>
      </c>
      <c r="BH298" s="299" t="e">
        <f>VLOOKUP($O298,'INformazioni per calcoli'!$Y$20:$AA$23,3,FALSE)</f>
        <v>#N/A</v>
      </c>
      <c r="BI298" s="299" t="e">
        <f>MROUND(Out_Table[[#This Row],[Mtr. Trailer]]*AB298,0.5)</f>
        <v>#N/A</v>
      </c>
      <c r="BJ298" s="299" t="e">
        <f>MROUND(Out_Table[[#This Row],[Mtr. Trailer]]*AE298,0.5)</f>
        <v>#N/A</v>
      </c>
      <c r="BK298" s="299" t="e">
        <f>MROUND(Out_Table[[#This Row],[Mtr. Trailer]]*AH298,0.5)</f>
        <v>#N/A</v>
      </c>
      <c r="BL298" s="300">
        <f>Out_Table[[#This Row],[Double Deck trailer N° bumpers]]</f>
        <v>0</v>
      </c>
      <c r="BM298" s="301"/>
      <c r="BN298" s="299">
        <f>B298</f>
        <v>0</v>
      </c>
      <c r="BO298" s="299">
        <f>E298</f>
        <v>0</v>
      </c>
      <c r="BP298" s="302">
        <f>IF(AND(G298&gt;(--"00:00:01"),G298&lt;(--"15:00:00")),IF(AND(X298&gt;(--"00:00:01"),X298&lt;(--"15:00:00")),G298-X298,G298+1-X298),G298-X298)</f>
        <v>0</v>
      </c>
      <c r="BQ298" s="303">
        <f>AE298+AF298+AH298+AJ298</f>
        <v>0</v>
      </c>
      <c r="BR298" s="304" t="str">
        <f>IF(OR(BP298&lt;=(--"00:20:00"),BQ298&gt;=100%),"OK","Not OK")</f>
        <v>OK</v>
      </c>
      <c r="BS298" s="302">
        <f>IF(AND(G298&gt;(--"00:00:01"),G298&lt;(--"15:00:00")),IF(AND(AU298&gt;(--"00:00:01"),AU298&lt;(--"15:00:00")),G298-AU298,G298+1-AU298),G298-AU298)</f>
        <v>0</v>
      </c>
      <c r="BT298" s="302">
        <f>IF(AND(AZ298&gt;(--"00:00:01"),AZ298&lt;(--"15:00:00")),IF(AND(AU298&gt;(--"00:00:01"),AU298&lt;(--"15:00:00")),AZ298-AU298,AZ298+1-AU298),AZ298-AU298)</f>
        <v>0</v>
      </c>
      <c r="BU298" s="302">
        <f>IF(AND(BA298&gt;(--"00:00:01"),BA298&lt;(--"15:00:00")),IF(AND(AZ298&gt;(--"00:00:01"),AZ298&lt;(--"15:00:00")),BA298-AZ298,BA298+1-AZ298),BA298-AZ298)</f>
        <v>0</v>
      </c>
      <c r="BV298" s="299">
        <f>AV298</f>
        <v>0</v>
      </c>
      <c r="BW298" s="301"/>
      <c r="BX298" s="299" t="str">
        <f>IF(AV298="T Status",IF(AV298&lt;&gt;T298,"X",""),"")</f>
        <v/>
      </c>
      <c r="BY298" s="301"/>
      <c r="BZ298" s="299" t="str">
        <f>IF(X298&lt;&gt;"",IF(CC298="X","Driver Delay",IF(CA298="X","Paperwork Delay",IF(CB298="X","Late freight late sort",IF(CD298="X","Chiamare Control Room",IF(CE298="X","Chiamare Control Room",IF(CF298="X","Chiamare Control Room","")))))),"")</f>
        <v/>
      </c>
      <c r="CA298" s="302" t="str">
        <f>IF(K298="",IF(IF(AND(G298&gt;(--"00:00:01"),G298&lt;(--"15:00:00")),IF(AND(AT298&gt;(--"08:00:00"),AT298&lt;(--"23:59:59")),G298+1-AT298,G298-AT298),G298-AT298)&gt;(--"00:20:00"),"","X"),"")</f>
        <v>X</v>
      </c>
      <c r="CB298" s="299" t="str">
        <f>IF(K298="",IF(BP298&gt;=(--"00:20:00"),"","X"),"")</f>
        <v>X</v>
      </c>
      <c r="CC298" s="299" t="str">
        <f>IF(OR(AV298="Autista non presente",AV298="Dati driver non presenti"),"X","")</f>
        <v/>
      </c>
      <c r="CD298" s="299" t="str">
        <f>IF(K298="",IF(AND(CC298="",BS298&lt;(--"00:20:00")),"X",""),"")</f>
        <v>X</v>
      </c>
      <c r="CE298" s="299" t="str">
        <f>IF(K298="",IF(BT298&gt;(--"00:15:00"),"X",""),IF(AZ298&lt;&gt;"",IF(G298-AZ298&gt;(--"00:30:00"),"X",""),""))</f>
        <v/>
      </c>
      <c r="CF298" s="299" t="str">
        <f>IF(AND(CA298="",CB298="",CC298="",CD298="",CE298=""),"X","")</f>
        <v/>
      </c>
      <c r="CG298" s="301"/>
      <c r="CH298" s="299" t="str">
        <f>IF(BT298&gt;(--"00:15:00"),"X","")</f>
        <v/>
      </c>
      <c r="CI298" s="302" t="str">
        <f>AY298</f>
        <v/>
      </c>
      <c r="CJ298" s="299" t="str">
        <f>IF(AND(CH298&lt;&gt;"",CI298&lt;&gt;"",LEFT(B298,3)="ITD"),AP298,"")</f>
        <v/>
      </c>
      <c r="CK298" s="305" t="str">
        <f>IF(CJ298&lt;&gt;"",BT298,"")</f>
        <v/>
      </c>
      <c r="CL298" s="301"/>
      <c r="CM298" s="305" t="str">
        <f>IFERROR(VLOOKUP(Q298,'Elenco Casse'!$D$4:$F$292,3,FALSE),"")</f>
        <v/>
      </c>
      <c r="CN298" s="301"/>
      <c r="CO298" s="305" t="str">
        <f>IFERROR(VLOOKUP(S298,'Elenco Casse'!$D$4:$F$292,3,FALSE),"")</f>
        <v/>
      </c>
      <c r="CP298" s="305" t="str">
        <f>IFERROR(IF(VLOOKUP($E298,Outlist!$A$5:$S$120,19,FALSE)&lt;&gt;0,"Y",""),"")</f>
        <v/>
      </c>
      <c r="CQ298" s="301"/>
      <c r="CR298" s="305" t="str">
        <f>CONCATENATE($B298,$E298,$G298)</f>
        <v/>
      </c>
      <c r="CS298" s="301"/>
      <c r="CT298" s="305" t="e">
        <f>VLOOKUP(Out_Table[[#This Row],[Destination             ORANGE (From Planning)]],Outlist!$A$5:$W$120,22,FALSE)</f>
        <v>#N/A</v>
      </c>
    </row>
    <row r="299" spans="1:98" s="20" customFormat="1" ht="15">
      <c r="A299" s="305" t="str">
        <f>$CR299</f>
        <v/>
      </c>
      <c r="B299" s="284"/>
      <c r="C299" s="290" t="str">
        <f ca="1">IFERROR(IF(LEFT(B299,3)='STAT 77'!$X$2,_xlfn.XLOOKUP(B299,'STAT 77'!C:C,'STAT 77'!B:B),_xlfn.XLOOKUP(B299,'STAT 77'!B:B,'STAT 77'!C:C)),"NON TROVATO")</f>
        <v>NON TROVATO</v>
      </c>
      <c r="D299" s="25"/>
      <c r="E299" s="290"/>
      <c r="F299" s="290" t="str">
        <f>IFERROR(VLOOKUP(E299,'Cambio O2P'!C:E,2,FALSE),"")</f>
        <v/>
      </c>
      <c r="G299" s="285"/>
      <c r="H299" s="293" t="str">
        <f ca="1">IFERROR(IF(AND('INformazioni per calcoli'!$AB$3&lt;(--"14:30"),'INformazioni per calcoli'!$AB$3&gt;(--"10:00")),"",IF($B299="","",IF($X299&lt;&gt;"","Mezzo Chiuso",IF($W299="","Non al Carico",IF($G299-'INformazioni per calcoli'!$AB$5-'INformazioni per calcoli'!$AB$3+$J299&lt;0,"LFLS",IF($K299&lt;&gt;"","Safe Parking",IF($W299&lt;&gt;"",IF($E299="MXP",$G299-'INformazioni per calcoli'!$AB$6-'INformazioni per calcoli'!$AB$3+$J299,$G299-'INformazioni per calcoli'!$AB$5-'INformazioni per calcoli'!$AB$3+$J299),"Non al carico"))))))),"")</f>
        <v/>
      </c>
      <c r="I299" s="17" t="str">
        <f ca="1">IFERROR(IF($H299&lt;&gt;"",IF($H299="Safe Parking","",IF($W299&lt;&gt;"",IF(AND($U299="X",$V299="X"),$H299-(--"00:30"),""),IF($X299&lt;&gt;"","Mezzo Chiuso","Non al carico"))),""),"")</f>
        <v/>
      </c>
      <c r="J299" s="306" t="str">
        <f>IFERROR(IF($B299&lt;&gt;"",IF(AND('INformazioni per calcoli'!$AB$3&lt;(--"15:00"),'INformazioni per calcoli'!$AB$3&gt;(--"00:00")),0,IF($G299&lt;(--"18:30"),"+1",0)),""),"")</f>
        <v/>
      </c>
      <c r="K299" s="17"/>
      <c r="L299" s="25"/>
      <c r="M299" s="25" t="str">
        <f>IFERROR(_xlfn.XLOOKUP($Q299,'Elenco Casse'!$D:$D,'Elenco Casse'!$E:$E),"")</f>
        <v/>
      </c>
      <c r="N299" s="25" t="str">
        <f>IFERROR(_xlfn.XLOOKUP($Q299,'Elenco Casse'!$D:$D,'Elenco Casse'!$F:$F),"")</f>
        <v/>
      </c>
      <c r="O299" s="286"/>
      <c r="P299" s="295" t="str">
        <f>IFERROR(_xlfn.XLOOKUP($Q299,'Elenco Casse'!$D:$D,'Elenco Casse'!$G:$G),"")</f>
        <v/>
      </c>
      <c r="Q299" s="355"/>
      <c r="R299" s="23"/>
      <c r="S299" s="25"/>
      <c r="T299" s="25"/>
      <c r="U299" s="23" t="str">
        <f>IF(ISNUMBER(SEARCH("Parcel",$T299)),"X","")</f>
        <v/>
      </c>
      <c r="V299" s="23" t="str">
        <f>IF(ISNUMBER(SEARCH("Freight",$T299)),"X","")</f>
        <v/>
      </c>
      <c r="W299" s="26"/>
      <c r="X299" s="27"/>
      <c r="Y299" s="25" t="str">
        <f>IF(Out_Table[[#This Row],[DOC Del. hr. (RTH)]]&lt;&gt;"","XXX","")</f>
        <v/>
      </c>
      <c r="Z299" s="25"/>
      <c r="AA299" s="25"/>
      <c r="AB299" s="57"/>
      <c r="AC299" s="25"/>
      <c r="AD299" s="25"/>
      <c r="AE299" s="57"/>
      <c r="AF299" s="57"/>
      <c r="AG299" s="25"/>
      <c r="AH299" s="57"/>
      <c r="AI299" s="339"/>
      <c r="AJ299" s="339"/>
      <c r="AK299" s="297" t="str">
        <f>IF(X299&lt;&gt;"",CONCATENATE(IF(AA299&lt;&gt;"",CONCATENATE(Z299," ",AA299," ",BI299),""),IF(AD299&lt;&gt;"",CONCATENATE(","," ",AC299," ",AD299," ",BJ299),""),IF(AG299&lt;&gt;"",CONCATENATE(","," ",AF299," ",AG299," ",BK299),""),IF(AJ299&lt;&gt;"",CONCATENATE(","," ","DD"," ",BL299),"")," ",IF(AI299&lt;&gt;"",CONCATENATE(" - ",AI299," Bag"),"")),"")</f>
        <v/>
      </c>
      <c r="AL299" s="287"/>
      <c r="AM299" s="287"/>
      <c r="AN299" s="287"/>
      <c r="AO299" s="287"/>
      <c r="AP299" s="370" t="str">
        <f>IFERROR(VLOOKUP($E296,Outlist!$A$5:$V$120,20,FALSE),"")</f>
        <v/>
      </c>
      <c r="AQ299" s="288" t="str">
        <f>IFERROR(IF(VLOOKUP($A299,#REF!,8,FALSE)&lt;&gt;"",VLOOKUP($A299,#REF!,8,FALSE),""),"")</f>
        <v/>
      </c>
      <c r="AS299" s="24"/>
      <c r="AT299" s="24"/>
      <c r="AU299" s="27"/>
      <c r="AV299" s="27"/>
      <c r="AX299" s="20" t="str">
        <f>IFERROR(IF(Out_Table[[#This Row],[Cancellazione linea]]="Cancellata","yes",""),"")</f>
        <v/>
      </c>
      <c r="AY299" s="72" t="str">
        <f>IF(BA299="",BZ299,IF(AND(BA299&lt;(--"23:59:59"),BA299&gt;(--"15:00:00"),G299&lt;(--"14:00:00"),G299&gt;(--"00:00:01")),"",IF(BA299&gt;G299,BZ299,"")))</f>
        <v/>
      </c>
      <c r="AZ299" s="27"/>
      <c r="BA299" s="32"/>
      <c r="BB299" s="72"/>
      <c r="BC299" s="72" t="str">
        <f>IFERROR(VLOOKUP(Out_Table[[#This Row],[Aggiornamento STATUS]],'INformazioni per calcoli'!$Y$70:$AA$76,2,FALSE),"")</f>
        <v/>
      </c>
      <c r="BD299" s="289"/>
      <c r="BE299" s="289"/>
      <c r="BF299" s="47" t="str">
        <f>LEFT($E299,3)</f>
        <v/>
      </c>
      <c r="BG299" s="298" t="str">
        <f>IF(Out_Table[[#This Row],[Ora Uscita    (GH)]]&lt;&gt;"","x","")</f>
        <v/>
      </c>
      <c r="BH299" s="299" t="e">
        <f>VLOOKUP($O299,'INformazioni per calcoli'!$Y$20:$AA$23,3,FALSE)</f>
        <v>#N/A</v>
      </c>
      <c r="BI299" s="299" t="e">
        <f>MROUND(Out_Table[[#This Row],[Mtr. Trailer]]*AB299,0.5)</f>
        <v>#N/A</v>
      </c>
      <c r="BJ299" s="299" t="e">
        <f>MROUND(Out_Table[[#This Row],[Mtr. Trailer]]*AE299,0.5)</f>
        <v>#N/A</v>
      </c>
      <c r="BK299" s="299" t="e">
        <f>MROUND(Out_Table[[#This Row],[Mtr. Trailer]]*AH299,0.5)</f>
        <v>#N/A</v>
      </c>
      <c r="BL299" s="300">
        <f>Out_Table[[#This Row],[Double Deck trailer N° bumpers]]</f>
        <v>0</v>
      </c>
      <c r="BM299" s="301"/>
      <c r="BN299" s="299">
        <f>B299</f>
        <v>0</v>
      </c>
      <c r="BO299" s="299">
        <f>E299</f>
        <v>0</v>
      </c>
      <c r="BP299" s="302">
        <f>IF(AND(G299&gt;(--"00:00:01"),G299&lt;(--"15:00:00")),IF(AND(X299&gt;(--"00:00:01"),X299&lt;(--"15:00:00")),G299-X299,G299+1-X299),G299-X299)</f>
        <v>0</v>
      </c>
      <c r="BQ299" s="303">
        <f>AE299+AF299+AH299+AJ299</f>
        <v>0</v>
      </c>
      <c r="BR299" s="304" t="str">
        <f>IF(OR(BP299&lt;=(--"00:20:00"),BQ299&gt;=100%),"OK","Not OK")</f>
        <v>OK</v>
      </c>
      <c r="BS299" s="302">
        <f>IF(AND(G299&gt;(--"00:00:01"),G299&lt;(--"15:00:00")),IF(AND(AU299&gt;(--"00:00:01"),AU299&lt;(--"15:00:00")),G299-AU299,G299+1-AU299),G299-AU299)</f>
        <v>0</v>
      </c>
      <c r="BT299" s="302">
        <f>IF(AND(AZ299&gt;(--"00:00:01"),AZ299&lt;(--"15:00:00")),IF(AND(AU299&gt;(--"00:00:01"),AU299&lt;(--"15:00:00")),AZ299-AU299,AZ299+1-AU299),AZ299-AU299)</f>
        <v>0</v>
      </c>
      <c r="BU299" s="302">
        <f>IF(AND(BA299&gt;(--"00:00:01"),BA299&lt;(--"15:00:00")),IF(AND(AZ299&gt;(--"00:00:01"),AZ299&lt;(--"15:00:00")),BA299-AZ299,BA299+1-AZ299),BA299-AZ299)</f>
        <v>0</v>
      </c>
      <c r="BV299" s="299">
        <f>AV299</f>
        <v>0</v>
      </c>
      <c r="BW299" s="301"/>
      <c r="BX299" s="299" t="str">
        <f>IF(AV299="T Status",IF(AV299&lt;&gt;T299,"X",""),"")</f>
        <v/>
      </c>
      <c r="BY299" s="301"/>
      <c r="BZ299" s="299" t="str">
        <f>IF(X299&lt;&gt;"",IF(CC299="X","Driver Delay",IF(CA299="X","Paperwork Delay",IF(CB299="X","Late freight late sort",IF(CD299="X","Chiamare Control Room",IF(CE299="X","Chiamare Control Room",IF(CF299="X","Chiamare Control Room","")))))),"")</f>
        <v/>
      </c>
      <c r="CA299" s="302" t="str">
        <f>IF(K299="",IF(IF(AND(G299&gt;(--"00:00:01"),G299&lt;(--"15:00:00")),IF(AND(AT299&gt;(--"08:00:00"),AT299&lt;(--"23:59:59")),G299+1-AT299,G299-AT299),G299-AT299)&gt;(--"00:20:00"),"","X"),"")</f>
        <v>X</v>
      </c>
      <c r="CB299" s="299" t="str">
        <f>IF(K299="",IF(BP299&gt;=(--"00:20:00"),"","X"),"")</f>
        <v>X</v>
      </c>
      <c r="CC299" s="299" t="str">
        <f>IF(OR(AV299="Autista non presente",AV299="Dati driver non presenti"),"X","")</f>
        <v/>
      </c>
      <c r="CD299" s="299" t="str">
        <f>IF(K299="",IF(AND(CC299="",BS299&lt;(--"00:20:00")),"X",""),"")</f>
        <v>X</v>
      </c>
      <c r="CE299" s="299" t="str">
        <f>IF(K299="",IF(BT299&gt;(--"00:15:00"),"X",""),IF(AZ299&lt;&gt;"",IF(G299-AZ299&gt;(--"00:30:00"),"X",""),""))</f>
        <v/>
      </c>
      <c r="CF299" s="299" t="str">
        <f>IF(AND(CA299="",CB299="",CC299="",CD299="",CE299=""),"X","")</f>
        <v/>
      </c>
      <c r="CG299" s="301"/>
      <c r="CH299" s="299" t="str">
        <f>IF(BT299&gt;(--"00:15:00"),"X","")</f>
        <v/>
      </c>
      <c r="CI299" s="302" t="str">
        <f>AY299</f>
        <v/>
      </c>
      <c r="CJ299" s="299" t="str">
        <f>IF(AND(CH299&lt;&gt;"",CI299&lt;&gt;"",LEFT(B299,3)="ITD"),AP299,"")</f>
        <v/>
      </c>
      <c r="CK299" s="305" t="str">
        <f>IF(CJ299&lt;&gt;"",BT299,"")</f>
        <v/>
      </c>
      <c r="CL299" s="301"/>
      <c r="CM299" s="305" t="str">
        <f>IFERROR(VLOOKUP(Q299,'Elenco Casse'!$D$4:$F$292,3,FALSE),"")</f>
        <v/>
      </c>
      <c r="CN299" s="301"/>
      <c r="CO299" s="305" t="str">
        <f>IFERROR(VLOOKUP(S299,'Elenco Casse'!$D$4:$F$292,3,FALSE),"")</f>
        <v/>
      </c>
      <c r="CP299" s="305" t="str">
        <f>IFERROR(IF(VLOOKUP($E299,Outlist!$A$5:$S$120,19,FALSE)&lt;&gt;0,"Y",""),"")</f>
        <v/>
      </c>
      <c r="CQ299" s="301"/>
      <c r="CR299" s="305" t="str">
        <f>CONCATENATE($B299,$E299,$G299)</f>
        <v/>
      </c>
      <c r="CS299" s="301"/>
      <c r="CT299" s="305" t="e">
        <f>VLOOKUP(Out_Table[[#This Row],[Destination             ORANGE (From Planning)]],Outlist!$A$5:$W$120,22,FALSE)</f>
        <v>#N/A</v>
      </c>
    </row>
    <row r="300" spans="1:98" s="20" customFormat="1" ht="15">
      <c r="A300" s="305" t="str">
        <f>$CR300</f>
        <v/>
      </c>
      <c r="B300" s="284"/>
      <c r="C300" s="290" t="str">
        <f ca="1">IFERROR(IF(LEFT(B300,3)='STAT 77'!$X$2,_xlfn.XLOOKUP(B300,'STAT 77'!C:C,'STAT 77'!B:B),_xlfn.XLOOKUP(B300,'STAT 77'!B:B,'STAT 77'!C:C)),"NON TROVATO")</f>
        <v>NON TROVATO</v>
      </c>
      <c r="D300" s="25"/>
      <c r="E300" s="290"/>
      <c r="F300" s="290" t="str">
        <f>IFERROR(VLOOKUP(E300,'Cambio O2P'!C:E,2,FALSE),"")</f>
        <v/>
      </c>
      <c r="G300" s="285"/>
      <c r="H300" s="293" t="str">
        <f ca="1">IFERROR(IF(AND('INformazioni per calcoli'!$AB$3&lt;(--"14:30"),'INformazioni per calcoli'!$AB$3&gt;(--"10:00")),"",IF($B300="","",IF($X300&lt;&gt;"","Mezzo Chiuso",IF($W300="","Non al Carico",IF($G300-'INformazioni per calcoli'!$AB$5-'INformazioni per calcoli'!$AB$3+$J300&lt;0,"LFLS",IF($K300&lt;&gt;"","Safe Parking",IF($W300&lt;&gt;"",IF($E300="MXP",$G300-'INformazioni per calcoli'!$AB$6-'INformazioni per calcoli'!$AB$3+$J300,$G300-'INformazioni per calcoli'!$AB$5-'INformazioni per calcoli'!$AB$3+$J300),"Non al carico"))))))),"")</f>
        <v/>
      </c>
      <c r="I300" s="17" t="str">
        <f ca="1">IFERROR(IF($H300&lt;&gt;"",IF($H300="Safe Parking","",IF($W300&lt;&gt;"",IF(AND($U300="X",$V300="X"),$H300-(--"00:30"),""),IF($X300&lt;&gt;"","Mezzo Chiuso","Non al carico"))),""),"")</f>
        <v/>
      </c>
      <c r="J300" s="306" t="str">
        <f>IFERROR(IF($B300&lt;&gt;"",IF(AND('INformazioni per calcoli'!$AB$3&lt;(--"15:00"),'INformazioni per calcoli'!$AB$3&gt;(--"00:00")),0,IF($G300&lt;(--"18:30"),"+1",0)),""),"")</f>
        <v/>
      </c>
      <c r="K300" s="17"/>
      <c r="L300" s="25"/>
      <c r="M300" s="25" t="str">
        <f>IFERROR(_xlfn.XLOOKUP($Q300,'Elenco Casse'!$D:$D,'Elenco Casse'!$E:$E),"")</f>
        <v/>
      </c>
      <c r="N300" s="25" t="str">
        <f>IFERROR(_xlfn.XLOOKUP($Q300,'Elenco Casse'!$D:$D,'Elenco Casse'!$F:$F),"")</f>
        <v/>
      </c>
      <c r="O300" s="286"/>
      <c r="P300" s="295" t="str">
        <f>IFERROR(_xlfn.XLOOKUP($Q300,'Elenco Casse'!$D:$D,'Elenco Casse'!$G:$G),"")</f>
        <v/>
      </c>
      <c r="Q300" s="355"/>
      <c r="R300" s="23"/>
      <c r="S300" s="25"/>
      <c r="T300" s="25"/>
      <c r="U300" s="23" t="str">
        <f>IF(ISNUMBER(SEARCH("Parcel",$T300)),"X","")</f>
        <v/>
      </c>
      <c r="V300" s="23" t="str">
        <f>IF(ISNUMBER(SEARCH("Freight",$T300)),"X","")</f>
        <v/>
      </c>
      <c r="W300" s="26"/>
      <c r="X300" s="27"/>
      <c r="Y300" s="25" t="str">
        <f>IF(Out_Table[[#This Row],[DOC Del. hr. (RTH)]]&lt;&gt;"","XXX","")</f>
        <v/>
      </c>
      <c r="Z300" s="25"/>
      <c r="AA300" s="25"/>
      <c r="AB300" s="57"/>
      <c r="AC300" s="25"/>
      <c r="AD300" s="25"/>
      <c r="AE300" s="57"/>
      <c r="AF300" s="57"/>
      <c r="AG300" s="25"/>
      <c r="AH300" s="57"/>
      <c r="AI300" s="339"/>
      <c r="AJ300" s="339"/>
      <c r="AK300" s="297" t="str">
        <f>IF(X300&lt;&gt;"",CONCATENATE(IF(AA300&lt;&gt;"",CONCATENATE(Z300," ",AA300," ",BI300),""),IF(AD300&lt;&gt;"",CONCATENATE(","," ",AC300," ",AD300," ",BJ300),""),IF(AG300&lt;&gt;"",CONCATENATE(","," ",AF300," ",AG300," ",BK300),""),IF(AJ300&lt;&gt;"",CONCATENATE(","," ","DD"," ",BL300),"")," ",IF(AI300&lt;&gt;"",CONCATENATE(" - ",AI300," Bag"),"")),"")</f>
        <v/>
      </c>
      <c r="AL300" s="287"/>
      <c r="AM300" s="287"/>
      <c r="AN300" s="287"/>
      <c r="AO300" s="287"/>
      <c r="AP300" s="370" t="str">
        <f>IFERROR(VLOOKUP($E297,Outlist!$A$5:$V$120,20,FALSE),"")</f>
        <v/>
      </c>
      <c r="AQ300" s="288" t="str">
        <f>IFERROR(IF(VLOOKUP($A300,#REF!,8,FALSE)&lt;&gt;"",VLOOKUP($A300,#REF!,8,FALSE),""),"")</f>
        <v/>
      </c>
      <c r="AS300" s="24"/>
      <c r="AT300" s="24"/>
      <c r="AU300" s="27"/>
      <c r="AV300" s="27"/>
      <c r="AX300" s="20" t="str">
        <f>IFERROR(IF(Out_Table[[#This Row],[Cancellazione linea]]="Cancellata","yes",""),"")</f>
        <v/>
      </c>
      <c r="AY300" s="72" t="str">
        <f>IF(BA300="",BZ300,IF(AND(BA300&lt;(--"23:59:59"),BA300&gt;(--"15:00:00"),G300&lt;(--"14:00:00"),G300&gt;(--"00:00:01")),"",IF(BA300&gt;G300,BZ300,"")))</f>
        <v/>
      </c>
      <c r="AZ300" s="27"/>
      <c r="BA300" s="32"/>
      <c r="BB300" s="72"/>
      <c r="BC300" s="72" t="str">
        <f>IFERROR(VLOOKUP(Out_Table[[#This Row],[Aggiornamento STATUS]],'INformazioni per calcoli'!$Y$70:$AA$76,2,FALSE),"")</f>
        <v/>
      </c>
      <c r="BD300" s="289"/>
      <c r="BE300" s="289"/>
      <c r="BF300" s="47" t="str">
        <f>LEFT($E300,3)</f>
        <v/>
      </c>
      <c r="BG300" s="298" t="str">
        <f>IF(Out_Table[[#This Row],[Ora Uscita    (GH)]]&lt;&gt;"","x","")</f>
        <v/>
      </c>
      <c r="BH300" s="299" t="e">
        <f>VLOOKUP($O300,'INformazioni per calcoli'!$Y$20:$AA$23,3,FALSE)</f>
        <v>#N/A</v>
      </c>
      <c r="BI300" s="299" t="e">
        <f>MROUND(Out_Table[[#This Row],[Mtr. Trailer]]*AB300,0.5)</f>
        <v>#N/A</v>
      </c>
      <c r="BJ300" s="299" t="e">
        <f>MROUND(Out_Table[[#This Row],[Mtr. Trailer]]*AE300,0.5)</f>
        <v>#N/A</v>
      </c>
      <c r="BK300" s="299" t="e">
        <f>MROUND(Out_Table[[#This Row],[Mtr. Trailer]]*AH300,0.5)</f>
        <v>#N/A</v>
      </c>
      <c r="BL300" s="300">
        <f>Out_Table[[#This Row],[Double Deck trailer N° bumpers]]</f>
        <v>0</v>
      </c>
      <c r="BM300" s="301"/>
      <c r="BN300" s="299">
        <f>B300</f>
        <v>0</v>
      </c>
      <c r="BO300" s="299">
        <f>E300</f>
        <v>0</v>
      </c>
      <c r="BP300" s="302">
        <f>IF(AND(G300&gt;(--"00:00:01"),G300&lt;(--"15:00:00")),IF(AND(X300&gt;(--"00:00:01"),X300&lt;(--"15:00:00")),G300-X300,G300+1-X300),G300-X300)</f>
        <v>0</v>
      </c>
      <c r="BQ300" s="303">
        <f>AE300+AF300+AH300+AJ300</f>
        <v>0</v>
      </c>
      <c r="BR300" s="304" t="str">
        <f>IF(OR(BP300&lt;=(--"00:20:00"),BQ300&gt;=100%),"OK","Not OK")</f>
        <v>OK</v>
      </c>
      <c r="BS300" s="302">
        <f>IF(AND(G300&gt;(--"00:00:01"),G300&lt;(--"15:00:00")),IF(AND(AU300&gt;(--"00:00:01"),AU300&lt;(--"15:00:00")),G300-AU300,G300+1-AU300),G300-AU300)</f>
        <v>0</v>
      </c>
      <c r="BT300" s="302">
        <f>IF(AND(AZ300&gt;(--"00:00:01"),AZ300&lt;(--"15:00:00")),IF(AND(AU300&gt;(--"00:00:01"),AU300&lt;(--"15:00:00")),AZ300-AU300,AZ300+1-AU300),AZ300-AU300)</f>
        <v>0</v>
      </c>
      <c r="BU300" s="302">
        <f>IF(AND(BA300&gt;(--"00:00:01"),BA300&lt;(--"15:00:00")),IF(AND(AZ300&gt;(--"00:00:01"),AZ300&lt;(--"15:00:00")),BA300-AZ300,BA300+1-AZ300),BA300-AZ300)</f>
        <v>0</v>
      </c>
      <c r="BV300" s="299">
        <f>AV300</f>
        <v>0</v>
      </c>
      <c r="BW300" s="301"/>
      <c r="BX300" s="299" t="str">
        <f>IF(AV300="T Status",IF(AV300&lt;&gt;T300,"X",""),"")</f>
        <v/>
      </c>
      <c r="BY300" s="301"/>
      <c r="BZ300" s="299" t="str">
        <f>IF(X300&lt;&gt;"",IF(CC300="X","Driver Delay",IF(CA300="X","Paperwork Delay",IF(CB300="X","Late freight late sort",IF(CD300="X","Chiamare Control Room",IF(CE300="X","Chiamare Control Room",IF(CF300="X","Chiamare Control Room","")))))),"")</f>
        <v/>
      </c>
      <c r="CA300" s="302" t="str">
        <f>IF(K300="",IF(IF(AND(G300&gt;(--"00:00:01"),G300&lt;(--"15:00:00")),IF(AND(AT300&gt;(--"08:00:00"),AT300&lt;(--"23:59:59")),G300+1-AT300,G300-AT300),G300-AT300)&gt;(--"00:20:00"),"","X"),"")</f>
        <v>X</v>
      </c>
      <c r="CB300" s="299" t="str">
        <f>IF(K300="",IF(BP300&gt;=(--"00:20:00"),"","X"),"")</f>
        <v>X</v>
      </c>
      <c r="CC300" s="299" t="str">
        <f>IF(OR(AV300="Autista non presente",AV300="Dati driver non presenti"),"X","")</f>
        <v/>
      </c>
      <c r="CD300" s="299" t="str">
        <f>IF(K300="",IF(AND(CC300="",BS300&lt;(--"00:20:00")),"X",""),"")</f>
        <v>X</v>
      </c>
      <c r="CE300" s="299" t="str">
        <f>IF(K300="",IF(BT300&gt;(--"00:15:00"),"X",""),IF(AZ300&lt;&gt;"",IF(G300-AZ300&gt;(--"00:30:00"),"X",""),""))</f>
        <v/>
      </c>
      <c r="CF300" s="299" t="str">
        <f>IF(AND(CA300="",CB300="",CC300="",CD300="",CE300=""),"X","")</f>
        <v/>
      </c>
      <c r="CG300" s="301"/>
      <c r="CH300" s="299" t="str">
        <f>IF(BT300&gt;(--"00:15:00"),"X","")</f>
        <v/>
      </c>
      <c r="CI300" s="302" t="str">
        <f>AY300</f>
        <v/>
      </c>
      <c r="CJ300" s="299" t="str">
        <f>IF(AND(CH300&lt;&gt;"",CI300&lt;&gt;"",LEFT(B300,3)="ITD"),AP300,"")</f>
        <v/>
      </c>
      <c r="CK300" s="305" t="str">
        <f>IF(CJ300&lt;&gt;"",BT300,"")</f>
        <v/>
      </c>
      <c r="CL300" s="301"/>
      <c r="CM300" s="305" t="str">
        <f>IFERROR(VLOOKUP(Q300,'Elenco Casse'!$D$4:$F$292,3,FALSE),"")</f>
        <v/>
      </c>
      <c r="CN300" s="301"/>
      <c r="CO300" s="305" t="str">
        <f>IFERROR(VLOOKUP(S300,'Elenco Casse'!$D$4:$F$292,3,FALSE),"")</f>
        <v/>
      </c>
      <c r="CP300" s="305" t="str">
        <f>IFERROR(IF(VLOOKUP($E300,Outlist!$A$5:$S$120,19,FALSE)&lt;&gt;0,"Y",""),"")</f>
        <v/>
      </c>
      <c r="CQ300" s="301"/>
      <c r="CR300" s="305" t="str">
        <f>CONCATENATE($B300,$E300,$G300)</f>
        <v/>
      </c>
      <c r="CS300" s="301"/>
      <c r="CT300" s="305" t="e">
        <f>VLOOKUP(Out_Table[[#This Row],[Destination             ORANGE (From Planning)]],Outlist!$A$5:$W$120,22,FALSE)</f>
        <v>#N/A</v>
      </c>
    </row>
    <row r="301" spans="1:98" s="20" customFormat="1" ht="15">
      <c r="A301" s="305" t="str">
        <f>$CR301</f>
        <v/>
      </c>
      <c r="B301" s="284"/>
      <c r="C301" s="290" t="str">
        <f ca="1">IFERROR(IF(LEFT(B301,3)='STAT 77'!$X$2,_xlfn.XLOOKUP(B301,'STAT 77'!C:C,'STAT 77'!B:B),_xlfn.XLOOKUP(B301,'STAT 77'!B:B,'STAT 77'!C:C)),"NON TROVATO")</f>
        <v>NON TROVATO</v>
      </c>
      <c r="D301" s="25"/>
      <c r="E301" s="290"/>
      <c r="F301" s="290" t="str">
        <f>IFERROR(VLOOKUP(E301,'Cambio O2P'!C:E,2,FALSE),"")</f>
        <v/>
      </c>
      <c r="G301" s="285"/>
      <c r="H301" s="293" t="str">
        <f ca="1">IFERROR(IF(AND('INformazioni per calcoli'!$AB$3&lt;(--"14:30"),'INformazioni per calcoli'!$AB$3&gt;(--"10:00")),"",IF($B301="","",IF($X301&lt;&gt;"","Mezzo Chiuso",IF($W301="","Non al Carico",IF($G301-'INformazioni per calcoli'!$AB$5-'INformazioni per calcoli'!$AB$3+$J301&lt;0,"LFLS",IF($K301&lt;&gt;"","Safe Parking",IF($W301&lt;&gt;"",IF($E301="MXP",$G301-'INformazioni per calcoli'!$AB$6-'INformazioni per calcoli'!$AB$3+$J301,$G301-'INformazioni per calcoli'!$AB$5-'INformazioni per calcoli'!$AB$3+$J301),"Non al carico"))))))),"")</f>
        <v/>
      </c>
      <c r="I301" s="17" t="str">
        <f ca="1">IFERROR(IF($H301&lt;&gt;"",IF($H301="Safe Parking","",IF($W301&lt;&gt;"",IF(AND($U301="X",$V301="X"),$H301-(--"00:30"),""),IF($X301&lt;&gt;"","Mezzo Chiuso","Non al carico"))),""),"")</f>
        <v/>
      </c>
      <c r="J301" s="306" t="str">
        <f>IFERROR(IF($B301&lt;&gt;"",IF(AND('INformazioni per calcoli'!$AB$3&lt;(--"15:00"),'INformazioni per calcoli'!$AB$3&gt;(--"00:00")),0,IF($G301&lt;(--"18:30"),"+1",0)),""),"")</f>
        <v/>
      </c>
      <c r="K301" s="17"/>
      <c r="L301" s="25"/>
      <c r="M301" s="25" t="str">
        <f>IFERROR(_xlfn.XLOOKUP($Q301,'Elenco Casse'!$D:$D,'Elenco Casse'!$E:$E),"")</f>
        <v/>
      </c>
      <c r="N301" s="25" t="str">
        <f>IFERROR(_xlfn.XLOOKUP($Q301,'Elenco Casse'!$D:$D,'Elenco Casse'!$F:$F),"")</f>
        <v/>
      </c>
      <c r="O301" s="286"/>
      <c r="P301" s="295" t="str">
        <f>IFERROR(_xlfn.XLOOKUP($Q301,'Elenco Casse'!$D:$D,'Elenco Casse'!$G:$G),"")</f>
        <v/>
      </c>
      <c r="Q301" s="355"/>
      <c r="R301" s="23"/>
      <c r="S301" s="25"/>
      <c r="T301" s="25"/>
      <c r="U301" s="23" t="str">
        <f>IF(ISNUMBER(SEARCH("Parcel",$T301)),"X","")</f>
        <v/>
      </c>
      <c r="V301" s="23" t="str">
        <f>IF(ISNUMBER(SEARCH("Freight",$T301)),"X","")</f>
        <v/>
      </c>
      <c r="W301" s="26"/>
      <c r="X301" s="27"/>
      <c r="Y301" s="25" t="str">
        <f>IF(Out_Table[[#This Row],[DOC Del. hr. (RTH)]]&lt;&gt;"","XXX","")</f>
        <v/>
      </c>
      <c r="Z301" s="25"/>
      <c r="AA301" s="25"/>
      <c r="AB301" s="57"/>
      <c r="AC301" s="25"/>
      <c r="AD301" s="25"/>
      <c r="AE301" s="57"/>
      <c r="AF301" s="57"/>
      <c r="AG301" s="25"/>
      <c r="AH301" s="57"/>
      <c r="AI301" s="339"/>
      <c r="AJ301" s="339"/>
      <c r="AK301" s="297" t="str">
        <f>IF(X301&lt;&gt;"",CONCATENATE(IF(AA301&lt;&gt;"",CONCATENATE(Z301," ",AA301," ",BI301),""),IF(AD301&lt;&gt;"",CONCATENATE(","," ",AC301," ",AD301," ",BJ301),""),IF(AG301&lt;&gt;"",CONCATENATE(","," ",AF301," ",AG301," ",BK301),""),IF(AJ301&lt;&gt;"",CONCATENATE(","," ","DD"," ",BL301),"")," ",IF(AI301&lt;&gt;"",CONCATENATE(" - ",AI301," Bag"),"")),"")</f>
        <v/>
      </c>
      <c r="AL301" s="287"/>
      <c r="AM301" s="287"/>
      <c r="AN301" s="287"/>
      <c r="AO301" s="287"/>
      <c r="AP301" s="370" t="str">
        <f>IFERROR(VLOOKUP($E298,Outlist!$A$5:$V$120,20,FALSE),"")</f>
        <v/>
      </c>
      <c r="AQ301" s="288" t="str">
        <f>IFERROR(IF(VLOOKUP($A301,#REF!,8,FALSE)&lt;&gt;"",VLOOKUP($A301,#REF!,8,FALSE),""),"")</f>
        <v/>
      </c>
      <c r="AS301" s="24"/>
      <c r="AT301" s="24"/>
      <c r="AU301" s="27"/>
      <c r="AV301" s="27"/>
      <c r="AX301" s="20" t="str">
        <f>IFERROR(IF(Out_Table[[#This Row],[Cancellazione linea]]="Cancellata","yes",""),"")</f>
        <v/>
      </c>
      <c r="AY301" s="72" t="str">
        <f>IF(BA301="",BZ301,IF(AND(BA301&lt;(--"23:59:59"),BA301&gt;(--"15:00:00"),G301&lt;(--"14:00:00"),G301&gt;(--"00:00:01")),"",IF(BA301&gt;G301,BZ301,"")))</f>
        <v/>
      </c>
      <c r="AZ301" s="27"/>
      <c r="BA301" s="32"/>
      <c r="BB301" s="72"/>
      <c r="BC301" s="72" t="str">
        <f>IFERROR(VLOOKUP(Out_Table[[#This Row],[Aggiornamento STATUS]],'INformazioni per calcoli'!$Y$70:$AA$76,2,FALSE),"")</f>
        <v/>
      </c>
      <c r="BD301" s="289"/>
      <c r="BE301" s="289"/>
      <c r="BF301" s="47" t="str">
        <f>LEFT($E301,3)</f>
        <v/>
      </c>
      <c r="BG301" s="298" t="str">
        <f>IF(Out_Table[[#This Row],[Ora Uscita    (GH)]]&lt;&gt;"","x","")</f>
        <v/>
      </c>
      <c r="BH301" s="299" t="e">
        <f>VLOOKUP($O301,'INformazioni per calcoli'!$Y$20:$AA$23,3,FALSE)</f>
        <v>#N/A</v>
      </c>
      <c r="BI301" s="299" t="e">
        <f>MROUND(Out_Table[[#This Row],[Mtr. Trailer]]*AB301,0.5)</f>
        <v>#N/A</v>
      </c>
      <c r="BJ301" s="299" t="e">
        <f>MROUND(Out_Table[[#This Row],[Mtr. Trailer]]*AE301,0.5)</f>
        <v>#N/A</v>
      </c>
      <c r="BK301" s="299" t="e">
        <f>MROUND(Out_Table[[#This Row],[Mtr. Trailer]]*AH301,0.5)</f>
        <v>#N/A</v>
      </c>
      <c r="BL301" s="300">
        <f>Out_Table[[#This Row],[Double Deck trailer N° bumpers]]</f>
        <v>0</v>
      </c>
      <c r="BM301" s="301"/>
      <c r="BN301" s="299">
        <f>B301</f>
        <v>0</v>
      </c>
      <c r="BO301" s="299">
        <f>E301</f>
        <v>0</v>
      </c>
      <c r="BP301" s="302">
        <f>IF(AND(G301&gt;(--"00:00:01"),G301&lt;(--"15:00:00")),IF(AND(X301&gt;(--"00:00:01"),X301&lt;(--"15:00:00")),G301-X301,G301+1-X301),G301-X301)</f>
        <v>0</v>
      </c>
      <c r="BQ301" s="303">
        <f>AE301+AF301+AH301+AJ301</f>
        <v>0</v>
      </c>
      <c r="BR301" s="304" t="str">
        <f>IF(OR(BP301&lt;=(--"00:20:00"),BQ301&gt;=100%),"OK","Not OK")</f>
        <v>OK</v>
      </c>
      <c r="BS301" s="302">
        <f>IF(AND(G301&gt;(--"00:00:01"),G301&lt;(--"15:00:00")),IF(AND(AU301&gt;(--"00:00:01"),AU301&lt;(--"15:00:00")),G301-AU301,G301+1-AU301),G301-AU301)</f>
        <v>0</v>
      </c>
      <c r="BT301" s="302">
        <f>IF(AND(AZ301&gt;(--"00:00:01"),AZ301&lt;(--"15:00:00")),IF(AND(AU301&gt;(--"00:00:01"),AU301&lt;(--"15:00:00")),AZ301-AU301,AZ301+1-AU301),AZ301-AU301)</f>
        <v>0</v>
      </c>
      <c r="BU301" s="302">
        <f>IF(AND(BA301&gt;(--"00:00:01"),BA301&lt;(--"15:00:00")),IF(AND(AZ301&gt;(--"00:00:01"),AZ301&lt;(--"15:00:00")),BA301-AZ301,BA301+1-AZ301),BA301-AZ301)</f>
        <v>0</v>
      </c>
      <c r="BV301" s="299">
        <f>AV301</f>
        <v>0</v>
      </c>
      <c r="BW301" s="301"/>
      <c r="BX301" s="299" t="str">
        <f>IF(AV301="T Status",IF(AV301&lt;&gt;T301,"X",""),"")</f>
        <v/>
      </c>
      <c r="BY301" s="301"/>
      <c r="BZ301" s="299" t="str">
        <f>IF(X301&lt;&gt;"",IF(CC301="X","Driver Delay",IF(CA301="X","Paperwork Delay",IF(CB301="X","Late freight late sort",IF(CD301="X","Chiamare Control Room",IF(CE301="X","Chiamare Control Room",IF(CF301="X","Chiamare Control Room","")))))),"")</f>
        <v/>
      </c>
      <c r="CA301" s="302" t="str">
        <f>IF(K301="",IF(IF(AND(G301&gt;(--"00:00:01"),G301&lt;(--"15:00:00")),IF(AND(AT301&gt;(--"08:00:00"),AT301&lt;(--"23:59:59")),G301+1-AT301,G301-AT301),G301-AT301)&gt;(--"00:20:00"),"","X"),"")</f>
        <v>X</v>
      </c>
      <c r="CB301" s="299" t="str">
        <f>IF(K301="",IF(BP301&gt;=(--"00:20:00"),"","X"),"")</f>
        <v>X</v>
      </c>
      <c r="CC301" s="299" t="str">
        <f>IF(OR(AV301="Autista non presente",AV301="Dati driver non presenti"),"X","")</f>
        <v/>
      </c>
      <c r="CD301" s="299" t="str">
        <f>IF(K301="",IF(AND(CC301="",BS301&lt;(--"00:20:00")),"X",""),"")</f>
        <v>X</v>
      </c>
      <c r="CE301" s="299" t="str">
        <f>IF(K301="",IF(BT301&gt;(--"00:15:00"),"X",""),IF(AZ301&lt;&gt;"",IF(G301-AZ301&gt;(--"00:30:00"),"X",""),""))</f>
        <v/>
      </c>
      <c r="CF301" s="299" t="str">
        <f>IF(AND(CA301="",CB301="",CC301="",CD301="",CE301=""),"X","")</f>
        <v/>
      </c>
      <c r="CG301" s="301"/>
      <c r="CH301" s="299" t="str">
        <f>IF(BT301&gt;(--"00:15:00"),"X","")</f>
        <v/>
      </c>
      <c r="CI301" s="302" t="str">
        <f>AY301</f>
        <v/>
      </c>
      <c r="CJ301" s="299" t="str">
        <f>IF(AND(CH301&lt;&gt;"",CI301&lt;&gt;"",LEFT(B301,3)="ITD"),AP301,"")</f>
        <v/>
      </c>
      <c r="CK301" s="305" t="str">
        <f>IF(CJ301&lt;&gt;"",BT301,"")</f>
        <v/>
      </c>
      <c r="CL301" s="301"/>
      <c r="CM301" s="305" t="str">
        <f>IFERROR(VLOOKUP(Q301,'Elenco Casse'!$D$4:$F$292,3,FALSE),"")</f>
        <v/>
      </c>
      <c r="CN301" s="301"/>
      <c r="CO301" s="305" t="str">
        <f>IFERROR(VLOOKUP(S301,'Elenco Casse'!$D$4:$F$292,3,FALSE),"")</f>
        <v/>
      </c>
      <c r="CP301" s="305" t="str">
        <f>IFERROR(IF(VLOOKUP($E301,Outlist!$A$5:$S$120,19,FALSE)&lt;&gt;0,"Y",""),"")</f>
        <v/>
      </c>
      <c r="CQ301" s="301"/>
      <c r="CR301" s="305" t="str">
        <f>CONCATENATE($B301,$E301,$G301)</f>
        <v/>
      </c>
      <c r="CS301" s="301"/>
      <c r="CT301" s="305" t="e">
        <f>VLOOKUP(Out_Table[[#This Row],[Destination             ORANGE (From Planning)]],Outlist!$A$5:$W$120,22,FALSE)</f>
        <v>#N/A</v>
      </c>
    </row>
    <row r="302" spans="1:98" s="20" customFormat="1" ht="15">
      <c r="A302" s="305" t="str">
        <f>$CR302</f>
        <v/>
      </c>
      <c r="B302" s="284"/>
      <c r="C302" s="290" t="str">
        <f ca="1">IFERROR(IF(LEFT(B302,3)='STAT 77'!$X$2,_xlfn.XLOOKUP(B302,'STAT 77'!C:C,'STAT 77'!B:B),_xlfn.XLOOKUP(B302,'STAT 77'!B:B,'STAT 77'!C:C)),"NON TROVATO")</f>
        <v>NON TROVATO</v>
      </c>
      <c r="D302" s="25"/>
      <c r="E302" s="290"/>
      <c r="F302" s="290" t="str">
        <f>IFERROR(VLOOKUP(E302,'Cambio O2P'!C:E,2,FALSE),"")</f>
        <v/>
      </c>
      <c r="G302" s="285"/>
      <c r="H302" s="293" t="str">
        <f ca="1">IFERROR(IF(AND('INformazioni per calcoli'!$AB$3&lt;(--"14:30"),'INformazioni per calcoli'!$AB$3&gt;(--"10:00")),"",IF($B302="","",IF($X302&lt;&gt;"","Mezzo Chiuso",IF($W302="","Non al Carico",IF($G302-'INformazioni per calcoli'!$AB$5-'INformazioni per calcoli'!$AB$3+$J302&lt;0,"LFLS",IF($K302&lt;&gt;"","Safe Parking",IF($W302&lt;&gt;"",IF($E302="MXP",$G302-'INformazioni per calcoli'!$AB$6-'INformazioni per calcoli'!$AB$3+$J302,$G302-'INformazioni per calcoli'!$AB$5-'INformazioni per calcoli'!$AB$3+$J302),"Non al carico"))))))),"")</f>
        <v/>
      </c>
      <c r="I302" s="17" t="str">
        <f ca="1">IFERROR(IF($H302&lt;&gt;"",IF($H302="Safe Parking","",IF($W302&lt;&gt;"",IF(AND($U302="X",$V302="X"),$H302-(--"00:30"),""),IF($X302&lt;&gt;"","Mezzo Chiuso","Non al carico"))),""),"")</f>
        <v/>
      </c>
      <c r="J302" s="306" t="str">
        <f>IFERROR(IF($B302&lt;&gt;"",IF(AND('INformazioni per calcoli'!$AB$3&lt;(--"15:00"),'INformazioni per calcoli'!$AB$3&gt;(--"00:00")),0,IF($G302&lt;(--"18:30"),"+1",0)),""),"")</f>
        <v/>
      </c>
      <c r="K302" s="17"/>
      <c r="L302" s="25"/>
      <c r="M302" s="25" t="str">
        <f>IFERROR(_xlfn.XLOOKUP($Q302,'Elenco Casse'!$D:$D,'Elenco Casse'!$E:$E),"")</f>
        <v/>
      </c>
      <c r="N302" s="25" t="str">
        <f>IFERROR(_xlfn.XLOOKUP($Q302,'Elenco Casse'!$D:$D,'Elenco Casse'!$F:$F),"")</f>
        <v/>
      </c>
      <c r="O302" s="286"/>
      <c r="P302" s="295" t="str">
        <f>IFERROR(_xlfn.XLOOKUP($Q302,'Elenco Casse'!$D:$D,'Elenco Casse'!$G:$G),"")</f>
        <v/>
      </c>
      <c r="Q302" s="355"/>
      <c r="R302" s="23"/>
      <c r="S302" s="25"/>
      <c r="T302" s="25"/>
      <c r="U302" s="23" t="str">
        <f>IF(ISNUMBER(SEARCH("Parcel",$T302)),"X","")</f>
        <v/>
      </c>
      <c r="V302" s="23" t="str">
        <f>IF(ISNUMBER(SEARCH("Freight",$T302)),"X","")</f>
        <v/>
      </c>
      <c r="W302" s="26"/>
      <c r="X302" s="27"/>
      <c r="Y302" s="25" t="str">
        <f>IF(Out_Table[[#This Row],[DOC Del. hr. (RTH)]]&lt;&gt;"","XXX","")</f>
        <v/>
      </c>
      <c r="Z302" s="25"/>
      <c r="AA302" s="25"/>
      <c r="AB302" s="57"/>
      <c r="AC302" s="25"/>
      <c r="AD302" s="25"/>
      <c r="AE302" s="57"/>
      <c r="AF302" s="57"/>
      <c r="AG302" s="25"/>
      <c r="AH302" s="57"/>
      <c r="AI302" s="339"/>
      <c r="AJ302" s="339"/>
      <c r="AK302" s="297" t="str">
        <f>IF(X302&lt;&gt;"",CONCATENATE(IF(AA302&lt;&gt;"",CONCATENATE(Z302," ",AA302," ",BI302),""),IF(AD302&lt;&gt;"",CONCATENATE(","," ",AC302," ",AD302," ",BJ302),""),IF(AG302&lt;&gt;"",CONCATENATE(","," ",AF302," ",AG302," ",BK302),""),IF(AJ302&lt;&gt;"",CONCATENATE(","," ","DD"," ",BL302),"")," ",IF(AI302&lt;&gt;"",CONCATENATE(" - ",AI302," Bag"),"")),"")</f>
        <v/>
      </c>
      <c r="AL302" s="287"/>
      <c r="AM302" s="287"/>
      <c r="AN302" s="287"/>
      <c r="AO302" s="287"/>
      <c r="AP302" s="370" t="str">
        <f>IFERROR(VLOOKUP($E299,Outlist!$A$5:$V$120,20,FALSE),"")</f>
        <v/>
      </c>
      <c r="AQ302" s="288" t="str">
        <f>IFERROR(IF(VLOOKUP($A302,#REF!,8,FALSE)&lt;&gt;"",VLOOKUP($A302,#REF!,8,FALSE),""),"")</f>
        <v/>
      </c>
      <c r="AS302" s="24"/>
      <c r="AT302" s="24"/>
      <c r="AU302" s="27"/>
      <c r="AV302" s="27"/>
      <c r="AX302" s="20" t="str">
        <f>IFERROR(IF(Out_Table[[#This Row],[Cancellazione linea]]="Cancellata","yes",""),"")</f>
        <v/>
      </c>
      <c r="AY302" s="72" t="str">
        <f>IF(BA302="",BZ302,IF(AND(BA302&lt;(--"23:59:59"),BA302&gt;(--"15:00:00"),G302&lt;(--"14:00:00"),G302&gt;(--"00:00:01")),"",IF(BA302&gt;G302,BZ302,"")))</f>
        <v/>
      </c>
      <c r="AZ302" s="27"/>
      <c r="BA302" s="32"/>
      <c r="BB302" s="72"/>
      <c r="BC302" s="72" t="str">
        <f>IFERROR(VLOOKUP(Out_Table[[#This Row],[Aggiornamento STATUS]],'INformazioni per calcoli'!$Y$70:$AA$76,2,FALSE),"")</f>
        <v/>
      </c>
      <c r="BD302" s="289"/>
      <c r="BE302" s="289"/>
      <c r="BF302" s="47" t="str">
        <f>LEFT($E302,3)</f>
        <v/>
      </c>
      <c r="BG302" s="298" t="str">
        <f>IF(Out_Table[[#This Row],[Ora Uscita    (GH)]]&lt;&gt;"","x","")</f>
        <v/>
      </c>
      <c r="BH302" s="299" t="e">
        <f>VLOOKUP($O302,'INformazioni per calcoli'!$Y$20:$AA$23,3,FALSE)</f>
        <v>#N/A</v>
      </c>
      <c r="BI302" s="299" t="e">
        <f>MROUND(Out_Table[[#This Row],[Mtr. Trailer]]*AB302,0.5)</f>
        <v>#N/A</v>
      </c>
      <c r="BJ302" s="299" t="e">
        <f>MROUND(Out_Table[[#This Row],[Mtr. Trailer]]*AE302,0.5)</f>
        <v>#N/A</v>
      </c>
      <c r="BK302" s="299" t="e">
        <f>MROUND(Out_Table[[#This Row],[Mtr. Trailer]]*AH302,0.5)</f>
        <v>#N/A</v>
      </c>
      <c r="BL302" s="300">
        <f>Out_Table[[#This Row],[Double Deck trailer N° bumpers]]</f>
        <v>0</v>
      </c>
      <c r="BM302" s="301"/>
      <c r="BN302" s="299">
        <f>B302</f>
        <v>0</v>
      </c>
      <c r="BO302" s="299">
        <f>E302</f>
        <v>0</v>
      </c>
      <c r="BP302" s="302">
        <f>IF(AND(G302&gt;(--"00:00:01"),G302&lt;(--"15:00:00")),IF(AND(X302&gt;(--"00:00:01"),X302&lt;(--"15:00:00")),G302-X302,G302+1-X302),G302-X302)</f>
        <v>0</v>
      </c>
      <c r="BQ302" s="303">
        <f>AE302+AF302+AH302+AJ302</f>
        <v>0</v>
      </c>
      <c r="BR302" s="304" t="str">
        <f>IF(OR(BP302&lt;=(--"00:20:00"),BQ302&gt;=100%),"OK","Not OK")</f>
        <v>OK</v>
      </c>
      <c r="BS302" s="302">
        <f>IF(AND(G302&gt;(--"00:00:01"),G302&lt;(--"15:00:00")),IF(AND(AU302&gt;(--"00:00:01"),AU302&lt;(--"15:00:00")),G302-AU302,G302+1-AU302),G302-AU302)</f>
        <v>0</v>
      </c>
      <c r="BT302" s="302">
        <f>IF(AND(AZ302&gt;(--"00:00:01"),AZ302&lt;(--"15:00:00")),IF(AND(AU302&gt;(--"00:00:01"),AU302&lt;(--"15:00:00")),AZ302-AU302,AZ302+1-AU302),AZ302-AU302)</f>
        <v>0</v>
      </c>
      <c r="BU302" s="302">
        <f>IF(AND(BA302&gt;(--"00:00:01"),BA302&lt;(--"15:00:00")),IF(AND(AZ302&gt;(--"00:00:01"),AZ302&lt;(--"15:00:00")),BA302-AZ302,BA302+1-AZ302),BA302-AZ302)</f>
        <v>0</v>
      </c>
      <c r="BV302" s="299">
        <f>AV302</f>
        <v>0</v>
      </c>
      <c r="BW302" s="301"/>
      <c r="BX302" s="299" t="str">
        <f>IF(AV302="T Status",IF(AV302&lt;&gt;T302,"X",""),"")</f>
        <v/>
      </c>
      <c r="BY302" s="301"/>
      <c r="BZ302" s="299" t="str">
        <f>IF(X302&lt;&gt;"",IF(CC302="X","Driver Delay",IF(CA302="X","Paperwork Delay",IF(CB302="X","Late freight late sort",IF(CD302="X","Chiamare Control Room",IF(CE302="X","Chiamare Control Room",IF(CF302="X","Chiamare Control Room","")))))),"")</f>
        <v/>
      </c>
      <c r="CA302" s="302" t="str">
        <f>IF(K302="",IF(IF(AND(G302&gt;(--"00:00:01"),G302&lt;(--"15:00:00")),IF(AND(AT302&gt;(--"08:00:00"),AT302&lt;(--"23:59:59")),G302+1-AT302,G302-AT302),G302-AT302)&gt;(--"00:20:00"),"","X"),"")</f>
        <v>X</v>
      </c>
      <c r="CB302" s="299" t="str">
        <f>IF(K302="",IF(BP302&gt;=(--"00:20:00"),"","X"),"")</f>
        <v>X</v>
      </c>
      <c r="CC302" s="299" t="str">
        <f>IF(OR(AV302="Autista non presente",AV302="Dati driver non presenti"),"X","")</f>
        <v/>
      </c>
      <c r="CD302" s="299" t="str">
        <f>IF(K302="",IF(AND(CC302="",BS302&lt;(--"00:20:00")),"X",""),"")</f>
        <v>X</v>
      </c>
      <c r="CE302" s="299" t="str">
        <f>IF(K302="",IF(BT302&gt;(--"00:15:00"),"X",""),IF(AZ302&lt;&gt;"",IF(G302-AZ302&gt;(--"00:30:00"),"X",""),""))</f>
        <v/>
      </c>
      <c r="CF302" s="299" t="str">
        <f>IF(AND(CA302="",CB302="",CC302="",CD302="",CE302=""),"X","")</f>
        <v/>
      </c>
      <c r="CG302" s="301"/>
      <c r="CH302" s="299" t="str">
        <f>IF(BT302&gt;(--"00:15:00"),"X","")</f>
        <v/>
      </c>
      <c r="CI302" s="302" t="str">
        <f>AY302</f>
        <v/>
      </c>
      <c r="CJ302" s="299" t="str">
        <f>IF(AND(CH302&lt;&gt;"",CI302&lt;&gt;"",LEFT(B302,3)="ITD"),AP302,"")</f>
        <v/>
      </c>
      <c r="CK302" s="305" t="str">
        <f>IF(CJ302&lt;&gt;"",BT302,"")</f>
        <v/>
      </c>
      <c r="CL302" s="301"/>
      <c r="CM302" s="305" t="str">
        <f>IFERROR(VLOOKUP(Q302,'Elenco Casse'!$D$4:$F$292,3,FALSE),"")</f>
        <v/>
      </c>
      <c r="CN302" s="301"/>
      <c r="CO302" s="305" t="str">
        <f>IFERROR(VLOOKUP(S302,'Elenco Casse'!$D$4:$F$292,3,FALSE),"")</f>
        <v/>
      </c>
      <c r="CP302" s="305" t="str">
        <f>IFERROR(IF(VLOOKUP($E302,Outlist!$A$5:$S$120,19,FALSE)&lt;&gt;0,"Y",""),"")</f>
        <v/>
      </c>
      <c r="CQ302" s="301"/>
      <c r="CR302" s="305" t="str">
        <f>CONCATENATE($B302,$E302,$G302)</f>
        <v/>
      </c>
      <c r="CS302" s="301"/>
      <c r="CT302" s="305" t="e">
        <f>VLOOKUP(Out_Table[[#This Row],[Destination             ORANGE (From Planning)]],Outlist!$A$5:$W$120,22,FALSE)</f>
        <v>#N/A</v>
      </c>
    </row>
    <row r="303" spans="1:98" s="20" customFormat="1" ht="15">
      <c r="A303" s="305" t="str">
        <f>$CR303</f>
        <v/>
      </c>
      <c r="B303" s="284"/>
      <c r="C303" s="290" t="str">
        <f ca="1">IFERROR(IF(LEFT(B303,3)='STAT 77'!$X$2,_xlfn.XLOOKUP(B303,'STAT 77'!C:C,'STAT 77'!B:B),_xlfn.XLOOKUP(B303,'STAT 77'!B:B,'STAT 77'!C:C)),"NON TROVATO")</f>
        <v>NON TROVATO</v>
      </c>
      <c r="D303" s="25"/>
      <c r="E303" s="290"/>
      <c r="F303" s="290" t="str">
        <f>IFERROR(VLOOKUP(E303,'Cambio O2P'!C:E,2,FALSE),"")</f>
        <v/>
      </c>
      <c r="G303" s="285"/>
      <c r="H303" s="293" t="str">
        <f ca="1">IFERROR(IF(AND('INformazioni per calcoli'!$AB$3&lt;(--"14:30"),'INformazioni per calcoli'!$AB$3&gt;(--"10:00")),"",IF($B303="","",IF($X303&lt;&gt;"","Mezzo Chiuso",IF($W303="","Non al Carico",IF($G303-'INformazioni per calcoli'!$AB$5-'INformazioni per calcoli'!$AB$3+$J303&lt;0,"LFLS",IF($K303&lt;&gt;"","Safe Parking",IF($W303&lt;&gt;"",IF($E303="MXP",$G303-'INformazioni per calcoli'!$AB$6-'INformazioni per calcoli'!$AB$3+$J303,$G303-'INformazioni per calcoli'!$AB$5-'INformazioni per calcoli'!$AB$3+$J303),"Non al carico"))))))),"")</f>
        <v/>
      </c>
      <c r="I303" s="17" t="str">
        <f ca="1">IFERROR(IF($H303&lt;&gt;"",IF($H303="Safe Parking","",IF($W303&lt;&gt;"",IF(AND($U303="X",$V303="X"),$H303-(--"00:30"),""),IF($X303&lt;&gt;"","Mezzo Chiuso","Non al carico"))),""),"")</f>
        <v/>
      </c>
      <c r="J303" s="306" t="str">
        <f>IFERROR(IF($B303&lt;&gt;"",IF(AND('INformazioni per calcoli'!$AB$3&lt;(--"15:00"),'INformazioni per calcoli'!$AB$3&gt;(--"00:00")),0,IF($G303&lt;(--"18:30"),"+1",0)),""),"")</f>
        <v/>
      </c>
      <c r="K303" s="17"/>
      <c r="L303" s="25"/>
      <c r="M303" s="25" t="str">
        <f>IFERROR(_xlfn.XLOOKUP($Q303,'Elenco Casse'!$D:$D,'Elenco Casse'!$E:$E),"")</f>
        <v/>
      </c>
      <c r="N303" s="25" t="str">
        <f>IFERROR(_xlfn.XLOOKUP($Q303,'Elenco Casse'!$D:$D,'Elenco Casse'!$F:$F),"")</f>
        <v/>
      </c>
      <c r="O303" s="286"/>
      <c r="P303" s="295" t="str">
        <f>IFERROR(_xlfn.XLOOKUP($Q303,'Elenco Casse'!$D:$D,'Elenco Casse'!$G:$G),"")</f>
        <v/>
      </c>
      <c r="Q303" s="355"/>
      <c r="R303" s="23"/>
      <c r="S303" s="25"/>
      <c r="T303" s="25"/>
      <c r="U303" s="23" t="str">
        <f>IF(ISNUMBER(SEARCH("Parcel",$T303)),"X","")</f>
        <v/>
      </c>
      <c r="V303" s="23" t="str">
        <f>IF(ISNUMBER(SEARCH("Freight",$T303)),"X","")</f>
        <v/>
      </c>
      <c r="W303" s="26"/>
      <c r="X303" s="27"/>
      <c r="Y303" s="25" t="str">
        <f>IF(Out_Table[[#This Row],[DOC Del. hr. (RTH)]]&lt;&gt;"","XXX","")</f>
        <v/>
      </c>
      <c r="Z303" s="25"/>
      <c r="AA303" s="25"/>
      <c r="AB303" s="57"/>
      <c r="AC303" s="25"/>
      <c r="AD303" s="25"/>
      <c r="AE303" s="57"/>
      <c r="AF303" s="57"/>
      <c r="AG303" s="25"/>
      <c r="AH303" s="57"/>
      <c r="AI303" s="339"/>
      <c r="AJ303" s="339"/>
      <c r="AK303" s="297" t="str">
        <f>IF(X303&lt;&gt;"",CONCATENATE(IF(AA303&lt;&gt;"",CONCATENATE(Z303," ",AA303," ",BI303),""),IF(AD303&lt;&gt;"",CONCATENATE(","," ",AC303," ",AD303," ",BJ303),""),IF(AG303&lt;&gt;"",CONCATENATE(","," ",AF303," ",AG303," ",BK303),""),IF(AJ303&lt;&gt;"",CONCATENATE(","," ","DD"," ",BL303),"")," ",IF(AI303&lt;&gt;"",CONCATENATE(" - ",AI303," Bag"),"")),"")</f>
        <v/>
      </c>
      <c r="AL303" s="287"/>
      <c r="AM303" s="287"/>
      <c r="AN303" s="287"/>
      <c r="AO303" s="287"/>
      <c r="AP303" s="370" t="str">
        <f>IFERROR(VLOOKUP($E300,Outlist!$A$5:$V$120,20,FALSE),"")</f>
        <v/>
      </c>
      <c r="AQ303" s="288" t="str">
        <f>IFERROR(IF(VLOOKUP($A303,#REF!,8,FALSE)&lt;&gt;"",VLOOKUP($A303,#REF!,8,FALSE),""),"")</f>
        <v/>
      </c>
      <c r="AS303" s="24"/>
      <c r="AT303" s="24"/>
      <c r="AU303" s="27"/>
      <c r="AV303" s="27"/>
      <c r="AX303" s="20" t="str">
        <f>IFERROR(IF(Out_Table[[#This Row],[Cancellazione linea]]="Cancellata","yes",""),"")</f>
        <v/>
      </c>
      <c r="AY303" s="72" t="str">
        <f>IF(BA303="",BZ303,IF(AND(BA303&lt;(--"23:59:59"),BA303&gt;(--"15:00:00"),G303&lt;(--"14:00:00"),G303&gt;(--"00:00:01")),"",IF(BA303&gt;G303,BZ303,"")))</f>
        <v/>
      </c>
      <c r="AZ303" s="27"/>
      <c r="BA303" s="32"/>
      <c r="BB303" s="72"/>
      <c r="BC303" s="72" t="str">
        <f>IFERROR(VLOOKUP(Out_Table[[#This Row],[Aggiornamento STATUS]],'INformazioni per calcoli'!$Y$70:$AA$76,2,FALSE),"")</f>
        <v/>
      </c>
      <c r="BD303" s="289"/>
      <c r="BE303" s="289"/>
      <c r="BF303" s="47" t="str">
        <f>LEFT($E303,3)</f>
        <v/>
      </c>
      <c r="BG303" s="298" t="str">
        <f>IF(Out_Table[[#This Row],[Ora Uscita    (GH)]]&lt;&gt;"","x","")</f>
        <v/>
      </c>
      <c r="BH303" s="299" t="e">
        <f>VLOOKUP($O303,'INformazioni per calcoli'!$Y$20:$AA$23,3,FALSE)</f>
        <v>#N/A</v>
      </c>
      <c r="BI303" s="299" t="e">
        <f>MROUND(Out_Table[[#This Row],[Mtr. Trailer]]*AB303,0.5)</f>
        <v>#N/A</v>
      </c>
      <c r="BJ303" s="299" t="e">
        <f>MROUND(Out_Table[[#This Row],[Mtr. Trailer]]*AE303,0.5)</f>
        <v>#N/A</v>
      </c>
      <c r="BK303" s="299" t="e">
        <f>MROUND(Out_Table[[#This Row],[Mtr. Trailer]]*AH303,0.5)</f>
        <v>#N/A</v>
      </c>
      <c r="BL303" s="300">
        <f>Out_Table[[#This Row],[Double Deck trailer N° bumpers]]</f>
        <v>0</v>
      </c>
      <c r="BM303" s="301"/>
      <c r="BN303" s="299">
        <f>B303</f>
        <v>0</v>
      </c>
      <c r="BO303" s="299">
        <f>E303</f>
        <v>0</v>
      </c>
      <c r="BP303" s="302">
        <f>IF(AND(G303&gt;(--"00:00:01"),G303&lt;(--"15:00:00")),IF(AND(X303&gt;(--"00:00:01"),X303&lt;(--"15:00:00")),G303-X303,G303+1-X303),G303-X303)</f>
        <v>0</v>
      </c>
      <c r="BQ303" s="303">
        <f>AE303+AF303+AH303+AJ303</f>
        <v>0</v>
      </c>
      <c r="BR303" s="304" t="str">
        <f>IF(OR(BP303&lt;=(--"00:20:00"),BQ303&gt;=100%),"OK","Not OK")</f>
        <v>OK</v>
      </c>
      <c r="BS303" s="302">
        <f>IF(AND(G303&gt;(--"00:00:01"),G303&lt;(--"15:00:00")),IF(AND(AU303&gt;(--"00:00:01"),AU303&lt;(--"15:00:00")),G303-AU303,G303+1-AU303),G303-AU303)</f>
        <v>0</v>
      </c>
      <c r="BT303" s="302">
        <f>IF(AND(AZ303&gt;(--"00:00:01"),AZ303&lt;(--"15:00:00")),IF(AND(AU303&gt;(--"00:00:01"),AU303&lt;(--"15:00:00")),AZ303-AU303,AZ303+1-AU303),AZ303-AU303)</f>
        <v>0</v>
      </c>
      <c r="BU303" s="302">
        <f>IF(AND(BA303&gt;(--"00:00:01"),BA303&lt;(--"15:00:00")),IF(AND(AZ303&gt;(--"00:00:01"),AZ303&lt;(--"15:00:00")),BA303-AZ303,BA303+1-AZ303),BA303-AZ303)</f>
        <v>0</v>
      </c>
      <c r="BV303" s="299">
        <f>AV303</f>
        <v>0</v>
      </c>
      <c r="BW303" s="301"/>
      <c r="BX303" s="299" t="str">
        <f>IF(AV303="T Status",IF(AV303&lt;&gt;T303,"X",""),"")</f>
        <v/>
      </c>
      <c r="BY303" s="301"/>
      <c r="BZ303" s="299" t="str">
        <f>IF(X303&lt;&gt;"",IF(CC303="X","Driver Delay",IF(CA303="X","Paperwork Delay",IF(CB303="X","Late freight late sort",IF(CD303="X","Chiamare Control Room",IF(CE303="X","Chiamare Control Room",IF(CF303="X","Chiamare Control Room","")))))),"")</f>
        <v/>
      </c>
      <c r="CA303" s="302" t="str">
        <f>IF(K303="",IF(IF(AND(G303&gt;(--"00:00:01"),G303&lt;(--"15:00:00")),IF(AND(AT303&gt;(--"08:00:00"),AT303&lt;(--"23:59:59")),G303+1-AT303,G303-AT303),G303-AT303)&gt;(--"00:20:00"),"","X"),"")</f>
        <v>X</v>
      </c>
      <c r="CB303" s="299" t="str">
        <f>IF(K303="",IF(BP303&gt;=(--"00:20:00"),"","X"),"")</f>
        <v>X</v>
      </c>
      <c r="CC303" s="299" t="str">
        <f>IF(OR(AV303="Autista non presente",AV303="Dati driver non presenti"),"X","")</f>
        <v/>
      </c>
      <c r="CD303" s="299" t="str">
        <f>IF(K303="",IF(AND(CC303="",BS303&lt;(--"00:20:00")),"X",""),"")</f>
        <v>X</v>
      </c>
      <c r="CE303" s="299" t="str">
        <f>IF(K303="",IF(BT303&gt;(--"00:15:00"),"X",""),IF(AZ303&lt;&gt;"",IF(G303-AZ303&gt;(--"00:30:00"),"X",""),""))</f>
        <v/>
      </c>
      <c r="CF303" s="299" t="str">
        <f>IF(AND(CA303="",CB303="",CC303="",CD303="",CE303=""),"X","")</f>
        <v/>
      </c>
      <c r="CG303" s="301"/>
      <c r="CH303" s="299" t="str">
        <f>IF(BT303&gt;(--"00:15:00"),"X","")</f>
        <v/>
      </c>
      <c r="CI303" s="302" t="str">
        <f>AY303</f>
        <v/>
      </c>
      <c r="CJ303" s="299" t="str">
        <f>IF(AND(CH303&lt;&gt;"",CI303&lt;&gt;"",LEFT(B303,3)="ITD"),AP303,"")</f>
        <v/>
      </c>
      <c r="CK303" s="305" t="str">
        <f>IF(CJ303&lt;&gt;"",BT303,"")</f>
        <v/>
      </c>
      <c r="CL303" s="301"/>
      <c r="CM303" s="305" t="str">
        <f>IFERROR(VLOOKUP(Q303,'Elenco Casse'!$D$4:$F$292,3,FALSE),"")</f>
        <v/>
      </c>
      <c r="CN303" s="301"/>
      <c r="CO303" s="305" t="str">
        <f>IFERROR(VLOOKUP(S303,'Elenco Casse'!$D$4:$F$292,3,FALSE),"")</f>
        <v/>
      </c>
      <c r="CP303" s="305" t="str">
        <f>IFERROR(IF(VLOOKUP($E303,Outlist!$A$5:$S$120,19,FALSE)&lt;&gt;0,"Y",""),"")</f>
        <v/>
      </c>
      <c r="CQ303" s="301"/>
      <c r="CR303" s="305" t="str">
        <f>CONCATENATE($B303,$E303,$G303)</f>
        <v/>
      </c>
      <c r="CS303" s="301"/>
      <c r="CT303" s="305" t="e">
        <f>VLOOKUP(Out_Table[[#This Row],[Destination             ORANGE (From Planning)]],Outlist!$A$5:$W$120,22,FALSE)</f>
        <v>#N/A</v>
      </c>
    </row>
    <row r="304" spans="1:98" s="20" customFormat="1" ht="15">
      <c r="A304" s="305" t="str">
        <f>$CR304</f>
        <v/>
      </c>
      <c r="B304" s="284"/>
      <c r="C304" s="290" t="str">
        <f ca="1">IFERROR(IF(LEFT(B304,3)='STAT 77'!$X$2,_xlfn.XLOOKUP(B304,'STAT 77'!C:C,'STAT 77'!B:B),_xlfn.XLOOKUP(B304,'STAT 77'!B:B,'STAT 77'!C:C)),"NON TROVATO")</f>
        <v>NON TROVATO</v>
      </c>
      <c r="D304" s="25"/>
      <c r="E304" s="290"/>
      <c r="F304" s="290" t="str">
        <f>IFERROR(VLOOKUP(E304,'Cambio O2P'!C:E,2,FALSE),"")</f>
        <v/>
      </c>
      <c r="G304" s="285"/>
      <c r="H304" s="293" t="str">
        <f ca="1">IFERROR(IF(AND('INformazioni per calcoli'!$AB$3&lt;(--"14:30"),'INformazioni per calcoli'!$AB$3&gt;(--"10:00")),"",IF($B304="","",IF($X304&lt;&gt;"","Mezzo Chiuso",IF($W304="","Non al Carico",IF($G304-'INformazioni per calcoli'!$AB$5-'INformazioni per calcoli'!$AB$3+$J304&lt;0,"LFLS",IF($K304&lt;&gt;"","Safe Parking",IF($W304&lt;&gt;"",IF($E304="MXP",$G304-'INformazioni per calcoli'!$AB$6-'INformazioni per calcoli'!$AB$3+$J304,$G304-'INformazioni per calcoli'!$AB$5-'INformazioni per calcoli'!$AB$3+$J304),"Non al carico"))))))),"")</f>
        <v/>
      </c>
      <c r="I304" s="17" t="str">
        <f ca="1">IFERROR(IF($H304&lt;&gt;"",IF($H304="Safe Parking","",IF($W304&lt;&gt;"",IF(AND($U304="X",$V304="X"),$H304-(--"00:30"),""),IF($X304&lt;&gt;"","Mezzo Chiuso","Non al carico"))),""),"")</f>
        <v/>
      </c>
      <c r="J304" s="306" t="str">
        <f>IFERROR(IF($B304&lt;&gt;"",IF(AND('INformazioni per calcoli'!$AB$3&lt;(--"15:00"),'INformazioni per calcoli'!$AB$3&gt;(--"00:00")),0,IF($G304&lt;(--"18:30"),"+1",0)),""),"")</f>
        <v/>
      </c>
      <c r="K304" s="17"/>
      <c r="L304" s="25"/>
      <c r="M304" s="25" t="str">
        <f>IFERROR(_xlfn.XLOOKUP($Q304,'Elenco Casse'!$D:$D,'Elenco Casse'!$E:$E),"")</f>
        <v/>
      </c>
      <c r="N304" s="25" t="str">
        <f>IFERROR(_xlfn.XLOOKUP($Q304,'Elenco Casse'!$D:$D,'Elenco Casse'!$F:$F),"")</f>
        <v/>
      </c>
      <c r="O304" s="286"/>
      <c r="P304" s="295" t="str">
        <f>IFERROR(_xlfn.XLOOKUP($Q304,'Elenco Casse'!$D:$D,'Elenco Casse'!$G:$G),"")</f>
        <v/>
      </c>
      <c r="Q304" s="355"/>
      <c r="R304" s="23"/>
      <c r="S304" s="25"/>
      <c r="T304" s="25"/>
      <c r="U304" s="23" t="str">
        <f>IF(ISNUMBER(SEARCH("Parcel",$T304)),"X","")</f>
        <v/>
      </c>
      <c r="V304" s="23" t="str">
        <f>IF(ISNUMBER(SEARCH("Freight",$T304)),"X","")</f>
        <v/>
      </c>
      <c r="W304" s="26"/>
      <c r="X304" s="27"/>
      <c r="Y304" s="25" t="str">
        <f>IF(Out_Table[[#This Row],[DOC Del. hr. (RTH)]]&lt;&gt;"","XXX","")</f>
        <v/>
      </c>
      <c r="Z304" s="25"/>
      <c r="AA304" s="25"/>
      <c r="AB304" s="57"/>
      <c r="AC304" s="25"/>
      <c r="AD304" s="25"/>
      <c r="AE304" s="57"/>
      <c r="AF304" s="57"/>
      <c r="AG304" s="25"/>
      <c r="AH304" s="57"/>
      <c r="AI304" s="339"/>
      <c r="AJ304" s="339"/>
      <c r="AK304" s="297" t="str">
        <f>IF(X304&lt;&gt;"",CONCATENATE(IF(AA304&lt;&gt;"",CONCATENATE(Z304," ",AA304," ",BI304),""),IF(AD304&lt;&gt;"",CONCATENATE(","," ",AC304," ",AD304," ",BJ304),""),IF(AG304&lt;&gt;"",CONCATENATE(","," ",AF304," ",AG304," ",BK304),""),IF(AJ304&lt;&gt;"",CONCATENATE(","," ","DD"," ",BL304),"")," ",IF(AI304&lt;&gt;"",CONCATENATE(" - ",AI304," Bag"),"")),"")</f>
        <v/>
      </c>
      <c r="AL304" s="287"/>
      <c r="AM304" s="287"/>
      <c r="AN304" s="287"/>
      <c r="AO304" s="287"/>
      <c r="AP304" s="370" t="str">
        <f>IFERROR(VLOOKUP($E301,Outlist!$A$5:$V$120,20,FALSE),"")</f>
        <v/>
      </c>
      <c r="AQ304" s="288" t="str">
        <f>IFERROR(IF(VLOOKUP($A304,#REF!,8,FALSE)&lt;&gt;"",VLOOKUP($A304,#REF!,8,FALSE),""),"")</f>
        <v/>
      </c>
      <c r="AS304" s="24"/>
      <c r="AT304" s="24"/>
      <c r="AU304" s="27"/>
      <c r="AV304" s="27"/>
      <c r="AX304" s="20" t="str">
        <f>IFERROR(IF(Out_Table[[#This Row],[Cancellazione linea]]="Cancellata","yes",""),"")</f>
        <v/>
      </c>
      <c r="AY304" s="72" t="str">
        <f>IF(BA304="",BZ304,IF(AND(BA304&lt;(--"23:59:59"),BA304&gt;(--"15:00:00"),G304&lt;(--"14:00:00"),G304&gt;(--"00:00:01")),"",IF(BA304&gt;G304,BZ304,"")))</f>
        <v/>
      </c>
      <c r="AZ304" s="27"/>
      <c r="BA304" s="32"/>
      <c r="BB304" s="72"/>
      <c r="BC304" s="72" t="str">
        <f>IFERROR(VLOOKUP(Out_Table[[#This Row],[Aggiornamento STATUS]],'INformazioni per calcoli'!$Y$70:$AA$76,2,FALSE),"")</f>
        <v/>
      </c>
      <c r="BD304" s="289"/>
      <c r="BE304" s="289"/>
      <c r="BF304" s="47" t="str">
        <f>LEFT($E304,3)</f>
        <v/>
      </c>
      <c r="BG304" s="298" t="str">
        <f>IF(Out_Table[[#This Row],[Ora Uscita    (GH)]]&lt;&gt;"","x","")</f>
        <v/>
      </c>
      <c r="BH304" s="299" t="e">
        <f>VLOOKUP($O304,'INformazioni per calcoli'!$Y$20:$AA$23,3,FALSE)</f>
        <v>#N/A</v>
      </c>
      <c r="BI304" s="299" t="e">
        <f>MROUND(Out_Table[[#This Row],[Mtr. Trailer]]*AB304,0.5)</f>
        <v>#N/A</v>
      </c>
      <c r="BJ304" s="299" t="e">
        <f>MROUND(Out_Table[[#This Row],[Mtr. Trailer]]*AE304,0.5)</f>
        <v>#N/A</v>
      </c>
      <c r="BK304" s="299" t="e">
        <f>MROUND(Out_Table[[#This Row],[Mtr. Trailer]]*AH304,0.5)</f>
        <v>#N/A</v>
      </c>
      <c r="BL304" s="300">
        <f>Out_Table[[#This Row],[Double Deck trailer N° bumpers]]</f>
        <v>0</v>
      </c>
      <c r="BM304" s="301"/>
      <c r="BN304" s="299">
        <f>B304</f>
        <v>0</v>
      </c>
      <c r="BO304" s="299">
        <f>E304</f>
        <v>0</v>
      </c>
      <c r="BP304" s="302">
        <f>IF(AND(G304&gt;(--"00:00:01"),G304&lt;(--"15:00:00")),IF(AND(X304&gt;(--"00:00:01"),X304&lt;(--"15:00:00")),G304-X304,G304+1-X304),G304-X304)</f>
        <v>0</v>
      </c>
      <c r="BQ304" s="303">
        <f>AE304+AF304+AH304+AJ304</f>
        <v>0</v>
      </c>
      <c r="BR304" s="304" t="str">
        <f>IF(OR(BP304&lt;=(--"00:20:00"),BQ304&gt;=100%),"OK","Not OK")</f>
        <v>OK</v>
      </c>
      <c r="BS304" s="302">
        <f>IF(AND(G304&gt;(--"00:00:01"),G304&lt;(--"15:00:00")),IF(AND(AU304&gt;(--"00:00:01"),AU304&lt;(--"15:00:00")),G304-AU304,G304+1-AU304),G304-AU304)</f>
        <v>0</v>
      </c>
      <c r="BT304" s="302">
        <f>IF(AND(AZ304&gt;(--"00:00:01"),AZ304&lt;(--"15:00:00")),IF(AND(AU304&gt;(--"00:00:01"),AU304&lt;(--"15:00:00")),AZ304-AU304,AZ304+1-AU304),AZ304-AU304)</f>
        <v>0</v>
      </c>
      <c r="BU304" s="302">
        <f>IF(AND(BA304&gt;(--"00:00:01"),BA304&lt;(--"15:00:00")),IF(AND(AZ304&gt;(--"00:00:01"),AZ304&lt;(--"15:00:00")),BA304-AZ304,BA304+1-AZ304),BA304-AZ304)</f>
        <v>0</v>
      </c>
      <c r="BV304" s="299">
        <f>AV304</f>
        <v>0</v>
      </c>
      <c r="BW304" s="301"/>
      <c r="BX304" s="299" t="str">
        <f>IF(AV304="T Status",IF(AV304&lt;&gt;T304,"X",""),"")</f>
        <v/>
      </c>
      <c r="BY304" s="301"/>
      <c r="BZ304" s="299" t="str">
        <f>IF(X304&lt;&gt;"",IF(CC304="X","Driver Delay",IF(CA304="X","Paperwork Delay",IF(CB304="X","Late freight late sort",IF(CD304="X","Chiamare Control Room",IF(CE304="X","Chiamare Control Room",IF(CF304="X","Chiamare Control Room","")))))),"")</f>
        <v/>
      </c>
      <c r="CA304" s="302" t="str">
        <f>IF(K304="",IF(IF(AND(G304&gt;(--"00:00:01"),G304&lt;(--"15:00:00")),IF(AND(AT304&gt;(--"08:00:00"),AT304&lt;(--"23:59:59")),G304+1-AT304,G304-AT304),G304-AT304)&gt;(--"00:20:00"),"","X"),"")</f>
        <v>X</v>
      </c>
      <c r="CB304" s="299" t="str">
        <f>IF(K304="",IF(BP304&gt;=(--"00:20:00"),"","X"),"")</f>
        <v>X</v>
      </c>
      <c r="CC304" s="299" t="str">
        <f>IF(OR(AV304="Autista non presente",AV304="Dati driver non presenti"),"X","")</f>
        <v/>
      </c>
      <c r="CD304" s="299" t="str">
        <f>IF(K304="",IF(AND(CC304="",BS304&lt;(--"00:20:00")),"X",""),"")</f>
        <v>X</v>
      </c>
      <c r="CE304" s="299" t="str">
        <f>IF(K304="",IF(BT304&gt;(--"00:15:00"),"X",""),IF(AZ304&lt;&gt;"",IF(G304-AZ304&gt;(--"00:30:00"),"X",""),""))</f>
        <v/>
      </c>
      <c r="CF304" s="299" t="str">
        <f>IF(AND(CA304="",CB304="",CC304="",CD304="",CE304=""),"X","")</f>
        <v/>
      </c>
      <c r="CG304" s="301"/>
      <c r="CH304" s="299" t="str">
        <f>IF(BT304&gt;(--"00:15:00"),"X","")</f>
        <v/>
      </c>
      <c r="CI304" s="302" t="str">
        <f>AY304</f>
        <v/>
      </c>
      <c r="CJ304" s="299" t="str">
        <f>IF(AND(CH304&lt;&gt;"",CI304&lt;&gt;"",LEFT(B304,3)="ITD"),AP304,"")</f>
        <v/>
      </c>
      <c r="CK304" s="305" t="str">
        <f>IF(CJ304&lt;&gt;"",BT304,"")</f>
        <v/>
      </c>
      <c r="CL304" s="301"/>
      <c r="CM304" s="305" t="str">
        <f>IFERROR(VLOOKUP(Q304,'Elenco Casse'!$D$4:$F$292,3,FALSE),"")</f>
        <v/>
      </c>
      <c r="CN304" s="301"/>
      <c r="CO304" s="305" t="str">
        <f>IFERROR(VLOOKUP(S304,'Elenco Casse'!$D$4:$F$292,3,FALSE),"")</f>
        <v/>
      </c>
      <c r="CP304" s="305" t="str">
        <f>IFERROR(IF(VLOOKUP($E304,Outlist!$A$5:$S$120,19,FALSE)&lt;&gt;0,"Y",""),"")</f>
        <v/>
      </c>
      <c r="CQ304" s="301"/>
      <c r="CR304" s="305" t="str">
        <f>CONCATENATE($B304,$E304,$G304)</f>
        <v/>
      </c>
      <c r="CS304" s="301"/>
      <c r="CT304" s="305" t="e">
        <f>VLOOKUP(Out_Table[[#This Row],[Destination             ORANGE (From Planning)]],Outlist!$A$5:$W$120,22,FALSE)</f>
        <v>#N/A</v>
      </c>
    </row>
    <row r="305" spans="1:98" s="20" customFormat="1" ht="15">
      <c r="A305" s="305" t="str">
        <f>$CR305</f>
        <v/>
      </c>
      <c r="B305" s="284"/>
      <c r="C305" s="290" t="str">
        <f ca="1">IFERROR(IF(LEFT(B305,3)='STAT 77'!$X$2,_xlfn.XLOOKUP(B305,'STAT 77'!C:C,'STAT 77'!B:B),_xlfn.XLOOKUP(B305,'STAT 77'!B:B,'STAT 77'!C:C)),"NON TROVATO")</f>
        <v>NON TROVATO</v>
      </c>
      <c r="D305" s="25"/>
      <c r="E305" s="290"/>
      <c r="F305" s="290" t="str">
        <f>IFERROR(VLOOKUP(E305,'Cambio O2P'!C:E,2,FALSE),"")</f>
        <v/>
      </c>
      <c r="G305" s="285"/>
      <c r="H305" s="293" t="str">
        <f ca="1">IFERROR(IF(AND('INformazioni per calcoli'!$AB$3&lt;(--"14:30"),'INformazioni per calcoli'!$AB$3&gt;(--"10:00")),"",IF($B305="","",IF($X305&lt;&gt;"","Mezzo Chiuso",IF($W305="","Non al Carico",IF($G305-'INformazioni per calcoli'!$AB$5-'INformazioni per calcoli'!$AB$3+$J305&lt;0,"LFLS",IF($K305&lt;&gt;"","Safe Parking",IF($W305&lt;&gt;"",IF($E305="MXP",$G305-'INformazioni per calcoli'!$AB$6-'INformazioni per calcoli'!$AB$3+$J305,$G305-'INformazioni per calcoli'!$AB$5-'INformazioni per calcoli'!$AB$3+$J305),"Non al carico"))))))),"")</f>
        <v/>
      </c>
      <c r="I305" s="17" t="str">
        <f ca="1">IFERROR(IF($H305&lt;&gt;"",IF($H305="Safe Parking","",IF($W305&lt;&gt;"",IF(AND($U305="X",$V305="X"),$H305-(--"00:30"),""),IF($X305&lt;&gt;"","Mezzo Chiuso","Non al carico"))),""),"")</f>
        <v/>
      </c>
      <c r="J305" s="306" t="str">
        <f>IFERROR(IF($B305&lt;&gt;"",IF(AND('INformazioni per calcoli'!$AB$3&lt;(--"15:00"),'INformazioni per calcoli'!$AB$3&gt;(--"00:00")),0,IF($G305&lt;(--"18:30"),"+1",0)),""),"")</f>
        <v/>
      </c>
      <c r="K305" s="17"/>
      <c r="L305" s="25"/>
      <c r="M305" s="25" t="str">
        <f>IFERROR(_xlfn.XLOOKUP($Q305,'Elenco Casse'!$D:$D,'Elenco Casse'!$E:$E),"")</f>
        <v/>
      </c>
      <c r="N305" s="25" t="str">
        <f>IFERROR(_xlfn.XLOOKUP($Q305,'Elenco Casse'!$D:$D,'Elenco Casse'!$F:$F),"")</f>
        <v/>
      </c>
      <c r="O305" s="286"/>
      <c r="P305" s="295" t="str">
        <f>IFERROR(_xlfn.XLOOKUP($Q305,'Elenco Casse'!$D:$D,'Elenco Casse'!$G:$G),"")</f>
        <v/>
      </c>
      <c r="Q305" s="355"/>
      <c r="R305" s="23"/>
      <c r="S305" s="25"/>
      <c r="T305" s="25"/>
      <c r="U305" s="23" t="str">
        <f>IF(ISNUMBER(SEARCH("Parcel",$T305)),"X","")</f>
        <v/>
      </c>
      <c r="V305" s="23" t="str">
        <f>IF(ISNUMBER(SEARCH("Freight",$T305)),"X","")</f>
        <v/>
      </c>
      <c r="W305" s="26"/>
      <c r="X305" s="27"/>
      <c r="Y305" s="25" t="str">
        <f>IF(Out_Table[[#This Row],[DOC Del. hr. (RTH)]]&lt;&gt;"","XXX","")</f>
        <v/>
      </c>
      <c r="Z305" s="25"/>
      <c r="AA305" s="25"/>
      <c r="AB305" s="57"/>
      <c r="AC305" s="25"/>
      <c r="AD305" s="25"/>
      <c r="AE305" s="57"/>
      <c r="AF305" s="57"/>
      <c r="AG305" s="25"/>
      <c r="AH305" s="57"/>
      <c r="AI305" s="339"/>
      <c r="AJ305" s="339"/>
      <c r="AK305" s="297" t="str">
        <f>IF(X305&lt;&gt;"",CONCATENATE(IF(AA305&lt;&gt;"",CONCATENATE(Z305," ",AA305," ",BI305),""),IF(AD305&lt;&gt;"",CONCATENATE(","," ",AC305," ",AD305," ",BJ305),""),IF(AG305&lt;&gt;"",CONCATENATE(","," ",AF305," ",AG305," ",BK305),""),IF(AJ305&lt;&gt;"",CONCATENATE(","," ","DD"," ",BL305),"")," ",IF(AI305&lt;&gt;"",CONCATENATE(" - ",AI305," Bag"),"")),"")</f>
        <v/>
      </c>
      <c r="AL305" s="287"/>
      <c r="AM305" s="287"/>
      <c r="AN305" s="287"/>
      <c r="AO305" s="287"/>
      <c r="AP305" s="370" t="str">
        <f>IFERROR(VLOOKUP($E302,Outlist!$A$5:$V$120,20,FALSE),"")</f>
        <v/>
      </c>
      <c r="AQ305" s="288" t="str">
        <f>IFERROR(IF(VLOOKUP($A305,#REF!,8,FALSE)&lt;&gt;"",VLOOKUP($A305,#REF!,8,FALSE),""),"")</f>
        <v/>
      </c>
      <c r="AS305" s="24"/>
      <c r="AT305" s="24"/>
      <c r="AU305" s="27"/>
      <c r="AV305" s="27"/>
      <c r="AX305" s="20" t="str">
        <f>IFERROR(IF(Out_Table[[#This Row],[Cancellazione linea]]="Cancellata","yes",""),"")</f>
        <v/>
      </c>
      <c r="AY305" s="72" t="str">
        <f>IF(BA305="",BZ305,IF(AND(BA305&lt;(--"23:59:59"),BA305&gt;(--"15:00:00"),G305&lt;(--"14:00:00"),G305&gt;(--"00:00:01")),"",IF(BA305&gt;G305,BZ305,"")))</f>
        <v/>
      </c>
      <c r="AZ305" s="27"/>
      <c r="BA305" s="32"/>
      <c r="BB305" s="72"/>
      <c r="BC305" s="72" t="str">
        <f>IFERROR(VLOOKUP(Out_Table[[#This Row],[Aggiornamento STATUS]],'INformazioni per calcoli'!$Y$70:$AA$76,2,FALSE),"")</f>
        <v/>
      </c>
      <c r="BD305" s="289"/>
      <c r="BE305" s="289"/>
      <c r="BF305" s="47" t="str">
        <f>LEFT($E305,3)</f>
        <v/>
      </c>
      <c r="BG305" s="298" t="str">
        <f>IF(Out_Table[[#This Row],[Ora Uscita    (GH)]]&lt;&gt;"","x","")</f>
        <v/>
      </c>
      <c r="BH305" s="299" t="e">
        <f>VLOOKUP($O305,'INformazioni per calcoli'!$Y$20:$AA$23,3,FALSE)</f>
        <v>#N/A</v>
      </c>
      <c r="BI305" s="299" t="e">
        <f>MROUND(Out_Table[[#This Row],[Mtr. Trailer]]*AB305,0.5)</f>
        <v>#N/A</v>
      </c>
      <c r="BJ305" s="299" t="e">
        <f>MROUND(Out_Table[[#This Row],[Mtr. Trailer]]*AE305,0.5)</f>
        <v>#N/A</v>
      </c>
      <c r="BK305" s="299" t="e">
        <f>MROUND(Out_Table[[#This Row],[Mtr. Trailer]]*AH305,0.5)</f>
        <v>#N/A</v>
      </c>
      <c r="BL305" s="300">
        <f>Out_Table[[#This Row],[Double Deck trailer N° bumpers]]</f>
        <v>0</v>
      </c>
      <c r="BM305" s="301"/>
      <c r="BN305" s="299">
        <f>B305</f>
        <v>0</v>
      </c>
      <c r="BO305" s="299">
        <f>E305</f>
        <v>0</v>
      </c>
      <c r="BP305" s="302">
        <f>IF(AND(G305&gt;(--"00:00:01"),G305&lt;(--"15:00:00")),IF(AND(X305&gt;(--"00:00:01"),X305&lt;(--"15:00:00")),G305-X305,G305+1-X305),G305-X305)</f>
        <v>0</v>
      </c>
      <c r="BQ305" s="303">
        <f>AE305+AF305+AH305+AJ305</f>
        <v>0</v>
      </c>
      <c r="BR305" s="304" t="str">
        <f>IF(OR(BP305&lt;=(--"00:20:00"),BQ305&gt;=100%),"OK","Not OK")</f>
        <v>OK</v>
      </c>
      <c r="BS305" s="302">
        <f>IF(AND(G305&gt;(--"00:00:01"),G305&lt;(--"15:00:00")),IF(AND(AU305&gt;(--"00:00:01"),AU305&lt;(--"15:00:00")),G305-AU305,G305+1-AU305),G305-AU305)</f>
        <v>0</v>
      </c>
      <c r="BT305" s="302">
        <f>IF(AND(AZ305&gt;(--"00:00:01"),AZ305&lt;(--"15:00:00")),IF(AND(AU305&gt;(--"00:00:01"),AU305&lt;(--"15:00:00")),AZ305-AU305,AZ305+1-AU305),AZ305-AU305)</f>
        <v>0</v>
      </c>
      <c r="BU305" s="302">
        <f>IF(AND(BA305&gt;(--"00:00:01"),BA305&lt;(--"15:00:00")),IF(AND(AZ305&gt;(--"00:00:01"),AZ305&lt;(--"15:00:00")),BA305-AZ305,BA305+1-AZ305),BA305-AZ305)</f>
        <v>0</v>
      </c>
      <c r="BV305" s="299">
        <f>AV305</f>
        <v>0</v>
      </c>
      <c r="BW305" s="301"/>
      <c r="BX305" s="299" t="str">
        <f>IF(AV305="T Status",IF(AV305&lt;&gt;T305,"X",""),"")</f>
        <v/>
      </c>
      <c r="BY305" s="301"/>
      <c r="BZ305" s="299" t="str">
        <f>IF(X305&lt;&gt;"",IF(CC305="X","Driver Delay",IF(CA305="X","Paperwork Delay",IF(CB305="X","Late freight late sort",IF(CD305="X","Chiamare Control Room",IF(CE305="X","Chiamare Control Room",IF(CF305="X","Chiamare Control Room","")))))),"")</f>
        <v/>
      </c>
      <c r="CA305" s="302" t="str">
        <f>IF(K305="",IF(IF(AND(G305&gt;(--"00:00:01"),G305&lt;(--"15:00:00")),IF(AND(AT305&gt;(--"08:00:00"),AT305&lt;(--"23:59:59")),G305+1-AT305,G305-AT305),G305-AT305)&gt;(--"00:20:00"),"","X"),"")</f>
        <v>X</v>
      </c>
      <c r="CB305" s="299" t="str">
        <f>IF(K305="",IF(BP305&gt;=(--"00:20:00"),"","X"),"")</f>
        <v>X</v>
      </c>
      <c r="CC305" s="299" t="str">
        <f>IF(OR(AV305="Autista non presente",AV305="Dati driver non presenti"),"X","")</f>
        <v/>
      </c>
      <c r="CD305" s="299" t="str">
        <f>IF(K305="",IF(AND(CC305="",BS305&lt;(--"00:20:00")),"X",""),"")</f>
        <v>X</v>
      </c>
      <c r="CE305" s="299" t="str">
        <f>IF(K305="",IF(BT305&gt;(--"00:15:00"),"X",""),IF(AZ305&lt;&gt;"",IF(G305-AZ305&gt;(--"00:30:00"),"X",""),""))</f>
        <v/>
      </c>
      <c r="CF305" s="299" t="str">
        <f>IF(AND(CA305="",CB305="",CC305="",CD305="",CE305=""),"X","")</f>
        <v/>
      </c>
      <c r="CG305" s="301"/>
      <c r="CH305" s="299" t="str">
        <f>IF(BT305&gt;(--"00:15:00"),"X","")</f>
        <v/>
      </c>
      <c r="CI305" s="302" t="str">
        <f>AY305</f>
        <v/>
      </c>
      <c r="CJ305" s="299" t="str">
        <f>IF(AND(CH305&lt;&gt;"",CI305&lt;&gt;"",LEFT(B305,3)="ITD"),AP305,"")</f>
        <v/>
      </c>
      <c r="CK305" s="305" t="str">
        <f>IF(CJ305&lt;&gt;"",BT305,"")</f>
        <v/>
      </c>
      <c r="CL305" s="301"/>
      <c r="CM305" s="305" t="str">
        <f>IFERROR(VLOOKUP(Q305,'Elenco Casse'!$D$4:$F$292,3,FALSE),"")</f>
        <v/>
      </c>
      <c r="CN305" s="301"/>
      <c r="CO305" s="305" t="str">
        <f>IFERROR(VLOOKUP(S305,'Elenco Casse'!$D$4:$F$292,3,FALSE),"")</f>
        <v/>
      </c>
      <c r="CP305" s="305" t="str">
        <f>IFERROR(IF(VLOOKUP($E305,Outlist!$A$5:$S$120,19,FALSE)&lt;&gt;0,"Y",""),"")</f>
        <v/>
      </c>
      <c r="CQ305" s="301"/>
      <c r="CR305" s="305" t="str">
        <f>CONCATENATE($B305,$E305,$G305)</f>
        <v/>
      </c>
      <c r="CS305" s="301"/>
      <c r="CT305" s="305" t="e">
        <f>VLOOKUP(Out_Table[[#This Row],[Destination             ORANGE (From Planning)]],Outlist!$A$5:$W$120,22,FALSE)</f>
        <v>#N/A</v>
      </c>
    </row>
    <row r="306" spans="1:98" s="20" customFormat="1" ht="15">
      <c r="A306" s="305" t="str">
        <f>$CR306</f>
        <v/>
      </c>
      <c r="B306" s="284"/>
      <c r="C306" s="290" t="str">
        <f ca="1">IFERROR(IF(LEFT(B306,3)='STAT 77'!$X$2,_xlfn.XLOOKUP(B306,'STAT 77'!C:C,'STAT 77'!B:B),_xlfn.XLOOKUP(B306,'STAT 77'!B:B,'STAT 77'!C:C)),"NON TROVATO")</f>
        <v>NON TROVATO</v>
      </c>
      <c r="D306" s="25"/>
      <c r="E306" s="290"/>
      <c r="F306" s="290" t="str">
        <f>IFERROR(VLOOKUP(E306,'Cambio O2P'!C:E,2,FALSE),"")</f>
        <v/>
      </c>
      <c r="G306" s="285"/>
      <c r="H306" s="293" t="str">
        <f ca="1">IFERROR(IF(AND('INformazioni per calcoli'!$AB$3&lt;(--"14:30"),'INformazioni per calcoli'!$AB$3&gt;(--"10:00")),"",IF($B306="","",IF($X306&lt;&gt;"","Mezzo Chiuso",IF($W306="","Non al Carico",IF($G306-'INformazioni per calcoli'!$AB$5-'INformazioni per calcoli'!$AB$3+$J306&lt;0,"LFLS",IF($K306&lt;&gt;"","Safe Parking",IF($W306&lt;&gt;"",IF($E306="MXP",$G306-'INformazioni per calcoli'!$AB$6-'INformazioni per calcoli'!$AB$3+$J306,$G306-'INformazioni per calcoli'!$AB$5-'INformazioni per calcoli'!$AB$3+$J306),"Non al carico"))))))),"")</f>
        <v/>
      </c>
      <c r="I306" s="17" t="str">
        <f ca="1">IFERROR(IF($H306&lt;&gt;"",IF($H306="Safe Parking","",IF($W306&lt;&gt;"",IF(AND($U306="X",$V306="X"),$H306-(--"00:30"),""),IF($X306&lt;&gt;"","Mezzo Chiuso","Non al carico"))),""),"")</f>
        <v/>
      </c>
      <c r="J306" s="306" t="str">
        <f>IFERROR(IF($B306&lt;&gt;"",IF(AND('INformazioni per calcoli'!$AB$3&lt;(--"15:00"),'INformazioni per calcoli'!$AB$3&gt;(--"00:00")),0,IF($G306&lt;(--"18:30"),"+1",0)),""),"")</f>
        <v/>
      </c>
      <c r="K306" s="17"/>
      <c r="L306" s="25"/>
      <c r="M306" s="25" t="str">
        <f>IFERROR(_xlfn.XLOOKUP($Q306,'Elenco Casse'!$D:$D,'Elenco Casse'!$E:$E),"")</f>
        <v/>
      </c>
      <c r="N306" s="25" t="str">
        <f>IFERROR(_xlfn.XLOOKUP($Q306,'Elenco Casse'!$D:$D,'Elenco Casse'!$F:$F),"")</f>
        <v/>
      </c>
      <c r="O306" s="286"/>
      <c r="P306" s="295" t="str">
        <f>IFERROR(_xlfn.XLOOKUP($Q306,'Elenco Casse'!$D:$D,'Elenco Casse'!$G:$G),"")</f>
        <v/>
      </c>
      <c r="Q306" s="355"/>
      <c r="R306" s="23"/>
      <c r="S306" s="25"/>
      <c r="T306" s="25"/>
      <c r="U306" s="23" t="str">
        <f>IF(ISNUMBER(SEARCH("Parcel",$T306)),"X","")</f>
        <v/>
      </c>
      <c r="V306" s="23" t="str">
        <f>IF(ISNUMBER(SEARCH("Freight",$T306)),"X","")</f>
        <v/>
      </c>
      <c r="W306" s="26"/>
      <c r="X306" s="27"/>
      <c r="Y306" s="25" t="str">
        <f>IF(Out_Table[[#This Row],[DOC Del. hr. (RTH)]]&lt;&gt;"","XXX","")</f>
        <v/>
      </c>
      <c r="Z306" s="25"/>
      <c r="AA306" s="25"/>
      <c r="AB306" s="57"/>
      <c r="AC306" s="25"/>
      <c r="AD306" s="25"/>
      <c r="AE306" s="57"/>
      <c r="AF306" s="57"/>
      <c r="AG306" s="25"/>
      <c r="AH306" s="57"/>
      <c r="AI306" s="339"/>
      <c r="AJ306" s="339"/>
      <c r="AK306" s="297" t="str">
        <f>IF(X306&lt;&gt;"",CONCATENATE(IF(AA306&lt;&gt;"",CONCATENATE(Z306," ",AA306," ",BI306),""),IF(AD306&lt;&gt;"",CONCATENATE(","," ",AC306," ",AD306," ",BJ306),""),IF(AG306&lt;&gt;"",CONCATENATE(","," ",AF306," ",AG306," ",BK306),""),IF(AJ306&lt;&gt;"",CONCATENATE(","," ","DD"," ",BL306),"")," ",IF(AI306&lt;&gt;"",CONCATENATE(" - ",AI306," Bag"),"")),"")</f>
        <v/>
      </c>
      <c r="AL306" s="287"/>
      <c r="AM306" s="287"/>
      <c r="AN306" s="287"/>
      <c r="AO306" s="287"/>
      <c r="AP306" s="370" t="str">
        <f>IFERROR(VLOOKUP($E303,Outlist!$A$5:$V$120,20,FALSE),"")</f>
        <v/>
      </c>
      <c r="AQ306" s="288" t="str">
        <f>IFERROR(IF(VLOOKUP($A306,#REF!,8,FALSE)&lt;&gt;"",VLOOKUP($A306,#REF!,8,FALSE),""),"")</f>
        <v/>
      </c>
      <c r="AS306" s="24"/>
      <c r="AT306" s="24"/>
      <c r="AU306" s="27"/>
      <c r="AV306" s="27"/>
      <c r="AX306" s="20" t="str">
        <f>IFERROR(IF(Out_Table[[#This Row],[Cancellazione linea]]="Cancellata","yes",""),"")</f>
        <v/>
      </c>
      <c r="AY306" s="72" t="str">
        <f>IF(BA306="",BZ306,IF(AND(BA306&lt;(--"23:59:59"),BA306&gt;(--"15:00:00"),G306&lt;(--"14:00:00"),G306&gt;(--"00:00:01")),"",IF(BA306&gt;G306,BZ306,"")))</f>
        <v/>
      </c>
      <c r="AZ306" s="27"/>
      <c r="BA306" s="32"/>
      <c r="BB306" s="72"/>
      <c r="BC306" s="72" t="str">
        <f>IFERROR(VLOOKUP(Out_Table[[#This Row],[Aggiornamento STATUS]],'INformazioni per calcoli'!$Y$70:$AA$76,2,FALSE),"")</f>
        <v/>
      </c>
      <c r="BD306" s="289"/>
      <c r="BE306" s="289"/>
      <c r="BF306" s="47" t="str">
        <f>LEFT($E306,3)</f>
        <v/>
      </c>
      <c r="BG306" s="298" t="str">
        <f>IF(Out_Table[[#This Row],[Ora Uscita    (GH)]]&lt;&gt;"","x","")</f>
        <v/>
      </c>
      <c r="BH306" s="299" t="e">
        <f>VLOOKUP($O306,'INformazioni per calcoli'!$Y$20:$AA$23,3,FALSE)</f>
        <v>#N/A</v>
      </c>
      <c r="BI306" s="299" t="e">
        <f>MROUND(Out_Table[[#This Row],[Mtr. Trailer]]*AB306,0.5)</f>
        <v>#N/A</v>
      </c>
      <c r="BJ306" s="299" t="e">
        <f>MROUND(Out_Table[[#This Row],[Mtr. Trailer]]*AE306,0.5)</f>
        <v>#N/A</v>
      </c>
      <c r="BK306" s="299" t="e">
        <f>MROUND(Out_Table[[#This Row],[Mtr. Trailer]]*AH306,0.5)</f>
        <v>#N/A</v>
      </c>
      <c r="BL306" s="300">
        <f>Out_Table[[#This Row],[Double Deck trailer N° bumpers]]</f>
        <v>0</v>
      </c>
      <c r="BM306" s="301"/>
      <c r="BN306" s="299">
        <f>B306</f>
        <v>0</v>
      </c>
      <c r="BO306" s="299">
        <f>E306</f>
        <v>0</v>
      </c>
      <c r="BP306" s="302">
        <f>IF(AND(G306&gt;(--"00:00:01"),G306&lt;(--"15:00:00")),IF(AND(X306&gt;(--"00:00:01"),X306&lt;(--"15:00:00")),G306-X306,G306+1-X306),G306-X306)</f>
        <v>0</v>
      </c>
      <c r="BQ306" s="303">
        <f>AE306+AF306+AH306+AJ306</f>
        <v>0</v>
      </c>
      <c r="BR306" s="304" t="str">
        <f>IF(OR(BP306&lt;=(--"00:20:00"),BQ306&gt;=100%),"OK","Not OK")</f>
        <v>OK</v>
      </c>
      <c r="BS306" s="302">
        <f>IF(AND(G306&gt;(--"00:00:01"),G306&lt;(--"15:00:00")),IF(AND(AU306&gt;(--"00:00:01"),AU306&lt;(--"15:00:00")),G306-AU306,G306+1-AU306),G306-AU306)</f>
        <v>0</v>
      </c>
      <c r="BT306" s="302">
        <f>IF(AND(AZ306&gt;(--"00:00:01"),AZ306&lt;(--"15:00:00")),IF(AND(AU306&gt;(--"00:00:01"),AU306&lt;(--"15:00:00")),AZ306-AU306,AZ306+1-AU306),AZ306-AU306)</f>
        <v>0</v>
      </c>
      <c r="BU306" s="302">
        <f>IF(AND(BA306&gt;(--"00:00:01"),BA306&lt;(--"15:00:00")),IF(AND(AZ306&gt;(--"00:00:01"),AZ306&lt;(--"15:00:00")),BA306-AZ306,BA306+1-AZ306),BA306-AZ306)</f>
        <v>0</v>
      </c>
      <c r="BV306" s="299">
        <f>AV306</f>
        <v>0</v>
      </c>
      <c r="BW306" s="301"/>
      <c r="BX306" s="299" t="str">
        <f>IF(AV306="T Status",IF(AV306&lt;&gt;T306,"X",""),"")</f>
        <v/>
      </c>
      <c r="BY306" s="301"/>
      <c r="BZ306" s="299" t="str">
        <f>IF(X306&lt;&gt;"",IF(CC306="X","Driver Delay",IF(CA306="X","Paperwork Delay",IF(CB306="X","Late freight late sort",IF(CD306="X","Chiamare Control Room",IF(CE306="X","Chiamare Control Room",IF(CF306="X","Chiamare Control Room","")))))),"")</f>
        <v/>
      </c>
      <c r="CA306" s="302" t="str">
        <f>IF(K306="",IF(IF(AND(G306&gt;(--"00:00:01"),G306&lt;(--"15:00:00")),IF(AND(AT306&gt;(--"08:00:00"),AT306&lt;(--"23:59:59")),G306+1-AT306,G306-AT306),G306-AT306)&gt;(--"00:20:00"),"","X"),"")</f>
        <v>X</v>
      </c>
      <c r="CB306" s="299" t="str">
        <f>IF(K306="",IF(BP306&gt;=(--"00:20:00"),"","X"),"")</f>
        <v>X</v>
      </c>
      <c r="CC306" s="299" t="str">
        <f>IF(OR(AV306="Autista non presente",AV306="Dati driver non presenti"),"X","")</f>
        <v/>
      </c>
      <c r="CD306" s="299" t="str">
        <f>IF(K306="",IF(AND(CC306="",BS306&lt;(--"00:20:00")),"X",""),"")</f>
        <v>X</v>
      </c>
      <c r="CE306" s="299" t="str">
        <f>IF(K306="",IF(BT306&gt;(--"00:15:00"),"X",""),IF(AZ306&lt;&gt;"",IF(G306-AZ306&gt;(--"00:30:00"),"X",""),""))</f>
        <v/>
      </c>
      <c r="CF306" s="299" t="str">
        <f>IF(AND(CA306="",CB306="",CC306="",CD306="",CE306=""),"X","")</f>
        <v/>
      </c>
      <c r="CG306" s="301"/>
      <c r="CH306" s="299" t="str">
        <f>IF(BT306&gt;(--"00:15:00"),"X","")</f>
        <v/>
      </c>
      <c r="CI306" s="302" t="str">
        <f>AY306</f>
        <v/>
      </c>
      <c r="CJ306" s="299" t="str">
        <f>IF(AND(CH306&lt;&gt;"",CI306&lt;&gt;"",LEFT(B306,3)="ITD"),AP306,"")</f>
        <v/>
      </c>
      <c r="CK306" s="305" t="str">
        <f>IF(CJ306&lt;&gt;"",BT306,"")</f>
        <v/>
      </c>
      <c r="CL306" s="301"/>
      <c r="CM306" s="305" t="str">
        <f>IFERROR(VLOOKUP(Q306,'Elenco Casse'!$D$4:$F$292,3,FALSE),"")</f>
        <v/>
      </c>
      <c r="CN306" s="301"/>
      <c r="CO306" s="305" t="str">
        <f>IFERROR(VLOOKUP(S306,'Elenco Casse'!$D$4:$F$292,3,FALSE),"")</f>
        <v/>
      </c>
      <c r="CP306" s="305" t="str">
        <f>IFERROR(IF(VLOOKUP($E306,Outlist!$A$5:$S$120,19,FALSE)&lt;&gt;0,"Y",""),"")</f>
        <v/>
      </c>
      <c r="CQ306" s="301"/>
      <c r="CR306" s="305" t="str">
        <f>CONCATENATE($B306,$E306,$G306)</f>
        <v/>
      </c>
      <c r="CS306" s="301"/>
      <c r="CT306" s="305" t="e">
        <f>VLOOKUP(Out_Table[[#This Row],[Destination             ORANGE (From Planning)]],Outlist!$A$5:$W$120,22,FALSE)</f>
        <v>#N/A</v>
      </c>
    </row>
    <row r="307" spans="1:98" s="20" customFormat="1" ht="15">
      <c r="A307" s="305" t="str">
        <f>$CR307</f>
        <v/>
      </c>
      <c r="B307" s="284"/>
      <c r="C307" s="290" t="str">
        <f ca="1">IFERROR(IF(LEFT(B307,3)='STAT 77'!$X$2,_xlfn.XLOOKUP(B307,'STAT 77'!C:C,'STAT 77'!B:B),_xlfn.XLOOKUP(B307,'STAT 77'!B:B,'STAT 77'!C:C)),"NON TROVATO")</f>
        <v>NON TROVATO</v>
      </c>
      <c r="D307" s="25"/>
      <c r="E307" s="290"/>
      <c r="F307" s="290" t="str">
        <f>IFERROR(VLOOKUP(E307,'Cambio O2P'!C:E,2,FALSE),"")</f>
        <v/>
      </c>
      <c r="G307" s="285"/>
      <c r="H307" s="293" t="str">
        <f ca="1">IFERROR(IF(AND('INformazioni per calcoli'!$AB$3&lt;(--"14:30"),'INformazioni per calcoli'!$AB$3&gt;(--"10:00")),"",IF($B307="","",IF($X307&lt;&gt;"","Mezzo Chiuso",IF($W307="","Non al Carico",IF($G307-'INformazioni per calcoli'!$AB$5-'INformazioni per calcoli'!$AB$3+$J307&lt;0,"LFLS",IF($K307&lt;&gt;"","Safe Parking",IF($W307&lt;&gt;"",IF($E307="MXP",$G307-'INformazioni per calcoli'!$AB$6-'INformazioni per calcoli'!$AB$3+$J307,$G307-'INformazioni per calcoli'!$AB$5-'INformazioni per calcoli'!$AB$3+$J307),"Non al carico"))))))),"")</f>
        <v/>
      </c>
      <c r="I307" s="17" t="str">
        <f ca="1">IFERROR(IF($H307&lt;&gt;"",IF($H307="Safe Parking","",IF($W307&lt;&gt;"",IF(AND($U307="X",$V307="X"),$H307-(--"00:30"),""),IF($X307&lt;&gt;"","Mezzo Chiuso","Non al carico"))),""),"")</f>
        <v/>
      </c>
      <c r="J307" s="306" t="str">
        <f>IFERROR(IF($B307&lt;&gt;"",IF(AND('INformazioni per calcoli'!$AB$3&lt;(--"15:00"),'INformazioni per calcoli'!$AB$3&gt;(--"00:00")),0,IF($G307&lt;(--"18:30"),"+1",0)),""),"")</f>
        <v/>
      </c>
      <c r="K307" s="17"/>
      <c r="L307" s="25"/>
      <c r="M307" s="25" t="str">
        <f>IFERROR(_xlfn.XLOOKUP($Q307,'Elenco Casse'!$D:$D,'Elenco Casse'!$E:$E),"")</f>
        <v/>
      </c>
      <c r="N307" s="25" t="str">
        <f>IFERROR(_xlfn.XLOOKUP($Q307,'Elenco Casse'!$D:$D,'Elenco Casse'!$F:$F),"")</f>
        <v/>
      </c>
      <c r="O307" s="286"/>
      <c r="P307" s="295" t="str">
        <f>IFERROR(_xlfn.XLOOKUP($Q307,'Elenco Casse'!$D:$D,'Elenco Casse'!$G:$G),"")</f>
        <v/>
      </c>
      <c r="Q307" s="355"/>
      <c r="R307" s="23"/>
      <c r="S307" s="25"/>
      <c r="T307" s="25"/>
      <c r="U307" s="23" t="str">
        <f>IF(ISNUMBER(SEARCH("Parcel",$T307)),"X","")</f>
        <v/>
      </c>
      <c r="V307" s="23" t="str">
        <f>IF(ISNUMBER(SEARCH("Freight",$T307)),"X","")</f>
        <v/>
      </c>
      <c r="W307" s="26"/>
      <c r="X307" s="27"/>
      <c r="Y307" s="25" t="str">
        <f>IF(Out_Table[[#This Row],[DOC Del. hr. (RTH)]]&lt;&gt;"","XXX","")</f>
        <v/>
      </c>
      <c r="Z307" s="25"/>
      <c r="AA307" s="25"/>
      <c r="AB307" s="57"/>
      <c r="AC307" s="25"/>
      <c r="AD307" s="25"/>
      <c r="AE307" s="57"/>
      <c r="AF307" s="57"/>
      <c r="AG307" s="25"/>
      <c r="AH307" s="57"/>
      <c r="AI307" s="339"/>
      <c r="AJ307" s="339"/>
      <c r="AK307" s="297" t="str">
        <f>IF(X307&lt;&gt;"",CONCATENATE(IF(AA307&lt;&gt;"",CONCATENATE(Z307," ",AA307," ",BI307),""),IF(AD307&lt;&gt;"",CONCATENATE(","," ",AC307," ",AD307," ",BJ307),""),IF(AG307&lt;&gt;"",CONCATENATE(","," ",AF307," ",AG307," ",BK307),""),IF(AJ307&lt;&gt;"",CONCATENATE(","," ","DD"," ",BL307),"")," ",IF(AI307&lt;&gt;"",CONCATENATE(" - ",AI307," Bag"),"")),"")</f>
        <v/>
      </c>
      <c r="AL307" s="287"/>
      <c r="AM307" s="287"/>
      <c r="AN307" s="287"/>
      <c r="AO307" s="287"/>
      <c r="AP307" s="370" t="str">
        <f>IFERROR(VLOOKUP($E304,Outlist!$A$5:$V$120,20,FALSE),"")</f>
        <v/>
      </c>
      <c r="AQ307" s="288" t="str">
        <f>IFERROR(IF(VLOOKUP($A307,#REF!,8,FALSE)&lt;&gt;"",VLOOKUP($A307,#REF!,8,FALSE),""),"")</f>
        <v/>
      </c>
      <c r="AS307" s="24"/>
      <c r="AT307" s="24"/>
      <c r="AU307" s="27"/>
      <c r="AV307" s="27"/>
      <c r="AX307" s="20" t="str">
        <f>IFERROR(IF(Out_Table[[#This Row],[Cancellazione linea]]="Cancellata","yes",""),"")</f>
        <v/>
      </c>
      <c r="AY307" s="72" t="str">
        <f>IF(BA307="",BZ307,IF(AND(BA307&lt;(--"23:59:59"),BA307&gt;(--"15:00:00"),G307&lt;(--"14:00:00"),G307&gt;(--"00:00:01")),"",IF(BA307&gt;G307,BZ307,"")))</f>
        <v/>
      </c>
      <c r="AZ307" s="27"/>
      <c r="BA307" s="32"/>
      <c r="BB307" s="72"/>
      <c r="BC307" s="72" t="str">
        <f>IFERROR(VLOOKUP(Out_Table[[#This Row],[Aggiornamento STATUS]],'INformazioni per calcoli'!$Y$70:$AA$76,2,FALSE),"")</f>
        <v/>
      </c>
      <c r="BD307" s="289"/>
      <c r="BE307" s="289"/>
      <c r="BF307" s="47" t="str">
        <f>LEFT($E307,3)</f>
        <v/>
      </c>
      <c r="BG307" s="298" t="str">
        <f>IF(Out_Table[[#This Row],[Ora Uscita    (GH)]]&lt;&gt;"","x","")</f>
        <v/>
      </c>
      <c r="BH307" s="299" t="e">
        <f>VLOOKUP($O307,'INformazioni per calcoli'!$Y$20:$AA$23,3,FALSE)</f>
        <v>#N/A</v>
      </c>
      <c r="BI307" s="299" t="e">
        <f>MROUND(Out_Table[[#This Row],[Mtr. Trailer]]*AB307,0.5)</f>
        <v>#N/A</v>
      </c>
      <c r="BJ307" s="299" t="e">
        <f>MROUND(Out_Table[[#This Row],[Mtr. Trailer]]*AE307,0.5)</f>
        <v>#N/A</v>
      </c>
      <c r="BK307" s="299" t="e">
        <f>MROUND(Out_Table[[#This Row],[Mtr. Trailer]]*AH307,0.5)</f>
        <v>#N/A</v>
      </c>
      <c r="BL307" s="300">
        <f>Out_Table[[#This Row],[Double Deck trailer N° bumpers]]</f>
        <v>0</v>
      </c>
      <c r="BM307" s="301"/>
      <c r="BN307" s="299">
        <f>B307</f>
        <v>0</v>
      </c>
      <c r="BO307" s="299">
        <f>E307</f>
        <v>0</v>
      </c>
      <c r="BP307" s="302">
        <f>IF(AND(G307&gt;(--"00:00:01"),G307&lt;(--"15:00:00")),IF(AND(X307&gt;(--"00:00:01"),X307&lt;(--"15:00:00")),G307-X307,G307+1-X307),G307-X307)</f>
        <v>0</v>
      </c>
      <c r="BQ307" s="303">
        <f>AE307+AF307+AH307+AJ307</f>
        <v>0</v>
      </c>
      <c r="BR307" s="304" t="str">
        <f>IF(OR(BP307&lt;=(--"00:20:00"),BQ307&gt;=100%),"OK","Not OK")</f>
        <v>OK</v>
      </c>
      <c r="BS307" s="302">
        <f>IF(AND(G307&gt;(--"00:00:01"),G307&lt;(--"15:00:00")),IF(AND(AU307&gt;(--"00:00:01"),AU307&lt;(--"15:00:00")),G307-AU307,G307+1-AU307),G307-AU307)</f>
        <v>0</v>
      </c>
      <c r="BT307" s="302">
        <f>IF(AND(AZ307&gt;(--"00:00:01"),AZ307&lt;(--"15:00:00")),IF(AND(AU307&gt;(--"00:00:01"),AU307&lt;(--"15:00:00")),AZ307-AU307,AZ307+1-AU307),AZ307-AU307)</f>
        <v>0</v>
      </c>
      <c r="BU307" s="302">
        <f>IF(AND(BA307&gt;(--"00:00:01"),BA307&lt;(--"15:00:00")),IF(AND(AZ307&gt;(--"00:00:01"),AZ307&lt;(--"15:00:00")),BA307-AZ307,BA307+1-AZ307),BA307-AZ307)</f>
        <v>0</v>
      </c>
      <c r="BV307" s="299">
        <f>AV307</f>
        <v>0</v>
      </c>
      <c r="BW307" s="301"/>
      <c r="BX307" s="299" t="str">
        <f>IF(AV307="T Status",IF(AV307&lt;&gt;T307,"X",""),"")</f>
        <v/>
      </c>
      <c r="BY307" s="301"/>
      <c r="BZ307" s="299" t="str">
        <f>IF(X307&lt;&gt;"",IF(CC307="X","Driver Delay",IF(CA307="X","Paperwork Delay",IF(CB307="X","Late freight late sort",IF(CD307="X","Chiamare Control Room",IF(CE307="X","Chiamare Control Room",IF(CF307="X","Chiamare Control Room","")))))),"")</f>
        <v/>
      </c>
      <c r="CA307" s="302" t="str">
        <f>IF(K307="",IF(IF(AND(G307&gt;(--"00:00:01"),G307&lt;(--"15:00:00")),IF(AND(AT307&gt;(--"08:00:00"),AT307&lt;(--"23:59:59")),G307+1-AT307,G307-AT307),G307-AT307)&gt;(--"00:20:00"),"","X"),"")</f>
        <v>X</v>
      </c>
      <c r="CB307" s="299" t="str">
        <f>IF(K307="",IF(BP307&gt;=(--"00:20:00"),"","X"),"")</f>
        <v>X</v>
      </c>
      <c r="CC307" s="299" t="str">
        <f>IF(OR(AV307="Autista non presente",AV307="Dati driver non presenti"),"X","")</f>
        <v/>
      </c>
      <c r="CD307" s="299" t="str">
        <f>IF(K307="",IF(AND(CC307="",BS307&lt;(--"00:20:00")),"X",""),"")</f>
        <v>X</v>
      </c>
      <c r="CE307" s="299" t="str">
        <f>IF(K307="",IF(BT307&gt;(--"00:15:00"),"X",""),IF(AZ307&lt;&gt;"",IF(G307-AZ307&gt;(--"00:30:00"),"X",""),""))</f>
        <v/>
      </c>
      <c r="CF307" s="299" t="str">
        <f>IF(AND(CA307="",CB307="",CC307="",CD307="",CE307=""),"X","")</f>
        <v/>
      </c>
      <c r="CG307" s="301"/>
      <c r="CH307" s="299" t="str">
        <f>IF(BT307&gt;(--"00:15:00"),"X","")</f>
        <v/>
      </c>
      <c r="CI307" s="302" t="str">
        <f>AY307</f>
        <v/>
      </c>
      <c r="CJ307" s="299" t="str">
        <f>IF(AND(CH307&lt;&gt;"",CI307&lt;&gt;"",LEFT(B307,3)="ITD"),AP307,"")</f>
        <v/>
      </c>
      <c r="CK307" s="305" t="str">
        <f>IF(CJ307&lt;&gt;"",BT307,"")</f>
        <v/>
      </c>
      <c r="CL307" s="301"/>
      <c r="CM307" s="305" t="str">
        <f>IFERROR(VLOOKUP(Q307,'Elenco Casse'!$D$4:$F$292,3,FALSE),"")</f>
        <v/>
      </c>
      <c r="CN307" s="301"/>
      <c r="CO307" s="305" t="str">
        <f>IFERROR(VLOOKUP(S307,'Elenco Casse'!$D$4:$F$292,3,FALSE),"")</f>
        <v/>
      </c>
      <c r="CP307" s="305" t="str">
        <f>IFERROR(IF(VLOOKUP($E307,Outlist!$A$5:$S$120,19,FALSE)&lt;&gt;0,"Y",""),"")</f>
        <v/>
      </c>
      <c r="CQ307" s="301"/>
      <c r="CR307" s="305" t="str">
        <f>CONCATENATE($B307,$E307,$G307)</f>
        <v/>
      </c>
      <c r="CS307" s="301"/>
      <c r="CT307" s="305" t="e">
        <f>VLOOKUP(Out_Table[[#This Row],[Destination             ORANGE (From Planning)]],Outlist!$A$5:$W$120,22,FALSE)</f>
        <v>#N/A</v>
      </c>
    </row>
    <row r="308" spans="1:98" s="20" customFormat="1" ht="15">
      <c r="A308" s="305" t="str">
        <f>$CR308</f>
        <v/>
      </c>
      <c r="B308" s="284"/>
      <c r="C308" s="290" t="str">
        <f ca="1">IFERROR(IF(LEFT(B308,3)='STAT 77'!$X$2,_xlfn.XLOOKUP(B308,'STAT 77'!C:C,'STAT 77'!B:B),_xlfn.XLOOKUP(B308,'STAT 77'!B:B,'STAT 77'!C:C)),"NON TROVATO")</f>
        <v>NON TROVATO</v>
      </c>
      <c r="D308" s="25"/>
      <c r="E308" s="290"/>
      <c r="F308" s="290" t="str">
        <f>IFERROR(VLOOKUP(E308,'Cambio O2P'!C:E,2,FALSE),"")</f>
        <v/>
      </c>
      <c r="G308" s="285"/>
      <c r="H308" s="293" t="str">
        <f ca="1">IFERROR(IF(AND('INformazioni per calcoli'!$AB$3&lt;(--"14:30"),'INformazioni per calcoli'!$AB$3&gt;(--"10:00")),"",IF($B308="","",IF($X308&lt;&gt;"","Mezzo Chiuso",IF($W308="","Non al Carico",IF($G308-'INformazioni per calcoli'!$AB$5-'INformazioni per calcoli'!$AB$3+$J308&lt;0,"LFLS",IF($K308&lt;&gt;"","Safe Parking",IF($W308&lt;&gt;"",IF($E308="MXP",$G308-'INformazioni per calcoli'!$AB$6-'INformazioni per calcoli'!$AB$3+$J308,$G308-'INformazioni per calcoli'!$AB$5-'INformazioni per calcoli'!$AB$3+$J308),"Non al carico"))))))),"")</f>
        <v/>
      </c>
      <c r="I308" s="17" t="str">
        <f ca="1">IFERROR(IF($H308&lt;&gt;"",IF($H308="Safe Parking","",IF($W308&lt;&gt;"",IF(AND($U308="X",$V308="X"),$H308-(--"00:30"),""),IF($X308&lt;&gt;"","Mezzo Chiuso","Non al carico"))),""),"")</f>
        <v/>
      </c>
      <c r="J308" s="306" t="str">
        <f>IFERROR(IF($B308&lt;&gt;"",IF(AND('INformazioni per calcoli'!$AB$3&lt;(--"15:00"),'INformazioni per calcoli'!$AB$3&gt;(--"00:00")),0,IF($G308&lt;(--"18:30"),"+1",0)),""),"")</f>
        <v/>
      </c>
      <c r="K308" s="27"/>
      <c r="L308" s="25"/>
      <c r="M308" s="25" t="str">
        <f>IFERROR(_xlfn.XLOOKUP($Q308,'Elenco Casse'!$D:$D,'Elenco Casse'!$E:$E),"")</f>
        <v/>
      </c>
      <c r="N308" s="25" t="str">
        <f>IFERROR(_xlfn.XLOOKUP($Q308,'Elenco Casse'!$D:$D,'Elenco Casse'!$F:$F),"")</f>
        <v/>
      </c>
      <c r="O308" s="286"/>
      <c r="P308" s="295" t="str">
        <f>IFERROR(_xlfn.XLOOKUP($Q308,'Elenco Casse'!$D:$D,'Elenco Casse'!$G:$G),"")</f>
        <v/>
      </c>
      <c r="Q308" s="355"/>
      <c r="R308" s="23"/>
      <c r="S308" s="25"/>
      <c r="T308" s="25"/>
      <c r="U308" s="23" t="str">
        <f>IF(ISNUMBER(SEARCH("Parcel",$T308)),"X","")</f>
        <v/>
      </c>
      <c r="V308" s="23" t="str">
        <f>IF(ISNUMBER(SEARCH("Freight",$T308)),"X","")</f>
        <v/>
      </c>
      <c r="W308" s="26"/>
      <c r="X308" s="27"/>
      <c r="Y308" s="25" t="str">
        <f>IF(Out_Table[[#This Row],[DOC Del. hr. (RTH)]]&lt;&gt;"","XXX","")</f>
        <v/>
      </c>
      <c r="Z308" s="25"/>
      <c r="AA308" s="25"/>
      <c r="AB308" s="57"/>
      <c r="AC308" s="25"/>
      <c r="AD308" s="25"/>
      <c r="AE308" s="57"/>
      <c r="AF308" s="57"/>
      <c r="AG308" s="25"/>
      <c r="AH308" s="57"/>
      <c r="AI308" s="339"/>
      <c r="AJ308" s="339"/>
      <c r="AK308" s="297" t="str">
        <f>IF(X308&lt;&gt;"",CONCATENATE(IF(AA308&lt;&gt;"",CONCATENATE(Z308," ",AA308," ",BI308),""),IF(AD308&lt;&gt;"",CONCATENATE(","," ",AC308," ",AD308," ",BJ308),""),IF(AG308&lt;&gt;"",CONCATENATE(","," ",AF308," ",AG308," ",BK308),""),IF(AJ308&lt;&gt;"",CONCATENATE(","," ","DD"," ",BL308),"")," ",IF(AI308&lt;&gt;"",CONCATENATE(" - ",AI308," Bag"),"")),"")</f>
        <v/>
      </c>
      <c r="AL308" s="287"/>
      <c r="AM308" s="287"/>
      <c r="AN308" s="287"/>
      <c r="AO308" s="287"/>
      <c r="AP308" s="370" t="str">
        <f>IFERROR(VLOOKUP($E305,Outlist!$A$5:$V$120,20,FALSE),"")</f>
        <v/>
      </c>
      <c r="AQ308" s="288" t="str">
        <f>IFERROR(IF(VLOOKUP($A308,#REF!,8,FALSE)&lt;&gt;"",VLOOKUP($A308,#REF!,8,FALSE),""),"")</f>
        <v/>
      </c>
      <c r="AS308" s="24"/>
      <c r="AT308" s="24"/>
      <c r="AU308" s="27"/>
      <c r="AV308" s="27"/>
      <c r="AX308" s="20" t="str">
        <f>IFERROR(IF(Out_Table[[#This Row],[Cancellazione linea]]="Cancellata","yes",""),"")</f>
        <v/>
      </c>
      <c r="AY308" s="72" t="str">
        <f>IF(BA308="",BZ308,IF(AND(BA308&lt;(--"23:59:59"),BA308&gt;(--"15:00:00"),G308&lt;(--"14:00:00"),G308&gt;(--"00:00:01")),"",IF(BA308&gt;G308,BZ308,"")))</f>
        <v/>
      </c>
      <c r="AZ308" s="27"/>
      <c r="BA308" s="32"/>
      <c r="BB308" s="72"/>
      <c r="BC308" s="72" t="str">
        <f>IFERROR(VLOOKUP(Out_Table[[#This Row],[Aggiornamento STATUS]],'INformazioni per calcoli'!$Y$70:$AA$76,2,FALSE),"")</f>
        <v/>
      </c>
      <c r="BD308" s="289"/>
      <c r="BE308" s="289"/>
      <c r="BF308" s="47" t="str">
        <f>LEFT($E308,3)</f>
        <v/>
      </c>
      <c r="BG308" s="298" t="str">
        <f>IF(Out_Table[[#This Row],[Ora Uscita    (GH)]]&lt;&gt;"","x","")</f>
        <v/>
      </c>
      <c r="BH308" s="299" t="e">
        <f>VLOOKUP($O308,'INformazioni per calcoli'!$Y$20:$AA$23,3,FALSE)</f>
        <v>#N/A</v>
      </c>
      <c r="BI308" s="299" t="e">
        <f>MROUND(Out_Table[[#This Row],[Mtr. Trailer]]*AB308,0.5)</f>
        <v>#N/A</v>
      </c>
      <c r="BJ308" s="299" t="e">
        <f>MROUND(Out_Table[[#This Row],[Mtr. Trailer]]*AE308,0.5)</f>
        <v>#N/A</v>
      </c>
      <c r="BK308" s="299" t="e">
        <f>MROUND(Out_Table[[#This Row],[Mtr. Trailer]]*AH308,0.5)</f>
        <v>#N/A</v>
      </c>
      <c r="BL308" s="300">
        <f>Out_Table[[#This Row],[Double Deck trailer N° bumpers]]</f>
        <v>0</v>
      </c>
      <c r="BM308" s="301"/>
      <c r="BN308" s="299">
        <f>B308</f>
        <v>0</v>
      </c>
      <c r="BO308" s="299">
        <f>E308</f>
        <v>0</v>
      </c>
      <c r="BP308" s="302">
        <f>IF(AND(G308&gt;(--"00:00:01"),G308&lt;(--"15:00:00")),IF(AND(X308&gt;(--"00:00:01"),X308&lt;(--"15:00:00")),G308-X308,G308+1-X308),G308-X308)</f>
        <v>0</v>
      </c>
      <c r="BQ308" s="303">
        <f>AE308+AF308+AH308+AJ308</f>
        <v>0</v>
      </c>
      <c r="BR308" s="304" t="str">
        <f>IF(OR(BP308&lt;=(--"00:20:00"),BQ308&gt;=100%),"OK","Not OK")</f>
        <v>OK</v>
      </c>
      <c r="BS308" s="302">
        <f>IF(AND(G308&gt;(--"00:00:01"),G308&lt;(--"15:00:00")),IF(AND(AU308&gt;(--"00:00:01"),AU308&lt;(--"15:00:00")),G308-AU308,G308+1-AU308),G308-AU308)</f>
        <v>0</v>
      </c>
      <c r="BT308" s="302">
        <f>IF(AND(AZ308&gt;(--"00:00:01"),AZ308&lt;(--"15:00:00")),IF(AND(AU308&gt;(--"00:00:01"),AU308&lt;(--"15:00:00")),AZ308-AU308,AZ308+1-AU308),AZ308-AU308)</f>
        <v>0</v>
      </c>
      <c r="BU308" s="302">
        <f>IF(AND(BA308&gt;(--"00:00:01"),BA308&lt;(--"15:00:00")),IF(AND(AZ308&gt;(--"00:00:01"),AZ308&lt;(--"15:00:00")),BA308-AZ308,BA308+1-AZ308),BA308-AZ308)</f>
        <v>0</v>
      </c>
      <c r="BV308" s="299">
        <f>AV308</f>
        <v>0</v>
      </c>
      <c r="BW308" s="301"/>
      <c r="BX308" s="299" t="str">
        <f>IF(AV308="T Status",IF(AV308&lt;&gt;T308,"X",""),"")</f>
        <v/>
      </c>
      <c r="BY308" s="301"/>
      <c r="BZ308" s="299" t="str">
        <f>IF(X308&lt;&gt;"",IF(CC308="X","Driver Delay",IF(CA308="X","Paperwork Delay",IF(CB308="X","Late freight late sort",IF(CD308="X","Chiamare Control Room",IF(CE308="X","Chiamare Control Room",IF(CF308="X","Chiamare Control Room","")))))),"")</f>
        <v/>
      </c>
      <c r="CA308" s="302" t="str">
        <f>IF(K308="",IF(IF(AND(G308&gt;(--"00:00:01"),G308&lt;(--"15:00:00")),IF(AND(AT308&gt;(--"08:00:00"),AT308&lt;(--"23:59:59")),G308+1-AT308,G308-AT308),G308-AT308)&gt;(--"00:20:00"),"","X"),"")</f>
        <v>X</v>
      </c>
      <c r="CB308" s="299" t="str">
        <f>IF(K308="",IF(BP308&gt;=(--"00:20:00"),"","X"),"")</f>
        <v>X</v>
      </c>
      <c r="CC308" s="299" t="str">
        <f>IF(OR(AV308="Autista non presente",AV308="Dati driver non presenti"),"X","")</f>
        <v/>
      </c>
      <c r="CD308" s="299" t="str">
        <f>IF(K308="",IF(AND(CC308="",BS308&lt;(--"00:20:00")),"X",""),"")</f>
        <v>X</v>
      </c>
      <c r="CE308" s="299" t="str">
        <f>IF(K308="",IF(BT308&gt;(--"00:15:00"),"X",""),IF(AZ308&lt;&gt;"",IF(G308-AZ308&gt;(--"00:30:00"),"X",""),""))</f>
        <v/>
      </c>
      <c r="CF308" s="299" t="str">
        <f>IF(AND(CA308="",CB308="",CC308="",CD308="",CE308=""),"X","")</f>
        <v/>
      </c>
      <c r="CG308" s="301"/>
      <c r="CH308" s="299" t="str">
        <f>IF(BT308&gt;(--"00:15:00"),"X","")</f>
        <v/>
      </c>
      <c r="CI308" s="302" t="str">
        <f>AY308</f>
        <v/>
      </c>
      <c r="CJ308" s="299" t="str">
        <f>IF(AND(CH308&lt;&gt;"",CI308&lt;&gt;"",LEFT(B308,3)="ITD"),AP308,"")</f>
        <v/>
      </c>
      <c r="CK308" s="305" t="str">
        <f>IF(CJ308&lt;&gt;"",BT308,"")</f>
        <v/>
      </c>
      <c r="CL308" s="301"/>
      <c r="CM308" s="305" t="str">
        <f>IFERROR(VLOOKUP(Q308,'Elenco Casse'!$D$4:$F$292,3,FALSE),"")</f>
        <v/>
      </c>
      <c r="CN308" s="301"/>
      <c r="CO308" s="305" t="str">
        <f>IFERROR(VLOOKUP(S308,'Elenco Casse'!$D$4:$F$292,3,FALSE),"")</f>
        <v/>
      </c>
      <c r="CP308" s="305" t="str">
        <f>IFERROR(IF(VLOOKUP($E308,Outlist!$A$5:$S$120,19,FALSE)&lt;&gt;0,"Y",""),"")</f>
        <v/>
      </c>
      <c r="CQ308" s="301"/>
      <c r="CR308" s="305" t="str">
        <f>CONCATENATE($B308,$E308,$G308)</f>
        <v/>
      </c>
      <c r="CS308" s="301"/>
      <c r="CT308" s="305" t="e">
        <f>VLOOKUP(Out_Table[[#This Row],[Destination             ORANGE (From Planning)]],Outlist!$A$5:$W$120,22,FALSE)</f>
        <v>#N/A</v>
      </c>
    </row>
    <row r="309" spans="1:98" s="20" customFormat="1" ht="15">
      <c r="A309" s="305" t="str">
        <f>$CR309</f>
        <v/>
      </c>
      <c r="B309" s="284"/>
      <c r="C309" s="290" t="str">
        <f ca="1">IFERROR(IF(LEFT(B309,3)='STAT 77'!$X$2,_xlfn.XLOOKUP(B309,'STAT 77'!C:C,'STAT 77'!B:B),_xlfn.XLOOKUP(B309,'STAT 77'!B:B,'STAT 77'!C:C)),"NON TROVATO")</f>
        <v>NON TROVATO</v>
      </c>
      <c r="D309" s="25"/>
      <c r="E309" s="290"/>
      <c r="F309" s="290" t="str">
        <f>IFERROR(VLOOKUP(E309,'Cambio O2P'!C:E,2,FALSE),"")</f>
        <v/>
      </c>
      <c r="G309" s="285"/>
      <c r="H309" s="293" t="str">
        <f ca="1">IFERROR(IF(AND('INformazioni per calcoli'!$AB$3&lt;(--"14:30"),'INformazioni per calcoli'!$AB$3&gt;(--"10:00")),"",IF($B309="","",IF($X309&lt;&gt;"","Mezzo Chiuso",IF($W309="","Non al Carico",IF($G309-'INformazioni per calcoli'!$AB$5-'INformazioni per calcoli'!$AB$3+$J309&lt;0,"LFLS",IF($K309&lt;&gt;"","Safe Parking",IF($W309&lt;&gt;"",IF($E309="MXP",$G309-'INformazioni per calcoli'!$AB$6-'INformazioni per calcoli'!$AB$3+$J309,$G309-'INformazioni per calcoli'!$AB$5-'INformazioni per calcoli'!$AB$3+$J309),"Non al carico"))))))),"")</f>
        <v/>
      </c>
      <c r="I309" s="17" t="str">
        <f ca="1">IFERROR(IF($H309&lt;&gt;"",IF($H309="Safe Parking","",IF($W309&lt;&gt;"",IF(AND($U309="X",$V309="X"),$H309-(--"00:30"),""),IF($X309&lt;&gt;"","Mezzo Chiuso","Non al carico"))),""),"")</f>
        <v/>
      </c>
      <c r="J309" s="306" t="str">
        <f>IFERROR(IF($B309&lt;&gt;"",IF(AND('INformazioni per calcoli'!$AB$3&lt;(--"15:00"),'INformazioni per calcoli'!$AB$3&gt;(--"00:00")),0,IF($G309&lt;(--"18:30"),"+1",0)),""),"")</f>
        <v/>
      </c>
      <c r="K309" s="27"/>
      <c r="L309" s="25"/>
      <c r="M309" s="25" t="str">
        <f>IFERROR(_xlfn.XLOOKUP($Q309,'Elenco Casse'!$D:$D,'Elenco Casse'!$E:$E),"")</f>
        <v/>
      </c>
      <c r="N309" s="25" t="str">
        <f>IFERROR(_xlfn.XLOOKUP($Q309,'Elenco Casse'!$D:$D,'Elenco Casse'!$F:$F),"")</f>
        <v/>
      </c>
      <c r="O309" s="286"/>
      <c r="P309" s="295" t="str">
        <f>IFERROR(_xlfn.XLOOKUP($Q309,'Elenco Casse'!$D:$D,'Elenco Casse'!$G:$G),"")</f>
        <v/>
      </c>
      <c r="Q309" s="355"/>
      <c r="R309" s="23"/>
      <c r="S309" s="25"/>
      <c r="T309" s="25"/>
      <c r="U309" s="23" t="str">
        <f>IF(ISNUMBER(SEARCH("Parcel",$T309)),"X","")</f>
        <v/>
      </c>
      <c r="V309" s="23" t="str">
        <f>IF(ISNUMBER(SEARCH("Freight",$T309)),"X","")</f>
        <v/>
      </c>
      <c r="W309" s="26"/>
      <c r="X309" s="27"/>
      <c r="Y309" s="25" t="str">
        <f>IF(Out_Table[[#This Row],[DOC Del. hr. (RTH)]]&lt;&gt;"","XXX","")</f>
        <v/>
      </c>
      <c r="Z309" s="25"/>
      <c r="AA309" s="25"/>
      <c r="AB309" s="57"/>
      <c r="AC309" s="25"/>
      <c r="AD309" s="25"/>
      <c r="AE309" s="57"/>
      <c r="AF309" s="57"/>
      <c r="AG309" s="25"/>
      <c r="AH309" s="57"/>
      <c r="AI309" s="339"/>
      <c r="AJ309" s="339"/>
      <c r="AK309" s="297" t="str">
        <f>IF(X309&lt;&gt;"",CONCATENATE(IF(AA309&lt;&gt;"",CONCATENATE(Z309," ",AA309," ",BI309),""),IF(AD309&lt;&gt;"",CONCATENATE(","," ",AC309," ",AD309," ",BJ309),""),IF(AG309&lt;&gt;"",CONCATENATE(","," ",AF309," ",AG309," ",BK309),""),IF(AJ309&lt;&gt;"",CONCATENATE(","," ","DD"," ",BL309),"")," ",IF(AI309&lt;&gt;"",CONCATENATE(" - ",AI309," Bag"),"")),"")</f>
        <v/>
      </c>
      <c r="AL309" s="287"/>
      <c r="AM309" s="287"/>
      <c r="AN309" s="287"/>
      <c r="AO309" s="287"/>
      <c r="AP309" s="370" t="str">
        <f>IFERROR(VLOOKUP($E306,Outlist!$A$5:$V$120,20,FALSE),"")</f>
        <v/>
      </c>
      <c r="AQ309" s="288" t="str">
        <f>IFERROR(IF(VLOOKUP($A309,#REF!,8,FALSE)&lt;&gt;"",VLOOKUP($A309,#REF!,8,FALSE),""),"")</f>
        <v/>
      </c>
      <c r="AS309" s="24"/>
      <c r="AT309" s="24"/>
      <c r="AU309" s="27"/>
      <c r="AV309" s="27"/>
      <c r="AX309" s="20" t="str">
        <f>IFERROR(IF(Out_Table[[#This Row],[Cancellazione linea]]="Cancellata","yes",""),"")</f>
        <v/>
      </c>
      <c r="AY309" s="72" t="str">
        <f>IF(BA309="",BZ309,IF(AND(BA309&lt;(--"23:59:59"),BA309&gt;(--"15:00:00"),G309&lt;(--"14:00:00"),G309&gt;(--"00:00:01")),"",IF(BA309&gt;G309,BZ309,"")))</f>
        <v/>
      </c>
      <c r="AZ309" s="27"/>
      <c r="BA309" s="32"/>
      <c r="BB309" s="72"/>
      <c r="BC309" s="72" t="str">
        <f>IFERROR(VLOOKUP(Out_Table[[#This Row],[Aggiornamento STATUS]],'INformazioni per calcoli'!$Y$70:$AA$76,2,FALSE),"")</f>
        <v/>
      </c>
      <c r="BD309" s="289"/>
      <c r="BE309" s="289"/>
      <c r="BF309" s="47" t="str">
        <f>LEFT($E309,3)</f>
        <v/>
      </c>
      <c r="BG309" s="298" t="str">
        <f>IF(Out_Table[[#This Row],[Ora Uscita    (GH)]]&lt;&gt;"","x","")</f>
        <v/>
      </c>
      <c r="BH309" s="299" t="e">
        <f>VLOOKUP($O309,'INformazioni per calcoli'!$Y$20:$AA$23,3,FALSE)</f>
        <v>#N/A</v>
      </c>
      <c r="BI309" s="299" t="e">
        <f>MROUND(Out_Table[[#This Row],[Mtr. Trailer]]*AB309,0.5)</f>
        <v>#N/A</v>
      </c>
      <c r="BJ309" s="299" t="e">
        <f>MROUND(Out_Table[[#This Row],[Mtr. Trailer]]*AE309,0.5)</f>
        <v>#N/A</v>
      </c>
      <c r="BK309" s="299" t="e">
        <f>MROUND(Out_Table[[#This Row],[Mtr. Trailer]]*AH309,0.5)</f>
        <v>#N/A</v>
      </c>
      <c r="BL309" s="300">
        <f>Out_Table[[#This Row],[Double Deck trailer N° bumpers]]</f>
        <v>0</v>
      </c>
      <c r="BM309" s="301"/>
      <c r="BN309" s="299">
        <f>B309</f>
        <v>0</v>
      </c>
      <c r="BO309" s="299">
        <f>E309</f>
        <v>0</v>
      </c>
      <c r="BP309" s="302">
        <f>IF(AND(G309&gt;(--"00:00:01"),G309&lt;(--"15:00:00")),IF(AND(X309&gt;(--"00:00:01"),X309&lt;(--"15:00:00")),G309-X309,G309+1-X309),G309-X309)</f>
        <v>0</v>
      </c>
      <c r="BQ309" s="303">
        <f>AE309+AF309+AH309+AJ309</f>
        <v>0</v>
      </c>
      <c r="BR309" s="304" t="str">
        <f>IF(OR(BP309&lt;=(--"00:20:00"),BQ309&gt;=100%),"OK","Not OK")</f>
        <v>OK</v>
      </c>
      <c r="BS309" s="302">
        <f>IF(AND(G309&gt;(--"00:00:01"),G309&lt;(--"15:00:00")),IF(AND(AU309&gt;(--"00:00:01"),AU309&lt;(--"15:00:00")),G309-AU309,G309+1-AU309),G309-AU309)</f>
        <v>0</v>
      </c>
      <c r="BT309" s="302">
        <f>IF(AND(AZ309&gt;(--"00:00:01"),AZ309&lt;(--"15:00:00")),IF(AND(AU309&gt;(--"00:00:01"),AU309&lt;(--"15:00:00")),AZ309-AU309,AZ309+1-AU309),AZ309-AU309)</f>
        <v>0</v>
      </c>
      <c r="BU309" s="302">
        <f>IF(AND(BA309&gt;(--"00:00:01"),BA309&lt;(--"15:00:00")),IF(AND(AZ309&gt;(--"00:00:01"),AZ309&lt;(--"15:00:00")),BA309-AZ309,BA309+1-AZ309),BA309-AZ309)</f>
        <v>0</v>
      </c>
      <c r="BV309" s="299">
        <f>AV309</f>
        <v>0</v>
      </c>
      <c r="BW309" s="301"/>
      <c r="BX309" s="299" t="str">
        <f>IF(AV309="T Status",IF(AV309&lt;&gt;T309,"X",""),"")</f>
        <v/>
      </c>
      <c r="BY309" s="301"/>
      <c r="BZ309" s="299" t="str">
        <f>IF(X309&lt;&gt;"",IF(CC309="X","Driver Delay",IF(CA309="X","Paperwork Delay",IF(CB309="X","Late freight late sort",IF(CD309="X","Chiamare Control Room",IF(CE309="X","Chiamare Control Room",IF(CF309="X","Chiamare Control Room","")))))),"")</f>
        <v/>
      </c>
      <c r="CA309" s="302" t="str">
        <f>IF(K309="",IF(IF(AND(G309&gt;(--"00:00:01"),G309&lt;(--"15:00:00")),IF(AND(AT309&gt;(--"08:00:00"),AT309&lt;(--"23:59:59")),G309+1-AT309,G309-AT309),G309-AT309)&gt;(--"00:20:00"),"","X"),"")</f>
        <v>X</v>
      </c>
      <c r="CB309" s="299" t="str">
        <f>IF(K309="",IF(BP309&gt;=(--"00:20:00"),"","X"),"")</f>
        <v>X</v>
      </c>
      <c r="CC309" s="299" t="str">
        <f>IF(OR(AV309="Autista non presente",AV309="Dati driver non presenti"),"X","")</f>
        <v/>
      </c>
      <c r="CD309" s="299" t="str">
        <f>IF(K309="",IF(AND(CC309="",BS309&lt;(--"00:20:00")),"X",""),"")</f>
        <v>X</v>
      </c>
      <c r="CE309" s="299" t="str">
        <f>IF(K309="",IF(BT309&gt;(--"00:15:00"),"X",""),IF(AZ309&lt;&gt;"",IF(G309-AZ309&gt;(--"00:30:00"),"X",""),""))</f>
        <v/>
      </c>
      <c r="CF309" s="299" t="str">
        <f>IF(AND(CA309="",CB309="",CC309="",CD309="",CE309=""),"X","")</f>
        <v/>
      </c>
      <c r="CG309" s="301"/>
      <c r="CH309" s="299" t="str">
        <f>IF(BT309&gt;(--"00:15:00"),"X","")</f>
        <v/>
      </c>
      <c r="CI309" s="302" t="str">
        <f>AY309</f>
        <v/>
      </c>
      <c r="CJ309" s="299" t="str">
        <f>IF(AND(CH309&lt;&gt;"",CI309&lt;&gt;"",LEFT(B309,3)="ITD"),AP309,"")</f>
        <v/>
      </c>
      <c r="CK309" s="305" t="str">
        <f>IF(CJ309&lt;&gt;"",BT309,"")</f>
        <v/>
      </c>
      <c r="CL309" s="301"/>
      <c r="CM309" s="305" t="str">
        <f>IFERROR(VLOOKUP(Q309,'Elenco Casse'!$D$4:$F$292,3,FALSE),"")</f>
        <v/>
      </c>
      <c r="CN309" s="301"/>
      <c r="CO309" s="305" t="str">
        <f>IFERROR(VLOOKUP(S309,'Elenco Casse'!$D$4:$F$292,3,FALSE),"")</f>
        <v/>
      </c>
      <c r="CP309" s="305" t="str">
        <f>IFERROR(IF(VLOOKUP($E309,Outlist!$A$5:$S$120,19,FALSE)&lt;&gt;0,"Y",""),"")</f>
        <v/>
      </c>
      <c r="CQ309" s="301"/>
      <c r="CR309" s="305" t="str">
        <f>CONCATENATE($B309,$E309,$G309)</f>
        <v/>
      </c>
      <c r="CS309" s="301"/>
      <c r="CT309" s="305" t="e">
        <f>VLOOKUP(Out_Table[[#This Row],[Destination             ORANGE (From Planning)]],Outlist!$A$5:$W$120,22,FALSE)</f>
        <v>#N/A</v>
      </c>
    </row>
    <row r="310" spans="1:98" s="20" customFormat="1" ht="15">
      <c r="A310" s="305" t="str">
        <f>$CR310</f>
        <v/>
      </c>
      <c r="B310" s="284"/>
      <c r="C310" s="290" t="str">
        <f ca="1">IFERROR(IF(LEFT(B310,3)='STAT 77'!$X$2,_xlfn.XLOOKUP(B310,'STAT 77'!C:C,'STAT 77'!B:B),_xlfn.XLOOKUP(B310,'STAT 77'!B:B,'STAT 77'!C:C)),"NON TROVATO")</f>
        <v>NON TROVATO</v>
      </c>
      <c r="D310" s="25"/>
      <c r="E310" s="290"/>
      <c r="F310" s="290" t="str">
        <f>IFERROR(VLOOKUP(E310,'Cambio O2P'!C:E,2,FALSE),"")</f>
        <v/>
      </c>
      <c r="G310" s="285"/>
      <c r="H310" s="293" t="str">
        <f ca="1">IFERROR(IF(AND('INformazioni per calcoli'!$AB$3&lt;(--"14:30"),'INformazioni per calcoli'!$AB$3&gt;(--"10:00")),"",IF($B310="","",IF($X310&lt;&gt;"","Mezzo Chiuso",IF($W310="","Non al Carico",IF($G310-'INformazioni per calcoli'!$AB$5-'INformazioni per calcoli'!$AB$3+$J310&lt;0,"LFLS",IF($K310&lt;&gt;"","Safe Parking",IF($W310&lt;&gt;"",IF($E310="MXP",$G310-'INformazioni per calcoli'!$AB$6-'INformazioni per calcoli'!$AB$3+$J310,$G310-'INformazioni per calcoli'!$AB$5-'INformazioni per calcoli'!$AB$3+$J310),"Non al carico"))))))),"")</f>
        <v/>
      </c>
      <c r="I310" s="17" t="str">
        <f ca="1">IFERROR(IF($H310&lt;&gt;"",IF($H310="Safe Parking","",IF($W310&lt;&gt;"",IF(AND($U310="X",$V310="X"),$H310-(--"00:30"),""),IF($X310&lt;&gt;"","Mezzo Chiuso","Non al carico"))),""),"")</f>
        <v/>
      </c>
      <c r="J310" s="306" t="str">
        <f>IFERROR(IF($B310&lt;&gt;"",IF(AND('INformazioni per calcoli'!$AB$3&lt;(--"15:00"),'INformazioni per calcoli'!$AB$3&gt;(--"00:00")),0,IF($G310&lt;(--"18:30"),"+1",0)),""),"")</f>
        <v/>
      </c>
      <c r="K310" s="27"/>
      <c r="L310" s="25"/>
      <c r="M310" s="25" t="str">
        <f>IFERROR(_xlfn.XLOOKUP($Q310,'Elenco Casse'!$D:$D,'Elenco Casse'!$E:$E),"")</f>
        <v/>
      </c>
      <c r="N310" s="25" t="str">
        <f>IFERROR(_xlfn.XLOOKUP($Q310,'Elenco Casse'!$D:$D,'Elenco Casse'!$F:$F),"")</f>
        <v/>
      </c>
      <c r="O310" s="286"/>
      <c r="P310" s="295" t="str">
        <f>IFERROR(_xlfn.XLOOKUP($Q310,'Elenco Casse'!$D:$D,'Elenco Casse'!$G:$G),"")</f>
        <v/>
      </c>
      <c r="Q310" s="355"/>
      <c r="R310" s="23"/>
      <c r="S310" s="25"/>
      <c r="T310" s="25"/>
      <c r="U310" s="23" t="str">
        <f>IF(ISNUMBER(SEARCH("Parcel",$T310)),"X","")</f>
        <v/>
      </c>
      <c r="V310" s="23" t="str">
        <f>IF(ISNUMBER(SEARCH("Freight",$T310)),"X","")</f>
        <v/>
      </c>
      <c r="W310" s="26"/>
      <c r="X310" s="27"/>
      <c r="Y310" s="25" t="str">
        <f>IF(Out_Table[[#This Row],[DOC Del. hr. (RTH)]]&lt;&gt;"","XXX","")</f>
        <v/>
      </c>
      <c r="Z310" s="25"/>
      <c r="AA310" s="25"/>
      <c r="AB310" s="57"/>
      <c r="AC310" s="25"/>
      <c r="AD310" s="25"/>
      <c r="AE310" s="57"/>
      <c r="AF310" s="57"/>
      <c r="AG310" s="25"/>
      <c r="AH310" s="57"/>
      <c r="AI310" s="339"/>
      <c r="AJ310" s="339"/>
      <c r="AK310" s="297" t="str">
        <f>IF(X310&lt;&gt;"",CONCATENATE(IF(AA310&lt;&gt;"",CONCATENATE(Z310," ",AA310," ",BI310),""),IF(AD310&lt;&gt;"",CONCATENATE(","," ",AC310," ",AD310," ",BJ310),""),IF(AG310&lt;&gt;"",CONCATENATE(","," ",AF310," ",AG310," ",BK310),""),IF(AJ310&lt;&gt;"",CONCATENATE(","," ","DD"," ",BL310),"")," ",IF(AI310&lt;&gt;"",CONCATENATE(" - ",AI310," Bag"),"")),"")</f>
        <v/>
      </c>
      <c r="AL310" s="287"/>
      <c r="AM310" s="287"/>
      <c r="AN310" s="287"/>
      <c r="AO310" s="287"/>
      <c r="AP310" s="370" t="str">
        <f>IFERROR(VLOOKUP($E307,Outlist!$A$5:$V$120,20,FALSE),"")</f>
        <v/>
      </c>
      <c r="AQ310" s="288" t="str">
        <f>IFERROR(IF(VLOOKUP($A310,#REF!,8,FALSE)&lt;&gt;"",VLOOKUP($A310,#REF!,8,FALSE),""),"")</f>
        <v/>
      </c>
      <c r="AS310" s="24"/>
      <c r="AT310" s="24"/>
      <c r="AU310" s="27"/>
      <c r="AV310" s="27"/>
      <c r="AX310" s="20" t="str">
        <f>IFERROR(IF(Out_Table[[#This Row],[Cancellazione linea]]="Cancellata","yes",""),"")</f>
        <v/>
      </c>
      <c r="AY310" s="72" t="str">
        <f>IF(BA310="",BZ310,IF(AND(BA310&lt;(--"23:59:59"),BA310&gt;(--"15:00:00"),G310&lt;(--"14:00:00"),G310&gt;(--"00:00:01")),"",IF(BA310&gt;G310,BZ310,"")))</f>
        <v/>
      </c>
      <c r="AZ310" s="27"/>
      <c r="BA310" s="32"/>
      <c r="BB310" s="72"/>
      <c r="BC310" s="72" t="str">
        <f>IFERROR(VLOOKUP(Out_Table[[#This Row],[Aggiornamento STATUS]],'INformazioni per calcoli'!$Y$70:$AA$76,2,FALSE),"")</f>
        <v/>
      </c>
      <c r="BD310" s="289"/>
      <c r="BE310" s="289"/>
      <c r="BF310" s="47" t="str">
        <f>LEFT($E310,3)</f>
        <v/>
      </c>
      <c r="BG310" s="298" t="str">
        <f>IF(Out_Table[[#This Row],[Ora Uscita    (GH)]]&lt;&gt;"","x","")</f>
        <v/>
      </c>
      <c r="BH310" s="299" t="e">
        <f>VLOOKUP($O310,'INformazioni per calcoli'!$Y$20:$AA$23,3,FALSE)</f>
        <v>#N/A</v>
      </c>
      <c r="BI310" s="299" t="e">
        <f>MROUND(Out_Table[[#This Row],[Mtr. Trailer]]*AB310,0.5)</f>
        <v>#N/A</v>
      </c>
      <c r="BJ310" s="299" t="e">
        <f>MROUND(Out_Table[[#This Row],[Mtr. Trailer]]*AE310,0.5)</f>
        <v>#N/A</v>
      </c>
      <c r="BK310" s="299" t="e">
        <f>MROUND(Out_Table[[#This Row],[Mtr. Trailer]]*AH310,0.5)</f>
        <v>#N/A</v>
      </c>
      <c r="BL310" s="300">
        <f>Out_Table[[#This Row],[Double Deck trailer N° bumpers]]</f>
        <v>0</v>
      </c>
      <c r="BM310" s="301"/>
      <c r="BN310" s="299">
        <f>B310</f>
        <v>0</v>
      </c>
      <c r="BO310" s="299">
        <f>E310</f>
        <v>0</v>
      </c>
      <c r="BP310" s="302">
        <f>IF(AND(G310&gt;(--"00:00:01"),G310&lt;(--"15:00:00")),IF(AND(X310&gt;(--"00:00:01"),X310&lt;(--"15:00:00")),G310-X310,G310+1-X310),G310-X310)</f>
        <v>0</v>
      </c>
      <c r="BQ310" s="303">
        <f>AE310+AF310+AH310+AJ310</f>
        <v>0</v>
      </c>
      <c r="BR310" s="304" t="str">
        <f>IF(OR(BP310&lt;=(--"00:20:00"),BQ310&gt;=100%),"OK","Not OK")</f>
        <v>OK</v>
      </c>
      <c r="BS310" s="302">
        <f>IF(AND(G310&gt;(--"00:00:01"),G310&lt;(--"15:00:00")),IF(AND(AU310&gt;(--"00:00:01"),AU310&lt;(--"15:00:00")),G310-AU310,G310+1-AU310),G310-AU310)</f>
        <v>0</v>
      </c>
      <c r="BT310" s="302">
        <f>IF(AND(AZ310&gt;(--"00:00:01"),AZ310&lt;(--"15:00:00")),IF(AND(AU310&gt;(--"00:00:01"),AU310&lt;(--"15:00:00")),AZ310-AU310,AZ310+1-AU310),AZ310-AU310)</f>
        <v>0</v>
      </c>
      <c r="BU310" s="302">
        <f>IF(AND(BA310&gt;(--"00:00:01"),BA310&lt;(--"15:00:00")),IF(AND(AZ310&gt;(--"00:00:01"),AZ310&lt;(--"15:00:00")),BA310-AZ310,BA310+1-AZ310),BA310-AZ310)</f>
        <v>0</v>
      </c>
      <c r="BV310" s="299">
        <f>AV310</f>
        <v>0</v>
      </c>
      <c r="BW310" s="301"/>
      <c r="BX310" s="299" t="str">
        <f>IF(AV310="T Status",IF(AV310&lt;&gt;T310,"X",""),"")</f>
        <v/>
      </c>
      <c r="BY310" s="301"/>
      <c r="BZ310" s="299" t="str">
        <f>IF(X310&lt;&gt;"",IF(CC310="X","Driver Delay",IF(CA310="X","Paperwork Delay",IF(CB310="X","Late freight late sort",IF(CD310="X","Chiamare Control Room",IF(CE310="X","Chiamare Control Room",IF(CF310="X","Chiamare Control Room","")))))),"")</f>
        <v/>
      </c>
      <c r="CA310" s="302" t="str">
        <f>IF(K310="",IF(IF(AND(G310&gt;(--"00:00:01"),G310&lt;(--"15:00:00")),IF(AND(AT310&gt;(--"08:00:00"),AT310&lt;(--"23:59:59")),G310+1-AT310,G310-AT310),G310-AT310)&gt;(--"00:20:00"),"","X"),"")</f>
        <v>X</v>
      </c>
      <c r="CB310" s="299" t="str">
        <f>IF(K310="",IF(BP310&gt;=(--"00:20:00"),"","X"),"")</f>
        <v>X</v>
      </c>
      <c r="CC310" s="299" t="str">
        <f>IF(OR(AV310="Autista non presente",AV310="Dati driver non presenti"),"X","")</f>
        <v/>
      </c>
      <c r="CD310" s="299" t="str">
        <f>IF(K310="",IF(AND(CC310="",BS310&lt;(--"00:20:00")),"X",""),"")</f>
        <v>X</v>
      </c>
      <c r="CE310" s="299" t="str">
        <f>IF(K310="",IF(BT310&gt;(--"00:15:00"),"X",""),IF(AZ310&lt;&gt;"",IF(G310-AZ310&gt;(--"00:30:00"),"X",""),""))</f>
        <v/>
      </c>
      <c r="CF310" s="299" t="str">
        <f>IF(AND(CA310="",CB310="",CC310="",CD310="",CE310=""),"X","")</f>
        <v/>
      </c>
      <c r="CG310" s="301"/>
      <c r="CH310" s="299" t="str">
        <f>IF(BT310&gt;(--"00:15:00"),"X","")</f>
        <v/>
      </c>
      <c r="CI310" s="302" t="str">
        <f>AY310</f>
        <v/>
      </c>
      <c r="CJ310" s="299" t="str">
        <f>IF(AND(CH310&lt;&gt;"",CI310&lt;&gt;"",LEFT(B310,3)="ITD"),AP310,"")</f>
        <v/>
      </c>
      <c r="CK310" s="305" t="str">
        <f>IF(CJ310&lt;&gt;"",BT310,"")</f>
        <v/>
      </c>
      <c r="CL310" s="301"/>
      <c r="CM310" s="305" t="str">
        <f>IFERROR(VLOOKUP(Q310,'Elenco Casse'!$D$4:$F$292,3,FALSE),"")</f>
        <v/>
      </c>
      <c r="CN310" s="301"/>
      <c r="CO310" s="305" t="str">
        <f>IFERROR(VLOOKUP(S310,'Elenco Casse'!$D$4:$F$292,3,FALSE),"")</f>
        <v/>
      </c>
      <c r="CP310" s="305" t="str">
        <f>IFERROR(IF(VLOOKUP($E310,Outlist!$A$5:$S$120,19,FALSE)&lt;&gt;0,"Y",""),"")</f>
        <v/>
      </c>
      <c r="CQ310" s="301"/>
      <c r="CR310" s="305" t="str">
        <f>CONCATENATE($B310,$E310,$G310)</f>
        <v/>
      </c>
      <c r="CS310" s="301"/>
      <c r="CT310" s="305" t="e">
        <f>VLOOKUP(Out_Table[[#This Row],[Destination             ORANGE (From Planning)]],Outlist!$A$5:$W$120,22,FALSE)</f>
        <v>#N/A</v>
      </c>
    </row>
    <row r="311" spans="1:98" s="20" customFormat="1" ht="15">
      <c r="A311" s="305" t="str">
        <f>$CR311</f>
        <v/>
      </c>
      <c r="B311" s="284"/>
      <c r="C311" s="290" t="str">
        <f ca="1">IFERROR(IF(LEFT(B311,3)='STAT 77'!$X$2,_xlfn.XLOOKUP(B311,'STAT 77'!C:C,'STAT 77'!B:B),_xlfn.XLOOKUP(B311,'STAT 77'!B:B,'STAT 77'!C:C)),"NON TROVATO")</f>
        <v>NON TROVATO</v>
      </c>
      <c r="D311" s="25"/>
      <c r="E311" s="290"/>
      <c r="F311" s="290" t="str">
        <f>IFERROR(VLOOKUP(E311,'Cambio O2P'!C:E,2,FALSE),"")</f>
        <v/>
      </c>
      <c r="G311" s="285"/>
      <c r="H311" s="293" t="str">
        <f ca="1">IFERROR(IF(AND('INformazioni per calcoli'!$AB$3&lt;(--"14:30"),'INformazioni per calcoli'!$AB$3&gt;(--"10:00")),"",IF($B311="","",IF($X311&lt;&gt;"","Mezzo Chiuso",IF($W311="","Non al Carico",IF($G311-'INformazioni per calcoli'!$AB$5-'INformazioni per calcoli'!$AB$3+$J311&lt;0,"LFLS",IF($K311&lt;&gt;"","Safe Parking",IF($W311&lt;&gt;"",IF($E311="MXP",$G311-'INformazioni per calcoli'!$AB$6-'INformazioni per calcoli'!$AB$3+$J311,$G311-'INformazioni per calcoli'!$AB$5-'INformazioni per calcoli'!$AB$3+$J311),"Non al carico"))))))),"")</f>
        <v/>
      </c>
      <c r="I311" s="17" t="str">
        <f ca="1">IFERROR(IF($H311&lt;&gt;"",IF($H311="Safe Parking","",IF($W311&lt;&gt;"",IF(AND($U311="X",$V311="X"),$H311-(--"00:30"),""),IF($X311&lt;&gt;"","Mezzo Chiuso","Non al carico"))),""),"")</f>
        <v/>
      </c>
      <c r="J311" s="306" t="str">
        <f>IFERROR(IF($B311&lt;&gt;"",IF(AND('INformazioni per calcoli'!$AB$3&lt;(--"15:00"),'INformazioni per calcoli'!$AB$3&gt;(--"00:00")),0,IF($G311&lt;(--"18:30"),"+1",0)),""),"")</f>
        <v/>
      </c>
      <c r="K311" s="17"/>
      <c r="L311" s="25"/>
      <c r="M311" s="25" t="str">
        <f>IFERROR(_xlfn.XLOOKUP($Q311,'Elenco Casse'!$D:$D,'Elenco Casse'!$E:$E),"")</f>
        <v/>
      </c>
      <c r="N311" s="25" t="str">
        <f>IFERROR(_xlfn.XLOOKUP($Q311,'Elenco Casse'!$D:$D,'Elenco Casse'!$F:$F),"")</f>
        <v/>
      </c>
      <c r="O311" s="286"/>
      <c r="P311" s="295" t="str">
        <f>IFERROR(_xlfn.XLOOKUP($Q311,'Elenco Casse'!$D:$D,'Elenco Casse'!$G:$G),"")</f>
        <v/>
      </c>
      <c r="Q311" s="355"/>
      <c r="R311" s="23"/>
      <c r="S311" s="25"/>
      <c r="T311" s="25"/>
      <c r="U311" s="23" t="str">
        <f>IF(ISNUMBER(SEARCH("Parcel",$T311)),"X","")</f>
        <v/>
      </c>
      <c r="V311" s="23" t="str">
        <f>IF(ISNUMBER(SEARCH("Freight",$T311)),"X","")</f>
        <v/>
      </c>
      <c r="W311" s="26"/>
      <c r="X311" s="27"/>
      <c r="Y311" s="25" t="str">
        <f>IF(Out_Table[[#This Row],[DOC Del. hr. (RTH)]]&lt;&gt;"","XXX","")</f>
        <v/>
      </c>
      <c r="Z311" s="25"/>
      <c r="AA311" s="25"/>
      <c r="AB311" s="57"/>
      <c r="AC311" s="25"/>
      <c r="AD311" s="25"/>
      <c r="AE311" s="57"/>
      <c r="AF311" s="57"/>
      <c r="AG311" s="25"/>
      <c r="AH311" s="57"/>
      <c r="AI311" s="339"/>
      <c r="AJ311" s="339"/>
      <c r="AK311" s="297" t="str">
        <f>IF(X311&lt;&gt;"",CONCATENATE(IF(AA311&lt;&gt;"",CONCATENATE(Z311," ",AA311," ",BI311),""),IF(AD311&lt;&gt;"",CONCATENATE(","," ",AC311," ",AD311," ",BJ311),""),IF(AG311&lt;&gt;"",CONCATENATE(","," ",AF311," ",AG311," ",BK311),""),IF(AJ311&lt;&gt;"",CONCATENATE(","," ","DD"," ",BL311),"")," ",IF(AI311&lt;&gt;"",CONCATENATE(" - ",AI311," Bag"),"")),"")</f>
        <v/>
      </c>
      <c r="AL311" s="287"/>
      <c r="AM311" s="287"/>
      <c r="AN311" s="287"/>
      <c r="AO311" s="287"/>
      <c r="AP311" s="370" t="str">
        <f>IFERROR(VLOOKUP($E308,Outlist!$A$5:$V$120,20,FALSE),"")</f>
        <v/>
      </c>
      <c r="AQ311" s="288" t="str">
        <f>IFERROR(IF(VLOOKUP($A311,#REF!,8,FALSE)&lt;&gt;"",VLOOKUP($A311,#REF!,8,FALSE),""),"")</f>
        <v/>
      </c>
      <c r="AS311" s="24"/>
      <c r="AT311" s="24"/>
      <c r="AU311" s="27"/>
      <c r="AV311" s="27"/>
      <c r="AX311" s="20" t="str">
        <f>IFERROR(IF(Out_Table[[#This Row],[Cancellazione linea]]="Cancellata","yes",""),"")</f>
        <v/>
      </c>
      <c r="AY311" s="72" t="str">
        <f>IF(BA311="",BZ311,IF(AND(BA311&lt;(--"23:59:59"),BA311&gt;(--"15:00:00"),G311&lt;(--"14:00:00"),G311&gt;(--"00:00:01")),"",IF(BA311&gt;G311,BZ311,"")))</f>
        <v/>
      </c>
      <c r="AZ311" s="27"/>
      <c r="BA311" s="32"/>
      <c r="BB311" s="72"/>
      <c r="BC311" s="72" t="str">
        <f>IFERROR(VLOOKUP(Out_Table[[#This Row],[Aggiornamento STATUS]],'INformazioni per calcoli'!$Y$70:$AA$76,2,FALSE),"")</f>
        <v/>
      </c>
      <c r="BD311" s="289"/>
      <c r="BE311" s="289"/>
      <c r="BF311" s="47" t="str">
        <f>LEFT($E311,3)</f>
        <v/>
      </c>
      <c r="BG311" s="298" t="str">
        <f>IF(Out_Table[[#This Row],[Ora Uscita    (GH)]]&lt;&gt;"","x","")</f>
        <v/>
      </c>
      <c r="BH311" s="299" t="e">
        <f>VLOOKUP($O311,'INformazioni per calcoli'!$Y$20:$AA$23,3,FALSE)</f>
        <v>#N/A</v>
      </c>
      <c r="BI311" s="299" t="e">
        <f>MROUND(Out_Table[[#This Row],[Mtr. Trailer]]*AB311,0.5)</f>
        <v>#N/A</v>
      </c>
      <c r="BJ311" s="299" t="e">
        <f>MROUND(Out_Table[[#This Row],[Mtr. Trailer]]*AE311,0.5)</f>
        <v>#N/A</v>
      </c>
      <c r="BK311" s="299" t="e">
        <f>MROUND(Out_Table[[#This Row],[Mtr. Trailer]]*AH311,0.5)</f>
        <v>#N/A</v>
      </c>
      <c r="BL311" s="300">
        <f>Out_Table[[#This Row],[Double Deck trailer N° bumpers]]</f>
        <v>0</v>
      </c>
      <c r="BM311" s="301"/>
      <c r="BN311" s="299">
        <f>B311</f>
        <v>0</v>
      </c>
      <c r="BO311" s="299">
        <f>E311</f>
        <v>0</v>
      </c>
      <c r="BP311" s="302">
        <f>IF(AND(G311&gt;(--"00:00:01"),G311&lt;(--"15:00:00")),IF(AND(X311&gt;(--"00:00:01"),X311&lt;(--"15:00:00")),G311-X311,G311+1-X311),G311-X311)</f>
        <v>0</v>
      </c>
      <c r="BQ311" s="303">
        <f>AE311+AF311+AH311+AJ311</f>
        <v>0</v>
      </c>
      <c r="BR311" s="304" t="str">
        <f>IF(OR(BP311&lt;=(--"00:20:00"),BQ311&gt;=100%),"OK","Not OK")</f>
        <v>OK</v>
      </c>
      <c r="BS311" s="302">
        <f>IF(AND(G311&gt;(--"00:00:01"),G311&lt;(--"15:00:00")),IF(AND(AU311&gt;(--"00:00:01"),AU311&lt;(--"15:00:00")),G311-AU311,G311+1-AU311),G311-AU311)</f>
        <v>0</v>
      </c>
      <c r="BT311" s="302">
        <f>IF(AND(AZ311&gt;(--"00:00:01"),AZ311&lt;(--"15:00:00")),IF(AND(AU311&gt;(--"00:00:01"),AU311&lt;(--"15:00:00")),AZ311-AU311,AZ311+1-AU311),AZ311-AU311)</f>
        <v>0</v>
      </c>
      <c r="BU311" s="302">
        <f>IF(AND(BA311&gt;(--"00:00:01"),BA311&lt;(--"15:00:00")),IF(AND(AZ311&gt;(--"00:00:01"),AZ311&lt;(--"15:00:00")),BA311-AZ311,BA311+1-AZ311),BA311-AZ311)</f>
        <v>0</v>
      </c>
      <c r="BV311" s="299">
        <f>AV311</f>
        <v>0</v>
      </c>
      <c r="BW311" s="301"/>
      <c r="BX311" s="299" t="str">
        <f>IF(AV311="T Status",IF(AV311&lt;&gt;T311,"X",""),"")</f>
        <v/>
      </c>
      <c r="BY311" s="301"/>
      <c r="BZ311" s="299" t="str">
        <f>IF(X311&lt;&gt;"",IF(CC311="X","Driver Delay",IF(CA311="X","Paperwork Delay",IF(CB311="X","Late freight late sort",IF(CD311="X","Chiamare Control Room",IF(CE311="X","Chiamare Control Room",IF(CF311="X","Chiamare Control Room","")))))),"")</f>
        <v/>
      </c>
      <c r="CA311" s="302" t="str">
        <f>IF(K311="",IF(IF(AND(G311&gt;(--"00:00:01"),G311&lt;(--"15:00:00")),IF(AND(AT311&gt;(--"08:00:00"),AT311&lt;(--"23:59:59")),G311+1-AT311,G311-AT311),G311-AT311)&gt;(--"00:20:00"),"","X"),"")</f>
        <v>X</v>
      </c>
      <c r="CB311" s="299" t="str">
        <f>IF(K311="",IF(BP311&gt;=(--"00:20:00"),"","X"),"")</f>
        <v>X</v>
      </c>
      <c r="CC311" s="299" t="str">
        <f>IF(OR(AV311="Autista non presente",AV311="Dati driver non presenti"),"X","")</f>
        <v/>
      </c>
      <c r="CD311" s="299" t="str">
        <f>IF(K311="",IF(AND(CC311="",BS311&lt;(--"00:20:00")),"X",""),"")</f>
        <v>X</v>
      </c>
      <c r="CE311" s="299" t="str">
        <f>IF(K311="",IF(BT311&gt;(--"00:15:00"),"X",""),IF(AZ311&lt;&gt;"",IF(G311-AZ311&gt;(--"00:30:00"),"X",""),""))</f>
        <v/>
      </c>
      <c r="CF311" s="299" t="str">
        <f>IF(AND(CA311="",CB311="",CC311="",CD311="",CE311=""),"X","")</f>
        <v/>
      </c>
      <c r="CG311" s="301"/>
      <c r="CH311" s="299" t="str">
        <f>IF(BT311&gt;(--"00:15:00"),"X","")</f>
        <v/>
      </c>
      <c r="CI311" s="302" t="str">
        <f>AY311</f>
        <v/>
      </c>
      <c r="CJ311" s="299" t="str">
        <f>IF(AND(CH311&lt;&gt;"",CI311&lt;&gt;"",LEFT(B311,3)="ITD"),AP311,"")</f>
        <v/>
      </c>
      <c r="CK311" s="305" t="str">
        <f>IF(CJ311&lt;&gt;"",BT311,"")</f>
        <v/>
      </c>
      <c r="CL311" s="301"/>
      <c r="CM311" s="305" t="str">
        <f>IFERROR(VLOOKUP(Q311,'Elenco Casse'!$D$4:$F$292,3,FALSE),"")</f>
        <v/>
      </c>
      <c r="CN311" s="301"/>
      <c r="CO311" s="305" t="str">
        <f>IFERROR(VLOOKUP(S311,'Elenco Casse'!$D$4:$F$292,3,FALSE),"")</f>
        <v/>
      </c>
      <c r="CP311" s="305" t="str">
        <f>IFERROR(IF(VLOOKUP($E311,Outlist!$A$5:$S$120,19,FALSE)&lt;&gt;0,"Y",""),"")</f>
        <v/>
      </c>
      <c r="CQ311" s="301"/>
      <c r="CR311" s="305" t="str">
        <f>CONCATENATE($B311,$E311,$G311)</f>
        <v/>
      </c>
      <c r="CS311" s="301"/>
      <c r="CT311" s="305" t="e">
        <f>VLOOKUP(Out_Table[[#This Row],[Destination             ORANGE (From Planning)]],Outlist!$A$5:$W$120,22,FALSE)</f>
        <v>#N/A</v>
      </c>
    </row>
    <row r="312" spans="1:98" s="20" customFormat="1" ht="15">
      <c r="A312" s="305" t="str">
        <f>$CR312</f>
        <v/>
      </c>
      <c r="B312" s="284"/>
      <c r="C312" s="290" t="str">
        <f ca="1">IFERROR(IF(LEFT(B312,3)='STAT 77'!$X$2,_xlfn.XLOOKUP(B312,'STAT 77'!C:C,'STAT 77'!B:B),_xlfn.XLOOKUP(B312,'STAT 77'!B:B,'STAT 77'!C:C)),"NON TROVATO")</f>
        <v>NON TROVATO</v>
      </c>
      <c r="D312" s="25"/>
      <c r="E312" s="290"/>
      <c r="F312" s="290" t="str">
        <f>IFERROR(VLOOKUP(E312,'Cambio O2P'!C:E,2,FALSE),"")</f>
        <v/>
      </c>
      <c r="G312" s="285"/>
      <c r="H312" s="293" t="str">
        <f ca="1">IFERROR(IF(AND('INformazioni per calcoli'!$AB$3&lt;(--"14:30"),'INformazioni per calcoli'!$AB$3&gt;(--"10:00")),"",IF($B312="","",IF($X312&lt;&gt;"","Mezzo Chiuso",IF($W312="","Non al Carico",IF($G312-'INformazioni per calcoli'!$AB$5-'INformazioni per calcoli'!$AB$3+$J312&lt;0,"LFLS",IF($K312&lt;&gt;"","Safe Parking",IF($W312&lt;&gt;"",IF($E312="MXP",$G312-'INformazioni per calcoli'!$AB$6-'INformazioni per calcoli'!$AB$3+$J312,$G312-'INformazioni per calcoli'!$AB$5-'INformazioni per calcoli'!$AB$3+$J312),"Non al carico"))))))),"")</f>
        <v/>
      </c>
      <c r="I312" s="17" t="str">
        <f ca="1">IFERROR(IF($H312&lt;&gt;"",IF($H312="Safe Parking","",IF($W312&lt;&gt;"",IF(AND($U312="X",$V312="X"),$H312-(--"00:30"),""),IF($X312&lt;&gt;"","Mezzo Chiuso","Non al carico"))),""),"")</f>
        <v/>
      </c>
      <c r="J312" s="306" t="str">
        <f>IFERROR(IF($B312&lt;&gt;"",IF(AND('INformazioni per calcoli'!$AB$3&lt;(--"15:00"),'INformazioni per calcoli'!$AB$3&gt;(--"00:00")),0,IF($G312&lt;(--"18:30"),"+1",0)),""),"")</f>
        <v/>
      </c>
      <c r="K312" s="17"/>
      <c r="L312" s="25"/>
      <c r="M312" s="25" t="str">
        <f>IFERROR(_xlfn.XLOOKUP($Q312,'Elenco Casse'!$D:$D,'Elenco Casse'!$E:$E),"")</f>
        <v/>
      </c>
      <c r="N312" s="25" t="str">
        <f>IFERROR(_xlfn.XLOOKUP($Q312,'Elenco Casse'!$D:$D,'Elenco Casse'!$F:$F),"")</f>
        <v/>
      </c>
      <c r="O312" s="286"/>
      <c r="P312" s="295" t="str">
        <f>IFERROR(_xlfn.XLOOKUP($Q312,'Elenco Casse'!$D:$D,'Elenco Casse'!$G:$G),"")</f>
        <v/>
      </c>
      <c r="Q312" s="355"/>
      <c r="R312" s="23"/>
      <c r="S312" s="25"/>
      <c r="T312" s="25"/>
      <c r="U312" s="23" t="str">
        <f>IF(ISNUMBER(SEARCH("Parcel",$T312)),"X","")</f>
        <v/>
      </c>
      <c r="V312" s="23" t="str">
        <f>IF(ISNUMBER(SEARCH("Freight",$T312)),"X","")</f>
        <v/>
      </c>
      <c r="W312" s="26"/>
      <c r="X312" s="27"/>
      <c r="Y312" s="25" t="str">
        <f>IF(Out_Table[[#This Row],[DOC Del. hr. (RTH)]]&lt;&gt;"","XXX","")</f>
        <v/>
      </c>
      <c r="Z312" s="25"/>
      <c r="AA312" s="25"/>
      <c r="AB312" s="57"/>
      <c r="AC312" s="25"/>
      <c r="AD312" s="25"/>
      <c r="AE312" s="57"/>
      <c r="AF312" s="57"/>
      <c r="AG312" s="25"/>
      <c r="AH312" s="57"/>
      <c r="AI312" s="339"/>
      <c r="AJ312" s="339"/>
      <c r="AK312" s="297" t="str">
        <f>IF(X312&lt;&gt;"",CONCATENATE(IF(AA312&lt;&gt;"",CONCATENATE(Z312," ",AA312," ",BI312),""),IF(AD312&lt;&gt;"",CONCATENATE(","," ",AC312," ",AD312," ",BJ312),""),IF(AG312&lt;&gt;"",CONCATENATE(","," ",AF312," ",AG312," ",BK312),""),IF(AJ312&lt;&gt;"",CONCATENATE(","," ","DD"," ",BL312),"")," ",IF(AI312&lt;&gt;"",CONCATENATE(" - ",AI312," Bag"),"")),"")</f>
        <v/>
      </c>
      <c r="AL312" s="287"/>
      <c r="AM312" s="287"/>
      <c r="AN312" s="287"/>
      <c r="AO312" s="287"/>
      <c r="AP312" s="370" t="str">
        <f>IFERROR(VLOOKUP($E309,Outlist!$A$5:$V$120,20,FALSE),"")</f>
        <v/>
      </c>
      <c r="AQ312" s="288" t="str">
        <f>IFERROR(IF(VLOOKUP($A312,#REF!,8,FALSE)&lt;&gt;"",VLOOKUP($A312,#REF!,8,FALSE),""),"")</f>
        <v/>
      </c>
      <c r="AS312" s="24"/>
      <c r="AT312" s="24"/>
      <c r="AU312" s="27"/>
      <c r="AV312" s="27"/>
      <c r="AX312" s="20" t="str">
        <f>IFERROR(IF(Out_Table[[#This Row],[Cancellazione linea]]="Cancellata","yes",""),"")</f>
        <v/>
      </c>
      <c r="AY312" s="72" t="str">
        <f>IF(BA312="",BZ312,IF(AND(BA312&lt;(--"23:59:59"),BA312&gt;(--"15:00:00"),G312&lt;(--"14:00:00"),G312&gt;(--"00:00:01")),"",IF(BA312&gt;G312,BZ312,"")))</f>
        <v/>
      </c>
      <c r="AZ312" s="27"/>
      <c r="BA312" s="32"/>
      <c r="BB312" s="72"/>
      <c r="BC312" s="72" t="str">
        <f>IFERROR(VLOOKUP(Out_Table[[#This Row],[Aggiornamento STATUS]],'INformazioni per calcoli'!$Y$70:$AA$76,2,FALSE),"")</f>
        <v/>
      </c>
      <c r="BD312" s="289"/>
      <c r="BE312" s="289"/>
      <c r="BF312" s="47" t="str">
        <f>LEFT($E312,3)</f>
        <v/>
      </c>
      <c r="BG312" s="298" t="str">
        <f>IF(Out_Table[[#This Row],[Ora Uscita    (GH)]]&lt;&gt;"","x","")</f>
        <v/>
      </c>
      <c r="BH312" s="299" t="e">
        <f>VLOOKUP($O312,'INformazioni per calcoli'!$Y$20:$AA$23,3,FALSE)</f>
        <v>#N/A</v>
      </c>
      <c r="BI312" s="299" t="e">
        <f>MROUND(Out_Table[[#This Row],[Mtr. Trailer]]*AB312,0.5)</f>
        <v>#N/A</v>
      </c>
      <c r="BJ312" s="299" t="e">
        <f>MROUND(Out_Table[[#This Row],[Mtr. Trailer]]*AE312,0.5)</f>
        <v>#N/A</v>
      </c>
      <c r="BK312" s="299" t="e">
        <f>MROUND(Out_Table[[#This Row],[Mtr. Trailer]]*AH312,0.5)</f>
        <v>#N/A</v>
      </c>
      <c r="BL312" s="300">
        <f>Out_Table[[#This Row],[Double Deck trailer N° bumpers]]</f>
        <v>0</v>
      </c>
      <c r="BM312" s="301"/>
      <c r="BN312" s="299">
        <f>B312</f>
        <v>0</v>
      </c>
      <c r="BO312" s="299">
        <f>E312</f>
        <v>0</v>
      </c>
      <c r="BP312" s="302">
        <f>IF(AND(G312&gt;(--"00:00:01"),G312&lt;(--"15:00:00")),IF(AND(X312&gt;(--"00:00:01"),X312&lt;(--"15:00:00")),G312-X312,G312+1-X312),G312-X312)</f>
        <v>0</v>
      </c>
      <c r="BQ312" s="303">
        <f>AE312+AF312+AH312+AJ312</f>
        <v>0</v>
      </c>
      <c r="BR312" s="304" t="str">
        <f>IF(OR(BP312&lt;=(--"00:20:00"),BQ312&gt;=100%),"OK","Not OK")</f>
        <v>OK</v>
      </c>
      <c r="BS312" s="302">
        <f>IF(AND(G312&gt;(--"00:00:01"),G312&lt;(--"15:00:00")),IF(AND(AU312&gt;(--"00:00:01"),AU312&lt;(--"15:00:00")),G312-AU312,G312+1-AU312),G312-AU312)</f>
        <v>0</v>
      </c>
      <c r="BT312" s="302">
        <f>IF(AND(AZ312&gt;(--"00:00:01"),AZ312&lt;(--"15:00:00")),IF(AND(AU312&gt;(--"00:00:01"),AU312&lt;(--"15:00:00")),AZ312-AU312,AZ312+1-AU312),AZ312-AU312)</f>
        <v>0</v>
      </c>
      <c r="BU312" s="302">
        <f>IF(AND(BA312&gt;(--"00:00:01"),BA312&lt;(--"15:00:00")),IF(AND(AZ312&gt;(--"00:00:01"),AZ312&lt;(--"15:00:00")),BA312-AZ312,BA312+1-AZ312),BA312-AZ312)</f>
        <v>0</v>
      </c>
      <c r="BV312" s="299">
        <f>AV312</f>
        <v>0</v>
      </c>
      <c r="BW312" s="301"/>
      <c r="BX312" s="299" t="str">
        <f>IF(AV312="T Status",IF(AV312&lt;&gt;T312,"X",""),"")</f>
        <v/>
      </c>
      <c r="BY312" s="301"/>
      <c r="BZ312" s="299" t="str">
        <f>IF(X312&lt;&gt;"",IF(CC312="X","Driver Delay",IF(CA312="X","Paperwork Delay",IF(CB312="X","Late freight late sort",IF(CD312="X","Chiamare Control Room",IF(CE312="X","Chiamare Control Room",IF(CF312="X","Chiamare Control Room","")))))),"")</f>
        <v/>
      </c>
      <c r="CA312" s="302" t="str">
        <f>IF(K312="",IF(IF(AND(G312&gt;(--"00:00:01"),G312&lt;(--"15:00:00")),IF(AND(AT312&gt;(--"08:00:00"),AT312&lt;(--"23:59:59")),G312+1-AT312,G312-AT312),G312-AT312)&gt;(--"00:20:00"),"","X"),"")</f>
        <v>X</v>
      </c>
      <c r="CB312" s="299" t="str">
        <f>IF(K312="",IF(BP312&gt;=(--"00:20:00"),"","X"),"")</f>
        <v>X</v>
      </c>
      <c r="CC312" s="299" t="str">
        <f>IF(OR(AV312="Autista non presente",AV312="Dati driver non presenti"),"X","")</f>
        <v/>
      </c>
      <c r="CD312" s="299" t="str">
        <f>IF(K312="",IF(AND(CC312="",BS312&lt;(--"00:20:00")),"X",""),"")</f>
        <v>X</v>
      </c>
      <c r="CE312" s="299" t="str">
        <f>IF(K312="",IF(BT312&gt;(--"00:15:00"),"X",""),IF(AZ312&lt;&gt;"",IF(G312-AZ312&gt;(--"00:30:00"),"X",""),""))</f>
        <v/>
      </c>
      <c r="CF312" s="299" t="str">
        <f>IF(AND(CA312="",CB312="",CC312="",CD312="",CE312=""),"X","")</f>
        <v/>
      </c>
      <c r="CG312" s="301"/>
      <c r="CH312" s="299" t="str">
        <f>IF(BT312&gt;(--"00:15:00"),"X","")</f>
        <v/>
      </c>
      <c r="CI312" s="302" t="str">
        <f>AY312</f>
        <v/>
      </c>
      <c r="CJ312" s="299" t="str">
        <f>IF(AND(CH312&lt;&gt;"",CI312&lt;&gt;"",LEFT(B312,3)="ITD"),AP312,"")</f>
        <v/>
      </c>
      <c r="CK312" s="305" t="str">
        <f>IF(CJ312&lt;&gt;"",BT312,"")</f>
        <v/>
      </c>
      <c r="CL312" s="301"/>
      <c r="CM312" s="305" t="str">
        <f>IFERROR(VLOOKUP(Q312,'Elenco Casse'!$D$4:$F$292,3,FALSE),"")</f>
        <v/>
      </c>
      <c r="CN312" s="301"/>
      <c r="CO312" s="305" t="str">
        <f>IFERROR(VLOOKUP(S312,'Elenco Casse'!$D$4:$F$292,3,FALSE),"")</f>
        <v/>
      </c>
      <c r="CP312" s="305" t="str">
        <f>IFERROR(IF(VLOOKUP($E312,Outlist!$A$5:$S$120,19,FALSE)&lt;&gt;0,"Y",""),"")</f>
        <v/>
      </c>
      <c r="CQ312" s="301"/>
      <c r="CR312" s="305" t="str">
        <f>CONCATENATE($B312,$E312,$G312)</f>
        <v/>
      </c>
      <c r="CS312" s="301"/>
      <c r="CT312" s="305" t="e">
        <f>VLOOKUP(Out_Table[[#This Row],[Destination             ORANGE (From Planning)]],Outlist!$A$5:$W$120,22,FALSE)</f>
        <v>#N/A</v>
      </c>
    </row>
    <row r="313" spans="1:98" s="20" customFormat="1" ht="15">
      <c r="A313" s="305" t="str">
        <f>$CR313</f>
        <v/>
      </c>
      <c r="B313" s="284"/>
      <c r="C313" s="290" t="str">
        <f ca="1">IFERROR(IF(LEFT(B313,3)='STAT 77'!$X$2,_xlfn.XLOOKUP(B313,'STAT 77'!C:C,'STAT 77'!B:B),_xlfn.XLOOKUP(B313,'STAT 77'!B:B,'STAT 77'!C:C)),"NON TROVATO")</f>
        <v>NON TROVATO</v>
      </c>
      <c r="D313" s="25"/>
      <c r="E313" s="290"/>
      <c r="F313" s="290" t="str">
        <f>IFERROR(VLOOKUP(E313,'Cambio O2P'!C:E,2,FALSE),"")</f>
        <v/>
      </c>
      <c r="G313" s="285"/>
      <c r="H313" s="293" t="str">
        <f ca="1">IFERROR(IF(AND('INformazioni per calcoli'!$AB$3&lt;(--"14:30"),'INformazioni per calcoli'!$AB$3&gt;(--"10:00")),"",IF($B313="","",IF($X313&lt;&gt;"","Mezzo Chiuso",IF($W313="","Non al Carico",IF($G313-'INformazioni per calcoli'!$AB$5-'INformazioni per calcoli'!$AB$3+$J313&lt;0,"LFLS",IF($K313&lt;&gt;"","Safe Parking",IF($W313&lt;&gt;"",IF($E313="MXP",$G313-'INformazioni per calcoli'!$AB$6-'INformazioni per calcoli'!$AB$3+$J313,$G313-'INformazioni per calcoli'!$AB$5-'INformazioni per calcoli'!$AB$3+$J313),"Non al carico"))))))),"")</f>
        <v/>
      </c>
      <c r="I313" s="17" t="str">
        <f ca="1">IFERROR(IF($H313&lt;&gt;"",IF($H313="Safe Parking","",IF($W313&lt;&gt;"",IF(AND($U313="X",$V313="X"),$H313-(--"00:30"),""),IF($X313&lt;&gt;"","Mezzo Chiuso","Non al carico"))),""),"")</f>
        <v/>
      </c>
      <c r="J313" s="306" t="str">
        <f>IFERROR(IF($B313&lt;&gt;"",IF(AND('INformazioni per calcoli'!$AB$3&lt;(--"15:00"),'INformazioni per calcoli'!$AB$3&gt;(--"00:00")),0,IF($G313&lt;(--"18:30"),"+1",0)),""),"")</f>
        <v/>
      </c>
      <c r="K313" s="17"/>
      <c r="L313" s="25"/>
      <c r="M313" s="25" t="str">
        <f>IFERROR(_xlfn.XLOOKUP($Q313,'Elenco Casse'!$D:$D,'Elenco Casse'!$E:$E),"")</f>
        <v/>
      </c>
      <c r="N313" s="25" t="str">
        <f>IFERROR(_xlfn.XLOOKUP($Q313,'Elenco Casse'!$D:$D,'Elenco Casse'!$F:$F),"")</f>
        <v/>
      </c>
      <c r="O313" s="286"/>
      <c r="P313" s="295" t="str">
        <f>IFERROR(_xlfn.XLOOKUP($Q313,'Elenco Casse'!$D:$D,'Elenco Casse'!$G:$G),"")</f>
        <v/>
      </c>
      <c r="Q313" s="355"/>
      <c r="R313" s="23"/>
      <c r="S313" s="25"/>
      <c r="T313" s="25"/>
      <c r="U313" s="23" t="str">
        <f>IF(ISNUMBER(SEARCH("Parcel",$T313)),"X","")</f>
        <v/>
      </c>
      <c r="V313" s="23" t="str">
        <f>IF(ISNUMBER(SEARCH("Freight",$T313)),"X","")</f>
        <v/>
      </c>
      <c r="W313" s="26"/>
      <c r="X313" s="27"/>
      <c r="Y313" s="25" t="str">
        <f>IF(Out_Table[[#This Row],[DOC Del. hr. (RTH)]]&lt;&gt;"","XXX","")</f>
        <v/>
      </c>
      <c r="Z313" s="25"/>
      <c r="AA313" s="25"/>
      <c r="AB313" s="57"/>
      <c r="AC313" s="25"/>
      <c r="AD313" s="25"/>
      <c r="AE313" s="57"/>
      <c r="AF313" s="57"/>
      <c r="AG313" s="25"/>
      <c r="AH313" s="57"/>
      <c r="AI313" s="339"/>
      <c r="AJ313" s="339"/>
      <c r="AK313" s="297" t="str">
        <f>IF(X313&lt;&gt;"",CONCATENATE(IF(AA313&lt;&gt;"",CONCATENATE(Z313," ",AA313," ",BI313),""),IF(AD313&lt;&gt;"",CONCATENATE(","," ",AC313," ",AD313," ",BJ313),""),IF(AG313&lt;&gt;"",CONCATENATE(","," ",AF313," ",AG313," ",BK313),""),IF(AJ313&lt;&gt;"",CONCATENATE(","," ","DD"," ",BL313),"")," ",IF(AI313&lt;&gt;"",CONCATENATE(" - ",AI313," Bag"),"")),"")</f>
        <v/>
      </c>
      <c r="AL313" s="287"/>
      <c r="AM313" s="287"/>
      <c r="AN313" s="287"/>
      <c r="AO313" s="287"/>
      <c r="AP313" s="370" t="str">
        <f>IFERROR(VLOOKUP($E310,Outlist!$A$5:$V$120,20,FALSE),"")</f>
        <v/>
      </c>
      <c r="AQ313" s="288" t="str">
        <f>IFERROR(IF(VLOOKUP($A313,#REF!,8,FALSE)&lt;&gt;"",VLOOKUP($A313,#REF!,8,FALSE),""),"")</f>
        <v/>
      </c>
      <c r="AS313" s="24"/>
      <c r="AT313" s="24"/>
      <c r="AU313" s="27"/>
      <c r="AV313" s="27"/>
      <c r="AX313" s="20" t="str">
        <f>IFERROR(IF(Out_Table[[#This Row],[Cancellazione linea]]="Cancellata","yes",""),"")</f>
        <v/>
      </c>
      <c r="AY313" s="72" t="str">
        <f>IF(BA313="",BZ313,IF(AND(BA313&lt;(--"23:59:59"),BA313&gt;(--"15:00:00"),G313&lt;(--"14:00:00"),G313&gt;(--"00:00:01")),"",IF(BA313&gt;G313,BZ313,"")))</f>
        <v/>
      </c>
      <c r="AZ313" s="27"/>
      <c r="BA313" s="32"/>
      <c r="BB313" s="72"/>
      <c r="BC313" s="72" t="str">
        <f>IFERROR(VLOOKUP(Out_Table[[#This Row],[Aggiornamento STATUS]],'INformazioni per calcoli'!$Y$70:$AA$76,2,FALSE),"")</f>
        <v/>
      </c>
      <c r="BD313" s="289"/>
      <c r="BE313" s="289"/>
      <c r="BF313" s="47" t="str">
        <f>LEFT($E313,3)</f>
        <v/>
      </c>
      <c r="BG313" s="298" t="str">
        <f>IF(Out_Table[[#This Row],[Ora Uscita    (GH)]]&lt;&gt;"","x","")</f>
        <v/>
      </c>
      <c r="BH313" s="299" t="e">
        <f>VLOOKUP($O313,'INformazioni per calcoli'!$Y$20:$AA$23,3,FALSE)</f>
        <v>#N/A</v>
      </c>
      <c r="BI313" s="299" t="e">
        <f>MROUND(Out_Table[[#This Row],[Mtr. Trailer]]*AB313,0.5)</f>
        <v>#N/A</v>
      </c>
      <c r="BJ313" s="299" t="e">
        <f>MROUND(Out_Table[[#This Row],[Mtr. Trailer]]*AE313,0.5)</f>
        <v>#N/A</v>
      </c>
      <c r="BK313" s="299" t="e">
        <f>MROUND(Out_Table[[#This Row],[Mtr. Trailer]]*AH313,0.5)</f>
        <v>#N/A</v>
      </c>
      <c r="BL313" s="300">
        <f>Out_Table[[#This Row],[Double Deck trailer N° bumpers]]</f>
        <v>0</v>
      </c>
      <c r="BM313" s="301"/>
      <c r="BN313" s="299">
        <f>B313</f>
        <v>0</v>
      </c>
      <c r="BO313" s="299">
        <f>E313</f>
        <v>0</v>
      </c>
      <c r="BP313" s="302">
        <f>IF(AND(G313&gt;(--"00:00:01"),G313&lt;(--"15:00:00")),IF(AND(X313&gt;(--"00:00:01"),X313&lt;(--"15:00:00")),G313-X313,G313+1-X313),G313-X313)</f>
        <v>0</v>
      </c>
      <c r="BQ313" s="303">
        <f>AE313+AF313+AH313+AJ313</f>
        <v>0</v>
      </c>
      <c r="BR313" s="304" t="str">
        <f>IF(OR(BP313&lt;=(--"00:20:00"),BQ313&gt;=100%),"OK","Not OK")</f>
        <v>OK</v>
      </c>
      <c r="BS313" s="302">
        <f>IF(AND(G313&gt;(--"00:00:01"),G313&lt;(--"15:00:00")),IF(AND(AU313&gt;(--"00:00:01"),AU313&lt;(--"15:00:00")),G313-AU313,G313+1-AU313),G313-AU313)</f>
        <v>0</v>
      </c>
      <c r="BT313" s="302">
        <f>IF(AND(AZ313&gt;(--"00:00:01"),AZ313&lt;(--"15:00:00")),IF(AND(AU313&gt;(--"00:00:01"),AU313&lt;(--"15:00:00")),AZ313-AU313,AZ313+1-AU313),AZ313-AU313)</f>
        <v>0</v>
      </c>
      <c r="BU313" s="302">
        <f>IF(AND(BA313&gt;(--"00:00:01"),BA313&lt;(--"15:00:00")),IF(AND(AZ313&gt;(--"00:00:01"),AZ313&lt;(--"15:00:00")),BA313-AZ313,BA313+1-AZ313),BA313-AZ313)</f>
        <v>0</v>
      </c>
      <c r="BV313" s="299">
        <f>AV313</f>
        <v>0</v>
      </c>
      <c r="BW313" s="301"/>
      <c r="BX313" s="299" t="str">
        <f>IF(AV313="T Status",IF(AV313&lt;&gt;T313,"X",""),"")</f>
        <v/>
      </c>
      <c r="BY313" s="301"/>
      <c r="BZ313" s="299" t="str">
        <f>IF(X313&lt;&gt;"",IF(CC313="X","Driver Delay",IF(CA313="X","Paperwork Delay",IF(CB313="X","Late freight late sort",IF(CD313="X","Chiamare Control Room",IF(CE313="X","Chiamare Control Room",IF(CF313="X","Chiamare Control Room","")))))),"")</f>
        <v/>
      </c>
      <c r="CA313" s="302" t="str">
        <f>IF(K313="",IF(IF(AND(G313&gt;(--"00:00:01"),G313&lt;(--"15:00:00")),IF(AND(AT313&gt;(--"08:00:00"),AT313&lt;(--"23:59:59")),G313+1-AT313,G313-AT313),G313-AT313)&gt;(--"00:20:00"),"","X"),"")</f>
        <v>X</v>
      </c>
      <c r="CB313" s="299" t="str">
        <f>IF(K313="",IF(BP313&gt;=(--"00:20:00"),"","X"),"")</f>
        <v>X</v>
      </c>
      <c r="CC313" s="299" t="str">
        <f>IF(OR(AV313="Autista non presente",AV313="Dati driver non presenti"),"X","")</f>
        <v/>
      </c>
      <c r="CD313" s="299" t="str">
        <f>IF(K313="",IF(AND(CC313="",BS313&lt;(--"00:20:00")),"X",""),"")</f>
        <v>X</v>
      </c>
      <c r="CE313" s="299" t="str">
        <f>IF(K313="",IF(BT313&gt;(--"00:15:00"),"X",""),IF(AZ313&lt;&gt;"",IF(G313-AZ313&gt;(--"00:30:00"),"X",""),""))</f>
        <v/>
      </c>
      <c r="CF313" s="299" t="str">
        <f>IF(AND(CA313="",CB313="",CC313="",CD313="",CE313=""),"X","")</f>
        <v/>
      </c>
      <c r="CG313" s="301"/>
      <c r="CH313" s="299" t="str">
        <f>IF(BT313&gt;(--"00:15:00"),"X","")</f>
        <v/>
      </c>
      <c r="CI313" s="302" t="str">
        <f>AY313</f>
        <v/>
      </c>
      <c r="CJ313" s="299" t="str">
        <f>IF(AND(CH313&lt;&gt;"",CI313&lt;&gt;"",LEFT(B313,3)="ITD"),AP313,"")</f>
        <v/>
      </c>
      <c r="CK313" s="305" t="str">
        <f>IF(CJ313&lt;&gt;"",BT313,"")</f>
        <v/>
      </c>
      <c r="CL313" s="301"/>
      <c r="CM313" s="305" t="str">
        <f>IFERROR(VLOOKUP(Q313,'Elenco Casse'!$D$4:$F$292,3,FALSE),"")</f>
        <v/>
      </c>
      <c r="CN313" s="301"/>
      <c r="CO313" s="305" t="str">
        <f>IFERROR(VLOOKUP(S313,'Elenco Casse'!$D$4:$F$292,3,FALSE),"")</f>
        <v/>
      </c>
      <c r="CP313" s="305" t="str">
        <f>IFERROR(IF(VLOOKUP($E313,Outlist!$A$5:$S$120,19,FALSE)&lt;&gt;0,"Y",""),"")</f>
        <v/>
      </c>
      <c r="CQ313" s="301"/>
      <c r="CR313" s="305" t="str">
        <f>CONCATENATE($B313,$E313,$G313)</f>
        <v/>
      </c>
      <c r="CS313" s="301"/>
      <c r="CT313" s="305" t="e">
        <f>VLOOKUP(Out_Table[[#This Row],[Destination             ORANGE (From Planning)]],Outlist!$A$5:$W$120,22,FALSE)</f>
        <v>#N/A</v>
      </c>
    </row>
    <row r="314" spans="1:98" s="20" customFormat="1" ht="15">
      <c r="A314" s="305" t="str">
        <f>$CR314</f>
        <v/>
      </c>
      <c r="B314" s="284"/>
      <c r="C314" s="290" t="str">
        <f ca="1">IFERROR(IF(LEFT(B314,3)='STAT 77'!$X$2,_xlfn.XLOOKUP(B314,'STAT 77'!C:C,'STAT 77'!B:B),_xlfn.XLOOKUP(B314,'STAT 77'!B:B,'STAT 77'!C:C)),"NON TROVATO")</f>
        <v>NON TROVATO</v>
      </c>
      <c r="D314" s="25"/>
      <c r="E314" s="290"/>
      <c r="F314" s="290" t="str">
        <f>IFERROR(VLOOKUP(E314,'Cambio O2P'!C:E,2,FALSE),"")</f>
        <v/>
      </c>
      <c r="G314" s="285"/>
      <c r="H314" s="293" t="str">
        <f ca="1">IFERROR(IF(AND('INformazioni per calcoli'!$AB$3&lt;(--"14:30"),'INformazioni per calcoli'!$AB$3&gt;(--"10:00")),"",IF($B314="","",IF($X314&lt;&gt;"","Mezzo Chiuso",IF($W314="","Non al Carico",IF($G314-'INformazioni per calcoli'!$AB$5-'INformazioni per calcoli'!$AB$3+$J314&lt;0,"LFLS",IF($K314&lt;&gt;"","Safe Parking",IF($W314&lt;&gt;"",IF($E314="MXP",$G314-'INformazioni per calcoli'!$AB$6-'INformazioni per calcoli'!$AB$3+$J314,$G314-'INformazioni per calcoli'!$AB$5-'INformazioni per calcoli'!$AB$3+$J314),"Non al carico"))))))),"")</f>
        <v/>
      </c>
      <c r="I314" s="17" t="str">
        <f ca="1">IFERROR(IF($H314&lt;&gt;"",IF($H314="Safe Parking","",IF($W314&lt;&gt;"",IF(AND($U314="X",$V314="X"),$H314-(--"00:30"),""),IF($X314&lt;&gt;"","Mezzo Chiuso","Non al carico"))),""),"")</f>
        <v/>
      </c>
      <c r="J314" s="306" t="str">
        <f>IFERROR(IF($B314&lt;&gt;"",IF(AND('INformazioni per calcoli'!$AB$3&lt;(--"15:00"),'INformazioni per calcoli'!$AB$3&gt;(--"00:00")),0,IF($G314&lt;(--"18:30"),"+1",0)),""),"")</f>
        <v/>
      </c>
      <c r="K314" s="17"/>
      <c r="L314" s="25"/>
      <c r="M314" s="25" t="str">
        <f>IFERROR(_xlfn.XLOOKUP($Q314,'Elenco Casse'!$D:$D,'Elenco Casse'!$E:$E),"")</f>
        <v/>
      </c>
      <c r="N314" s="25" t="str">
        <f>IFERROR(_xlfn.XLOOKUP($Q314,'Elenco Casse'!$D:$D,'Elenco Casse'!$F:$F),"")</f>
        <v/>
      </c>
      <c r="O314" s="286"/>
      <c r="P314" s="295" t="str">
        <f>IFERROR(_xlfn.XLOOKUP($Q314,'Elenco Casse'!$D:$D,'Elenco Casse'!$G:$G),"")</f>
        <v/>
      </c>
      <c r="Q314" s="355"/>
      <c r="R314" s="23"/>
      <c r="S314" s="25"/>
      <c r="T314" s="25"/>
      <c r="U314" s="23" t="str">
        <f>IF(ISNUMBER(SEARCH("Parcel",$T314)),"X","")</f>
        <v/>
      </c>
      <c r="V314" s="23" t="str">
        <f>IF(ISNUMBER(SEARCH("Freight",$T314)),"X","")</f>
        <v/>
      </c>
      <c r="W314" s="26"/>
      <c r="X314" s="27"/>
      <c r="Y314" s="25" t="str">
        <f>IF(Out_Table[[#This Row],[DOC Del. hr. (RTH)]]&lt;&gt;"","XXX","")</f>
        <v/>
      </c>
      <c r="Z314" s="25"/>
      <c r="AA314" s="25"/>
      <c r="AB314" s="57"/>
      <c r="AC314" s="25"/>
      <c r="AD314" s="25"/>
      <c r="AE314" s="57"/>
      <c r="AF314" s="57"/>
      <c r="AG314" s="25"/>
      <c r="AH314" s="57"/>
      <c r="AI314" s="339"/>
      <c r="AJ314" s="339"/>
      <c r="AK314" s="297" t="str">
        <f>IF(X314&lt;&gt;"",CONCATENATE(IF(AA314&lt;&gt;"",CONCATENATE(Z314," ",AA314," ",BI314),""),IF(AD314&lt;&gt;"",CONCATENATE(","," ",AC314," ",AD314," ",BJ314),""),IF(AG314&lt;&gt;"",CONCATENATE(","," ",AF314," ",AG314," ",BK314),""),IF(AJ314&lt;&gt;"",CONCATENATE(","," ","DD"," ",BL314),"")," ",IF(AI314&lt;&gt;"",CONCATENATE(" - ",AI314," Bag"),"")),"")</f>
        <v/>
      </c>
      <c r="AL314" s="287"/>
      <c r="AM314" s="287"/>
      <c r="AN314" s="287"/>
      <c r="AO314" s="287"/>
      <c r="AP314" s="370" t="str">
        <f>IFERROR(VLOOKUP($E311,Outlist!$A$5:$V$120,20,FALSE),"")</f>
        <v/>
      </c>
      <c r="AQ314" s="288" t="str">
        <f>IFERROR(IF(VLOOKUP($A314,#REF!,8,FALSE)&lt;&gt;"",VLOOKUP($A314,#REF!,8,FALSE),""),"")</f>
        <v/>
      </c>
      <c r="AS314" s="24"/>
      <c r="AT314" s="24"/>
      <c r="AU314" s="27"/>
      <c r="AV314" s="27"/>
      <c r="AX314" s="20" t="str">
        <f>IFERROR(IF(Out_Table[[#This Row],[Cancellazione linea]]="Cancellata","yes",""),"")</f>
        <v/>
      </c>
      <c r="AY314" s="72" t="str">
        <f>IF(BA314="",BZ314,IF(AND(BA314&lt;(--"23:59:59"),BA314&gt;(--"15:00:00"),G314&lt;(--"14:00:00"),G314&gt;(--"00:00:01")),"",IF(BA314&gt;G314,BZ314,"")))</f>
        <v/>
      </c>
      <c r="AZ314" s="27"/>
      <c r="BA314" s="32"/>
      <c r="BB314" s="72"/>
      <c r="BC314" s="72" t="str">
        <f>IFERROR(VLOOKUP(Out_Table[[#This Row],[Aggiornamento STATUS]],'INformazioni per calcoli'!$Y$70:$AA$76,2,FALSE),"")</f>
        <v/>
      </c>
      <c r="BD314" s="289"/>
      <c r="BE314" s="289"/>
      <c r="BF314" s="47" t="str">
        <f>LEFT($E314,3)</f>
        <v/>
      </c>
      <c r="BG314" s="298" t="str">
        <f>IF(Out_Table[[#This Row],[Ora Uscita    (GH)]]&lt;&gt;"","x","")</f>
        <v/>
      </c>
      <c r="BH314" s="299" t="e">
        <f>VLOOKUP($O314,'INformazioni per calcoli'!$Y$20:$AA$23,3,FALSE)</f>
        <v>#N/A</v>
      </c>
      <c r="BI314" s="299" t="e">
        <f>MROUND(Out_Table[[#This Row],[Mtr. Trailer]]*AB314,0.5)</f>
        <v>#N/A</v>
      </c>
      <c r="BJ314" s="299" t="e">
        <f>MROUND(Out_Table[[#This Row],[Mtr. Trailer]]*AE314,0.5)</f>
        <v>#N/A</v>
      </c>
      <c r="BK314" s="299" t="e">
        <f>MROUND(Out_Table[[#This Row],[Mtr. Trailer]]*AH314,0.5)</f>
        <v>#N/A</v>
      </c>
      <c r="BL314" s="300">
        <f>Out_Table[[#This Row],[Double Deck trailer N° bumpers]]</f>
        <v>0</v>
      </c>
      <c r="BM314" s="301"/>
      <c r="BN314" s="299">
        <f>B314</f>
        <v>0</v>
      </c>
      <c r="BO314" s="299">
        <f>E314</f>
        <v>0</v>
      </c>
      <c r="BP314" s="302">
        <f>IF(AND(G314&gt;(--"00:00:01"),G314&lt;(--"15:00:00")),IF(AND(X314&gt;(--"00:00:01"),X314&lt;(--"15:00:00")),G314-X314,G314+1-X314),G314-X314)</f>
        <v>0</v>
      </c>
      <c r="BQ314" s="303">
        <f>AE314+AF314+AH314+AJ314</f>
        <v>0</v>
      </c>
      <c r="BR314" s="304" t="str">
        <f>IF(OR(BP314&lt;=(--"00:20:00"),BQ314&gt;=100%),"OK","Not OK")</f>
        <v>OK</v>
      </c>
      <c r="BS314" s="302">
        <f>IF(AND(G314&gt;(--"00:00:01"),G314&lt;(--"15:00:00")),IF(AND(AU314&gt;(--"00:00:01"),AU314&lt;(--"15:00:00")),G314-AU314,G314+1-AU314),G314-AU314)</f>
        <v>0</v>
      </c>
      <c r="BT314" s="302">
        <f>IF(AND(AZ314&gt;(--"00:00:01"),AZ314&lt;(--"15:00:00")),IF(AND(AU314&gt;(--"00:00:01"),AU314&lt;(--"15:00:00")),AZ314-AU314,AZ314+1-AU314),AZ314-AU314)</f>
        <v>0</v>
      </c>
      <c r="BU314" s="302">
        <f>IF(AND(BA314&gt;(--"00:00:01"),BA314&lt;(--"15:00:00")),IF(AND(AZ314&gt;(--"00:00:01"),AZ314&lt;(--"15:00:00")),BA314-AZ314,BA314+1-AZ314),BA314-AZ314)</f>
        <v>0</v>
      </c>
      <c r="BV314" s="299">
        <f>AV314</f>
        <v>0</v>
      </c>
      <c r="BW314" s="301"/>
      <c r="BX314" s="299" t="str">
        <f>IF(AV314="T Status",IF(AV314&lt;&gt;T314,"X",""),"")</f>
        <v/>
      </c>
      <c r="BY314" s="301"/>
      <c r="BZ314" s="299" t="str">
        <f>IF(X314&lt;&gt;"",IF(CC314="X","Driver Delay",IF(CA314="X","Paperwork Delay",IF(CB314="X","Late freight late sort",IF(CD314="X","Chiamare Control Room",IF(CE314="X","Chiamare Control Room",IF(CF314="X","Chiamare Control Room","")))))),"")</f>
        <v/>
      </c>
      <c r="CA314" s="302" t="str">
        <f>IF(K314="",IF(IF(AND(G314&gt;(--"00:00:01"),G314&lt;(--"15:00:00")),IF(AND(AT314&gt;(--"08:00:00"),AT314&lt;(--"23:59:59")),G314+1-AT314,G314-AT314),G314-AT314)&gt;(--"00:20:00"),"","X"),"")</f>
        <v>X</v>
      </c>
      <c r="CB314" s="299" t="str">
        <f>IF(K314="",IF(BP314&gt;=(--"00:20:00"),"","X"),"")</f>
        <v>X</v>
      </c>
      <c r="CC314" s="299" t="str">
        <f>IF(OR(AV314="Autista non presente",AV314="Dati driver non presenti"),"X","")</f>
        <v/>
      </c>
      <c r="CD314" s="299" t="str">
        <f>IF(K314="",IF(AND(CC314="",BS314&lt;(--"00:20:00")),"X",""),"")</f>
        <v>X</v>
      </c>
      <c r="CE314" s="299" t="str">
        <f>IF(K314="",IF(BT314&gt;(--"00:15:00"),"X",""),IF(AZ314&lt;&gt;"",IF(G314-AZ314&gt;(--"00:30:00"),"X",""),""))</f>
        <v/>
      </c>
      <c r="CF314" s="299" t="str">
        <f>IF(AND(CA314="",CB314="",CC314="",CD314="",CE314=""),"X","")</f>
        <v/>
      </c>
      <c r="CG314" s="301"/>
      <c r="CH314" s="299" t="str">
        <f>IF(BT314&gt;(--"00:15:00"),"X","")</f>
        <v/>
      </c>
      <c r="CI314" s="302" t="str">
        <f>AY314</f>
        <v/>
      </c>
      <c r="CJ314" s="299" t="str">
        <f>IF(AND(CH314&lt;&gt;"",CI314&lt;&gt;"",LEFT(B314,3)="ITD"),AP314,"")</f>
        <v/>
      </c>
      <c r="CK314" s="305" t="str">
        <f>IF(CJ314&lt;&gt;"",BT314,"")</f>
        <v/>
      </c>
      <c r="CL314" s="301"/>
      <c r="CM314" s="305" t="str">
        <f>IFERROR(VLOOKUP(Q314,'Elenco Casse'!$D$4:$F$292,3,FALSE),"")</f>
        <v/>
      </c>
      <c r="CN314" s="301"/>
      <c r="CO314" s="305" t="str">
        <f>IFERROR(VLOOKUP(S314,'Elenco Casse'!$D$4:$F$292,3,FALSE),"")</f>
        <v/>
      </c>
      <c r="CP314" s="305" t="str">
        <f>IFERROR(IF(VLOOKUP($E314,Outlist!$A$5:$S$120,19,FALSE)&lt;&gt;0,"Y",""),"")</f>
        <v/>
      </c>
      <c r="CQ314" s="301"/>
      <c r="CR314" s="305" t="str">
        <f>CONCATENATE($B314,$E314,$G314)</f>
        <v/>
      </c>
      <c r="CS314" s="301"/>
      <c r="CT314" s="305" t="e">
        <f>VLOOKUP(Out_Table[[#This Row],[Destination             ORANGE (From Planning)]],Outlist!$A$5:$W$120,22,FALSE)</f>
        <v>#N/A</v>
      </c>
    </row>
    <row r="315" spans="1:98" s="20" customFormat="1" ht="15">
      <c r="A315" s="305" t="str">
        <f>$CR315</f>
        <v/>
      </c>
      <c r="B315" s="284"/>
      <c r="C315" s="290" t="str">
        <f ca="1">IFERROR(IF(LEFT(B315,3)='STAT 77'!$X$2,_xlfn.XLOOKUP(B315,'STAT 77'!C:C,'STAT 77'!B:B),_xlfn.XLOOKUP(B315,'STAT 77'!B:B,'STAT 77'!C:C)),"NON TROVATO")</f>
        <v>NON TROVATO</v>
      </c>
      <c r="D315" s="25"/>
      <c r="E315" s="290"/>
      <c r="F315" s="290" t="str">
        <f>IFERROR(VLOOKUP(E315,'Cambio O2P'!C:E,2,FALSE),"")</f>
        <v/>
      </c>
      <c r="G315" s="285"/>
      <c r="H315" s="293" t="str">
        <f ca="1">IFERROR(IF(AND('INformazioni per calcoli'!$AB$3&lt;(--"14:30"),'INformazioni per calcoli'!$AB$3&gt;(--"10:00")),"",IF($B315="","",IF($X315&lt;&gt;"","Mezzo Chiuso",IF($W315="","Non al Carico",IF($G315-'INformazioni per calcoli'!$AB$5-'INformazioni per calcoli'!$AB$3+$J315&lt;0,"LFLS",IF($K315&lt;&gt;"","Safe Parking",IF($W315&lt;&gt;"",IF($E315="MXP",$G315-'INformazioni per calcoli'!$AB$6-'INformazioni per calcoli'!$AB$3+$J315,$G315-'INformazioni per calcoli'!$AB$5-'INformazioni per calcoli'!$AB$3+$J315),"Non al carico"))))))),"")</f>
        <v/>
      </c>
      <c r="I315" s="17" t="str">
        <f ca="1">IFERROR(IF($H315&lt;&gt;"",IF($H315="Safe Parking","",IF($W315&lt;&gt;"",IF(AND($U315="X",$V315="X"),$H315-(--"00:30"),""),IF($X315&lt;&gt;"","Mezzo Chiuso","Non al carico"))),""),"")</f>
        <v/>
      </c>
      <c r="J315" s="306" t="str">
        <f>IFERROR(IF($B315&lt;&gt;"",IF(AND('INformazioni per calcoli'!$AB$3&lt;(--"15:00"),'INformazioni per calcoli'!$AB$3&gt;(--"00:00")),0,IF($G315&lt;(--"18:30"),"+1",0)),""),"")</f>
        <v/>
      </c>
      <c r="K315" s="17"/>
      <c r="L315" s="25"/>
      <c r="M315" s="25" t="str">
        <f>IFERROR(_xlfn.XLOOKUP($Q315,'Elenco Casse'!$D:$D,'Elenco Casse'!$E:$E),"")</f>
        <v/>
      </c>
      <c r="N315" s="25" t="str">
        <f>IFERROR(_xlfn.XLOOKUP($Q315,'Elenco Casse'!$D:$D,'Elenco Casse'!$F:$F),"")</f>
        <v/>
      </c>
      <c r="O315" s="286"/>
      <c r="P315" s="295" t="str">
        <f>IFERROR(_xlfn.XLOOKUP($Q315,'Elenco Casse'!$D:$D,'Elenco Casse'!$G:$G),"")</f>
        <v/>
      </c>
      <c r="Q315" s="355"/>
      <c r="R315" s="23"/>
      <c r="S315" s="25"/>
      <c r="T315" s="25"/>
      <c r="U315" s="23" t="str">
        <f>IF(ISNUMBER(SEARCH("Parcel",$T315)),"X","")</f>
        <v/>
      </c>
      <c r="V315" s="23" t="str">
        <f>IF(ISNUMBER(SEARCH("Freight",$T315)),"X","")</f>
        <v/>
      </c>
      <c r="W315" s="26"/>
      <c r="X315" s="27"/>
      <c r="Y315" s="25" t="str">
        <f>IF(Out_Table[[#This Row],[DOC Del. hr. (RTH)]]&lt;&gt;"","XXX","")</f>
        <v/>
      </c>
      <c r="Z315" s="25"/>
      <c r="AA315" s="25"/>
      <c r="AB315" s="57"/>
      <c r="AC315" s="25"/>
      <c r="AD315" s="25"/>
      <c r="AE315" s="57"/>
      <c r="AF315" s="57"/>
      <c r="AG315" s="25"/>
      <c r="AH315" s="57"/>
      <c r="AI315" s="339"/>
      <c r="AJ315" s="339"/>
      <c r="AK315" s="297" t="str">
        <f>IF(X315&lt;&gt;"",CONCATENATE(IF(AA315&lt;&gt;"",CONCATENATE(Z315," ",AA315," ",BI315),""),IF(AD315&lt;&gt;"",CONCATENATE(","," ",AC315," ",AD315," ",BJ315),""),IF(AG315&lt;&gt;"",CONCATENATE(","," ",AF315," ",AG315," ",BK315),""),IF(AJ315&lt;&gt;"",CONCATENATE(","," ","DD"," ",BL315),"")," ",IF(AI315&lt;&gt;"",CONCATENATE(" - ",AI315," Bag"),"")),"")</f>
        <v/>
      </c>
      <c r="AL315" s="287"/>
      <c r="AM315" s="287"/>
      <c r="AN315" s="287"/>
      <c r="AO315" s="287"/>
      <c r="AP315" s="370" t="str">
        <f>IFERROR(VLOOKUP($E312,Outlist!$A$5:$V$120,20,FALSE),"")</f>
        <v/>
      </c>
      <c r="AQ315" s="288" t="str">
        <f>IFERROR(IF(VLOOKUP($A315,#REF!,8,FALSE)&lt;&gt;"",VLOOKUP($A315,#REF!,8,FALSE),""),"")</f>
        <v/>
      </c>
      <c r="AS315" s="24"/>
      <c r="AT315" s="24"/>
      <c r="AU315" s="27"/>
      <c r="AV315" s="27"/>
      <c r="AX315" s="20" t="str">
        <f>IFERROR(IF(Out_Table[[#This Row],[Cancellazione linea]]="Cancellata","yes",""),"")</f>
        <v/>
      </c>
      <c r="AY315" s="72" t="str">
        <f>IF(BA315="",BZ315,IF(AND(BA315&lt;(--"23:59:59"),BA315&gt;(--"15:00:00"),G315&lt;(--"14:00:00"),G315&gt;(--"00:00:01")),"",IF(BA315&gt;G315,BZ315,"")))</f>
        <v/>
      </c>
      <c r="AZ315" s="27"/>
      <c r="BA315" s="32"/>
      <c r="BB315" s="72"/>
      <c r="BC315" s="72" t="str">
        <f>IFERROR(VLOOKUP(Out_Table[[#This Row],[Aggiornamento STATUS]],'INformazioni per calcoli'!$Y$70:$AA$76,2,FALSE),"")</f>
        <v/>
      </c>
      <c r="BD315" s="289"/>
      <c r="BE315" s="289"/>
      <c r="BF315" s="47" t="str">
        <f>LEFT($E315,3)</f>
        <v/>
      </c>
      <c r="BG315" s="298" t="str">
        <f>IF(Out_Table[[#This Row],[Ora Uscita    (GH)]]&lt;&gt;"","x","")</f>
        <v/>
      </c>
      <c r="BH315" s="299" t="e">
        <f>VLOOKUP($O315,'INformazioni per calcoli'!$Y$20:$AA$23,3,FALSE)</f>
        <v>#N/A</v>
      </c>
      <c r="BI315" s="299" t="e">
        <f>MROUND(Out_Table[[#This Row],[Mtr. Trailer]]*AB315,0.5)</f>
        <v>#N/A</v>
      </c>
      <c r="BJ315" s="299" t="e">
        <f>MROUND(Out_Table[[#This Row],[Mtr. Trailer]]*AE315,0.5)</f>
        <v>#N/A</v>
      </c>
      <c r="BK315" s="299" t="e">
        <f>MROUND(Out_Table[[#This Row],[Mtr. Trailer]]*AH315,0.5)</f>
        <v>#N/A</v>
      </c>
      <c r="BL315" s="300">
        <f>Out_Table[[#This Row],[Double Deck trailer N° bumpers]]</f>
        <v>0</v>
      </c>
      <c r="BM315" s="301"/>
      <c r="BN315" s="299">
        <f>B315</f>
        <v>0</v>
      </c>
      <c r="BO315" s="299">
        <f>E315</f>
        <v>0</v>
      </c>
      <c r="BP315" s="302">
        <f>IF(AND(G315&gt;(--"00:00:01"),G315&lt;(--"15:00:00")),IF(AND(X315&gt;(--"00:00:01"),X315&lt;(--"15:00:00")),G315-X315,G315+1-X315),G315-X315)</f>
        <v>0</v>
      </c>
      <c r="BQ315" s="303">
        <f>AE315+AF315+AH315+AJ315</f>
        <v>0</v>
      </c>
      <c r="BR315" s="304" t="str">
        <f>IF(OR(BP315&lt;=(--"00:20:00"),BQ315&gt;=100%),"OK","Not OK")</f>
        <v>OK</v>
      </c>
      <c r="BS315" s="302">
        <f>IF(AND(G315&gt;(--"00:00:01"),G315&lt;(--"15:00:00")),IF(AND(AU315&gt;(--"00:00:01"),AU315&lt;(--"15:00:00")),G315-AU315,G315+1-AU315),G315-AU315)</f>
        <v>0</v>
      </c>
      <c r="BT315" s="302">
        <f>IF(AND(AZ315&gt;(--"00:00:01"),AZ315&lt;(--"15:00:00")),IF(AND(AU315&gt;(--"00:00:01"),AU315&lt;(--"15:00:00")),AZ315-AU315,AZ315+1-AU315),AZ315-AU315)</f>
        <v>0</v>
      </c>
      <c r="BU315" s="302">
        <f>IF(AND(BA315&gt;(--"00:00:01"),BA315&lt;(--"15:00:00")),IF(AND(AZ315&gt;(--"00:00:01"),AZ315&lt;(--"15:00:00")),BA315-AZ315,BA315+1-AZ315),BA315-AZ315)</f>
        <v>0</v>
      </c>
      <c r="BV315" s="299">
        <f>AV315</f>
        <v>0</v>
      </c>
      <c r="BW315" s="301"/>
      <c r="BX315" s="299" t="str">
        <f>IF(AV315="T Status",IF(AV315&lt;&gt;T315,"X",""),"")</f>
        <v/>
      </c>
      <c r="BY315" s="301"/>
      <c r="BZ315" s="299" t="str">
        <f>IF(X315&lt;&gt;"",IF(CC315="X","Driver Delay",IF(CA315="X","Paperwork Delay",IF(CB315="X","Late freight late sort",IF(CD315="X","Chiamare Control Room",IF(CE315="X","Chiamare Control Room",IF(CF315="X","Chiamare Control Room","")))))),"")</f>
        <v/>
      </c>
      <c r="CA315" s="302" t="str">
        <f>IF(K315="",IF(IF(AND(G315&gt;(--"00:00:01"),G315&lt;(--"15:00:00")),IF(AND(AT315&gt;(--"08:00:00"),AT315&lt;(--"23:59:59")),G315+1-AT315,G315-AT315),G315-AT315)&gt;(--"00:20:00"),"","X"),"")</f>
        <v>X</v>
      </c>
      <c r="CB315" s="299" t="str">
        <f>IF(K315="",IF(BP315&gt;=(--"00:20:00"),"","X"),"")</f>
        <v>X</v>
      </c>
      <c r="CC315" s="299" t="str">
        <f>IF(OR(AV315="Autista non presente",AV315="Dati driver non presenti"),"X","")</f>
        <v/>
      </c>
      <c r="CD315" s="299" t="str">
        <f>IF(K315="",IF(AND(CC315="",BS315&lt;(--"00:20:00")),"X",""),"")</f>
        <v>X</v>
      </c>
      <c r="CE315" s="299" t="str">
        <f>IF(K315="",IF(BT315&gt;(--"00:15:00"),"X",""),IF(AZ315&lt;&gt;"",IF(G315-AZ315&gt;(--"00:30:00"),"X",""),""))</f>
        <v/>
      </c>
      <c r="CF315" s="299" t="str">
        <f>IF(AND(CA315="",CB315="",CC315="",CD315="",CE315=""),"X","")</f>
        <v/>
      </c>
      <c r="CG315" s="301"/>
      <c r="CH315" s="299" t="str">
        <f>IF(BT315&gt;(--"00:15:00"),"X","")</f>
        <v/>
      </c>
      <c r="CI315" s="302" t="str">
        <f>AY315</f>
        <v/>
      </c>
      <c r="CJ315" s="299" t="str">
        <f>IF(AND(CH315&lt;&gt;"",CI315&lt;&gt;"",LEFT(B315,3)="ITD"),AP315,"")</f>
        <v/>
      </c>
      <c r="CK315" s="305" t="str">
        <f>IF(CJ315&lt;&gt;"",BT315,"")</f>
        <v/>
      </c>
      <c r="CL315" s="301"/>
      <c r="CM315" s="305" t="str">
        <f>IFERROR(VLOOKUP(Q315,'Elenco Casse'!$D$4:$F$292,3,FALSE),"")</f>
        <v/>
      </c>
      <c r="CN315" s="301"/>
      <c r="CO315" s="305" t="str">
        <f>IFERROR(VLOOKUP(S315,'Elenco Casse'!$D$4:$F$292,3,FALSE),"")</f>
        <v/>
      </c>
      <c r="CP315" s="305" t="str">
        <f>IFERROR(IF(VLOOKUP($E315,Outlist!$A$5:$S$120,19,FALSE)&lt;&gt;0,"Y",""),"")</f>
        <v/>
      </c>
      <c r="CQ315" s="301"/>
      <c r="CR315" s="305" t="str">
        <f>CONCATENATE($B315,$E315,$G315)</f>
        <v/>
      </c>
      <c r="CS315" s="301"/>
      <c r="CT315" s="305" t="e">
        <f>VLOOKUP(Out_Table[[#This Row],[Destination             ORANGE (From Planning)]],Outlist!$A$5:$W$120,22,FALSE)</f>
        <v>#N/A</v>
      </c>
    </row>
    <row r="316" spans="1:98" s="20" customFormat="1" ht="15">
      <c r="A316" s="305" t="str">
        <f>$CR316</f>
        <v/>
      </c>
      <c r="B316" s="284"/>
      <c r="C316" s="290" t="str">
        <f ca="1">IFERROR(IF(LEFT(B316,3)='STAT 77'!$X$2,_xlfn.XLOOKUP(B316,'STAT 77'!C:C,'STAT 77'!B:B),_xlfn.XLOOKUP(B316,'STAT 77'!B:B,'STAT 77'!C:C)),"NON TROVATO")</f>
        <v>NON TROVATO</v>
      </c>
      <c r="D316" s="25"/>
      <c r="E316" s="290"/>
      <c r="F316" s="290" t="str">
        <f>IFERROR(VLOOKUP(E316,'Cambio O2P'!C:E,2,FALSE),"")</f>
        <v/>
      </c>
      <c r="G316" s="285"/>
      <c r="H316" s="293" t="str">
        <f ca="1">IFERROR(IF(AND('INformazioni per calcoli'!$AB$3&lt;(--"14:30"),'INformazioni per calcoli'!$AB$3&gt;(--"10:00")),"",IF($B316="","",IF($X316&lt;&gt;"","Mezzo Chiuso",IF($W316="","Non al Carico",IF($G316-'INformazioni per calcoli'!$AB$5-'INformazioni per calcoli'!$AB$3+$J316&lt;0,"LFLS",IF($K316&lt;&gt;"","Safe Parking",IF($W316&lt;&gt;"",IF($E316="MXP",$G316-'INformazioni per calcoli'!$AB$6-'INformazioni per calcoli'!$AB$3+$J316,$G316-'INformazioni per calcoli'!$AB$5-'INformazioni per calcoli'!$AB$3+$J316),"Non al carico"))))))),"")</f>
        <v/>
      </c>
      <c r="I316" s="17" t="str">
        <f ca="1">IFERROR(IF($H316&lt;&gt;"",IF($H316="Safe Parking","",IF($W316&lt;&gt;"",IF(AND($U316="X",$V316="X"),$H316-(--"00:30"),""),IF($X316&lt;&gt;"","Mezzo Chiuso","Non al carico"))),""),"")</f>
        <v/>
      </c>
      <c r="J316" s="306" t="str">
        <f>IFERROR(IF($B316&lt;&gt;"",IF(AND('INformazioni per calcoli'!$AB$3&lt;(--"15:00"),'INformazioni per calcoli'!$AB$3&gt;(--"00:00")),0,IF($G316&lt;(--"18:30"),"+1",0)),""),"")</f>
        <v/>
      </c>
      <c r="K316" s="27"/>
      <c r="L316" s="25"/>
      <c r="M316" s="25" t="str">
        <f>IFERROR(_xlfn.XLOOKUP($Q316,'Elenco Casse'!$D:$D,'Elenco Casse'!$E:$E),"")</f>
        <v/>
      </c>
      <c r="N316" s="25" t="str">
        <f>IFERROR(_xlfn.XLOOKUP($Q316,'Elenco Casse'!$D:$D,'Elenco Casse'!$F:$F),"")</f>
        <v/>
      </c>
      <c r="O316" s="286"/>
      <c r="P316" s="295" t="str">
        <f>IFERROR(_xlfn.XLOOKUP($Q316,'Elenco Casse'!$D:$D,'Elenco Casse'!$G:$G),"")</f>
        <v/>
      </c>
      <c r="Q316" s="355"/>
      <c r="R316" s="23"/>
      <c r="S316" s="25"/>
      <c r="T316" s="25"/>
      <c r="U316" s="23" t="str">
        <f>IF(ISNUMBER(SEARCH("Parcel",$T316)),"X","")</f>
        <v/>
      </c>
      <c r="V316" s="23" t="str">
        <f>IF(ISNUMBER(SEARCH("Freight",$T316)),"X","")</f>
        <v/>
      </c>
      <c r="W316" s="26"/>
      <c r="X316" s="27"/>
      <c r="Y316" s="25" t="str">
        <f>IF(Out_Table[[#This Row],[DOC Del. hr. (RTH)]]&lt;&gt;"","XXX","")</f>
        <v/>
      </c>
      <c r="Z316" s="25"/>
      <c r="AA316" s="25"/>
      <c r="AB316" s="57"/>
      <c r="AC316" s="25"/>
      <c r="AD316" s="25"/>
      <c r="AE316" s="57"/>
      <c r="AF316" s="57"/>
      <c r="AG316" s="25"/>
      <c r="AH316" s="57"/>
      <c r="AI316" s="339"/>
      <c r="AJ316" s="339"/>
      <c r="AK316" s="297" t="str">
        <f>IF(X316&lt;&gt;"",CONCATENATE(IF(AA316&lt;&gt;"",CONCATENATE(Z316," ",AA316," ",BI316),""),IF(AD316&lt;&gt;"",CONCATENATE(","," ",AC316," ",AD316," ",BJ316),""),IF(AG316&lt;&gt;"",CONCATENATE(","," ",AF316," ",AG316," ",BK316),""),IF(AJ316&lt;&gt;"",CONCATENATE(","," ","DD"," ",BL316),"")," ",IF(AI316&lt;&gt;"",CONCATENATE(" - ",AI316," Bag"),"")),"")</f>
        <v/>
      </c>
      <c r="AL316" s="287"/>
      <c r="AM316" s="287"/>
      <c r="AN316" s="287"/>
      <c r="AO316" s="287"/>
      <c r="AP316" s="370" t="str">
        <f>IFERROR(VLOOKUP($E313,Outlist!$A$5:$V$120,20,FALSE),"")</f>
        <v/>
      </c>
      <c r="AQ316" s="288" t="str">
        <f>IFERROR(IF(VLOOKUP($A316,#REF!,8,FALSE)&lt;&gt;"",VLOOKUP($A316,#REF!,8,FALSE),""),"")</f>
        <v/>
      </c>
      <c r="AS316" s="24"/>
      <c r="AT316" s="24"/>
      <c r="AU316" s="27"/>
      <c r="AV316" s="27"/>
      <c r="AX316" s="20" t="str">
        <f>IFERROR(IF(Out_Table[[#This Row],[Cancellazione linea]]="Cancellata","yes",""),"")</f>
        <v/>
      </c>
      <c r="AY316" s="72" t="str">
        <f>IF(BA316="",BZ316,IF(AND(BA316&lt;(--"23:59:59"),BA316&gt;(--"15:00:00"),G316&lt;(--"14:00:00"),G316&gt;(--"00:00:01")),"",IF(BA316&gt;G316,BZ316,"")))</f>
        <v/>
      </c>
      <c r="AZ316" s="27"/>
      <c r="BA316" s="32"/>
      <c r="BB316" s="72"/>
      <c r="BC316" s="72" t="str">
        <f>IFERROR(VLOOKUP(Out_Table[[#This Row],[Aggiornamento STATUS]],'INformazioni per calcoli'!$Y$70:$AA$76,2,FALSE),"")</f>
        <v/>
      </c>
      <c r="BD316" s="289"/>
      <c r="BE316" s="289"/>
      <c r="BF316" s="47" t="str">
        <f>LEFT($E316,3)</f>
        <v/>
      </c>
      <c r="BG316" s="298" t="str">
        <f>IF(Out_Table[[#This Row],[Ora Uscita    (GH)]]&lt;&gt;"","x","")</f>
        <v/>
      </c>
      <c r="BH316" s="299" t="e">
        <f>VLOOKUP($O316,'INformazioni per calcoli'!$Y$20:$AA$23,3,FALSE)</f>
        <v>#N/A</v>
      </c>
      <c r="BI316" s="299" t="e">
        <f>MROUND(Out_Table[[#This Row],[Mtr. Trailer]]*AB316,0.5)</f>
        <v>#N/A</v>
      </c>
      <c r="BJ316" s="299" t="e">
        <f>MROUND(Out_Table[[#This Row],[Mtr. Trailer]]*AE316,0.5)</f>
        <v>#N/A</v>
      </c>
      <c r="BK316" s="299" t="e">
        <f>MROUND(Out_Table[[#This Row],[Mtr. Trailer]]*AH316,0.5)</f>
        <v>#N/A</v>
      </c>
      <c r="BL316" s="300">
        <f>Out_Table[[#This Row],[Double Deck trailer N° bumpers]]</f>
        <v>0</v>
      </c>
      <c r="BM316" s="301"/>
      <c r="BN316" s="299">
        <f>B316</f>
        <v>0</v>
      </c>
      <c r="BO316" s="299">
        <f>E316</f>
        <v>0</v>
      </c>
      <c r="BP316" s="302">
        <f>IF(AND(G316&gt;(--"00:00:01"),G316&lt;(--"15:00:00")),IF(AND(X316&gt;(--"00:00:01"),X316&lt;(--"15:00:00")),G316-X316,G316+1-X316),G316-X316)</f>
        <v>0</v>
      </c>
      <c r="BQ316" s="303">
        <f>AE316+AF316+AH316+AJ316</f>
        <v>0</v>
      </c>
      <c r="BR316" s="304" t="str">
        <f>IF(OR(BP316&lt;=(--"00:20:00"),BQ316&gt;=100%),"OK","Not OK")</f>
        <v>OK</v>
      </c>
      <c r="BS316" s="302">
        <f>IF(AND(G316&gt;(--"00:00:01"),G316&lt;(--"15:00:00")),IF(AND(AU316&gt;(--"00:00:01"),AU316&lt;(--"15:00:00")),G316-AU316,G316+1-AU316),G316-AU316)</f>
        <v>0</v>
      </c>
      <c r="BT316" s="302">
        <f>IF(AND(AZ316&gt;(--"00:00:01"),AZ316&lt;(--"15:00:00")),IF(AND(AU316&gt;(--"00:00:01"),AU316&lt;(--"15:00:00")),AZ316-AU316,AZ316+1-AU316),AZ316-AU316)</f>
        <v>0</v>
      </c>
      <c r="BU316" s="302">
        <f>IF(AND(BA316&gt;(--"00:00:01"),BA316&lt;(--"15:00:00")),IF(AND(AZ316&gt;(--"00:00:01"),AZ316&lt;(--"15:00:00")),BA316-AZ316,BA316+1-AZ316),BA316-AZ316)</f>
        <v>0</v>
      </c>
      <c r="BV316" s="299">
        <f>AV316</f>
        <v>0</v>
      </c>
      <c r="BW316" s="301"/>
      <c r="BX316" s="299" t="str">
        <f>IF(AV316="T Status",IF(AV316&lt;&gt;T316,"X",""),"")</f>
        <v/>
      </c>
      <c r="BY316" s="301"/>
      <c r="BZ316" s="299" t="str">
        <f>IF(X316&lt;&gt;"",IF(CC316="X","Driver Delay",IF(CA316="X","Paperwork Delay",IF(CB316="X","Late freight late sort",IF(CD316="X","Chiamare Control Room",IF(CE316="X","Chiamare Control Room",IF(CF316="X","Chiamare Control Room","")))))),"")</f>
        <v/>
      </c>
      <c r="CA316" s="302" t="str">
        <f>IF(K316="",IF(IF(AND(G316&gt;(--"00:00:01"),G316&lt;(--"15:00:00")),IF(AND(AT316&gt;(--"08:00:00"),AT316&lt;(--"23:59:59")),G316+1-AT316,G316-AT316),G316-AT316)&gt;(--"00:20:00"),"","X"),"")</f>
        <v>X</v>
      </c>
      <c r="CB316" s="299" t="str">
        <f>IF(K316="",IF(BP316&gt;=(--"00:20:00"),"","X"),"")</f>
        <v>X</v>
      </c>
      <c r="CC316" s="299" t="str">
        <f>IF(OR(AV316="Autista non presente",AV316="Dati driver non presenti"),"X","")</f>
        <v/>
      </c>
      <c r="CD316" s="299" t="str">
        <f>IF(K316="",IF(AND(CC316="",BS316&lt;(--"00:20:00")),"X",""),"")</f>
        <v>X</v>
      </c>
      <c r="CE316" s="299" t="str">
        <f>IF(K316="",IF(BT316&gt;(--"00:15:00"),"X",""),IF(AZ316&lt;&gt;"",IF(G316-AZ316&gt;(--"00:30:00"),"X",""),""))</f>
        <v/>
      </c>
      <c r="CF316" s="299" t="str">
        <f>IF(AND(CA316="",CB316="",CC316="",CD316="",CE316=""),"X","")</f>
        <v/>
      </c>
      <c r="CG316" s="301"/>
      <c r="CH316" s="299" t="str">
        <f>IF(BT316&gt;(--"00:15:00"),"X","")</f>
        <v/>
      </c>
      <c r="CI316" s="302" t="str">
        <f>AY316</f>
        <v/>
      </c>
      <c r="CJ316" s="299" t="str">
        <f>IF(AND(CH316&lt;&gt;"",CI316&lt;&gt;"",LEFT(B316,3)="ITD"),AP316,"")</f>
        <v/>
      </c>
      <c r="CK316" s="305" t="str">
        <f>IF(CJ316&lt;&gt;"",BT316,"")</f>
        <v/>
      </c>
      <c r="CL316" s="301"/>
      <c r="CM316" s="305" t="str">
        <f>IFERROR(VLOOKUP(Q316,'Elenco Casse'!$D$4:$F$292,3,FALSE),"")</f>
        <v/>
      </c>
      <c r="CN316" s="301"/>
      <c r="CO316" s="305" t="str">
        <f>IFERROR(VLOOKUP(S316,'Elenco Casse'!$D$4:$F$292,3,FALSE),"")</f>
        <v/>
      </c>
      <c r="CP316" s="305" t="str">
        <f>IFERROR(IF(VLOOKUP($E316,Outlist!$A$5:$S$120,19,FALSE)&lt;&gt;0,"Y",""),"")</f>
        <v/>
      </c>
      <c r="CQ316" s="301"/>
      <c r="CR316" s="305" t="str">
        <f>CONCATENATE($B316,$E316,$G316)</f>
        <v/>
      </c>
      <c r="CS316" s="301"/>
      <c r="CT316" s="305" t="e">
        <f>VLOOKUP(Out_Table[[#This Row],[Destination             ORANGE (From Planning)]],Outlist!$A$5:$W$120,22,FALSE)</f>
        <v>#N/A</v>
      </c>
    </row>
    <row r="317" spans="1:98" s="20" customFormat="1" ht="15">
      <c r="A317" s="305" t="str">
        <f>$CR317</f>
        <v/>
      </c>
      <c r="B317" s="284"/>
      <c r="C317" s="290" t="str">
        <f ca="1">IFERROR(IF(LEFT(B317,3)='STAT 77'!$X$2,_xlfn.XLOOKUP(B317,'STAT 77'!C:C,'STAT 77'!B:B),_xlfn.XLOOKUP(B317,'STAT 77'!B:B,'STAT 77'!C:C)),"NON TROVATO")</f>
        <v>NON TROVATO</v>
      </c>
      <c r="D317" s="25"/>
      <c r="E317" s="25"/>
      <c r="F317" s="290" t="str">
        <f>IFERROR(VLOOKUP(E317,'Cambio O2P'!C:E,2,FALSE),"")</f>
        <v/>
      </c>
      <c r="G317" s="285"/>
      <c r="H317" s="293" t="str">
        <f ca="1">IFERROR(IF(AND('INformazioni per calcoli'!$AB$3&lt;(--"14:30"),'INformazioni per calcoli'!$AB$3&gt;(--"10:00")),"",IF($B317="","",IF($X317&lt;&gt;"","Mezzo Chiuso",IF($W317="","Non al Carico",IF($G317-'INformazioni per calcoli'!$AB$5-'INformazioni per calcoli'!$AB$3+$J317&lt;0,"LFLS",IF($K317&lt;&gt;"","Safe Parking",IF($W317&lt;&gt;"",IF($E317="MXP",$G317-'INformazioni per calcoli'!$AB$6-'INformazioni per calcoli'!$AB$3+$J317,$G317-'INformazioni per calcoli'!$AB$5-'INformazioni per calcoli'!$AB$3+$J317),"Non al carico"))))))),"")</f>
        <v/>
      </c>
      <c r="I317" s="17" t="str">
        <f ca="1">IFERROR(IF($H317&lt;&gt;"",IF($H317="Safe Parking","",IF($W317&lt;&gt;"",IF(AND($U317="X",$V317="X"),$H317-(--"00:30"),""),IF($X317&lt;&gt;"","Mezzo Chiuso","Non al carico"))),""),"")</f>
        <v/>
      </c>
      <c r="J317" s="306" t="str">
        <f>IFERROR(IF($B317&lt;&gt;"",IF(AND('INformazioni per calcoli'!$AB$3&lt;(--"15:00"),'INformazioni per calcoli'!$AB$3&gt;(--"00:00")),0,IF($G317&lt;(--"18:30"),"+1",0)),""),"")</f>
        <v/>
      </c>
      <c r="K317" s="17"/>
      <c r="L317" s="25"/>
      <c r="M317" s="25" t="str">
        <f>IFERROR(_xlfn.XLOOKUP($Q317,'Elenco Casse'!$D:$D,'Elenco Casse'!$E:$E),"")</f>
        <v/>
      </c>
      <c r="N317" s="25" t="str">
        <f>IFERROR(_xlfn.XLOOKUP($Q317,'Elenco Casse'!$D:$D,'Elenco Casse'!$F:$F),"")</f>
        <v/>
      </c>
      <c r="O317" s="286"/>
      <c r="P317" s="295" t="str">
        <f>IFERROR(_xlfn.XLOOKUP($Q317,'Elenco Casse'!$D:$D,'Elenco Casse'!$G:$G),"")</f>
        <v/>
      </c>
      <c r="Q317" s="355"/>
      <c r="R317" s="23"/>
      <c r="S317" s="25"/>
      <c r="T317" s="25"/>
      <c r="U317" s="23" t="str">
        <f>IF(ISNUMBER(SEARCH("Parcel",$T317)),"X","")</f>
        <v/>
      </c>
      <c r="V317" s="23" t="str">
        <f>IF(ISNUMBER(SEARCH("Freight",$T317)),"X","")</f>
        <v/>
      </c>
      <c r="W317" s="26"/>
      <c r="X317" s="27"/>
      <c r="Y317" s="25" t="str">
        <f>IF(Out_Table[[#This Row],[DOC Del. hr. (RTH)]]&lt;&gt;"","XXX","")</f>
        <v/>
      </c>
      <c r="Z317" s="25"/>
      <c r="AA317" s="25"/>
      <c r="AB317" s="57"/>
      <c r="AC317" s="25"/>
      <c r="AD317" s="25"/>
      <c r="AE317" s="57"/>
      <c r="AF317" s="57"/>
      <c r="AG317" s="25"/>
      <c r="AH317" s="57"/>
      <c r="AI317" s="339"/>
      <c r="AJ317" s="339"/>
      <c r="AK317" s="297" t="str">
        <f>IF(X317&lt;&gt;"",CONCATENATE(IF(AA317&lt;&gt;"",CONCATENATE(Z317," ",AA317," ",BI317),""),IF(AD317&lt;&gt;"",CONCATENATE(","," ",AC317," ",AD317," ",BJ317),""),IF(AG317&lt;&gt;"",CONCATENATE(","," ",AF317," ",AG317," ",BK317),""),IF(AJ317&lt;&gt;"",CONCATENATE(","," ","DD"," ",BL317),"")," ",IF(AI317&lt;&gt;"",CONCATENATE(" - ",AI317," Bag"),"")),"")</f>
        <v/>
      </c>
      <c r="AL317" s="287"/>
      <c r="AM317" s="287"/>
      <c r="AN317" s="287"/>
      <c r="AO317" s="287"/>
      <c r="AP317" s="370" t="str">
        <f>IFERROR(VLOOKUP(#REF!,Outlist!$A$5:$V$120,20,FALSE),"")</f>
        <v/>
      </c>
      <c r="AQ317" s="288" t="str">
        <f>IFERROR(IF(VLOOKUP($A317,#REF!,8,FALSE)&lt;&gt;"",VLOOKUP($A317,#REF!,8,FALSE),""),"")</f>
        <v/>
      </c>
      <c r="AS317" s="24"/>
      <c r="AT317" s="24"/>
      <c r="AU317" s="27"/>
      <c r="AV317" s="27"/>
      <c r="AX317" s="20" t="str">
        <f>IFERROR(IF(Out_Table[[#This Row],[Cancellazione linea]]="Cancellata","yes",""),"")</f>
        <v/>
      </c>
      <c r="AY317" s="72" t="str">
        <f>IF(BA317="",BZ317,IF(AND(BA317&lt;(--"23:59:59"),BA317&gt;(--"15:00:00"),G317&lt;(--"14:00:00"),G317&gt;(--"00:00:01")),"",IF(BA317&gt;G317,BZ317,"")))</f>
        <v/>
      </c>
      <c r="AZ317" s="27"/>
      <c r="BA317" s="32"/>
      <c r="BB317" s="72"/>
      <c r="BC317" s="72" t="str">
        <f>IFERROR(VLOOKUP(Out_Table[[#This Row],[Aggiornamento STATUS]],'INformazioni per calcoli'!$Y$70:$AA$76,2,FALSE),"")</f>
        <v/>
      </c>
      <c r="BD317" s="289"/>
      <c r="BE317" s="289"/>
      <c r="BF317" s="47" t="str">
        <f>LEFT($E317,3)</f>
        <v/>
      </c>
      <c r="BG317" s="298" t="str">
        <f>IF(Out_Table[[#This Row],[Ora Uscita    (GH)]]&lt;&gt;"","x","")</f>
        <v/>
      </c>
      <c r="BH317" s="299" t="e">
        <f>VLOOKUP($O317,'INformazioni per calcoli'!$Y$20:$AA$23,3,FALSE)</f>
        <v>#N/A</v>
      </c>
      <c r="BI317" s="299" t="e">
        <f>MROUND(Out_Table[[#This Row],[Mtr. Trailer]]*AB317,0.5)</f>
        <v>#N/A</v>
      </c>
      <c r="BJ317" s="299" t="e">
        <f>MROUND(Out_Table[[#This Row],[Mtr. Trailer]]*AE317,0.5)</f>
        <v>#N/A</v>
      </c>
      <c r="BK317" s="299" t="e">
        <f>MROUND(Out_Table[[#This Row],[Mtr. Trailer]]*AH317,0.5)</f>
        <v>#N/A</v>
      </c>
      <c r="BL317" s="300">
        <f>Out_Table[[#This Row],[Double Deck trailer N° bumpers]]</f>
        <v>0</v>
      </c>
      <c r="BM317" s="301"/>
      <c r="BN317" s="299">
        <f>B317</f>
        <v>0</v>
      </c>
      <c r="BO317" s="299">
        <f>E317</f>
        <v>0</v>
      </c>
      <c r="BP317" s="302">
        <f>IF(AND(G317&gt;(--"00:00:01"),G317&lt;(--"15:00:00")),IF(AND(X317&gt;(--"00:00:01"),X317&lt;(--"15:00:00")),G317-X317,G317+1-X317),G317-X317)</f>
        <v>0</v>
      </c>
      <c r="BQ317" s="303">
        <f>AE317+AF317+AH317+AJ317</f>
        <v>0</v>
      </c>
      <c r="BR317" s="304" t="str">
        <f>IF(OR(BP317&lt;=(--"00:20:00"),BQ317&gt;=100%),"OK","Not OK")</f>
        <v>OK</v>
      </c>
      <c r="BS317" s="302">
        <f>IF(AND(G317&gt;(--"00:00:01"),G317&lt;(--"15:00:00")),IF(AND(AU317&gt;(--"00:00:01"),AU317&lt;(--"15:00:00")),G317-AU317,G317+1-AU317),G317-AU317)</f>
        <v>0</v>
      </c>
      <c r="BT317" s="302">
        <f>IF(AND(AZ317&gt;(--"00:00:01"),AZ317&lt;(--"15:00:00")),IF(AND(AU317&gt;(--"00:00:01"),AU317&lt;(--"15:00:00")),AZ317-AU317,AZ317+1-AU317),AZ317-AU317)</f>
        <v>0</v>
      </c>
      <c r="BU317" s="302">
        <f>IF(AND(BA317&gt;(--"00:00:01"),BA317&lt;(--"15:00:00")),IF(AND(AZ317&gt;(--"00:00:01"),AZ317&lt;(--"15:00:00")),BA317-AZ317,BA317+1-AZ317),BA317-AZ317)</f>
        <v>0</v>
      </c>
      <c r="BV317" s="299">
        <f>AV317</f>
        <v>0</v>
      </c>
      <c r="BW317" s="301"/>
      <c r="BX317" s="299" t="str">
        <f>IF(AV317="T Status",IF(AV317&lt;&gt;T317,"X",""),"")</f>
        <v/>
      </c>
      <c r="BY317" s="301"/>
      <c r="BZ317" s="299" t="str">
        <f>IF(X317&lt;&gt;"",IF(CC317="X","Driver Delay",IF(CA317="X","Paperwork Delay",IF(CB317="X","Late freight late sort",IF(CD317="X","Chiamare Control Room",IF(CE317="X","Chiamare Control Room",IF(CF317="X","Chiamare Control Room","")))))),"")</f>
        <v/>
      </c>
      <c r="CA317" s="302" t="str">
        <f>IF(K317="",IF(IF(AND(G317&gt;(--"00:00:01"),G317&lt;(--"15:00:00")),IF(AND(AT317&gt;(--"08:00:00"),AT317&lt;(--"23:59:59")),G317+1-AT317,G317-AT317),G317-AT317)&gt;(--"00:20:00"),"","X"),"")</f>
        <v>X</v>
      </c>
      <c r="CB317" s="299" t="str">
        <f>IF(K317="",IF(BP317&gt;=(--"00:20:00"),"","X"),"")</f>
        <v>X</v>
      </c>
      <c r="CC317" s="299" t="str">
        <f>IF(OR(AV317="Autista non presente",AV317="Dati driver non presenti"),"X","")</f>
        <v/>
      </c>
      <c r="CD317" s="299" t="str">
        <f>IF(K317="",IF(AND(CC317="",BS317&lt;(--"00:20:00")),"X",""),"")</f>
        <v>X</v>
      </c>
      <c r="CE317" s="299" t="str">
        <f>IF(K317="",IF(BT317&gt;(--"00:15:00"),"X",""),IF(AZ317&lt;&gt;"",IF(G317-AZ317&gt;(--"00:30:00"),"X",""),""))</f>
        <v/>
      </c>
      <c r="CF317" s="299" t="str">
        <f>IF(AND(CA317="",CB317="",CC317="",CD317="",CE317=""),"X","")</f>
        <v/>
      </c>
      <c r="CG317" s="301"/>
      <c r="CH317" s="299" t="str">
        <f>IF(BT317&gt;(--"00:15:00"),"X","")</f>
        <v/>
      </c>
      <c r="CI317" s="302" t="str">
        <f>AY317</f>
        <v/>
      </c>
      <c r="CJ317" s="299" t="str">
        <f>IF(AND(CH317&lt;&gt;"",CI317&lt;&gt;"",LEFT(B317,3)="ITD"),AP317,"")</f>
        <v/>
      </c>
      <c r="CK317" s="305" t="str">
        <f>IF(CJ317&lt;&gt;"",BT317,"")</f>
        <v/>
      </c>
      <c r="CL317" s="301"/>
      <c r="CM317" s="305" t="str">
        <f>IFERROR(VLOOKUP(Q317,'Elenco Casse'!$D$4:$F$292,3,FALSE),"")</f>
        <v/>
      </c>
      <c r="CN317" s="301"/>
      <c r="CO317" s="305" t="str">
        <f>IFERROR(VLOOKUP(S317,'Elenco Casse'!$D$4:$F$292,3,FALSE),"")</f>
        <v/>
      </c>
      <c r="CP317" s="305" t="str">
        <f>IFERROR(IF(VLOOKUP($E317,Outlist!$A$5:$S$120,19,FALSE)&lt;&gt;0,"Y",""),"")</f>
        <v/>
      </c>
      <c r="CQ317" s="301"/>
      <c r="CR317" s="305" t="str">
        <f>CONCATENATE($B317,$E317,$G317)</f>
        <v/>
      </c>
      <c r="CS317" s="301"/>
      <c r="CT317" s="305" t="e">
        <f>VLOOKUP(Out_Table[[#This Row],[Destination             ORANGE (From Planning)]],Outlist!$A$5:$W$120,22,FALSE)</f>
        <v>#N/A</v>
      </c>
    </row>
    <row r="318" spans="1:98" s="20" customFormat="1" ht="15">
      <c r="A318" s="305" t="str">
        <f>$CR318</f>
        <v/>
      </c>
      <c r="B318" s="284"/>
      <c r="C318" s="290" t="str">
        <f ca="1">IFERROR(IF(LEFT(B318,3)='STAT 77'!$X$2,_xlfn.XLOOKUP(B318,'STAT 77'!C:C,'STAT 77'!B:B),_xlfn.XLOOKUP(B318,'STAT 77'!B:B,'STAT 77'!C:C)),"NON TROVATO")</f>
        <v>NON TROVATO</v>
      </c>
      <c r="D318" s="25"/>
      <c r="E318" s="290"/>
      <c r="F318" s="290" t="str">
        <f>IFERROR(VLOOKUP(E318,'Cambio O2P'!C:E,2,FALSE),"")</f>
        <v/>
      </c>
      <c r="G318" s="285"/>
      <c r="H318" s="293" t="str">
        <f ca="1">IFERROR(IF(AND('INformazioni per calcoli'!$AB$3&lt;(--"14:30"),'INformazioni per calcoli'!$AB$3&gt;(--"10:00")),"",IF($B318="","",IF($X318&lt;&gt;"","Mezzo Chiuso",IF($W318="","Non al Carico",IF($G318-'INformazioni per calcoli'!$AB$5-'INformazioni per calcoli'!$AB$3+$J318&lt;0,"LFLS",IF($K318&lt;&gt;"","Safe Parking",IF($W318&lt;&gt;"",IF($E318="MXP",$G318-'INformazioni per calcoli'!$AB$6-'INformazioni per calcoli'!$AB$3+$J318,$G318-'INformazioni per calcoli'!$AB$5-'INformazioni per calcoli'!$AB$3+$J318),"Non al carico"))))))),"")</f>
        <v/>
      </c>
      <c r="I318" s="17" t="str">
        <f ca="1">IFERROR(IF($H318&lt;&gt;"",IF($H318="Safe Parking","",IF($W318&lt;&gt;"",IF(AND($U318="X",$V318="X"),$H318-(--"00:30"),""),IF($X318&lt;&gt;"","Mezzo Chiuso","Non al carico"))),""),"")</f>
        <v/>
      </c>
      <c r="J318" s="306" t="str">
        <f>IFERROR(IF($B318&lt;&gt;"",IF(AND('INformazioni per calcoli'!$AB$3&lt;(--"15:00"),'INformazioni per calcoli'!$AB$3&gt;(--"00:00")),0,IF($G318&lt;(--"18:30"),"+1",0)),""),"")</f>
        <v/>
      </c>
      <c r="K318" s="27"/>
      <c r="L318" s="25"/>
      <c r="M318" s="25" t="str">
        <f>IFERROR(_xlfn.XLOOKUP($Q318,'Elenco Casse'!$D:$D,'Elenco Casse'!$E:$E),"")</f>
        <v/>
      </c>
      <c r="N318" s="25" t="str">
        <f>IFERROR(_xlfn.XLOOKUP($Q318,'Elenco Casse'!$D:$D,'Elenco Casse'!$F:$F),"")</f>
        <v/>
      </c>
      <c r="O318" s="286"/>
      <c r="P318" s="295" t="str">
        <f>IFERROR(_xlfn.XLOOKUP($Q318,'Elenco Casse'!$D:$D,'Elenco Casse'!$G:$G),"")</f>
        <v/>
      </c>
      <c r="Q318" s="355"/>
      <c r="R318" s="23"/>
      <c r="S318" s="25"/>
      <c r="T318" s="25"/>
      <c r="U318" s="23" t="str">
        <f>IF(ISNUMBER(SEARCH("Parcel",$T318)),"X","")</f>
        <v/>
      </c>
      <c r="V318" s="23" t="str">
        <f>IF(ISNUMBER(SEARCH("Freight",$T318)),"X","")</f>
        <v/>
      </c>
      <c r="W318" s="26"/>
      <c r="X318" s="27"/>
      <c r="Y318" s="25" t="str">
        <f>IF(Out_Table[[#This Row],[DOC Del. hr. (RTH)]]&lt;&gt;"","XXX","")</f>
        <v/>
      </c>
      <c r="Z318" s="25"/>
      <c r="AA318" s="25"/>
      <c r="AB318" s="57"/>
      <c r="AC318" s="25"/>
      <c r="AD318" s="25"/>
      <c r="AE318" s="57"/>
      <c r="AF318" s="57"/>
      <c r="AG318" s="25"/>
      <c r="AH318" s="57"/>
      <c r="AI318" s="339"/>
      <c r="AJ318" s="339"/>
      <c r="AK318" s="297" t="str">
        <f>IF(X318&lt;&gt;"",CONCATENATE(IF(AA318&lt;&gt;"",CONCATENATE(Z318," ",AA318," ",BI318),""),IF(AD318&lt;&gt;"",CONCATENATE(","," ",AC318," ",AD318," ",BJ318),""),IF(AG318&lt;&gt;"",CONCATENATE(","," ",AF318," ",AG318," ",BK318),""),IF(AJ318&lt;&gt;"",CONCATENATE(","," ","DD"," ",BL318),"")," ",IF(AI318&lt;&gt;"",CONCATENATE(" - ",AI318," Bag"),"")),"")</f>
        <v/>
      </c>
      <c r="AL318" s="287"/>
      <c r="AM318" s="287"/>
      <c r="AN318" s="287"/>
      <c r="AO318" s="287"/>
      <c r="AP318" s="370" t="str">
        <f>IFERROR(VLOOKUP($E315,Outlist!$A$5:$V$120,20,FALSE),"")</f>
        <v/>
      </c>
      <c r="AQ318" s="288" t="str">
        <f>IFERROR(IF(VLOOKUP($A318,#REF!,8,FALSE)&lt;&gt;"",VLOOKUP($A318,#REF!,8,FALSE),""),"")</f>
        <v/>
      </c>
      <c r="AS318" s="24"/>
      <c r="AT318" s="24"/>
      <c r="AU318" s="27"/>
      <c r="AV318" s="27"/>
      <c r="AX318" s="20" t="str">
        <f>IFERROR(IF(Out_Table[[#This Row],[Cancellazione linea]]="Cancellata","yes",""),"")</f>
        <v/>
      </c>
      <c r="AY318" s="72" t="str">
        <f>IF(BA318="",BZ318,IF(AND(BA318&lt;(--"23:59:59"),BA318&gt;(--"15:00:00"),G318&lt;(--"14:00:00"),G318&gt;(--"00:00:01")),"",IF(BA318&gt;G318,BZ318,"")))</f>
        <v/>
      </c>
      <c r="AZ318" s="27"/>
      <c r="BA318" s="32"/>
      <c r="BB318" s="72"/>
      <c r="BC318" s="72" t="str">
        <f>IFERROR(VLOOKUP(Out_Table[[#This Row],[Aggiornamento STATUS]],'INformazioni per calcoli'!$Y$70:$AA$76,2,FALSE),"")</f>
        <v/>
      </c>
      <c r="BD318" s="289"/>
      <c r="BE318" s="289"/>
      <c r="BF318" s="47" t="str">
        <f>LEFT($E318,3)</f>
        <v/>
      </c>
      <c r="BG318" s="298" t="str">
        <f>IF(Out_Table[[#This Row],[Ora Uscita    (GH)]]&lt;&gt;"","x","")</f>
        <v/>
      </c>
      <c r="BH318" s="299" t="e">
        <f>VLOOKUP($O318,'INformazioni per calcoli'!$Y$20:$AA$23,3,FALSE)</f>
        <v>#N/A</v>
      </c>
      <c r="BI318" s="299" t="e">
        <f>MROUND(Out_Table[[#This Row],[Mtr. Trailer]]*AB318,0.5)</f>
        <v>#N/A</v>
      </c>
      <c r="BJ318" s="299" t="e">
        <f>MROUND(Out_Table[[#This Row],[Mtr. Trailer]]*AE318,0.5)</f>
        <v>#N/A</v>
      </c>
      <c r="BK318" s="299" t="e">
        <f>MROUND(Out_Table[[#This Row],[Mtr. Trailer]]*AH318,0.5)</f>
        <v>#N/A</v>
      </c>
      <c r="BL318" s="300">
        <f>Out_Table[[#This Row],[Double Deck trailer N° bumpers]]</f>
        <v>0</v>
      </c>
      <c r="BM318" s="301"/>
      <c r="BN318" s="299">
        <f>B318</f>
        <v>0</v>
      </c>
      <c r="BO318" s="299">
        <f>E318</f>
        <v>0</v>
      </c>
      <c r="BP318" s="302">
        <f>IF(AND(G318&gt;(--"00:00:01"),G318&lt;(--"15:00:00")),IF(AND(X318&gt;(--"00:00:01"),X318&lt;(--"15:00:00")),G318-X318,G318+1-X318),G318-X318)</f>
        <v>0</v>
      </c>
      <c r="BQ318" s="303">
        <f>AE318+AF318+AH318+AJ318</f>
        <v>0</v>
      </c>
      <c r="BR318" s="304" t="str">
        <f>IF(OR(BP318&lt;=(--"00:20:00"),BQ318&gt;=100%),"OK","Not OK")</f>
        <v>OK</v>
      </c>
      <c r="BS318" s="302">
        <f>IF(AND(G318&gt;(--"00:00:01"),G318&lt;(--"15:00:00")),IF(AND(AU318&gt;(--"00:00:01"),AU318&lt;(--"15:00:00")),G318-AU318,G318+1-AU318),G318-AU318)</f>
        <v>0</v>
      </c>
      <c r="BT318" s="302">
        <f>IF(AND(AZ318&gt;(--"00:00:01"),AZ318&lt;(--"15:00:00")),IF(AND(AU318&gt;(--"00:00:01"),AU318&lt;(--"15:00:00")),AZ318-AU318,AZ318+1-AU318),AZ318-AU318)</f>
        <v>0</v>
      </c>
      <c r="BU318" s="302">
        <f>IF(AND(BA318&gt;(--"00:00:01"),BA318&lt;(--"15:00:00")),IF(AND(AZ318&gt;(--"00:00:01"),AZ318&lt;(--"15:00:00")),BA318-AZ318,BA318+1-AZ318),BA318-AZ318)</f>
        <v>0</v>
      </c>
      <c r="BV318" s="299">
        <f>AV318</f>
        <v>0</v>
      </c>
      <c r="BW318" s="301"/>
      <c r="BX318" s="299" t="str">
        <f>IF(AV318="T Status",IF(AV318&lt;&gt;T318,"X",""),"")</f>
        <v/>
      </c>
      <c r="BY318" s="301"/>
      <c r="BZ318" s="299" t="str">
        <f>IF(X318&lt;&gt;"",IF(CC318="X","Driver Delay",IF(CA318="X","Paperwork Delay",IF(CB318="X","Late freight late sort",IF(CD318="X","Chiamare Control Room",IF(CE318="X","Chiamare Control Room",IF(CF318="X","Chiamare Control Room","")))))),"")</f>
        <v/>
      </c>
      <c r="CA318" s="302" t="str">
        <f>IF(K318="",IF(IF(AND(G318&gt;(--"00:00:01"),G318&lt;(--"15:00:00")),IF(AND(AT318&gt;(--"08:00:00"),AT318&lt;(--"23:59:59")),G318+1-AT318,G318-AT318),G318-AT318)&gt;(--"00:20:00"),"","X"),"")</f>
        <v>X</v>
      </c>
      <c r="CB318" s="299" t="str">
        <f>IF(K318="",IF(BP318&gt;=(--"00:20:00"),"","X"),"")</f>
        <v>X</v>
      </c>
      <c r="CC318" s="299" t="str">
        <f>IF(OR(AV318="Autista non presente",AV318="Dati driver non presenti"),"X","")</f>
        <v/>
      </c>
      <c r="CD318" s="299" t="str">
        <f>IF(K318="",IF(AND(CC318="",BS318&lt;(--"00:20:00")),"X",""),"")</f>
        <v>X</v>
      </c>
      <c r="CE318" s="299" t="str">
        <f>IF(K318="",IF(BT318&gt;(--"00:15:00"),"X",""),IF(AZ318&lt;&gt;"",IF(G318-AZ318&gt;(--"00:30:00"),"X",""),""))</f>
        <v/>
      </c>
      <c r="CF318" s="299" t="str">
        <f>IF(AND(CA318="",CB318="",CC318="",CD318="",CE318=""),"X","")</f>
        <v/>
      </c>
      <c r="CG318" s="301"/>
      <c r="CH318" s="299" t="str">
        <f>IF(BT318&gt;(--"00:15:00"),"X","")</f>
        <v/>
      </c>
      <c r="CI318" s="302" t="str">
        <f>AY318</f>
        <v/>
      </c>
      <c r="CJ318" s="299" t="str">
        <f>IF(AND(CH318&lt;&gt;"",CI318&lt;&gt;"",LEFT(B318,3)="ITD"),AP318,"")</f>
        <v/>
      </c>
      <c r="CK318" s="305" t="str">
        <f>IF(CJ318&lt;&gt;"",BT318,"")</f>
        <v/>
      </c>
      <c r="CL318" s="301"/>
      <c r="CM318" s="305" t="str">
        <f>IFERROR(VLOOKUP(Q318,'Elenco Casse'!$D$4:$F$292,3,FALSE),"")</f>
        <v/>
      </c>
      <c r="CN318" s="301"/>
      <c r="CO318" s="305" t="str">
        <f>IFERROR(VLOOKUP(S318,'Elenco Casse'!$D$4:$F$292,3,FALSE),"")</f>
        <v/>
      </c>
      <c r="CP318" s="305" t="str">
        <f>IFERROR(IF(VLOOKUP($E318,Outlist!$A$5:$S$120,19,FALSE)&lt;&gt;0,"Y",""),"")</f>
        <v/>
      </c>
      <c r="CQ318" s="301"/>
      <c r="CR318" s="305" t="str">
        <f>CONCATENATE($B318,$E318,$G318)</f>
        <v/>
      </c>
      <c r="CS318" s="301"/>
      <c r="CT318" s="305" t="e">
        <f>VLOOKUP(Out_Table[[#This Row],[Destination             ORANGE (From Planning)]],Outlist!$A$5:$W$120,22,FALSE)</f>
        <v>#N/A</v>
      </c>
    </row>
    <row r="319" spans="1:98" s="20" customFormat="1" ht="15">
      <c r="A319" s="305" t="str">
        <f>$CR319</f>
        <v/>
      </c>
      <c r="B319" s="284"/>
      <c r="C319" s="290" t="str">
        <f ca="1">IFERROR(IF(LEFT(B319,3)='STAT 77'!$X$2,_xlfn.XLOOKUP(B319,'STAT 77'!C:C,'STAT 77'!B:B),_xlfn.XLOOKUP(B319,'STAT 77'!B:B,'STAT 77'!C:C)),"NON TROVATO")</f>
        <v>NON TROVATO</v>
      </c>
      <c r="D319" s="25"/>
      <c r="E319" s="290"/>
      <c r="F319" s="290" t="str">
        <f>IFERROR(VLOOKUP(E319,'Cambio O2P'!C:E,2,FALSE),"")</f>
        <v/>
      </c>
      <c r="G319" s="285"/>
      <c r="H319" s="293" t="str">
        <f ca="1">IFERROR(IF(AND('INformazioni per calcoli'!$AB$3&lt;(--"14:30"),'INformazioni per calcoli'!$AB$3&gt;(--"10:00")),"",IF($B319="","",IF($X319&lt;&gt;"","Mezzo Chiuso",IF($W319="","Non al Carico",IF($G319-'INformazioni per calcoli'!$AB$5-'INformazioni per calcoli'!$AB$3+$J319&lt;0,"LFLS",IF($K319&lt;&gt;"","Safe Parking",IF($W319&lt;&gt;"",IF($E319="MXP",$G319-'INformazioni per calcoli'!$AB$6-'INformazioni per calcoli'!$AB$3+$J319,$G319-'INformazioni per calcoli'!$AB$5-'INformazioni per calcoli'!$AB$3+$J319),"Non al carico"))))))),"")</f>
        <v/>
      </c>
      <c r="I319" s="17" t="str">
        <f ca="1">IFERROR(IF($H319&lt;&gt;"",IF($H319="Safe Parking","",IF($W319&lt;&gt;"",IF(AND($U319="X",$V319="X"),$H319-(--"00:30"),""),IF($X319&lt;&gt;"","Mezzo Chiuso","Non al carico"))),""),"")</f>
        <v/>
      </c>
      <c r="J319" s="306" t="str">
        <f>IFERROR(IF($B319&lt;&gt;"",IF(AND('INformazioni per calcoli'!$AB$3&lt;(--"15:00"),'INformazioni per calcoli'!$AB$3&gt;(--"00:00")),0,IF($G319&lt;(--"18:30"),"+1",0)),""),"")</f>
        <v/>
      </c>
      <c r="K319" s="17"/>
      <c r="L319" s="25"/>
      <c r="M319" s="25" t="str">
        <f>IFERROR(_xlfn.XLOOKUP($Q319,'Elenco Casse'!$D:$D,'Elenco Casse'!$E:$E),"")</f>
        <v/>
      </c>
      <c r="N319" s="25" t="str">
        <f>IFERROR(_xlfn.XLOOKUP($Q319,'Elenco Casse'!$D:$D,'Elenco Casse'!$F:$F),"")</f>
        <v/>
      </c>
      <c r="O319" s="286"/>
      <c r="P319" s="295" t="str">
        <f>IFERROR(_xlfn.XLOOKUP($Q319,'Elenco Casse'!$D:$D,'Elenco Casse'!$G:$G),"")</f>
        <v/>
      </c>
      <c r="Q319" s="355"/>
      <c r="R319" s="23"/>
      <c r="S319" s="25"/>
      <c r="T319" s="25"/>
      <c r="U319" s="23" t="str">
        <f>IF(ISNUMBER(SEARCH("Parcel",$T319)),"X","")</f>
        <v/>
      </c>
      <c r="V319" s="23" t="str">
        <f>IF(ISNUMBER(SEARCH("Freight",$T319)),"X","")</f>
        <v/>
      </c>
      <c r="W319" s="26"/>
      <c r="X319" s="27"/>
      <c r="Y319" s="25" t="str">
        <f>IF(Out_Table[[#This Row],[DOC Del. hr. (RTH)]]&lt;&gt;"","XXX","")</f>
        <v/>
      </c>
      <c r="Z319" s="25"/>
      <c r="AA319" s="25"/>
      <c r="AB319" s="57"/>
      <c r="AC319" s="25"/>
      <c r="AD319" s="25"/>
      <c r="AE319" s="57"/>
      <c r="AF319" s="57"/>
      <c r="AG319" s="25"/>
      <c r="AH319" s="57"/>
      <c r="AI319" s="339"/>
      <c r="AJ319" s="339"/>
      <c r="AK319" s="297" t="str">
        <f>IF(X319&lt;&gt;"",CONCATENATE(IF(AA319&lt;&gt;"",CONCATENATE(Z319," ",AA319," ",BI319),""),IF(AD319&lt;&gt;"",CONCATENATE(","," ",AC319," ",AD319," ",BJ319),""),IF(AG319&lt;&gt;"",CONCATENATE(","," ",AF319," ",AG319," ",BK319),""),IF(AJ319&lt;&gt;"",CONCATENATE(","," ","DD"," ",BL319),"")," ",IF(AI319&lt;&gt;"",CONCATENATE(" - ",AI319," Bag"),"")),"")</f>
        <v/>
      </c>
      <c r="AL319" s="287"/>
      <c r="AM319" s="287"/>
      <c r="AN319" s="287"/>
      <c r="AO319" s="287"/>
      <c r="AP319" s="370" t="str">
        <f>IFERROR(VLOOKUP($E316,Outlist!$A$5:$V$120,20,FALSE),"")</f>
        <v/>
      </c>
      <c r="AQ319" s="288" t="str">
        <f>IFERROR(IF(VLOOKUP($A319,#REF!,8,FALSE)&lt;&gt;"",VLOOKUP($A319,#REF!,8,FALSE),""),"")</f>
        <v/>
      </c>
      <c r="AS319" s="24"/>
      <c r="AT319" s="24"/>
      <c r="AU319" s="27"/>
      <c r="AV319" s="27"/>
      <c r="AX319" s="20" t="str">
        <f>IFERROR(IF(Out_Table[[#This Row],[Cancellazione linea]]="Cancellata","yes",""),"")</f>
        <v/>
      </c>
      <c r="AY319" s="72" t="str">
        <f>IF(BA319="",BZ319,IF(AND(BA319&lt;(--"23:59:59"),BA319&gt;(--"15:00:00"),G319&lt;(--"14:00:00"),G319&gt;(--"00:00:01")),"",IF(BA319&gt;G319,BZ319,"")))</f>
        <v/>
      </c>
      <c r="AZ319" s="27"/>
      <c r="BA319" s="32"/>
      <c r="BB319" s="72"/>
      <c r="BC319" s="72" t="str">
        <f>IFERROR(VLOOKUP(Out_Table[[#This Row],[Aggiornamento STATUS]],'INformazioni per calcoli'!$Y$70:$AA$76,2,FALSE),"")</f>
        <v/>
      </c>
      <c r="BD319" s="289"/>
      <c r="BE319" s="289"/>
      <c r="BF319" s="47" t="str">
        <f>LEFT($E319,3)</f>
        <v/>
      </c>
      <c r="BG319" s="298" t="str">
        <f>IF(Out_Table[[#This Row],[Ora Uscita    (GH)]]&lt;&gt;"","x","")</f>
        <v/>
      </c>
      <c r="BH319" s="299" t="e">
        <f>VLOOKUP($O319,'INformazioni per calcoli'!$Y$20:$AA$23,3,FALSE)</f>
        <v>#N/A</v>
      </c>
      <c r="BI319" s="299" t="e">
        <f>MROUND(Out_Table[[#This Row],[Mtr. Trailer]]*AB319,0.5)</f>
        <v>#N/A</v>
      </c>
      <c r="BJ319" s="299" t="e">
        <f>MROUND(Out_Table[[#This Row],[Mtr. Trailer]]*AE319,0.5)</f>
        <v>#N/A</v>
      </c>
      <c r="BK319" s="299" t="e">
        <f>MROUND(Out_Table[[#This Row],[Mtr. Trailer]]*AH319,0.5)</f>
        <v>#N/A</v>
      </c>
      <c r="BL319" s="300">
        <f>Out_Table[[#This Row],[Double Deck trailer N° bumpers]]</f>
        <v>0</v>
      </c>
      <c r="BM319" s="301"/>
      <c r="BN319" s="299">
        <f>B319</f>
        <v>0</v>
      </c>
      <c r="BO319" s="299">
        <f>E319</f>
        <v>0</v>
      </c>
      <c r="BP319" s="302">
        <f>IF(AND(G319&gt;(--"00:00:01"),G319&lt;(--"15:00:00")),IF(AND(X319&gt;(--"00:00:01"),X319&lt;(--"15:00:00")),G319-X319,G319+1-X319),G319-X319)</f>
        <v>0</v>
      </c>
      <c r="BQ319" s="303">
        <f>AE319+AF319+AH319+AJ319</f>
        <v>0</v>
      </c>
      <c r="BR319" s="304" t="str">
        <f>IF(OR(BP319&lt;=(--"00:20:00"),BQ319&gt;=100%),"OK","Not OK")</f>
        <v>OK</v>
      </c>
      <c r="BS319" s="302">
        <f>IF(AND(G319&gt;(--"00:00:01"),G319&lt;(--"15:00:00")),IF(AND(AU319&gt;(--"00:00:01"),AU319&lt;(--"15:00:00")),G319-AU319,G319+1-AU319),G319-AU319)</f>
        <v>0</v>
      </c>
      <c r="BT319" s="302">
        <f>IF(AND(AZ319&gt;(--"00:00:01"),AZ319&lt;(--"15:00:00")),IF(AND(AU319&gt;(--"00:00:01"),AU319&lt;(--"15:00:00")),AZ319-AU319,AZ319+1-AU319),AZ319-AU319)</f>
        <v>0</v>
      </c>
      <c r="BU319" s="302">
        <f>IF(AND(BA319&gt;(--"00:00:01"),BA319&lt;(--"15:00:00")),IF(AND(AZ319&gt;(--"00:00:01"),AZ319&lt;(--"15:00:00")),BA319-AZ319,BA319+1-AZ319),BA319-AZ319)</f>
        <v>0</v>
      </c>
      <c r="BV319" s="299">
        <f>AV319</f>
        <v>0</v>
      </c>
      <c r="BW319" s="301"/>
      <c r="BX319" s="299" t="str">
        <f>IF(AV319="T Status",IF(AV319&lt;&gt;T319,"X",""),"")</f>
        <v/>
      </c>
      <c r="BY319" s="301"/>
      <c r="BZ319" s="299" t="str">
        <f>IF(X319&lt;&gt;"",IF(CC319="X","Driver Delay",IF(CA319="X","Paperwork Delay",IF(CB319="X","Late freight late sort",IF(CD319="X","Chiamare Control Room",IF(CE319="X","Chiamare Control Room",IF(CF319="X","Chiamare Control Room","")))))),"")</f>
        <v/>
      </c>
      <c r="CA319" s="302" t="str">
        <f>IF(K319="",IF(IF(AND(G319&gt;(--"00:00:01"),G319&lt;(--"15:00:00")),IF(AND(AT319&gt;(--"08:00:00"),AT319&lt;(--"23:59:59")),G319+1-AT319,G319-AT319),G319-AT319)&gt;(--"00:20:00"),"","X"),"")</f>
        <v>X</v>
      </c>
      <c r="CB319" s="299" t="str">
        <f>IF(K319="",IF(BP319&gt;=(--"00:20:00"),"","X"),"")</f>
        <v>X</v>
      </c>
      <c r="CC319" s="299" t="str">
        <f>IF(OR(AV319="Autista non presente",AV319="Dati driver non presenti"),"X","")</f>
        <v/>
      </c>
      <c r="CD319" s="299" t="str">
        <f>IF(K319="",IF(AND(CC319="",BS319&lt;(--"00:20:00")),"X",""),"")</f>
        <v>X</v>
      </c>
      <c r="CE319" s="299" t="str">
        <f>IF(K319="",IF(BT319&gt;(--"00:15:00"),"X",""),IF(AZ319&lt;&gt;"",IF(G319-AZ319&gt;(--"00:30:00"),"X",""),""))</f>
        <v/>
      </c>
      <c r="CF319" s="299" t="str">
        <f>IF(AND(CA319="",CB319="",CC319="",CD319="",CE319=""),"X","")</f>
        <v/>
      </c>
      <c r="CG319" s="301"/>
      <c r="CH319" s="299" t="str">
        <f>IF(BT319&gt;(--"00:15:00"),"X","")</f>
        <v/>
      </c>
      <c r="CI319" s="302" t="str">
        <f>AY319</f>
        <v/>
      </c>
      <c r="CJ319" s="299" t="str">
        <f>IF(AND(CH319&lt;&gt;"",CI319&lt;&gt;"",LEFT(B319,3)="ITD"),AP319,"")</f>
        <v/>
      </c>
      <c r="CK319" s="305" t="str">
        <f>IF(CJ319&lt;&gt;"",BT319,"")</f>
        <v/>
      </c>
      <c r="CL319" s="301"/>
      <c r="CM319" s="305" t="str">
        <f>IFERROR(VLOOKUP(Q319,'Elenco Casse'!$D$4:$F$292,3,FALSE),"")</f>
        <v/>
      </c>
      <c r="CN319" s="301"/>
      <c r="CO319" s="305" t="str">
        <f>IFERROR(VLOOKUP(S319,'Elenco Casse'!$D$4:$F$292,3,FALSE),"")</f>
        <v/>
      </c>
      <c r="CP319" s="305" t="str">
        <f>IFERROR(IF(VLOOKUP($E319,Outlist!$A$5:$S$120,19,FALSE)&lt;&gt;0,"Y",""),"")</f>
        <v/>
      </c>
      <c r="CQ319" s="301"/>
      <c r="CR319" s="305" t="str">
        <f>CONCATENATE($B319,$E319,$G319)</f>
        <v/>
      </c>
      <c r="CS319" s="301"/>
      <c r="CT319" s="305" t="e">
        <f>VLOOKUP(Out_Table[[#This Row],[Destination             ORANGE (From Planning)]],Outlist!$A$5:$W$120,22,FALSE)</f>
        <v>#N/A</v>
      </c>
    </row>
    <row r="320" spans="1:98" s="20" customFormat="1" ht="15">
      <c r="A320" s="305" t="str">
        <f>$CR320</f>
        <v/>
      </c>
      <c r="B320" s="284"/>
      <c r="C320" s="290" t="str">
        <f ca="1">IFERROR(IF(LEFT(B320,3)='STAT 77'!$X$2,_xlfn.XLOOKUP(B320,'STAT 77'!C:C,'STAT 77'!B:B),_xlfn.XLOOKUP(B320,'STAT 77'!B:B,'STAT 77'!C:C)),"NON TROVATO")</f>
        <v>NON TROVATO</v>
      </c>
      <c r="D320" s="25"/>
      <c r="E320" s="290"/>
      <c r="F320" s="290" t="str">
        <f>IFERROR(VLOOKUP(E320,'Cambio O2P'!C:E,2,FALSE),"")</f>
        <v/>
      </c>
      <c r="G320" s="285"/>
      <c r="H320" s="293" t="str">
        <f ca="1">IFERROR(IF(AND('INformazioni per calcoli'!$AB$3&lt;(--"14:30"),'INformazioni per calcoli'!$AB$3&gt;(--"10:00")),"",IF($B320="","",IF($X320&lt;&gt;"","Mezzo Chiuso",IF($W320="","Non al Carico",IF($G320-'INformazioni per calcoli'!$AB$5-'INformazioni per calcoli'!$AB$3+$J320&lt;0,"LFLS",IF($K320&lt;&gt;"","Safe Parking",IF($W320&lt;&gt;"",IF($E320="MXP",$G320-'INformazioni per calcoli'!$AB$6-'INformazioni per calcoli'!$AB$3+$J320,$G320-'INformazioni per calcoli'!$AB$5-'INformazioni per calcoli'!$AB$3+$J320),"Non al carico"))))))),"")</f>
        <v/>
      </c>
      <c r="I320" s="17" t="str">
        <f ca="1">IFERROR(IF($H320&lt;&gt;"",IF($H320="Safe Parking","",IF($W320&lt;&gt;"",IF(AND($U320="X",$V320="X"),$H320-(--"00:30"),""),IF($X320&lt;&gt;"","Mezzo Chiuso","Non al carico"))),""),"")</f>
        <v/>
      </c>
      <c r="J320" s="306" t="str">
        <f>IFERROR(IF($B320&lt;&gt;"",IF(AND('INformazioni per calcoli'!$AB$3&lt;(--"15:00"),'INformazioni per calcoli'!$AB$3&gt;(--"00:00")),0,IF($G320&lt;(--"18:30"),"+1",0)),""),"")</f>
        <v/>
      </c>
      <c r="K320" s="17"/>
      <c r="L320" s="25"/>
      <c r="M320" s="25" t="str">
        <f>IFERROR(_xlfn.XLOOKUP($Q320,'Elenco Casse'!$D:$D,'Elenco Casse'!$E:$E),"")</f>
        <v/>
      </c>
      <c r="N320" s="25" t="str">
        <f>IFERROR(_xlfn.XLOOKUP($Q320,'Elenco Casse'!$D:$D,'Elenco Casse'!$F:$F),"")</f>
        <v/>
      </c>
      <c r="O320" s="286"/>
      <c r="P320" s="295" t="str">
        <f>IFERROR(_xlfn.XLOOKUP($Q320,'Elenco Casse'!$D:$D,'Elenco Casse'!$G:$G),"")</f>
        <v/>
      </c>
      <c r="Q320" s="355"/>
      <c r="R320" s="23"/>
      <c r="S320" s="25"/>
      <c r="T320" s="25"/>
      <c r="U320" s="23" t="str">
        <f>IF(ISNUMBER(SEARCH("Parcel",$T320)),"X","")</f>
        <v/>
      </c>
      <c r="V320" s="23" t="str">
        <f>IF(ISNUMBER(SEARCH("Freight",$T320)),"X","")</f>
        <v/>
      </c>
      <c r="W320" s="26"/>
      <c r="X320" s="27"/>
      <c r="Y320" s="25" t="str">
        <f>IF(Out_Table[[#This Row],[DOC Del. hr. (RTH)]]&lt;&gt;"","XXX","")</f>
        <v/>
      </c>
      <c r="Z320" s="25"/>
      <c r="AA320" s="25"/>
      <c r="AB320" s="57"/>
      <c r="AC320" s="25"/>
      <c r="AD320" s="25"/>
      <c r="AE320" s="57"/>
      <c r="AF320" s="57"/>
      <c r="AG320" s="25"/>
      <c r="AH320" s="57"/>
      <c r="AI320" s="339"/>
      <c r="AJ320" s="339"/>
      <c r="AK320" s="297" t="str">
        <f>IF(X320&lt;&gt;"",CONCATENATE(IF(AA320&lt;&gt;"",CONCATENATE(Z320," ",AA320," ",BI320),""),IF(AD320&lt;&gt;"",CONCATENATE(","," ",AC320," ",AD320," ",BJ320),""),IF(AG320&lt;&gt;"",CONCATENATE(","," ",AF320," ",AG320," ",BK320),""),IF(AJ320&lt;&gt;"",CONCATENATE(","," ","DD"," ",BL320),"")," ",IF(AI320&lt;&gt;"",CONCATENATE(" - ",AI320," Bag"),"")),"")</f>
        <v/>
      </c>
      <c r="AL320" s="287"/>
      <c r="AM320" s="287"/>
      <c r="AN320" s="287"/>
      <c r="AO320" s="287"/>
      <c r="AP320" s="370" t="str">
        <f>IFERROR(VLOOKUP($E317,Outlist!$A$5:$V$120,20,FALSE),"")</f>
        <v/>
      </c>
      <c r="AQ320" s="288" t="str">
        <f>IFERROR(IF(VLOOKUP($A320,#REF!,8,FALSE)&lt;&gt;"",VLOOKUP($A320,#REF!,8,FALSE),""),"")</f>
        <v/>
      </c>
      <c r="AS320" s="24"/>
      <c r="AT320" s="24"/>
      <c r="AU320" s="27"/>
      <c r="AV320" s="27"/>
      <c r="AX320" s="20" t="str">
        <f>IFERROR(IF(Out_Table[[#This Row],[Cancellazione linea]]="Cancellata","yes",""),"")</f>
        <v/>
      </c>
      <c r="AY320" s="72" t="str">
        <f>IF(BA320="",BZ320,IF(AND(BA320&lt;(--"23:59:59"),BA320&gt;(--"15:00:00"),G320&lt;(--"14:00:00"),G320&gt;(--"00:00:01")),"",IF(BA320&gt;G320,BZ320,"")))</f>
        <v/>
      </c>
      <c r="AZ320" s="27"/>
      <c r="BA320" s="32"/>
      <c r="BB320" s="72"/>
      <c r="BC320" s="72" t="str">
        <f>IFERROR(VLOOKUP(Out_Table[[#This Row],[Aggiornamento STATUS]],'INformazioni per calcoli'!$Y$70:$AA$76,2,FALSE),"")</f>
        <v/>
      </c>
      <c r="BD320" s="289"/>
      <c r="BE320" s="289"/>
      <c r="BF320" s="47" t="str">
        <f>LEFT($E320,3)</f>
        <v/>
      </c>
      <c r="BG320" s="298" t="str">
        <f>IF(Out_Table[[#This Row],[Ora Uscita    (GH)]]&lt;&gt;"","x","")</f>
        <v/>
      </c>
      <c r="BH320" s="299" t="e">
        <f>VLOOKUP($O320,'INformazioni per calcoli'!$Y$20:$AA$23,3,FALSE)</f>
        <v>#N/A</v>
      </c>
      <c r="BI320" s="299" t="e">
        <f>MROUND(Out_Table[[#This Row],[Mtr. Trailer]]*AB320,0.5)</f>
        <v>#N/A</v>
      </c>
      <c r="BJ320" s="299" t="e">
        <f>MROUND(Out_Table[[#This Row],[Mtr. Trailer]]*AE320,0.5)</f>
        <v>#N/A</v>
      </c>
      <c r="BK320" s="299" t="e">
        <f>MROUND(Out_Table[[#This Row],[Mtr. Trailer]]*AH320,0.5)</f>
        <v>#N/A</v>
      </c>
      <c r="BL320" s="300">
        <f>Out_Table[[#This Row],[Double Deck trailer N° bumpers]]</f>
        <v>0</v>
      </c>
      <c r="BM320" s="301"/>
      <c r="BN320" s="299">
        <f>B320</f>
        <v>0</v>
      </c>
      <c r="BO320" s="299">
        <f>E320</f>
        <v>0</v>
      </c>
      <c r="BP320" s="302">
        <f>IF(AND(G320&gt;(--"00:00:01"),G320&lt;(--"15:00:00")),IF(AND(X320&gt;(--"00:00:01"),X320&lt;(--"15:00:00")),G320-X320,G320+1-X320),G320-X320)</f>
        <v>0</v>
      </c>
      <c r="BQ320" s="303">
        <f>AE320+AF320+AH320+AJ320</f>
        <v>0</v>
      </c>
      <c r="BR320" s="304" t="str">
        <f>IF(OR(BP320&lt;=(--"00:20:00"),BQ320&gt;=100%),"OK","Not OK")</f>
        <v>OK</v>
      </c>
      <c r="BS320" s="302">
        <f>IF(AND(G320&gt;(--"00:00:01"),G320&lt;(--"15:00:00")),IF(AND(AU320&gt;(--"00:00:01"),AU320&lt;(--"15:00:00")),G320-AU320,G320+1-AU320),G320-AU320)</f>
        <v>0</v>
      </c>
      <c r="BT320" s="302">
        <f>IF(AND(AZ320&gt;(--"00:00:01"),AZ320&lt;(--"15:00:00")),IF(AND(AU320&gt;(--"00:00:01"),AU320&lt;(--"15:00:00")),AZ320-AU320,AZ320+1-AU320),AZ320-AU320)</f>
        <v>0</v>
      </c>
      <c r="BU320" s="302">
        <f>IF(AND(BA320&gt;(--"00:00:01"),BA320&lt;(--"15:00:00")),IF(AND(AZ320&gt;(--"00:00:01"),AZ320&lt;(--"15:00:00")),BA320-AZ320,BA320+1-AZ320),BA320-AZ320)</f>
        <v>0</v>
      </c>
      <c r="BV320" s="299">
        <f>AV320</f>
        <v>0</v>
      </c>
      <c r="BW320" s="301"/>
      <c r="BX320" s="299" t="str">
        <f>IF(AV320="T Status",IF(AV320&lt;&gt;T320,"X",""),"")</f>
        <v/>
      </c>
      <c r="BY320" s="301"/>
      <c r="BZ320" s="299" t="str">
        <f>IF(X320&lt;&gt;"",IF(CC320="X","Driver Delay",IF(CA320="X","Paperwork Delay",IF(CB320="X","Late freight late sort",IF(CD320="X","Chiamare Control Room",IF(CE320="X","Chiamare Control Room",IF(CF320="X","Chiamare Control Room","")))))),"")</f>
        <v/>
      </c>
      <c r="CA320" s="302" t="str">
        <f>IF(K320="",IF(IF(AND(G320&gt;(--"00:00:01"),G320&lt;(--"15:00:00")),IF(AND(AT320&gt;(--"08:00:00"),AT320&lt;(--"23:59:59")),G320+1-AT320,G320-AT320),G320-AT320)&gt;(--"00:20:00"),"","X"),"")</f>
        <v>X</v>
      </c>
      <c r="CB320" s="299" t="str">
        <f>IF(K320="",IF(BP320&gt;=(--"00:20:00"),"","X"),"")</f>
        <v>X</v>
      </c>
      <c r="CC320" s="299" t="str">
        <f>IF(OR(AV320="Autista non presente",AV320="Dati driver non presenti"),"X","")</f>
        <v/>
      </c>
      <c r="CD320" s="299" t="str">
        <f>IF(K320="",IF(AND(CC320="",BS320&lt;(--"00:20:00")),"X",""),"")</f>
        <v>X</v>
      </c>
      <c r="CE320" s="299" t="str">
        <f>IF(K320="",IF(BT320&gt;(--"00:15:00"),"X",""),IF(AZ320&lt;&gt;"",IF(G320-AZ320&gt;(--"00:30:00"),"X",""),""))</f>
        <v/>
      </c>
      <c r="CF320" s="299" t="str">
        <f>IF(AND(CA320="",CB320="",CC320="",CD320="",CE320=""),"X","")</f>
        <v/>
      </c>
      <c r="CG320" s="301"/>
      <c r="CH320" s="299" t="str">
        <f>IF(BT320&gt;(--"00:15:00"),"X","")</f>
        <v/>
      </c>
      <c r="CI320" s="302" t="str">
        <f>AY320</f>
        <v/>
      </c>
      <c r="CJ320" s="299" t="str">
        <f>IF(AND(CH320&lt;&gt;"",CI320&lt;&gt;"",LEFT(B320,3)="ITD"),AP320,"")</f>
        <v/>
      </c>
      <c r="CK320" s="305" t="str">
        <f>IF(CJ320&lt;&gt;"",BT320,"")</f>
        <v/>
      </c>
      <c r="CL320" s="301"/>
      <c r="CM320" s="305" t="str">
        <f>IFERROR(VLOOKUP(Q320,'Elenco Casse'!$D$4:$F$292,3,FALSE),"")</f>
        <v/>
      </c>
      <c r="CN320" s="301"/>
      <c r="CO320" s="305" t="str">
        <f>IFERROR(VLOOKUP(S320,'Elenco Casse'!$D$4:$F$292,3,FALSE),"")</f>
        <v/>
      </c>
      <c r="CP320" s="305" t="str">
        <f>IFERROR(IF(VLOOKUP($E320,Outlist!$A$5:$S$120,19,FALSE)&lt;&gt;0,"Y",""),"")</f>
        <v/>
      </c>
      <c r="CQ320" s="301"/>
      <c r="CR320" s="305" t="str">
        <f>CONCATENATE($B320,$E320,$G320)</f>
        <v/>
      </c>
      <c r="CS320" s="301"/>
      <c r="CT320" s="305" t="e">
        <f>VLOOKUP(Out_Table[[#This Row],[Destination             ORANGE (From Planning)]],Outlist!$A$5:$W$120,22,FALSE)</f>
        <v>#N/A</v>
      </c>
    </row>
    <row r="321" spans="1:98" s="20" customFormat="1" ht="15">
      <c r="A321" s="305" t="str">
        <f>$CR321</f>
        <v/>
      </c>
      <c r="B321" s="284"/>
      <c r="C321" s="290" t="str">
        <f ca="1">IFERROR(IF(LEFT(B321,3)='STAT 77'!$X$2,_xlfn.XLOOKUP(B321,'STAT 77'!C:C,'STAT 77'!B:B),_xlfn.XLOOKUP(B321,'STAT 77'!B:B,'STAT 77'!C:C)),"NON TROVATO")</f>
        <v>NON TROVATO</v>
      </c>
      <c r="D321" s="25"/>
      <c r="E321" s="290"/>
      <c r="F321" s="290" t="str">
        <f>IFERROR(VLOOKUP(E321,'Cambio O2P'!C:E,2,FALSE),"")</f>
        <v/>
      </c>
      <c r="G321" s="285"/>
      <c r="H321" s="293" t="str">
        <f ca="1">IFERROR(IF(AND('INformazioni per calcoli'!$AB$3&lt;(--"14:30"),'INformazioni per calcoli'!$AB$3&gt;(--"10:00")),"",IF($B321="","",IF($X321&lt;&gt;"","Mezzo Chiuso",IF($W321="","Non al Carico",IF($G321-'INformazioni per calcoli'!$AB$5-'INformazioni per calcoli'!$AB$3+$J321&lt;0,"LFLS",IF($K321&lt;&gt;"","Safe Parking",IF($W321&lt;&gt;"",IF($E321="MXP",$G321-'INformazioni per calcoli'!$AB$6-'INformazioni per calcoli'!$AB$3+$J321,$G321-'INformazioni per calcoli'!$AB$5-'INformazioni per calcoli'!$AB$3+$J321),"Non al carico"))))))),"")</f>
        <v/>
      </c>
      <c r="I321" s="17" t="str">
        <f ca="1">IFERROR(IF($H321&lt;&gt;"",IF($H321="Safe Parking","",IF($W321&lt;&gt;"",IF(AND($U321="X",$V321="X"),$H321-(--"00:30"),""),IF($X321&lt;&gt;"","Mezzo Chiuso","Non al carico"))),""),"")</f>
        <v/>
      </c>
      <c r="J321" s="306" t="str">
        <f>IFERROR(IF($B321&lt;&gt;"",IF(AND('INformazioni per calcoli'!$AB$3&lt;(--"15:00"),'INformazioni per calcoli'!$AB$3&gt;(--"00:00")),0,IF($G321&lt;(--"18:30"),"+1",0)),""),"")</f>
        <v/>
      </c>
      <c r="K321" s="17"/>
      <c r="L321" s="25"/>
      <c r="M321" s="25" t="str">
        <f>IFERROR(_xlfn.XLOOKUP($Q321,'Elenco Casse'!$D:$D,'Elenco Casse'!$E:$E),"")</f>
        <v/>
      </c>
      <c r="N321" s="25" t="str">
        <f>IFERROR(_xlfn.XLOOKUP($Q321,'Elenco Casse'!$D:$D,'Elenco Casse'!$F:$F),"")</f>
        <v/>
      </c>
      <c r="O321" s="286"/>
      <c r="P321" s="295" t="str">
        <f>IFERROR(_xlfn.XLOOKUP($Q321,'Elenco Casse'!$D:$D,'Elenco Casse'!$G:$G),"")</f>
        <v/>
      </c>
      <c r="Q321" s="355"/>
      <c r="R321" s="23"/>
      <c r="S321" s="25"/>
      <c r="T321" s="25"/>
      <c r="U321" s="23" t="str">
        <f>IF(ISNUMBER(SEARCH("Parcel",$T321)),"X","")</f>
        <v/>
      </c>
      <c r="V321" s="23" t="str">
        <f>IF(ISNUMBER(SEARCH("Freight",$T321)),"X","")</f>
        <v/>
      </c>
      <c r="W321" s="26"/>
      <c r="X321" s="27"/>
      <c r="Y321" s="25" t="str">
        <f>IF(Out_Table[[#This Row],[DOC Del. hr. (RTH)]]&lt;&gt;"","XXX","")</f>
        <v/>
      </c>
      <c r="Z321" s="25"/>
      <c r="AA321" s="25"/>
      <c r="AB321" s="57"/>
      <c r="AC321" s="25"/>
      <c r="AD321" s="25"/>
      <c r="AE321" s="57"/>
      <c r="AF321" s="57"/>
      <c r="AG321" s="25"/>
      <c r="AH321" s="57"/>
      <c r="AI321" s="339"/>
      <c r="AJ321" s="339"/>
      <c r="AK321" s="297" t="str">
        <f>IF(X321&lt;&gt;"",CONCATENATE(IF(AA321&lt;&gt;"",CONCATENATE(Z321," ",AA321," ",BI321),""),IF(AD321&lt;&gt;"",CONCATENATE(","," ",AC321," ",AD321," ",BJ321),""),IF(AG321&lt;&gt;"",CONCATENATE(","," ",AF321," ",AG321," ",BK321),""),IF(AJ321&lt;&gt;"",CONCATENATE(","," ","DD"," ",BL321),"")," ",IF(AI321&lt;&gt;"",CONCATENATE(" - ",AI321," Bag"),"")),"")</f>
        <v/>
      </c>
      <c r="AL321" s="287"/>
      <c r="AM321" s="287"/>
      <c r="AN321" s="287"/>
      <c r="AO321" s="287"/>
      <c r="AP321" s="370" t="str">
        <f>IFERROR(VLOOKUP($E318,Outlist!$A$5:$V$120,20,FALSE),"")</f>
        <v/>
      </c>
      <c r="AQ321" s="288" t="str">
        <f>IFERROR(IF(VLOOKUP($A321,#REF!,8,FALSE)&lt;&gt;"",VLOOKUP($A321,#REF!,8,FALSE),""),"")</f>
        <v/>
      </c>
      <c r="AS321" s="24"/>
      <c r="AT321" s="24"/>
      <c r="AU321" s="27"/>
      <c r="AV321" s="27"/>
      <c r="AX321" s="20" t="str">
        <f>IFERROR(IF(Out_Table[[#This Row],[Cancellazione linea]]="Cancellata","yes",""),"")</f>
        <v/>
      </c>
      <c r="AY321" s="72" t="str">
        <f>IF(BA321="",BZ321,IF(AND(BA321&lt;(--"23:59:59"),BA321&gt;(--"15:00:00"),G321&lt;(--"14:00:00"),G321&gt;(--"00:00:01")),"",IF(BA321&gt;G321,BZ321,"")))</f>
        <v/>
      </c>
      <c r="AZ321" s="27"/>
      <c r="BA321" s="32"/>
      <c r="BB321" s="72"/>
      <c r="BC321" s="72" t="str">
        <f>IFERROR(VLOOKUP(Out_Table[[#This Row],[Aggiornamento STATUS]],'INformazioni per calcoli'!$Y$70:$AA$76,2,FALSE),"")</f>
        <v/>
      </c>
      <c r="BD321" s="289"/>
      <c r="BE321" s="289"/>
      <c r="BF321" s="47" t="str">
        <f>LEFT($E321,3)</f>
        <v/>
      </c>
      <c r="BG321" s="298" t="str">
        <f>IF(Out_Table[[#This Row],[Ora Uscita    (GH)]]&lt;&gt;"","x","")</f>
        <v/>
      </c>
      <c r="BH321" s="299" t="e">
        <f>VLOOKUP($O321,'INformazioni per calcoli'!$Y$20:$AA$23,3,FALSE)</f>
        <v>#N/A</v>
      </c>
      <c r="BI321" s="299" t="e">
        <f>MROUND(Out_Table[[#This Row],[Mtr. Trailer]]*AB321,0.5)</f>
        <v>#N/A</v>
      </c>
      <c r="BJ321" s="299" t="e">
        <f>MROUND(Out_Table[[#This Row],[Mtr. Trailer]]*AE321,0.5)</f>
        <v>#N/A</v>
      </c>
      <c r="BK321" s="299" t="e">
        <f>MROUND(Out_Table[[#This Row],[Mtr. Trailer]]*AH321,0.5)</f>
        <v>#N/A</v>
      </c>
      <c r="BL321" s="300">
        <f>Out_Table[[#This Row],[Double Deck trailer N° bumpers]]</f>
        <v>0</v>
      </c>
      <c r="BM321" s="301"/>
      <c r="BN321" s="299">
        <f>B321</f>
        <v>0</v>
      </c>
      <c r="BO321" s="299">
        <f>E321</f>
        <v>0</v>
      </c>
      <c r="BP321" s="302">
        <f>IF(AND(G321&gt;(--"00:00:01"),G321&lt;(--"15:00:00")),IF(AND(X321&gt;(--"00:00:01"),X321&lt;(--"15:00:00")),G321-X321,G321+1-X321),G321-X321)</f>
        <v>0</v>
      </c>
      <c r="BQ321" s="303">
        <f>AE321+AF321+AH321+AJ321</f>
        <v>0</v>
      </c>
      <c r="BR321" s="304" t="str">
        <f>IF(OR(BP321&lt;=(--"00:20:00"),BQ321&gt;=100%),"OK","Not OK")</f>
        <v>OK</v>
      </c>
      <c r="BS321" s="302">
        <f>IF(AND(G321&gt;(--"00:00:01"),G321&lt;(--"15:00:00")),IF(AND(AU321&gt;(--"00:00:01"),AU321&lt;(--"15:00:00")),G321-AU321,G321+1-AU321),G321-AU321)</f>
        <v>0</v>
      </c>
      <c r="BT321" s="302">
        <f>IF(AND(AZ321&gt;(--"00:00:01"),AZ321&lt;(--"15:00:00")),IF(AND(AU321&gt;(--"00:00:01"),AU321&lt;(--"15:00:00")),AZ321-AU321,AZ321+1-AU321),AZ321-AU321)</f>
        <v>0</v>
      </c>
      <c r="BU321" s="302">
        <f>IF(AND(BA321&gt;(--"00:00:01"),BA321&lt;(--"15:00:00")),IF(AND(AZ321&gt;(--"00:00:01"),AZ321&lt;(--"15:00:00")),BA321-AZ321,BA321+1-AZ321),BA321-AZ321)</f>
        <v>0</v>
      </c>
      <c r="BV321" s="299">
        <f>AV321</f>
        <v>0</v>
      </c>
      <c r="BW321" s="301"/>
      <c r="BX321" s="299" t="str">
        <f>IF(AV321="T Status",IF(AV321&lt;&gt;T321,"X",""),"")</f>
        <v/>
      </c>
      <c r="BY321" s="301"/>
      <c r="BZ321" s="299" t="str">
        <f>IF(X321&lt;&gt;"",IF(CC321="X","Driver Delay",IF(CA321="X","Paperwork Delay",IF(CB321="X","Late freight late sort",IF(CD321="X","Chiamare Control Room",IF(CE321="X","Chiamare Control Room",IF(CF321="X","Chiamare Control Room","")))))),"")</f>
        <v/>
      </c>
      <c r="CA321" s="302" t="str">
        <f>IF(K321="",IF(IF(AND(G321&gt;(--"00:00:01"),G321&lt;(--"15:00:00")),IF(AND(AT321&gt;(--"08:00:00"),AT321&lt;(--"23:59:59")),G321+1-AT321,G321-AT321),G321-AT321)&gt;(--"00:20:00"),"","X"),"")</f>
        <v>X</v>
      </c>
      <c r="CB321" s="299" t="str">
        <f>IF(K321="",IF(BP321&gt;=(--"00:20:00"),"","X"),"")</f>
        <v>X</v>
      </c>
      <c r="CC321" s="299" t="str">
        <f>IF(OR(AV321="Autista non presente",AV321="Dati driver non presenti"),"X","")</f>
        <v/>
      </c>
      <c r="CD321" s="299" t="str">
        <f>IF(K321="",IF(AND(CC321="",BS321&lt;(--"00:20:00")),"X",""),"")</f>
        <v>X</v>
      </c>
      <c r="CE321" s="299" t="str">
        <f>IF(K321="",IF(BT321&gt;(--"00:15:00"),"X",""),IF(AZ321&lt;&gt;"",IF(G321-AZ321&gt;(--"00:30:00"),"X",""),""))</f>
        <v/>
      </c>
      <c r="CF321" s="299" t="str">
        <f>IF(AND(CA321="",CB321="",CC321="",CD321="",CE321=""),"X","")</f>
        <v/>
      </c>
      <c r="CG321" s="301"/>
      <c r="CH321" s="299" t="str">
        <f>IF(BT321&gt;(--"00:15:00"),"X","")</f>
        <v/>
      </c>
      <c r="CI321" s="302" t="str">
        <f>AY321</f>
        <v/>
      </c>
      <c r="CJ321" s="299" t="str">
        <f>IF(AND(CH321&lt;&gt;"",CI321&lt;&gt;"",LEFT(B321,3)="ITD"),AP321,"")</f>
        <v/>
      </c>
      <c r="CK321" s="305" t="str">
        <f>IF(CJ321&lt;&gt;"",BT321,"")</f>
        <v/>
      </c>
      <c r="CL321" s="301"/>
      <c r="CM321" s="305" t="str">
        <f>IFERROR(VLOOKUP(Q321,'Elenco Casse'!$D$4:$F$292,3,FALSE),"")</f>
        <v/>
      </c>
      <c r="CN321" s="301"/>
      <c r="CO321" s="305" t="str">
        <f>IFERROR(VLOOKUP(S321,'Elenco Casse'!$D$4:$F$292,3,FALSE),"")</f>
        <v/>
      </c>
      <c r="CP321" s="305" t="str">
        <f>IFERROR(IF(VLOOKUP($E321,Outlist!$A$5:$S$120,19,FALSE)&lt;&gt;0,"Y",""),"")</f>
        <v/>
      </c>
      <c r="CQ321" s="301"/>
      <c r="CR321" s="305" t="str">
        <f>CONCATENATE($B321,$E321,$G321)</f>
        <v/>
      </c>
      <c r="CS321" s="301"/>
      <c r="CT321" s="305" t="e">
        <f>VLOOKUP(Out_Table[[#This Row],[Destination             ORANGE (From Planning)]],Outlist!$A$5:$W$120,22,FALSE)</f>
        <v>#N/A</v>
      </c>
    </row>
    <row r="322" spans="1:98" s="20" customFormat="1" ht="15">
      <c r="A322" s="305" t="str">
        <f>$CR322</f>
        <v/>
      </c>
      <c r="B322" s="284"/>
      <c r="C322" s="290" t="str">
        <f ca="1">IFERROR(IF(LEFT(B322,3)='STAT 77'!$X$2,_xlfn.XLOOKUP(B322,'STAT 77'!C:C,'STAT 77'!B:B),_xlfn.XLOOKUP(B322,'STAT 77'!B:B,'STAT 77'!C:C)),"NON TROVATO")</f>
        <v>NON TROVATO</v>
      </c>
      <c r="D322" s="25"/>
      <c r="E322" s="25"/>
      <c r="F322" s="290" t="str">
        <f>IFERROR(VLOOKUP(E322,'Cambio O2P'!C:E,2,FALSE),"")</f>
        <v/>
      </c>
      <c r="G322" s="285"/>
      <c r="H322" s="293" t="str">
        <f ca="1">IFERROR(IF(AND('INformazioni per calcoli'!$AB$3&lt;(--"14:30"),'INformazioni per calcoli'!$AB$3&gt;(--"10:00")),"",IF($B322="","",IF($X322&lt;&gt;"","Mezzo Chiuso",IF($W322="","Non al Carico",IF($G322-'INformazioni per calcoli'!$AB$5-'INformazioni per calcoli'!$AB$3+$J322&lt;0,"LFLS",IF($K322&lt;&gt;"","Safe Parking",IF($W322&lt;&gt;"",IF($E322="MXP",$G322-'INformazioni per calcoli'!$AB$6-'INformazioni per calcoli'!$AB$3+$J322,$G322-'INformazioni per calcoli'!$AB$5-'INformazioni per calcoli'!$AB$3+$J322),"Non al carico"))))))),"")</f>
        <v/>
      </c>
      <c r="I322" s="17" t="str">
        <f ca="1">IFERROR(IF($H322&lt;&gt;"",IF($H322="Safe Parking","",IF($W322&lt;&gt;"",IF(AND($U322="X",$V322="X"),$H322-(--"00:30"),""),IF($X322&lt;&gt;"","Mezzo Chiuso","Non al carico"))),""),"")</f>
        <v/>
      </c>
      <c r="J322" s="306" t="str">
        <f>IFERROR(IF($B322&lt;&gt;"",IF(AND('INformazioni per calcoli'!$AB$3&lt;(--"15:00"),'INformazioni per calcoli'!$AB$3&gt;(--"00:00")),0,IF($G322&lt;(--"18:30"),"+1",0)),""),"")</f>
        <v/>
      </c>
      <c r="K322" s="17"/>
      <c r="L322" s="25"/>
      <c r="M322" s="25" t="str">
        <f>IFERROR(_xlfn.XLOOKUP($Q322,'Elenco Casse'!$D:$D,'Elenco Casse'!$E:$E),"")</f>
        <v/>
      </c>
      <c r="N322" s="25" t="str">
        <f>IFERROR(_xlfn.XLOOKUP($Q322,'Elenco Casse'!$D:$D,'Elenco Casse'!$F:$F),"")</f>
        <v/>
      </c>
      <c r="O322" s="286"/>
      <c r="P322" s="295" t="str">
        <f>IFERROR(_xlfn.XLOOKUP($Q322,'Elenco Casse'!$D:$D,'Elenco Casse'!$G:$G),"")</f>
        <v/>
      </c>
      <c r="Q322" s="355"/>
      <c r="R322" s="23"/>
      <c r="S322" s="25"/>
      <c r="T322" s="25"/>
      <c r="U322" s="23" t="str">
        <f>IF(ISNUMBER(SEARCH("Parcel",$T322)),"X","")</f>
        <v/>
      </c>
      <c r="V322" s="23" t="str">
        <f>IF(ISNUMBER(SEARCH("Freight",$T322)),"X","")</f>
        <v/>
      </c>
      <c r="W322" s="26"/>
      <c r="X322" s="27"/>
      <c r="Y322" s="25" t="str">
        <f>IF(Out_Table[[#This Row],[DOC Del. hr. (RTH)]]&lt;&gt;"","XXX","")</f>
        <v/>
      </c>
      <c r="Z322" s="25"/>
      <c r="AA322" s="25"/>
      <c r="AB322" s="57"/>
      <c r="AC322" s="25"/>
      <c r="AD322" s="25"/>
      <c r="AE322" s="57"/>
      <c r="AF322" s="57"/>
      <c r="AG322" s="25"/>
      <c r="AH322" s="57"/>
      <c r="AI322" s="339"/>
      <c r="AJ322" s="339"/>
      <c r="AK322" s="297" t="str">
        <f>IF(X322&lt;&gt;"",CONCATENATE(IF(AA322&lt;&gt;"",CONCATENATE(Z322," ",AA322," ",BI322),""),IF(AD322&lt;&gt;"",CONCATENATE(","," ",AC322," ",AD322," ",BJ322),""),IF(AG322&lt;&gt;"",CONCATENATE(","," ",AF322," ",AG322," ",BK322),""),IF(AJ322&lt;&gt;"",CONCATENATE(","," ","DD"," ",BL322),"")," ",IF(AI322&lt;&gt;"",CONCATENATE(" - ",AI322," Bag"),"")),"")</f>
        <v/>
      </c>
      <c r="AL322" s="287"/>
      <c r="AM322" s="287"/>
      <c r="AN322" s="287"/>
      <c r="AO322" s="287"/>
      <c r="AP322" s="370" t="str">
        <f>IFERROR(VLOOKUP(#REF!,Outlist!$A$5:$V$120,20,FALSE),"")</f>
        <v/>
      </c>
      <c r="AQ322" s="288" t="str">
        <f>IFERROR(IF(VLOOKUP($A322,#REF!,8,FALSE)&lt;&gt;"",VLOOKUP($A322,#REF!,8,FALSE),""),"")</f>
        <v/>
      </c>
      <c r="AS322" s="24"/>
      <c r="AT322" s="24"/>
      <c r="AU322" s="27"/>
      <c r="AV322" s="27"/>
      <c r="AX322" s="20" t="str">
        <f>IFERROR(IF(Out_Table[[#This Row],[Cancellazione linea]]="Cancellata","yes",""),"")</f>
        <v/>
      </c>
      <c r="AY322" s="72" t="str">
        <f>IF(BA322="",BZ322,IF(AND(BA322&lt;(--"23:59:59"),BA322&gt;(--"15:00:00"),G322&lt;(--"14:00:00"),G322&gt;(--"00:00:01")),"",IF(BA322&gt;G322,BZ322,"")))</f>
        <v/>
      </c>
      <c r="AZ322" s="27"/>
      <c r="BA322" s="356"/>
      <c r="BB322" s="72"/>
      <c r="BC322" s="72" t="str">
        <f>IFERROR(VLOOKUP(Out_Table[[#This Row],[Aggiornamento STATUS]],'INformazioni per calcoli'!$Y$70:$AA$76,2,FALSE),"")</f>
        <v/>
      </c>
      <c r="BD322" s="289"/>
      <c r="BE322" s="289"/>
      <c r="BF322" s="47" t="str">
        <f>LEFT($E322,3)</f>
        <v/>
      </c>
      <c r="BG322" s="298" t="str">
        <f>IF(Out_Table[[#This Row],[Ora Uscita    (GH)]]&lt;&gt;"","x","")</f>
        <v/>
      </c>
      <c r="BH322" s="299" t="e">
        <f>VLOOKUP($O322,'INformazioni per calcoli'!$Y$20:$AA$23,3,FALSE)</f>
        <v>#N/A</v>
      </c>
      <c r="BI322" s="299" t="e">
        <f>MROUND(Out_Table[[#This Row],[Mtr. Trailer]]*AB322,0.5)</f>
        <v>#N/A</v>
      </c>
      <c r="BJ322" s="299" t="e">
        <f>MROUND(Out_Table[[#This Row],[Mtr. Trailer]]*AE322,0.5)</f>
        <v>#N/A</v>
      </c>
      <c r="BK322" s="299" t="e">
        <f>MROUND(Out_Table[[#This Row],[Mtr. Trailer]]*AH322,0.5)</f>
        <v>#N/A</v>
      </c>
      <c r="BL322" s="300">
        <f>Out_Table[[#This Row],[Double Deck trailer N° bumpers]]</f>
        <v>0</v>
      </c>
      <c r="BM322" s="301"/>
      <c r="BN322" s="299">
        <f>B322</f>
        <v>0</v>
      </c>
      <c r="BO322" s="299">
        <f>E322</f>
        <v>0</v>
      </c>
      <c r="BP322" s="302">
        <f>IF(AND(G322&gt;(--"00:00:01"),G322&lt;(--"15:00:00")),IF(AND(X322&gt;(--"00:00:01"),X322&lt;(--"15:00:00")),G322-X322,G322+1-X322),G322-X322)</f>
        <v>0</v>
      </c>
      <c r="BQ322" s="303">
        <f>AE322+AF322+AH322+AJ322</f>
        <v>0</v>
      </c>
      <c r="BR322" s="304" t="str">
        <f>IF(OR(BP322&lt;=(--"00:20:00"),BQ322&gt;=100%),"OK","Not OK")</f>
        <v>OK</v>
      </c>
      <c r="BS322" s="302">
        <f>IF(AND(G322&gt;(--"00:00:01"),G322&lt;(--"15:00:00")),IF(AND(AU322&gt;(--"00:00:01"),AU322&lt;(--"15:00:00")),G322-AU322,G322+1-AU322),G322-AU322)</f>
        <v>0</v>
      </c>
      <c r="BT322" s="302">
        <f>IF(AND(AZ322&gt;(--"00:00:01"),AZ322&lt;(--"15:00:00")),IF(AND(AU322&gt;(--"00:00:01"),AU322&lt;(--"15:00:00")),AZ322-AU322,AZ322+1-AU322),AZ322-AU322)</f>
        <v>0</v>
      </c>
      <c r="BU322" s="302">
        <f>IF(AND(BA322&gt;(--"00:00:01"),BA322&lt;(--"15:00:00")),IF(AND(AZ322&gt;(--"00:00:01"),AZ322&lt;(--"15:00:00")),BA322-AZ322,BA322+1-AZ322),BA322-AZ322)</f>
        <v>0</v>
      </c>
      <c r="BV322" s="299">
        <f>AV322</f>
        <v>0</v>
      </c>
      <c r="BW322" s="301"/>
      <c r="BX322" s="299" t="str">
        <f>IF(AV322="T Status",IF(AV322&lt;&gt;T322,"X",""),"")</f>
        <v/>
      </c>
      <c r="BY322" s="301"/>
      <c r="BZ322" s="299" t="str">
        <f>IF(X322&lt;&gt;"",IF(CC322="X","Driver Delay",IF(CA322="X","Paperwork Delay",IF(CB322="X","Late freight late sort",IF(CD322="X","Chiamare Control Room",IF(CE322="X","Chiamare Control Room",IF(CF322="X","Chiamare Control Room","")))))),"")</f>
        <v/>
      </c>
      <c r="CA322" s="302" t="str">
        <f>IF(K322="",IF(IF(AND(G322&gt;(--"00:00:01"),G322&lt;(--"15:00:00")),IF(AND(AT322&gt;(--"08:00:00"),AT322&lt;(--"23:59:59")),G322+1-AT322,G322-AT322),G322-AT322)&gt;(--"00:20:00"),"","X"),"")</f>
        <v>X</v>
      </c>
      <c r="CB322" s="299" t="str">
        <f>IF(K322="",IF(BP322&gt;=(--"00:20:00"),"","X"),"")</f>
        <v>X</v>
      </c>
      <c r="CC322" s="299" t="str">
        <f>IF(OR(AV322="Autista non presente",AV322="Dati driver non presenti"),"X","")</f>
        <v/>
      </c>
      <c r="CD322" s="299" t="str">
        <f>IF(K322="",IF(AND(CC322="",BS322&lt;(--"00:20:00")),"X",""),"")</f>
        <v>X</v>
      </c>
      <c r="CE322" s="299" t="str">
        <f>IF(K322="",IF(BT322&gt;(--"00:15:00"),"X",""),IF(AZ322&lt;&gt;"",IF(G322-AZ322&gt;(--"00:30:00"),"X",""),""))</f>
        <v/>
      </c>
      <c r="CF322" s="299" t="str">
        <f>IF(AND(CA322="",CB322="",CC322="",CD322="",CE322=""),"X","")</f>
        <v/>
      </c>
      <c r="CG322" s="301"/>
      <c r="CH322" s="299" t="str">
        <f>IF(BT322&gt;(--"00:15:00"),"X","")</f>
        <v/>
      </c>
      <c r="CI322" s="302" t="str">
        <f>AY322</f>
        <v/>
      </c>
      <c r="CJ322" s="299" t="str">
        <f>IF(AND(CH322&lt;&gt;"",CI322&lt;&gt;"",LEFT(B322,3)="ITD"),AP322,"")</f>
        <v/>
      </c>
      <c r="CK322" s="305" t="str">
        <f>IF(CJ322&lt;&gt;"",BT322,"")</f>
        <v/>
      </c>
      <c r="CL322" s="301"/>
      <c r="CM322" s="305" t="str">
        <f>IFERROR(VLOOKUP(Q322,'Elenco Casse'!$D$4:$F$292,3,FALSE),"")</f>
        <v/>
      </c>
      <c r="CN322" s="301"/>
      <c r="CO322" s="305" t="str">
        <f>IFERROR(VLOOKUP(S322,'Elenco Casse'!$D$4:$F$292,3,FALSE),"")</f>
        <v/>
      </c>
      <c r="CP322" s="305" t="str">
        <f>IFERROR(IF(VLOOKUP($E322,Outlist!$A$5:$S$120,19,FALSE)&lt;&gt;0,"Y",""),"")</f>
        <v/>
      </c>
      <c r="CQ322" s="301"/>
      <c r="CR322" s="305" t="str">
        <f>CONCATENATE($B322,$E322,$G322)</f>
        <v/>
      </c>
      <c r="CS322" s="301"/>
      <c r="CT322" s="305" t="e">
        <f>VLOOKUP(Out_Table[[#This Row],[Destination             ORANGE (From Planning)]],Outlist!$A$5:$W$120,22,FALSE)</f>
        <v>#N/A</v>
      </c>
    </row>
    <row r="323" spans="1:98" s="20" customFormat="1" ht="15">
      <c r="A323" s="305" t="str">
        <f>$CR323</f>
        <v/>
      </c>
      <c r="B323" s="284"/>
      <c r="C323" s="290">
        <f ca="1">IFERROR(IF(LEFT(B323,3)='STAT 77'!$X$2,_xlfn.XLOOKUP(B323,'STAT 77'!C:C,'STAT 77'!B:B),_xlfn.XLOOKUP(B323,'STAT 77'!B:B,'STAT 77'!C:C)),"NON TROVATO")</f>
        <v>0</v>
      </c>
      <c r="D323" s="25"/>
      <c r="E323" s="290"/>
      <c r="F323" s="290" t="str">
        <f>IFERROR(VLOOKUP(E323,'Cambio O2P'!C:E,2,FALSE),"")</f>
        <v/>
      </c>
      <c r="G323" s="285"/>
      <c r="H323" s="293" t="str">
        <f ca="1">IFERROR(IF(AND('INformazioni per calcoli'!$AB$3&lt;(--"14:30"),'INformazioni per calcoli'!$AB$3&gt;(--"10:00")),"",IF($B323="","",IF($X323&lt;&gt;"","Mezzo Chiuso",IF($W323="","Non al Carico",IF($G323-'INformazioni per calcoli'!$AB$5-'INformazioni per calcoli'!$AB$3+$J323&lt;0,"LFLS",IF($K323&lt;&gt;"","Safe Parking",IF($W323&lt;&gt;"",IF($E323="MXP",$G323-'INformazioni per calcoli'!$AB$6-'INformazioni per calcoli'!$AB$3+$J323,$G323-'INformazioni per calcoli'!$AB$5-'INformazioni per calcoli'!$AB$3+$J323),"Non al carico"))))))),"")</f>
        <v/>
      </c>
      <c r="I323" s="17" t="str">
        <f ca="1">IFERROR(IF($H323&lt;&gt;"",IF($H323="Safe Parking","",IF($W323&lt;&gt;"",IF(AND($U323="X",$V323="X"),$H323-(--"00:30"),""),IF($X323&lt;&gt;"","Mezzo Chiuso","Non al carico"))),""),"")</f>
        <v/>
      </c>
      <c r="J323" s="306" t="str">
        <f>IFERROR(IF($B323&lt;&gt;"",IF(AND('INformazioni per calcoli'!$AB$3&lt;(--"15:00"),'INformazioni per calcoli'!$AB$3&gt;(--"00:00")),0,IF($G323&lt;(--"18:30"),"+1",0)),""),"")</f>
        <v/>
      </c>
      <c r="K323" s="17"/>
      <c r="L323" s="25"/>
      <c r="M323" s="25" t="str">
        <f>IFERROR(_xlfn.XLOOKUP($Q323,'Elenco Casse'!$D:$D,'Elenco Casse'!$E:$E),"")</f>
        <v/>
      </c>
      <c r="N323" s="25" t="str">
        <f>IFERROR(_xlfn.XLOOKUP($Q323,'Elenco Casse'!$D:$D,'Elenco Casse'!$F:$F),"")</f>
        <v/>
      </c>
      <c r="O323" s="286"/>
      <c r="P323" s="295" t="str">
        <f>IFERROR(_xlfn.XLOOKUP($Q323,'Elenco Casse'!$D:$D,'Elenco Casse'!$G:$G),"")</f>
        <v/>
      </c>
      <c r="Q323" s="355"/>
      <c r="R323" s="23"/>
      <c r="S323" s="25"/>
      <c r="T323" s="25"/>
      <c r="U323" s="23" t="str">
        <f>IF(ISNUMBER(SEARCH("Parcel",$T323)),"X","")</f>
        <v/>
      </c>
      <c r="V323" s="23" t="str">
        <f>IF(ISNUMBER(SEARCH("Freight",$T323)),"X","")</f>
        <v/>
      </c>
      <c r="W323" s="26"/>
      <c r="X323" s="27"/>
      <c r="Y323" s="25" t="str">
        <f>IF(Out_Table[[#This Row],[DOC Del. hr. (RTH)]]&lt;&gt;"","XXX","")</f>
        <v/>
      </c>
      <c r="Z323" s="25"/>
      <c r="AA323" s="25"/>
      <c r="AB323" s="57"/>
      <c r="AC323" s="25"/>
      <c r="AD323" s="25"/>
      <c r="AE323" s="57"/>
      <c r="AF323" s="57"/>
      <c r="AG323" s="25"/>
      <c r="AH323" s="57"/>
      <c r="AI323" s="339"/>
      <c r="AJ323" s="339"/>
      <c r="AK323" s="297" t="str">
        <f>IF(X323&lt;&gt;"",CONCATENATE(IF(AA323&lt;&gt;"",CONCATENATE(Z323," ",AA323," ",BI323),""),IF(AD323&lt;&gt;"",CONCATENATE(","," ",AC323," ",AD323," ",BJ323),""),IF(AG323&lt;&gt;"",CONCATENATE(","," ",AF323," ",AG323," ",BK323),""),IF(AJ323&lt;&gt;"",CONCATENATE(","," ","DD"," ",BL323),"")," ",IF(AI323&lt;&gt;"",CONCATENATE(" - ",AI323," Bag"),"")),"")</f>
        <v/>
      </c>
      <c r="AL323" s="287"/>
      <c r="AM323" s="287"/>
      <c r="AN323" s="287"/>
      <c r="AO323" s="287"/>
      <c r="AP323" s="370" t="str">
        <f>IFERROR(VLOOKUP($E320,Outlist!$A$5:$V$120,20,FALSE),"")</f>
        <v/>
      </c>
      <c r="AQ323" s="288" t="str">
        <f>IFERROR(IF(VLOOKUP($A323,#REF!,8,FALSE)&lt;&gt;"",VLOOKUP($A323,#REF!,8,FALSE),""),"")</f>
        <v/>
      </c>
      <c r="AS323" s="24"/>
      <c r="AT323" s="24"/>
      <c r="AU323" s="27"/>
      <c r="AV323" s="27"/>
      <c r="AX323" s="20" t="str">
        <f>IFERROR(IF(Out_Table[[#This Row],[Cancellazione linea]]="Cancellata","yes",""),"")</f>
        <v/>
      </c>
      <c r="AY323" s="72" t="str">
        <f>IF(BA323="",BZ323,IF(AND(BA323&lt;(--"23:59:59"),BA323&gt;(--"15:00:00"),G323&lt;(--"14:00:00"),G323&gt;(--"00:00:01")),"",IF(BA323&gt;G323,BZ323,"")))</f>
        <v/>
      </c>
      <c r="AZ323" s="27"/>
      <c r="BA323" s="32"/>
      <c r="BB323" s="72"/>
      <c r="BC323" s="72" t="str">
        <f>IFERROR(VLOOKUP(Out_Table[[#This Row],[Aggiornamento STATUS]],'INformazioni per calcoli'!$Y$70:$AA$76,2,FALSE),"")</f>
        <v/>
      </c>
      <c r="BD323" s="289"/>
      <c r="BE323" s="289"/>
      <c r="BF323" s="47" t="str">
        <f>LEFT($E323,3)</f>
        <v/>
      </c>
      <c r="BG323" s="298" t="str">
        <f>IF(Out_Table[[#This Row],[Ora Uscita    (GH)]]&lt;&gt;"","x","")</f>
        <v/>
      </c>
      <c r="BH323" s="299" t="e">
        <f>VLOOKUP($O323,'INformazioni per calcoli'!$Y$20:$AA$23,3,FALSE)</f>
        <v>#N/A</v>
      </c>
      <c r="BI323" s="299" t="e">
        <f>MROUND(Out_Table[[#This Row],[Mtr. Trailer]]*AB323,0.5)</f>
        <v>#N/A</v>
      </c>
      <c r="BJ323" s="299" t="e">
        <f>MROUND(Out_Table[[#This Row],[Mtr. Trailer]]*AE323,0.5)</f>
        <v>#N/A</v>
      </c>
      <c r="BK323" s="299" t="e">
        <f>MROUND(Out_Table[[#This Row],[Mtr. Trailer]]*AH323,0.5)</f>
        <v>#N/A</v>
      </c>
      <c r="BL323" s="300">
        <f>Out_Table[[#This Row],[Double Deck trailer N° bumpers]]</f>
        <v>0</v>
      </c>
      <c r="BM323" s="301"/>
      <c r="BN323" s="299">
        <f>B323</f>
        <v>0</v>
      </c>
      <c r="BO323" s="299">
        <f>E323</f>
        <v>0</v>
      </c>
      <c r="BP323" s="302">
        <f>IF(AND(G323&gt;(--"00:00:01"),G323&lt;(--"15:00:00")),IF(AND(X323&gt;(--"00:00:01"),X323&lt;(--"15:00:00")),G323-X323,G323+1-X323),G323-X323)</f>
        <v>0</v>
      </c>
      <c r="BQ323" s="303">
        <f>AE323+AF323+AH323+AJ323</f>
        <v>0</v>
      </c>
      <c r="BR323" s="304" t="str">
        <f>IF(OR(BP323&lt;=(--"00:20:00"),BQ323&gt;=100%),"OK","Not OK")</f>
        <v>OK</v>
      </c>
      <c r="BS323" s="302">
        <f>IF(AND(G323&gt;(--"00:00:01"),G323&lt;(--"15:00:00")),IF(AND(AU323&gt;(--"00:00:01"),AU323&lt;(--"15:00:00")),G323-AU323,G323+1-AU323),G323-AU323)</f>
        <v>0</v>
      </c>
      <c r="BT323" s="302">
        <f>IF(AND(AZ323&gt;(--"00:00:01"),AZ323&lt;(--"15:00:00")),IF(AND(AU323&gt;(--"00:00:01"),AU323&lt;(--"15:00:00")),AZ323-AU323,AZ323+1-AU323),AZ323-AU323)</f>
        <v>0</v>
      </c>
      <c r="BU323" s="302">
        <f>IF(AND(BA323&gt;(--"00:00:01"),BA323&lt;(--"15:00:00")),IF(AND(AZ323&gt;(--"00:00:01"),AZ323&lt;(--"15:00:00")),BA323-AZ323,BA323+1-AZ323),BA323-AZ323)</f>
        <v>0</v>
      </c>
      <c r="BV323" s="299">
        <f>AV323</f>
        <v>0</v>
      </c>
      <c r="BW323" s="301"/>
      <c r="BX323" s="299" t="str">
        <f>IF(AV323="T Status",IF(AV323&lt;&gt;T323,"X",""),"")</f>
        <v/>
      </c>
      <c r="BY323" s="301"/>
      <c r="BZ323" s="299" t="str">
        <f>IF(X323&lt;&gt;"",IF(CC323="X","Driver Delay",IF(CA323="X","Paperwork Delay",IF(CB323="X","Late freight late sort",IF(CD323="X","Chiamare Control Room",IF(CE323="X","Chiamare Control Room",IF(CF323="X","Chiamare Control Room","")))))),"")</f>
        <v/>
      </c>
      <c r="CA323" s="302" t="str">
        <f>IF(K323="",IF(IF(AND(G323&gt;(--"00:00:01"),G323&lt;(--"15:00:00")),IF(AND(AT323&gt;(--"08:00:00"),AT323&lt;(--"23:59:59")),G323+1-AT323,G323-AT323),G323-AT323)&gt;(--"00:20:00"),"","X"),"")</f>
        <v>X</v>
      </c>
      <c r="CB323" s="299" t="str">
        <f>IF(K323="",IF(BP323&gt;=(--"00:20:00"),"","X"),"")</f>
        <v>X</v>
      </c>
      <c r="CC323" s="299" t="str">
        <f>IF(OR(AV323="Autista non presente",AV323="Dati driver non presenti"),"X","")</f>
        <v/>
      </c>
      <c r="CD323" s="299" t="str">
        <f>IF(K323="",IF(AND(CC323="",BS323&lt;(--"00:20:00")),"X",""),"")</f>
        <v>X</v>
      </c>
      <c r="CE323" s="299" t="str">
        <f>IF(K323="",IF(BT323&gt;(--"00:15:00"),"X",""),IF(AZ323&lt;&gt;"",IF(G323-AZ323&gt;(--"00:30:00"),"X",""),""))</f>
        <v/>
      </c>
      <c r="CF323" s="299" t="str">
        <f>IF(AND(CA323="",CB323="",CC323="",CD323="",CE323=""),"X","")</f>
        <v/>
      </c>
      <c r="CG323" s="301"/>
      <c r="CH323" s="299" t="str">
        <f>IF(BT323&gt;(--"00:15:00"),"X","")</f>
        <v/>
      </c>
      <c r="CI323" s="302" t="str">
        <f>AY323</f>
        <v/>
      </c>
      <c r="CJ323" s="299" t="str">
        <f>IF(AND(CH323&lt;&gt;"",CI323&lt;&gt;"",LEFT(B323,3)="ITD"),AP323,"")</f>
        <v/>
      </c>
      <c r="CK323" s="305" t="str">
        <f>IF(CJ323&lt;&gt;"",BT323,"")</f>
        <v/>
      </c>
      <c r="CL323" s="301"/>
      <c r="CM323" s="305" t="str">
        <f>IFERROR(VLOOKUP(Q323,'Elenco Casse'!$D$4:$F$292,3,FALSE),"")</f>
        <v/>
      </c>
      <c r="CN323" s="301"/>
      <c r="CO323" s="305" t="str">
        <f>IFERROR(VLOOKUP(S323,'Elenco Casse'!$D$4:$F$292,3,FALSE),"")</f>
        <v/>
      </c>
      <c r="CP323" s="305" t="str">
        <f>IFERROR(IF(VLOOKUP($E323,Outlist!$A$5:$S$120,19,FALSE)&lt;&gt;0,"Y",""),"")</f>
        <v/>
      </c>
      <c r="CQ323" s="301"/>
      <c r="CR323" s="305" t="str">
        <f>CONCATENATE($B323,$E323,$G323)</f>
        <v/>
      </c>
      <c r="CS323" s="301"/>
      <c r="CT323" s="305" t="e">
        <f>VLOOKUP(Out_Table[[#This Row],[Destination             ORANGE (From Planning)]],Outlist!$A$5:$W$120,22,FALSE)</f>
        <v>#N/A</v>
      </c>
    </row>
    <row r="324" spans="1:98" s="20" customFormat="1" ht="15">
      <c r="A324" s="305" t="str">
        <f>$CR324</f>
        <v/>
      </c>
      <c r="B324" s="284"/>
      <c r="C324" s="290">
        <f ca="1">IFERROR(IF(LEFT(B324,3)='STAT 77'!$X$2,_xlfn.XLOOKUP(B324,'STAT 77'!C:C,'STAT 77'!B:B),_xlfn.XLOOKUP(B324,'STAT 77'!B:B,'STAT 77'!C:C)),"NON TROVATO")</f>
        <v>0</v>
      </c>
      <c r="D324" s="25"/>
      <c r="E324" s="290"/>
      <c r="F324" s="290" t="str">
        <f>IFERROR(VLOOKUP(E324,'Cambio O2P'!C:E,2,FALSE),"")</f>
        <v/>
      </c>
      <c r="G324" s="285"/>
      <c r="H324" s="293" t="str">
        <f ca="1">IFERROR(IF(AND('INformazioni per calcoli'!$AB$3&lt;(--"14:30"),'INformazioni per calcoli'!$AB$3&gt;(--"10:00")),"",IF($B324="","",IF($X324&lt;&gt;"","Mezzo Chiuso",IF($W324="","Non al Carico",IF($G324-'INformazioni per calcoli'!$AB$5-'INformazioni per calcoli'!$AB$3+$J324&lt;0,"LFLS",IF($K324&lt;&gt;"","Safe Parking",IF($W324&lt;&gt;"",IF($E324="MXP",$G324-'INformazioni per calcoli'!$AB$6-'INformazioni per calcoli'!$AB$3+$J324,$G324-'INformazioni per calcoli'!$AB$5-'INformazioni per calcoli'!$AB$3+$J324),"Non al carico"))))))),"")</f>
        <v/>
      </c>
      <c r="I324" s="17" t="str">
        <f ca="1">IFERROR(IF($H324&lt;&gt;"",IF($H324="Safe Parking","",IF($W324&lt;&gt;"",IF(AND($U324="X",$V324="X"),$H324-(--"00:30"),""),IF($X324&lt;&gt;"","Mezzo Chiuso","Non al carico"))),""),"")</f>
        <v/>
      </c>
      <c r="J324" s="306" t="str">
        <f>IFERROR(IF($B324&lt;&gt;"",IF(AND('INformazioni per calcoli'!$AB$3&lt;(--"15:00"),'INformazioni per calcoli'!$AB$3&gt;(--"00:00")),0,IF($G324&lt;(--"18:30"),"+1",0)),""),"")</f>
        <v/>
      </c>
      <c r="K324" s="17"/>
      <c r="L324" s="25"/>
      <c r="M324" s="25" t="str">
        <f>IFERROR(_xlfn.XLOOKUP($Q324,'Elenco Casse'!$D:$D,'Elenco Casse'!$E:$E),"")</f>
        <v/>
      </c>
      <c r="N324" s="25" t="str">
        <f>IFERROR(_xlfn.XLOOKUP($Q324,'Elenco Casse'!$D:$D,'Elenco Casse'!$F:$F),"")</f>
        <v/>
      </c>
      <c r="O324" s="286"/>
      <c r="P324" s="295" t="str">
        <f>IFERROR(_xlfn.XLOOKUP($Q324,'Elenco Casse'!$D:$D,'Elenco Casse'!$G:$G),"")</f>
        <v/>
      </c>
      <c r="Q324" s="355"/>
      <c r="R324" s="23"/>
      <c r="S324" s="25"/>
      <c r="T324" s="25"/>
      <c r="U324" s="23" t="str">
        <f>IF(ISNUMBER(SEARCH("Parcel",$T324)),"X","")</f>
        <v/>
      </c>
      <c r="V324" s="23" t="str">
        <f>IF(ISNUMBER(SEARCH("Freight",$T324)),"X","")</f>
        <v/>
      </c>
      <c r="W324" s="26"/>
      <c r="X324" s="27"/>
      <c r="Y324" s="25" t="str">
        <f>IF(Out_Table[[#This Row],[DOC Del. hr. (RTH)]]&lt;&gt;"","XXX","")</f>
        <v/>
      </c>
      <c r="Z324" s="25"/>
      <c r="AA324" s="25"/>
      <c r="AB324" s="57"/>
      <c r="AC324" s="25"/>
      <c r="AD324" s="25"/>
      <c r="AE324" s="57"/>
      <c r="AF324" s="57"/>
      <c r="AG324" s="25"/>
      <c r="AH324" s="57"/>
      <c r="AI324" s="339"/>
      <c r="AJ324" s="339"/>
      <c r="AK324" s="297" t="str">
        <f>IF(X324&lt;&gt;"",CONCATENATE(IF(AA324&lt;&gt;"",CONCATENATE(Z324," ",AA324," ",BI324),""),IF(AD324&lt;&gt;"",CONCATENATE(","," ",AC324," ",AD324," ",BJ324),""),IF(AG324&lt;&gt;"",CONCATENATE(","," ",AF324," ",AG324," ",BK324),""),IF(AJ324&lt;&gt;"",CONCATENATE(","," ","DD"," ",BL324),"")," ",IF(AI324&lt;&gt;"",CONCATENATE(" - ",AI324," Bag"),"")),"")</f>
        <v/>
      </c>
      <c r="AL324" s="287"/>
      <c r="AM324" s="287"/>
      <c r="AN324" s="287"/>
      <c r="AO324" s="287"/>
      <c r="AP324" s="370" t="str">
        <f>IFERROR(VLOOKUP($E321,Outlist!$A$5:$V$120,20,FALSE),"")</f>
        <v/>
      </c>
      <c r="AQ324" s="288" t="str">
        <f>IFERROR(IF(VLOOKUP($A324,#REF!,8,FALSE)&lt;&gt;"",VLOOKUP($A324,#REF!,8,FALSE),""),"")</f>
        <v/>
      </c>
      <c r="AS324" s="24"/>
      <c r="AT324" s="24"/>
      <c r="AU324" s="27"/>
      <c r="AV324" s="27"/>
      <c r="AX324" s="20" t="str">
        <f>IFERROR(IF(Out_Table[[#This Row],[Cancellazione linea]]="Cancellata","yes",""),"")</f>
        <v/>
      </c>
      <c r="AY324" s="72" t="str">
        <f>IF(BA324="",BZ324,IF(AND(BA324&lt;(--"23:59:59"),BA324&gt;(--"15:00:00"),G324&lt;(--"14:00:00"),G324&gt;(--"00:00:01")),"",IF(BA324&gt;G324,BZ324,"")))</f>
        <v/>
      </c>
      <c r="AZ324" s="27"/>
      <c r="BA324" s="32"/>
      <c r="BB324" s="72"/>
      <c r="BC324" s="72" t="str">
        <f>IFERROR(VLOOKUP(Out_Table[[#This Row],[Aggiornamento STATUS]],'INformazioni per calcoli'!$Y$70:$AA$76,2,FALSE),"")</f>
        <v/>
      </c>
      <c r="BD324" s="289"/>
      <c r="BE324" s="289"/>
      <c r="BF324" s="47" t="str">
        <f>LEFT($E324,3)</f>
        <v/>
      </c>
      <c r="BG324" s="298" t="str">
        <f>IF(Out_Table[[#This Row],[Ora Uscita    (GH)]]&lt;&gt;"","x","")</f>
        <v/>
      </c>
      <c r="BH324" s="299" t="e">
        <f>VLOOKUP($O324,'INformazioni per calcoli'!$Y$20:$AA$23,3,FALSE)</f>
        <v>#N/A</v>
      </c>
      <c r="BI324" s="299" t="e">
        <f>MROUND(Out_Table[[#This Row],[Mtr. Trailer]]*AB324,0.5)</f>
        <v>#N/A</v>
      </c>
      <c r="BJ324" s="299" t="e">
        <f>MROUND(Out_Table[[#This Row],[Mtr. Trailer]]*AE324,0.5)</f>
        <v>#N/A</v>
      </c>
      <c r="BK324" s="299" t="e">
        <f>MROUND(Out_Table[[#This Row],[Mtr. Trailer]]*AH324,0.5)</f>
        <v>#N/A</v>
      </c>
      <c r="BL324" s="300">
        <f>Out_Table[[#This Row],[Double Deck trailer N° bumpers]]</f>
        <v>0</v>
      </c>
      <c r="BM324" s="301"/>
      <c r="BN324" s="299">
        <f>B324</f>
        <v>0</v>
      </c>
      <c r="BO324" s="299">
        <f>E324</f>
        <v>0</v>
      </c>
      <c r="BP324" s="302">
        <f>IF(AND(G324&gt;(--"00:00:01"),G324&lt;(--"15:00:00")),IF(AND(X324&gt;(--"00:00:01"),X324&lt;(--"15:00:00")),G324-X324,G324+1-X324),G324-X324)</f>
        <v>0</v>
      </c>
      <c r="BQ324" s="303">
        <f>AE324+AF324+AH324+AJ324</f>
        <v>0</v>
      </c>
      <c r="BR324" s="304" t="str">
        <f>IF(OR(BP324&lt;=(--"00:20:00"),BQ324&gt;=100%),"OK","Not OK")</f>
        <v>OK</v>
      </c>
      <c r="BS324" s="302">
        <f>IF(AND(G324&gt;(--"00:00:01"),G324&lt;(--"15:00:00")),IF(AND(AU324&gt;(--"00:00:01"),AU324&lt;(--"15:00:00")),G324-AU324,G324+1-AU324),G324-AU324)</f>
        <v>0</v>
      </c>
      <c r="BT324" s="302">
        <f>IF(AND(AZ324&gt;(--"00:00:01"),AZ324&lt;(--"15:00:00")),IF(AND(AU324&gt;(--"00:00:01"),AU324&lt;(--"15:00:00")),AZ324-AU324,AZ324+1-AU324),AZ324-AU324)</f>
        <v>0</v>
      </c>
      <c r="BU324" s="302">
        <f>IF(AND(BA324&gt;(--"00:00:01"),BA324&lt;(--"15:00:00")),IF(AND(AZ324&gt;(--"00:00:01"),AZ324&lt;(--"15:00:00")),BA324-AZ324,BA324+1-AZ324),BA324-AZ324)</f>
        <v>0</v>
      </c>
      <c r="BV324" s="299">
        <f>AV324</f>
        <v>0</v>
      </c>
      <c r="BW324" s="301"/>
      <c r="BX324" s="299" t="str">
        <f>IF(AV324="T Status",IF(AV324&lt;&gt;T324,"X",""),"")</f>
        <v/>
      </c>
      <c r="BY324" s="301"/>
      <c r="BZ324" s="299" t="str">
        <f>IF(X324&lt;&gt;"",IF(CC324="X","Driver Delay",IF(CA324="X","Paperwork Delay",IF(CB324="X","Late freight late sort",IF(CD324="X","Chiamare Control Room",IF(CE324="X","Chiamare Control Room",IF(CF324="X","Chiamare Control Room","")))))),"")</f>
        <v/>
      </c>
      <c r="CA324" s="302" t="str">
        <f>IF(K324="",IF(IF(AND(G324&gt;(--"00:00:01"),G324&lt;(--"15:00:00")),IF(AND(AT324&gt;(--"08:00:00"),AT324&lt;(--"23:59:59")),G324+1-AT324,G324-AT324),G324-AT324)&gt;(--"00:20:00"),"","X"),"")</f>
        <v>X</v>
      </c>
      <c r="CB324" s="299" t="str">
        <f>IF(K324="",IF(BP324&gt;=(--"00:20:00"),"","X"),"")</f>
        <v>X</v>
      </c>
      <c r="CC324" s="299" t="str">
        <f>IF(OR(AV324="Autista non presente",AV324="Dati driver non presenti"),"X","")</f>
        <v/>
      </c>
      <c r="CD324" s="299" t="str">
        <f>IF(K324="",IF(AND(CC324="",BS324&lt;(--"00:20:00")),"X",""),"")</f>
        <v>X</v>
      </c>
      <c r="CE324" s="299" t="str">
        <f>IF(K324="",IF(BT324&gt;(--"00:15:00"),"X",""),IF(AZ324&lt;&gt;"",IF(G324-AZ324&gt;(--"00:30:00"),"X",""),""))</f>
        <v/>
      </c>
      <c r="CF324" s="299" t="str">
        <f>IF(AND(CA324="",CB324="",CC324="",CD324="",CE324=""),"X","")</f>
        <v/>
      </c>
      <c r="CG324" s="301"/>
      <c r="CH324" s="299" t="str">
        <f>IF(BT324&gt;(--"00:15:00"),"X","")</f>
        <v/>
      </c>
      <c r="CI324" s="302" t="str">
        <f>AY324</f>
        <v/>
      </c>
      <c r="CJ324" s="299" t="str">
        <f>IF(AND(CH324&lt;&gt;"",CI324&lt;&gt;"",LEFT(B324,3)="ITD"),AP324,"")</f>
        <v/>
      </c>
      <c r="CK324" s="305" t="str">
        <f>IF(CJ324&lt;&gt;"",BT324,"")</f>
        <v/>
      </c>
      <c r="CL324" s="301"/>
      <c r="CM324" s="305" t="str">
        <f>IFERROR(VLOOKUP(Q324,'Elenco Casse'!$D$4:$F$292,3,FALSE),"")</f>
        <v/>
      </c>
      <c r="CN324" s="301"/>
      <c r="CO324" s="305" t="str">
        <f>IFERROR(VLOOKUP(S324,'Elenco Casse'!$D$4:$F$292,3,FALSE),"")</f>
        <v/>
      </c>
      <c r="CP324" s="305" t="str">
        <f>IFERROR(IF(VLOOKUP($E324,Outlist!$A$5:$S$120,19,FALSE)&lt;&gt;0,"Y",""),"")</f>
        <v/>
      </c>
      <c r="CQ324" s="301"/>
      <c r="CR324" s="305" t="str">
        <f>CONCATENATE($B324,$E324,$G324)</f>
        <v/>
      </c>
      <c r="CS324" s="301"/>
      <c r="CT324" s="305" t="e">
        <f>VLOOKUP(Out_Table[[#This Row],[Destination             ORANGE (From Planning)]],Outlist!$A$5:$W$120,22,FALSE)</f>
        <v>#N/A</v>
      </c>
    </row>
    <row r="325" spans="1:98" s="20" customFormat="1" ht="15">
      <c r="A325" s="305" t="str">
        <f>$CR325</f>
        <v/>
      </c>
      <c r="B325" s="284"/>
      <c r="C325" s="290" t="str">
        <f ca="1">IFERROR(IF(LEFT(B325,3)='STAT 77'!$X$2,_xlfn.XLOOKUP(B325,'STAT 77'!C:C,'STAT 77'!B:B),_xlfn.XLOOKUP(B325,'STAT 77'!B:B,'STAT 77'!C:C)),"NON TROVATO")</f>
        <v>NON TROVATO</v>
      </c>
      <c r="D325" s="25"/>
      <c r="E325" s="290"/>
      <c r="F325" s="290" t="str">
        <f>IFERROR(VLOOKUP(E325,'Cambio O2P'!C:E,2,FALSE),"")</f>
        <v/>
      </c>
      <c r="G325" s="285"/>
      <c r="H325" s="293" t="str">
        <f ca="1">IFERROR(IF(AND('INformazioni per calcoli'!$AB$3&lt;(--"14:30"),'INformazioni per calcoli'!$AB$3&gt;(--"10:00")),"",IF($B325="","",IF($X325&lt;&gt;"","Mezzo Chiuso",IF($W325="","Non al Carico",IF($G325-'INformazioni per calcoli'!$AB$5-'INformazioni per calcoli'!$AB$3+$J325&lt;0,"LFLS",IF($K325&lt;&gt;"","Safe Parking",IF($W325&lt;&gt;"",IF($E325="MXP",$G325-'INformazioni per calcoli'!$AB$6-'INformazioni per calcoli'!$AB$3+$J325,$G325-'INformazioni per calcoli'!$AB$5-'INformazioni per calcoli'!$AB$3+$J325),"Non al carico"))))))),"")</f>
        <v/>
      </c>
      <c r="I325" s="17" t="str">
        <f ca="1">IFERROR(IF($H325&lt;&gt;"",IF($H325="Safe Parking","",IF($W325&lt;&gt;"",IF(AND($U325="X",$V325="X"),$H325-(--"00:30"),""),IF($X325&lt;&gt;"","Mezzo Chiuso","Non al carico"))),""),"")</f>
        <v/>
      </c>
      <c r="J325" s="306" t="str">
        <f>IFERROR(IF($B325&lt;&gt;"",IF(AND('INformazioni per calcoli'!$AB$3&lt;(--"15:00"),'INformazioni per calcoli'!$AB$3&gt;(--"00:00")),0,IF($G325&lt;(--"18:30"),"+1",0)),""),"")</f>
        <v/>
      </c>
      <c r="K325" s="17"/>
      <c r="L325" s="25"/>
      <c r="M325" s="25" t="str">
        <f>IFERROR(_xlfn.XLOOKUP($Q325,'Elenco Casse'!$D:$D,'Elenco Casse'!$E:$E),"")</f>
        <v/>
      </c>
      <c r="N325" s="25" t="str">
        <f>IFERROR(_xlfn.XLOOKUP($Q325,'Elenco Casse'!$D:$D,'Elenco Casse'!$F:$F),"")</f>
        <v/>
      </c>
      <c r="O325" s="286"/>
      <c r="P325" s="295" t="str">
        <f>IFERROR(_xlfn.XLOOKUP($Q325,'Elenco Casse'!$D:$D,'Elenco Casse'!$G:$G),"")</f>
        <v/>
      </c>
      <c r="Q325" s="355"/>
      <c r="R325" s="23"/>
      <c r="S325" s="25"/>
      <c r="T325" s="25"/>
      <c r="U325" s="23" t="str">
        <f>IF(ISNUMBER(SEARCH("Parcel",$T325)),"X","")</f>
        <v/>
      </c>
      <c r="V325" s="23" t="str">
        <f>IF(ISNUMBER(SEARCH("Freight",$T325)),"X","")</f>
        <v/>
      </c>
      <c r="W325" s="26"/>
      <c r="X325" s="27"/>
      <c r="Y325" s="25" t="str">
        <f>IF(Out_Table[[#This Row],[DOC Del. hr. (RTH)]]&lt;&gt;"","XXX","")</f>
        <v/>
      </c>
      <c r="Z325" s="25"/>
      <c r="AA325" s="25"/>
      <c r="AB325" s="57"/>
      <c r="AC325" s="25"/>
      <c r="AD325" s="25"/>
      <c r="AE325" s="57"/>
      <c r="AF325" s="57"/>
      <c r="AG325" s="25"/>
      <c r="AH325" s="57"/>
      <c r="AI325" s="339"/>
      <c r="AJ325" s="339"/>
      <c r="AK325" s="297" t="str">
        <f>IF(X325&lt;&gt;"",CONCATENATE(IF(AA325&lt;&gt;"",CONCATENATE(Z325," ",AA325," ",BI325),""),IF(AD325&lt;&gt;"",CONCATENATE(","," ",AC325," ",AD325," ",BJ325),""),IF(AG325&lt;&gt;"",CONCATENATE(","," ",AF325," ",AG325," ",BK325),""),IF(AJ325&lt;&gt;"",CONCATENATE(","," ","DD"," ",BL325),"")," ",IF(AI325&lt;&gt;"",CONCATENATE(" - ",AI325," Bag"),"")),"")</f>
        <v/>
      </c>
      <c r="AL325" s="287"/>
      <c r="AM325" s="287"/>
      <c r="AN325" s="287"/>
      <c r="AO325" s="287"/>
      <c r="AP325" s="370" t="str">
        <f>IFERROR(VLOOKUP($E322,Outlist!$A$5:$V$120,20,FALSE),"")</f>
        <v/>
      </c>
      <c r="AQ325" s="288" t="str">
        <f>IFERROR(IF(VLOOKUP($A325,#REF!,8,FALSE)&lt;&gt;"",VLOOKUP($A325,#REF!,8,FALSE),""),"")</f>
        <v/>
      </c>
      <c r="AS325" s="24"/>
      <c r="AT325" s="24"/>
      <c r="AU325" s="27"/>
      <c r="AV325" s="27"/>
      <c r="AX325" s="20" t="str">
        <f>IFERROR(IF(Out_Table[[#This Row],[Cancellazione linea]]="Cancellata","yes",""),"")</f>
        <v/>
      </c>
      <c r="AY325" s="72" t="str">
        <f>IF(BA325="",BZ325,IF(AND(BA325&lt;(--"23:59:59"),BA325&gt;(--"15:00:00"),G325&lt;(--"14:00:00"),G325&gt;(--"00:00:01")),"",IF(BA325&gt;G325,BZ325,"")))</f>
        <v/>
      </c>
      <c r="AZ325" s="27"/>
      <c r="BA325" s="32"/>
      <c r="BB325" s="72"/>
      <c r="BC325" s="72" t="str">
        <f>IFERROR(VLOOKUP(Out_Table[[#This Row],[Aggiornamento STATUS]],'INformazioni per calcoli'!$Y$70:$AA$76,2,FALSE),"")</f>
        <v/>
      </c>
      <c r="BD325" s="289"/>
      <c r="BE325" s="289"/>
      <c r="BF325" s="47" t="str">
        <f>LEFT($E325,3)</f>
        <v/>
      </c>
      <c r="BG325" s="298" t="str">
        <f>IF(Out_Table[[#This Row],[Ora Uscita    (GH)]]&lt;&gt;"","x","")</f>
        <v/>
      </c>
      <c r="BH325" s="299" t="e">
        <f>VLOOKUP($O325,'INformazioni per calcoli'!$Y$20:$AA$23,3,FALSE)</f>
        <v>#N/A</v>
      </c>
      <c r="BI325" s="299" t="e">
        <f>MROUND(Out_Table[[#This Row],[Mtr. Trailer]]*AB325,0.5)</f>
        <v>#N/A</v>
      </c>
      <c r="BJ325" s="299" t="e">
        <f>MROUND(Out_Table[[#This Row],[Mtr. Trailer]]*AE325,0.5)</f>
        <v>#N/A</v>
      </c>
      <c r="BK325" s="299" t="e">
        <f>MROUND(Out_Table[[#This Row],[Mtr. Trailer]]*AH325,0.5)</f>
        <v>#N/A</v>
      </c>
      <c r="BL325" s="300">
        <f>Out_Table[[#This Row],[Double Deck trailer N° bumpers]]</f>
        <v>0</v>
      </c>
      <c r="BM325" s="301"/>
      <c r="BN325" s="299">
        <f>B325</f>
        <v>0</v>
      </c>
      <c r="BO325" s="299">
        <f>E325</f>
        <v>0</v>
      </c>
      <c r="BP325" s="302">
        <f>IF(AND(G325&gt;(--"00:00:01"),G325&lt;(--"15:00:00")),IF(AND(X325&gt;(--"00:00:01"),X325&lt;(--"15:00:00")),G325-X325,G325+1-X325),G325-X325)</f>
        <v>0</v>
      </c>
      <c r="BQ325" s="303">
        <f>AE325+AF325+AH325+AJ325</f>
        <v>0</v>
      </c>
      <c r="BR325" s="304" t="str">
        <f>IF(OR(BP325&lt;=(--"00:20:00"),BQ325&gt;=100%),"OK","Not OK")</f>
        <v>OK</v>
      </c>
      <c r="BS325" s="302">
        <f>IF(AND(G325&gt;(--"00:00:01"),G325&lt;(--"15:00:00")),IF(AND(AU325&gt;(--"00:00:01"),AU325&lt;(--"15:00:00")),G325-AU325,G325+1-AU325),G325-AU325)</f>
        <v>0</v>
      </c>
      <c r="BT325" s="302">
        <f>IF(AND(AZ325&gt;(--"00:00:01"),AZ325&lt;(--"15:00:00")),IF(AND(AU325&gt;(--"00:00:01"),AU325&lt;(--"15:00:00")),AZ325-AU325,AZ325+1-AU325),AZ325-AU325)</f>
        <v>0</v>
      </c>
      <c r="BU325" s="302">
        <f>IF(AND(BA325&gt;(--"00:00:01"),BA325&lt;(--"15:00:00")),IF(AND(AZ325&gt;(--"00:00:01"),AZ325&lt;(--"15:00:00")),BA325-AZ325,BA325+1-AZ325),BA325-AZ325)</f>
        <v>0</v>
      </c>
      <c r="BV325" s="299">
        <f>AV325</f>
        <v>0</v>
      </c>
      <c r="BW325" s="301"/>
      <c r="BX325" s="299" t="str">
        <f>IF(AV325="T Status",IF(AV325&lt;&gt;T325,"X",""),"")</f>
        <v/>
      </c>
      <c r="BY325" s="301"/>
      <c r="BZ325" s="299" t="str">
        <f>IF(X325&lt;&gt;"",IF(CC325="X","Driver Delay",IF(CA325="X","Paperwork Delay",IF(CB325="X","Late freight late sort",IF(CD325="X","Chiamare Control Room",IF(CE325="X","Chiamare Control Room",IF(CF325="X","Chiamare Control Room","")))))),"")</f>
        <v/>
      </c>
      <c r="CA325" s="302" t="str">
        <f>IF(K325="",IF(IF(AND(G325&gt;(--"00:00:01"),G325&lt;(--"15:00:00")),IF(AND(AT325&gt;(--"08:00:00"),AT325&lt;(--"23:59:59")),G325+1-AT325,G325-AT325),G325-AT325)&gt;(--"00:20:00"),"","X"),"")</f>
        <v>X</v>
      </c>
      <c r="CB325" s="299" t="str">
        <f>IF(K325="",IF(BP325&gt;=(--"00:20:00"),"","X"),"")</f>
        <v>X</v>
      </c>
      <c r="CC325" s="299" t="str">
        <f>IF(OR(AV325="Autista non presente",AV325="Dati driver non presenti"),"X","")</f>
        <v/>
      </c>
      <c r="CD325" s="299" t="str">
        <f>IF(K325="",IF(AND(CC325="",BS325&lt;(--"00:20:00")),"X",""),"")</f>
        <v>X</v>
      </c>
      <c r="CE325" s="299" t="str">
        <f>IF(K325="",IF(BT325&gt;(--"00:15:00"),"X",""),IF(AZ325&lt;&gt;"",IF(G325-AZ325&gt;(--"00:30:00"),"X",""),""))</f>
        <v/>
      </c>
      <c r="CF325" s="299" t="str">
        <f>IF(AND(CA325="",CB325="",CC325="",CD325="",CE325=""),"X","")</f>
        <v/>
      </c>
      <c r="CG325" s="301"/>
      <c r="CH325" s="299" t="str">
        <f>IF(BT325&gt;(--"00:15:00"),"X","")</f>
        <v/>
      </c>
      <c r="CI325" s="302" t="str">
        <f>AY325</f>
        <v/>
      </c>
      <c r="CJ325" s="299" t="str">
        <f>IF(AND(CH325&lt;&gt;"",CI325&lt;&gt;"",LEFT(B325,3)="ITD"),AP325,"")</f>
        <v/>
      </c>
      <c r="CK325" s="305" t="str">
        <f>IF(CJ325&lt;&gt;"",BT325,"")</f>
        <v/>
      </c>
      <c r="CL325" s="301"/>
      <c r="CM325" s="305" t="str">
        <f>IFERROR(VLOOKUP(Q325,'Elenco Casse'!$D$4:$F$292,3,FALSE),"")</f>
        <v/>
      </c>
      <c r="CN325" s="301"/>
      <c r="CO325" s="305" t="str">
        <f>IFERROR(VLOOKUP(S325,'Elenco Casse'!$D$4:$F$292,3,FALSE),"")</f>
        <v/>
      </c>
      <c r="CP325" s="305" t="str">
        <f>IFERROR(IF(VLOOKUP($E325,Outlist!$A$5:$S$120,19,FALSE)&lt;&gt;0,"Y",""),"")</f>
        <v/>
      </c>
      <c r="CQ325" s="301"/>
      <c r="CR325" s="305" t="str">
        <f>CONCATENATE($B325,$E325,$G325)</f>
        <v/>
      </c>
      <c r="CS325" s="301"/>
      <c r="CT325" s="305" t="e">
        <f>VLOOKUP(Out_Table[[#This Row],[Destination             ORANGE (From Planning)]],Outlist!$A$5:$W$120,22,FALSE)</f>
        <v>#N/A</v>
      </c>
    </row>
    <row r="326" spans="1:98" s="20" customFormat="1" ht="15">
      <c r="A326" s="305" t="str">
        <f>$CR326</f>
        <v/>
      </c>
      <c r="B326" s="284"/>
      <c r="C326" s="290">
        <f ca="1">IFERROR(IF(LEFT(B326,3)='STAT 77'!$X$2,_xlfn.XLOOKUP(B326,'STAT 77'!C:C,'STAT 77'!B:B),_xlfn.XLOOKUP(B326,'STAT 77'!B:B,'STAT 77'!C:C)),"NON TROVATO")</f>
        <v>0</v>
      </c>
      <c r="D326" s="25"/>
      <c r="E326" s="290"/>
      <c r="F326" s="290" t="str">
        <f>IFERROR(VLOOKUP(E326,'Cambio O2P'!C:E,2,FALSE),"")</f>
        <v/>
      </c>
      <c r="G326" s="285"/>
      <c r="H326" s="293" t="str">
        <f ca="1">IFERROR(IF(AND('INformazioni per calcoli'!$AB$3&lt;(--"14:30"),'INformazioni per calcoli'!$AB$3&gt;(--"10:00")),"",IF($B326="","",IF($X326&lt;&gt;"","Mezzo Chiuso",IF($W326="","Non al Carico",IF($G326-'INformazioni per calcoli'!$AB$5-'INformazioni per calcoli'!$AB$3+$J326&lt;0,"LFLS",IF($K326&lt;&gt;"","Safe Parking",IF($W326&lt;&gt;"",IF($E326="MXP",$G326-'INformazioni per calcoli'!$AB$6-'INformazioni per calcoli'!$AB$3+$J326,$G326-'INformazioni per calcoli'!$AB$5-'INformazioni per calcoli'!$AB$3+$J326),"Non al carico"))))))),"")</f>
        <v/>
      </c>
      <c r="I326" s="17" t="str">
        <f ca="1">IFERROR(IF($H326&lt;&gt;"",IF($H326="Safe Parking","",IF($W326&lt;&gt;"",IF(AND($U326="X",$V326="X"),$H326-(--"00:30"),""),IF($X326&lt;&gt;"","Mezzo Chiuso","Non al carico"))),""),"")</f>
        <v/>
      </c>
      <c r="J326" s="306" t="str">
        <f>IFERROR(IF($B326&lt;&gt;"",IF(AND('INformazioni per calcoli'!$AB$3&lt;(--"15:00"),'INformazioni per calcoli'!$AB$3&gt;(--"00:00")),0,IF($G326&lt;(--"18:30"),"+1",0)),""),"")</f>
        <v/>
      </c>
      <c r="K326" s="17"/>
      <c r="L326" s="25"/>
      <c r="M326" s="25" t="str">
        <f>IFERROR(_xlfn.XLOOKUP($Q326,'Elenco Casse'!$D:$D,'Elenco Casse'!$E:$E),"")</f>
        <v/>
      </c>
      <c r="N326" s="25" t="str">
        <f>IFERROR(_xlfn.XLOOKUP($Q326,'Elenco Casse'!$D:$D,'Elenco Casse'!$F:$F),"")</f>
        <v/>
      </c>
      <c r="O326" s="286"/>
      <c r="P326" s="295" t="str">
        <f>IFERROR(_xlfn.XLOOKUP($Q326,'Elenco Casse'!$D:$D,'Elenco Casse'!$G:$G),"")</f>
        <v/>
      </c>
      <c r="Q326" s="355"/>
      <c r="R326" s="23"/>
      <c r="S326" s="25"/>
      <c r="T326" s="25"/>
      <c r="U326" s="23" t="str">
        <f>IF(ISNUMBER(SEARCH("Parcel",$T326)),"X","")</f>
        <v/>
      </c>
      <c r="V326" s="23" t="str">
        <f>IF(ISNUMBER(SEARCH("Freight",$T326)),"X","")</f>
        <v/>
      </c>
      <c r="W326" s="26"/>
      <c r="X326" s="27"/>
      <c r="Y326" s="25" t="str">
        <f>IF(Out_Table[[#This Row],[DOC Del. hr. (RTH)]]&lt;&gt;"","XXX","")</f>
        <v/>
      </c>
      <c r="Z326" s="25"/>
      <c r="AA326" s="25"/>
      <c r="AB326" s="57"/>
      <c r="AC326" s="25"/>
      <c r="AD326" s="25"/>
      <c r="AE326" s="57"/>
      <c r="AF326" s="57"/>
      <c r="AG326" s="25"/>
      <c r="AH326" s="57"/>
      <c r="AI326" s="339"/>
      <c r="AJ326" s="339"/>
      <c r="AK326" s="297" t="str">
        <f>IF(X326&lt;&gt;"",CONCATENATE(IF(AA326&lt;&gt;"",CONCATENATE(Z326," ",AA326," ",BI326),""),IF(AD326&lt;&gt;"",CONCATENATE(","," ",AC326," ",AD326," ",BJ326),""),IF(AG326&lt;&gt;"",CONCATENATE(","," ",AF326," ",AG326," ",BK326),""),IF(AJ326&lt;&gt;"",CONCATENATE(","," ","DD"," ",BL326),"")," ",IF(AI326&lt;&gt;"",CONCATENATE(" - ",AI326," Bag"),"")),"")</f>
        <v/>
      </c>
      <c r="AL326" s="287"/>
      <c r="AM326" s="287"/>
      <c r="AN326" s="287"/>
      <c r="AO326" s="287"/>
      <c r="AP326" s="370" t="str">
        <f>IFERROR(VLOOKUP($E323,Outlist!$A$5:$V$120,20,FALSE),"")</f>
        <v/>
      </c>
      <c r="AQ326" s="288" t="str">
        <f>IFERROR(IF(VLOOKUP($A326,#REF!,8,FALSE)&lt;&gt;"",VLOOKUP($A326,#REF!,8,FALSE),""),"")</f>
        <v/>
      </c>
      <c r="AS326" s="24"/>
      <c r="AT326" s="24"/>
      <c r="AU326" s="27"/>
      <c r="AV326" s="27"/>
      <c r="AX326" s="20" t="str">
        <f>IFERROR(IF(Out_Table[[#This Row],[Cancellazione linea]]="Cancellata","yes",""),"")</f>
        <v/>
      </c>
      <c r="AY326" s="72" t="str">
        <f>IF(BA326="",BZ326,IF(AND(BA326&lt;(--"23:59:59"),BA326&gt;(--"15:00:00"),G326&lt;(--"14:00:00"),G326&gt;(--"00:00:01")),"",IF(BA326&gt;G326,BZ326,"")))</f>
        <v/>
      </c>
      <c r="AZ326" s="27"/>
      <c r="BA326" s="32"/>
      <c r="BB326" s="72"/>
      <c r="BC326" s="72" t="str">
        <f>IFERROR(VLOOKUP(Out_Table[[#This Row],[Aggiornamento STATUS]],'INformazioni per calcoli'!$Y$70:$AA$76,2,FALSE),"")</f>
        <v/>
      </c>
      <c r="BD326" s="289"/>
      <c r="BE326" s="289"/>
      <c r="BF326" s="47" t="str">
        <f>LEFT($E326,3)</f>
        <v/>
      </c>
      <c r="BG326" s="298" t="str">
        <f>IF(Out_Table[[#This Row],[Ora Uscita    (GH)]]&lt;&gt;"","x","")</f>
        <v/>
      </c>
      <c r="BH326" s="299" t="e">
        <f>VLOOKUP($O326,'INformazioni per calcoli'!$Y$20:$AA$23,3,FALSE)</f>
        <v>#N/A</v>
      </c>
      <c r="BI326" s="299" t="e">
        <f>MROUND(Out_Table[[#This Row],[Mtr. Trailer]]*AB326,0.5)</f>
        <v>#N/A</v>
      </c>
      <c r="BJ326" s="299" t="e">
        <f>MROUND(Out_Table[[#This Row],[Mtr. Trailer]]*AE326,0.5)</f>
        <v>#N/A</v>
      </c>
      <c r="BK326" s="299" t="e">
        <f>MROUND(Out_Table[[#This Row],[Mtr. Trailer]]*AH326,0.5)</f>
        <v>#N/A</v>
      </c>
      <c r="BL326" s="300">
        <f>Out_Table[[#This Row],[Double Deck trailer N° bumpers]]</f>
        <v>0</v>
      </c>
      <c r="BM326" s="301"/>
      <c r="BN326" s="299">
        <f>B326</f>
        <v>0</v>
      </c>
      <c r="BO326" s="299">
        <f>E326</f>
        <v>0</v>
      </c>
      <c r="BP326" s="302">
        <f>IF(AND(G326&gt;(--"00:00:01"),G326&lt;(--"15:00:00")),IF(AND(X326&gt;(--"00:00:01"),X326&lt;(--"15:00:00")),G326-X326,G326+1-X326),G326-X326)</f>
        <v>0</v>
      </c>
      <c r="BQ326" s="303">
        <f>AE326+AF326+AH326+AJ326</f>
        <v>0</v>
      </c>
      <c r="BR326" s="304" t="str">
        <f>IF(OR(BP326&lt;=(--"00:20:00"),BQ326&gt;=100%),"OK","Not OK")</f>
        <v>OK</v>
      </c>
      <c r="BS326" s="302">
        <f>IF(AND(G326&gt;(--"00:00:01"),G326&lt;(--"15:00:00")),IF(AND(AU326&gt;(--"00:00:01"),AU326&lt;(--"15:00:00")),G326-AU326,G326+1-AU326),G326-AU326)</f>
        <v>0</v>
      </c>
      <c r="BT326" s="302">
        <f>IF(AND(AZ326&gt;(--"00:00:01"),AZ326&lt;(--"15:00:00")),IF(AND(AU326&gt;(--"00:00:01"),AU326&lt;(--"15:00:00")),AZ326-AU326,AZ326+1-AU326),AZ326-AU326)</f>
        <v>0</v>
      </c>
      <c r="BU326" s="302">
        <f>IF(AND(BA326&gt;(--"00:00:01"),BA326&lt;(--"15:00:00")),IF(AND(AZ326&gt;(--"00:00:01"),AZ326&lt;(--"15:00:00")),BA326-AZ326,BA326+1-AZ326),BA326-AZ326)</f>
        <v>0</v>
      </c>
      <c r="BV326" s="299">
        <f>AV326</f>
        <v>0</v>
      </c>
      <c r="BW326" s="301"/>
      <c r="BX326" s="299" t="str">
        <f>IF(AV326="T Status",IF(AV326&lt;&gt;T326,"X",""),"")</f>
        <v/>
      </c>
      <c r="BY326" s="301"/>
      <c r="BZ326" s="299" t="str">
        <f>IF(X326&lt;&gt;"",IF(CC326="X","Driver Delay",IF(CA326="X","Paperwork Delay",IF(CB326="X","Late freight late sort",IF(CD326="X","Chiamare Control Room",IF(CE326="X","Chiamare Control Room",IF(CF326="X","Chiamare Control Room","")))))),"")</f>
        <v/>
      </c>
      <c r="CA326" s="302" t="str">
        <f>IF(K326="",IF(IF(AND(G326&gt;(--"00:00:01"),G326&lt;(--"15:00:00")),IF(AND(AT326&gt;(--"08:00:00"),AT326&lt;(--"23:59:59")),G326+1-AT326,G326-AT326),G326-AT326)&gt;(--"00:20:00"),"","X"),"")</f>
        <v>X</v>
      </c>
      <c r="CB326" s="299" t="str">
        <f>IF(K326="",IF(BP326&gt;=(--"00:20:00"),"","X"),"")</f>
        <v>X</v>
      </c>
      <c r="CC326" s="299" t="str">
        <f>IF(OR(AV326="Autista non presente",AV326="Dati driver non presenti"),"X","")</f>
        <v/>
      </c>
      <c r="CD326" s="299" t="str">
        <f>IF(K326="",IF(AND(CC326="",BS326&lt;(--"00:20:00")),"X",""),"")</f>
        <v>X</v>
      </c>
      <c r="CE326" s="299" t="str">
        <f>IF(K326="",IF(BT326&gt;(--"00:15:00"),"X",""),IF(AZ326&lt;&gt;"",IF(G326-AZ326&gt;(--"00:30:00"),"X",""),""))</f>
        <v/>
      </c>
      <c r="CF326" s="299" t="str">
        <f>IF(AND(CA326="",CB326="",CC326="",CD326="",CE326=""),"X","")</f>
        <v/>
      </c>
      <c r="CG326" s="301"/>
      <c r="CH326" s="299" t="str">
        <f>IF(BT326&gt;(--"00:15:00"),"X","")</f>
        <v/>
      </c>
      <c r="CI326" s="302" t="str">
        <f>AY326</f>
        <v/>
      </c>
      <c r="CJ326" s="299" t="str">
        <f>IF(AND(CH326&lt;&gt;"",CI326&lt;&gt;"",LEFT(B326,3)="ITD"),AP326,"")</f>
        <v/>
      </c>
      <c r="CK326" s="305" t="str">
        <f>IF(CJ326&lt;&gt;"",BT326,"")</f>
        <v/>
      </c>
      <c r="CL326" s="301"/>
      <c r="CM326" s="305" t="str">
        <f>IFERROR(VLOOKUP(Q326,'Elenco Casse'!$D$4:$F$292,3,FALSE),"")</f>
        <v/>
      </c>
      <c r="CN326" s="301"/>
      <c r="CO326" s="305" t="str">
        <f>IFERROR(VLOOKUP(S326,'Elenco Casse'!$D$4:$F$292,3,FALSE),"")</f>
        <v/>
      </c>
      <c r="CP326" s="305" t="str">
        <f>IFERROR(IF(VLOOKUP($E326,Outlist!$A$5:$S$120,19,FALSE)&lt;&gt;0,"Y",""),"")</f>
        <v/>
      </c>
      <c r="CQ326" s="301"/>
      <c r="CR326" s="305" t="str">
        <f>CONCATENATE($B326,$E326,$G326)</f>
        <v/>
      </c>
      <c r="CS326" s="301"/>
      <c r="CT326" s="305" t="e">
        <f>VLOOKUP(Out_Table[[#This Row],[Destination             ORANGE (From Planning)]],Outlist!$A$5:$W$120,22,FALSE)</f>
        <v>#N/A</v>
      </c>
    </row>
    <row r="327" spans="1:98" s="20" customFormat="1" ht="15">
      <c r="A327" s="305" t="str">
        <f>$CR327</f>
        <v/>
      </c>
      <c r="B327" s="284"/>
      <c r="C327" s="290">
        <f ca="1">IFERROR(IF(LEFT(B327,3)='STAT 77'!$X$2,_xlfn.XLOOKUP(B327,'STAT 77'!C:C,'STAT 77'!B:B),_xlfn.XLOOKUP(B327,'STAT 77'!B:B,'STAT 77'!C:C)),"NON TROVATO")</f>
        <v>0</v>
      </c>
      <c r="D327" s="25"/>
      <c r="E327" s="290"/>
      <c r="F327" s="290" t="str">
        <f>IFERROR(VLOOKUP(E327,'Cambio O2P'!C:E,2,FALSE),"")</f>
        <v/>
      </c>
      <c r="G327" s="285"/>
      <c r="H327" s="293" t="str">
        <f ca="1">IFERROR(IF(AND('INformazioni per calcoli'!$AB$3&lt;(--"14:30"),'INformazioni per calcoli'!$AB$3&gt;(--"10:00")),"",IF($B327="","",IF($X327&lt;&gt;"","Mezzo Chiuso",IF($W327="","Non al Carico",IF($G327-'INformazioni per calcoli'!$AB$5-'INformazioni per calcoli'!$AB$3+$J327&lt;0,"LFLS",IF($K327&lt;&gt;"","Safe Parking",IF($W327&lt;&gt;"",IF($E327="MXP",$G327-'INformazioni per calcoli'!$AB$6-'INformazioni per calcoli'!$AB$3+$J327,$G327-'INformazioni per calcoli'!$AB$5-'INformazioni per calcoli'!$AB$3+$J327),"Non al carico"))))))),"")</f>
        <v/>
      </c>
      <c r="I327" s="17" t="str">
        <f ca="1">IFERROR(IF($H327&lt;&gt;"",IF($H327="Safe Parking","",IF($W327&lt;&gt;"",IF(AND($U327="X",$V327="X"),$H327-(--"00:30"),""),IF($X327&lt;&gt;"","Mezzo Chiuso","Non al carico"))),""),"")</f>
        <v/>
      </c>
      <c r="J327" s="306" t="str">
        <f>IFERROR(IF($B327&lt;&gt;"",IF(AND('INformazioni per calcoli'!$AB$3&lt;(--"15:00"),'INformazioni per calcoli'!$AB$3&gt;(--"00:00")),0,IF($G327&lt;(--"18:30"),"+1",0)),""),"")</f>
        <v/>
      </c>
      <c r="K327" s="17"/>
      <c r="L327" s="25"/>
      <c r="M327" s="25" t="str">
        <f>IFERROR(_xlfn.XLOOKUP($Q327,'Elenco Casse'!$D:$D,'Elenco Casse'!$E:$E),"")</f>
        <v/>
      </c>
      <c r="N327" s="25" t="str">
        <f>IFERROR(_xlfn.XLOOKUP($Q327,'Elenco Casse'!$D:$D,'Elenco Casse'!$F:$F),"")</f>
        <v/>
      </c>
      <c r="O327" s="286"/>
      <c r="P327" s="295" t="str">
        <f>IFERROR(_xlfn.XLOOKUP($Q327,'Elenco Casse'!$D:$D,'Elenco Casse'!$G:$G),"")</f>
        <v/>
      </c>
      <c r="Q327" s="355"/>
      <c r="R327" s="23"/>
      <c r="S327" s="25"/>
      <c r="T327" s="25"/>
      <c r="U327" s="23" t="str">
        <f>IF(ISNUMBER(SEARCH("Parcel",$T327)),"X","")</f>
        <v/>
      </c>
      <c r="V327" s="23" t="str">
        <f>IF(ISNUMBER(SEARCH("Freight",$T327)),"X","")</f>
        <v/>
      </c>
      <c r="W327" s="26"/>
      <c r="X327" s="27"/>
      <c r="Y327" s="25" t="str">
        <f>IF(Out_Table[[#This Row],[DOC Del. hr. (RTH)]]&lt;&gt;"","XXX","")</f>
        <v/>
      </c>
      <c r="Z327" s="25"/>
      <c r="AA327" s="25"/>
      <c r="AB327" s="57"/>
      <c r="AC327" s="25"/>
      <c r="AD327" s="25"/>
      <c r="AE327" s="57"/>
      <c r="AF327" s="57"/>
      <c r="AG327" s="25"/>
      <c r="AH327" s="57"/>
      <c r="AI327" s="339"/>
      <c r="AJ327" s="339"/>
      <c r="AK327" s="297" t="str">
        <f>IF(X327&lt;&gt;"",CONCATENATE(IF(AA327&lt;&gt;"",CONCATENATE(Z327," ",AA327," ",BI327),""),IF(AD327&lt;&gt;"",CONCATENATE(","," ",AC327," ",AD327," ",BJ327),""),IF(AG327&lt;&gt;"",CONCATENATE(","," ",AF327," ",AG327," ",BK327),""),IF(AJ327&lt;&gt;"",CONCATENATE(","," ","DD"," ",BL327),"")," ",IF(AI327&lt;&gt;"",CONCATENATE(" - ",AI327," Bag"),"")),"")</f>
        <v/>
      </c>
      <c r="AL327" s="287"/>
      <c r="AM327" s="287"/>
      <c r="AN327" s="287"/>
      <c r="AO327" s="287"/>
      <c r="AP327" s="370" t="str">
        <f>IFERROR(VLOOKUP($E324,Outlist!$A$5:$V$120,20,FALSE),"")</f>
        <v/>
      </c>
      <c r="AQ327" s="288" t="str">
        <f>IFERROR(IF(VLOOKUP($A327,#REF!,8,FALSE)&lt;&gt;"",VLOOKUP($A327,#REF!,8,FALSE),""),"")</f>
        <v/>
      </c>
      <c r="AS327" s="24"/>
      <c r="AT327" s="24"/>
      <c r="AU327" s="27"/>
      <c r="AV327" s="27"/>
      <c r="AX327" s="20" t="str">
        <f>IFERROR(IF(Out_Table[[#This Row],[Cancellazione linea]]="Cancellata","yes",""),"")</f>
        <v/>
      </c>
      <c r="AY327" s="72" t="str">
        <f>IF(BA327="",BZ327,IF(AND(BA327&lt;(--"23:59:59"),BA327&gt;(--"15:00:00"),G327&lt;(--"14:00:00"),G327&gt;(--"00:00:01")),"",IF(BA327&gt;G327,BZ327,"")))</f>
        <v/>
      </c>
      <c r="AZ327" s="27"/>
      <c r="BA327" s="32"/>
      <c r="BB327" s="72"/>
      <c r="BC327" s="72" t="str">
        <f>IFERROR(VLOOKUP(Out_Table[[#This Row],[Aggiornamento STATUS]],'INformazioni per calcoli'!$Y$70:$AA$76,2,FALSE),"")</f>
        <v/>
      </c>
      <c r="BD327" s="289"/>
      <c r="BE327" s="289"/>
      <c r="BF327" s="47" t="str">
        <f>LEFT($E327,3)</f>
        <v/>
      </c>
      <c r="BG327" s="298" t="str">
        <f>IF(Out_Table[[#This Row],[Ora Uscita    (GH)]]&lt;&gt;"","x","")</f>
        <v/>
      </c>
      <c r="BH327" s="299" t="e">
        <f>VLOOKUP($O327,'INformazioni per calcoli'!$Y$20:$AA$23,3,FALSE)</f>
        <v>#N/A</v>
      </c>
      <c r="BI327" s="299" t="e">
        <f>MROUND(Out_Table[[#This Row],[Mtr. Trailer]]*AB327,0.5)</f>
        <v>#N/A</v>
      </c>
      <c r="BJ327" s="299" t="e">
        <f>MROUND(Out_Table[[#This Row],[Mtr. Trailer]]*AE327,0.5)</f>
        <v>#N/A</v>
      </c>
      <c r="BK327" s="299" t="e">
        <f>MROUND(Out_Table[[#This Row],[Mtr. Trailer]]*AH327,0.5)</f>
        <v>#N/A</v>
      </c>
      <c r="BL327" s="300">
        <f>Out_Table[[#This Row],[Double Deck trailer N° bumpers]]</f>
        <v>0</v>
      </c>
      <c r="BM327" s="301"/>
      <c r="BN327" s="299">
        <f>B327</f>
        <v>0</v>
      </c>
      <c r="BO327" s="299">
        <f>E327</f>
        <v>0</v>
      </c>
      <c r="BP327" s="302">
        <f>IF(AND(G327&gt;(--"00:00:01"),G327&lt;(--"15:00:00")),IF(AND(X327&gt;(--"00:00:01"),X327&lt;(--"15:00:00")),G327-X327,G327+1-X327),G327-X327)</f>
        <v>0</v>
      </c>
      <c r="BQ327" s="303">
        <f>AE327+AF327+AH327+AJ327</f>
        <v>0</v>
      </c>
      <c r="BR327" s="304" t="str">
        <f>IF(OR(BP327&lt;=(--"00:20:00"),BQ327&gt;=100%),"OK","Not OK")</f>
        <v>OK</v>
      </c>
      <c r="BS327" s="302">
        <f>IF(AND(G327&gt;(--"00:00:01"),G327&lt;(--"15:00:00")),IF(AND(AU327&gt;(--"00:00:01"),AU327&lt;(--"15:00:00")),G327-AU327,G327+1-AU327),G327-AU327)</f>
        <v>0</v>
      </c>
      <c r="BT327" s="302">
        <f>IF(AND(AZ327&gt;(--"00:00:01"),AZ327&lt;(--"15:00:00")),IF(AND(AU327&gt;(--"00:00:01"),AU327&lt;(--"15:00:00")),AZ327-AU327,AZ327+1-AU327),AZ327-AU327)</f>
        <v>0</v>
      </c>
      <c r="BU327" s="302">
        <f>IF(AND(BA327&gt;(--"00:00:01"),BA327&lt;(--"15:00:00")),IF(AND(AZ327&gt;(--"00:00:01"),AZ327&lt;(--"15:00:00")),BA327-AZ327,BA327+1-AZ327),BA327-AZ327)</f>
        <v>0</v>
      </c>
      <c r="BV327" s="299">
        <f>AV327</f>
        <v>0</v>
      </c>
      <c r="BW327" s="301"/>
      <c r="BX327" s="299" t="str">
        <f>IF(AV327="T Status",IF(AV327&lt;&gt;T327,"X",""),"")</f>
        <v/>
      </c>
      <c r="BY327" s="301"/>
      <c r="BZ327" s="299" t="str">
        <f>IF(X327&lt;&gt;"",IF(CC327="X","Driver Delay",IF(CA327="X","Paperwork Delay",IF(CB327="X","Late freight late sort",IF(CD327="X","Chiamare Control Room",IF(CE327="X","Chiamare Control Room",IF(CF327="X","Chiamare Control Room","")))))),"")</f>
        <v/>
      </c>
      <c r="CA327" s="302" t="str">
        <f>IF(K327="",IF(IF(AND(G327&gt;(--"00:00:01"),G327&lt;(--"15:00:00")),IF(AND(AT327&gt;(--"08:00:00"),AT327&lt;(--"23:59:59")),G327+1-AT327,G327-AT327),G327-AT327)&gt;(--"00:20:00"),"","X"),"")</f>
        <v>X</v>
      </c>
      <c r="CB327" s="299" t="str">
        <f>IF(K327="",IF(BP327&gt;=(--"00:20:00"),"","X"),"")</f>
        <v>X</v>
      </c>
      <c r="CC327" s="299" t="str">
        <f>IF(OR(AV327="Autista non presente",AV327="Dati driver non presenti"),"X","")</f>
        <v/>
      </c>
      <c r="CD327" s="299" t="str">
        <f>IF(K327="",IF(AND(CC327="",BS327&lt;(--"00:20:00")),"X",""),"")</f>
        <v>X</v>
      </c>
      <c r="CE327" s="299" t="str">
        <f>IF(K327="",IF(BT327&gt;(--"00:15:00"),"X",""),IF(AZ327&lt;&gt;"",IF(G327-AZ327&gt;(--"00:30:00"),"X",""),""))</f>
        <v/>
      </c>
      <c r="CF327" s="299" t="str">
        <f>IF(AND(CA327="",CB327="",CC327="",CD327="",CE327=""),"X","")</f>
        <v/>
      </c>
      <c r="CG327" s="301"/>
      <c r="CH327" s="299" t="str">
        <f>IF(BT327&gt;(--"00:15:00"),"X","")</f>
        <v/>
      </c>
      <c r="CI327" s="302" t="str">
        <f>AY327</f>
        <v/>
      </c>
      <c r="CJ327" s="299" t="str">
        <f>IF(AND(CH327&lt;&gt;"",CI327&lt;&gt;"",LEFT(B327,3)="ITD"),AP327,"")</f>
        <v/>
      </c>
      <c r="CK327" s="305" t="str">
        <f>IF(CJ327&lt;&gt;"",BT327,"")</f>
        <v/>
      </c>
      <c r="CL327" s="301"/>
      <c r="CM327" s="305" t="str">
        <f>IFERROR(VLOOKUP(Q327,'Elenco Casse'!$D$4:$F$292,3,FALSE),"")</f>
        <v/>
      </c>
      <c r="CN327" s="301"/>
      <c r="CO327" s="305" t="str">
        <f>IFERROR(VLOOKUP(S327,'Elenco Casse'!$D$4:$F$292,3,FALSE),"")</f>
        <v/>
      </c>
      <c r="CP327" s="305" t="str">
        <f>IFERROR(IF(VLOOKUP($E327,Outlist!$A$5:$S$120,19,FALSE)&lt;&gt;0,"Y",""),"")</f>
        <v/>
      </c>
      <c r="CQ327" s="301"/>
      <c r="CR327" s="305" t="str">
        <f>CONCATENATE($B327,$E327,$G327)</f>
        <v/>
      </c>
      <c r="CS327" s="301"/>
      <c r="CT327" s="305" t="e">
        <f>VLOOKUP(Out_Table[[#This Row],[Destination             ORANGE (From Planning)]],Outlist!$A$5:$W$120,22,FALSE)</f>
        <v>#N/A</v>
      </c>
    </row>
    <row r="328" spans="1:98" s="20" customFormat="1" ht="15">
      <c r="A328" s="305" t="str">
        <f>$CR328</f>
        <v/>
      </c>
      <c r="B328" s="284"/>
      <c r="C328" s="290" t="str">
        <f ca="1">IFERROR(IF(LEFT(B328,3)='STAT 77'!$X$2,_xlfn.XLOOKUP(B328,'STAT 77'!C:C,'STAT 77'!B:B),_xlfn.XLOOKUP(B328,'STAT 77'!B:B,'STAT 77'!C:C)),"NON TROVATO")</f>
        <v>NON TROVATO</v>
      </c>
      <c r="D328" s="25"/>
      <c r="E328" s="290"/>
      <c r="F328" s="290" t="str">
        <f>IFERROR(VLOOKUP(E328,'Cambio O2P'!C:E,2,FALSE),"")</f>
        <v/>
      </c>
      <c r="G328" s="285"/>
      <c r="H328" s="293" t="str">
        <f ca="1">IFERROR(IF(AND('INformazioni per calcoli'!$AB$3&lt;(--"14:30"),'INformazioni per calcoli'!$AB$3&gt;(--"10:00")),"",IF($B328="","",IF($X328&lt;&gt;"","Mezzo Chiuso",IF($W328="","Non al Carico",IF($G328-'INformazioni per calcoli'!$AB$5-'INformazioni per calcoli'!$AB$3+$J328&lt;0,"LFLS",IF($K328&lt;&gt;"","Safe Parking",IF($W328&lt;&gt;"",IF($E328="MXP",$G328-'INformazioni per calcoli'!$AB$6-'INformazioni per calcoli'!$AB$3+$J328,$G328-'INformazioni per calcoli'!$AB$5-'INformazioni per calcoli'!$AB$3+$J328),"Non al carico"))))))),"")</f>
        <v/>
      </c>
      <c r="I328" s="17" t="str">
        <f ca="1">IFERROR(IF($H328&lt;&gt;"",IF($H328="Safe Parking","",IF($W328&lt;&gt;"",IF(AND($U328="X",$V328="X"),$H328-(--"00:30"),""),IF($X328&lt;&gt;"","Mezzo Chiuso","Non al carico"))),""),"")</f>
        <v/>
      </c>
      <c r="J328" s="306" t="str">
        <f>IFERROR(IF($B328&lt;&gt;"",IF(AND('INformazioni per calcoli'!$AB$3&lt;(--"15:00"),'INformazioni per calcoli'!$AB$3&gt;(--"00:00")),0,IF($G328&lt;(--"18:30"),"+1",0)),""),"")</f>
        <v/>
      </c>
      <c r="K328" s="17"/>
      <c r="L328" s="25"/>
      <c r="M328" s="25" t="str">
        <f>IFERROR(_xlfn.XLOOKUP($Q328,'Elenco Casse'!$D:$D,'Elenco Casse'!$E:$E),"")</f>
        <v/>
      </c>
      <c r="N328" s="25" t="str">
        <f>IFERROR(_xlfn.XLOOKUP($Q328,'Elenco Casse'!$D:$D,'Elenco Casse'!$F:$F),"")</f>
        <v/>
      </c>
      <c r="O328" s="286"/>
      <c r="P328" s="295" t="str">
        <f>IFERROR(_xlfn.XLOOKUP($Q328,'Elenco Casse'!$D:$D,'Elenco Casse'!$G:$G),"")</f>
        <v/>
      </c>
      <c r="Q328" s="355"/>
      <c r="R328" s="23"/>
      <c r="S328" s="25"/>
      <c r="T328" s="25"/>
      <c r="U328" s="23" t="str">
        <f>IF(ISNUMBER(SEARCH("Parcel",$T328)),"X","")</f>
        <v/>
      </c>
      <c r="V328" s="23" t="str">
        <f>IF(ISNUMBER(SEARCH("Freight",$T328)),"X","")</f>
        <v/>
      </c>
      <c r="W328" s="26"/>
      <c r="X328" s="27"/>
      <c r="Y328" s="25" t="str">
        <f>IF(Out_Table[[#This Row],[DOC Del. hr. (RTH)]]&lt;&gt;"","XXX","")</f>
        <v/>
      </c>
      <c r="Z328" s="25"/>
      <c r="AA328" s="25"/>
      <c r="AB328" s="57"/>
      <c r="AC328" s="25"/>
      <c r="AD328" s="25"/>
      <c r="AE328" s="57"/>
      <c r="AF328" s="57"/>
      <c r="AG328" s="25"/>
      <c r="AH328" s="57"/>
      <c r="AI328" s="339"/>
      <c r="AJ328" s="339"/>
      <c r="AK328" s="297" t="str">
        <f>IF(X328&lt;&gt;"",CONCATENATE(IF(AA328&lt;&gt;"",CONCATENATE(Z328," ",AA328," ",BI328),""),IF(AD328&lt;&gt;"",CONCATENATE(","," ",AC328," ",AD328," ",BJ328),""),IF(AG328&lt;&gt;"",CONCATENATE(","," ",AF328," ",AG328," ",BK328),""),IF(AJ328&lt;&gt;"",CONCATENATE(","," ","DD"," ",BL328),"")," ",IF(AI328&lt;&gt;"",CONCATENATE(" - ",AI328," Bag"),"")),"")</f>
        <v/>
      </c>
      <c r="AL328" s="287"/>
      <c r="AM328" s="287"/>
      <c r="AN328" s="287"/>
      <c r="AO328" s="287"/>
      <c r="AP328" s="370" t="str">
        <f>IFERROR(VLOOKUP($E325,Outlist!$A$5:$V$120,20,FALSE),"")</f>
        <v/>
      </c>
      <c r="AQ328" s="288" t="str">
        <f>IFERROR(IF(VLOOKUP($A328,#REF!,8,FALSE)&lt;&gt;"",VLOOKUP($A328,#REF!,8,FALSE),""),"")</f>
        <v/>
      </c>
      <c r="AS328" s="24"/>
      <c r="AT328" s="24"/>
      <c r="AU328" s="27"/>
      <c r="AV328" s="27"/>
      <c r="AX328" s="20" t="str">
        <f>IFERROR(IF(Out_Table[[#This Row],[Cancellazione linea]]="Cancellata","yes",""),"")</f>
        <v/>
      </c>
      <c r="AY328" s="72" t="str">
        <f>IF(BA328="",BZ328,IF(AND(BA328&lt;(--"23:59:59"),BA328&gt;(--"15:00:00"),G328&lt;(--"14:00:00"),G328&gt;(--"00:00:01")),"",IF(BA328&gt;G328,BZ328,"")))</f>
        <v/>
      </c>
      <c r="AZ328" s="27"/>
      <c r="BA328" s="32"/>
      <c r="BB328" s="72"/>
      <c r="BC328" s="72" t="str">
        <f>IFERROR(VLOOKUP(Out_Table[[#This Row],[Aggiornamento STATUS]],'INformazioni per calcoli'!$Y$70:$AA$76,2,FALSE),"")</f>
        <v/>
      </c>
      <c r="BD328" s="289"/>
      <c r="BE328" s="289"/>
      <c r="BF328" s="47" t="str">
        <f>LEFT($E328,3)</f>
        <v/>
      </c>
      <c r="BG328" s="298" t="str">
        <f>IF(Out_Table[[#This Row],[Ora Uscita    (GH)]]&lt;&gt;"","x","")</f>
        <v/>
      </c>
      <c r="BH328" s="299" t="e">
        <f>VLOOKUP($O328,'INformazioni per calcoli'!$Y$20:$AA$23,3,FALSE)</f>
        <v>#N/A</v>
      </c>
      <c r="BI328" s="299" t="e">
        <f>MROUND(Out_Table[[#This Row],[Mtr. Trailer]]*AB328,0.5)</f>
        <v>#N/A</v>
      </c>
      <c r="BJ328" s="299" t="e">
        <f>MROUND(Out_Table[[#This Row],[Mtr. Trailer]]*AE328,0.5)</f>
        <v>#N/A</v>
      </c>
      <c r="BK328" s="299" t="e">
        <f>MROUND(Out_Table[[#This Row],[Mtr. Trailer]]*AH328,0.5)</f>
        <v>#N/A</v>
      </c>
      <c r="BL328" s="300">
        <f>Out_Table[[#This Row],[Double Deck trailer N° bumpers]]</f>
        <v>0</v>
      </c>
      <c r="BM328" s="301"/>
      <c r="BN328" s="299">
        <f>B328</f>
        <v>0</v>
      </c>
      <c r="BO328" s="299">
        <f>E328</f>
        <v>0</v>
      </c>
      <c r="BP328" s="302">
        <f>IF(AND(G328&gt;(--"00:00:01"),G328&lt;(--"15:00:00")),IF(AND(X328&gt;(--"00:00:01"),X328&lt;(--"15:00:00")),G328-X328,G328+1-X328),G328-X328)</f>
        <v>0</v>
      </c>
      <c r="BQ328" s="303">
        <f>AE328+AF328+AH328+AJ328</f>
        <v>0</v>
      </c>
      <c r="BR328" s="304" t="str">
        <f>IF(OR(BP328&lt;=(--"00:20:00"),BQ328&gt;=100%),"OK","Not OK")</f>
        <v>OK</v>
      </c>
      <c r="BS328" s="302">
        <f>IF(AND(G328&gt;(--"00:00:01"),G328&lt;(--"15:00:00")),IF(AND(AU328&gt;(--"00:00:01"),AU328&lt;(--"15:00:00")),G328-AU328,G328+1-AU328),G328-AU328)</f>
        <v>0</v>
      </c>
      <c r="BT328" s="302">
        <f>IF(AND(AZ328&gt;(--"00:00:01"),AZ328&lt;(--"15:00:00")),IF(AND(AU328&gt;(--"00:00:01"),AU328&lt;(--"15:00:00")),AZ328-AU328,AZ328+1-AU328),AZ328-AU328)</f>
        <v>0</v>
      </c>
      <c r="BU328" s="302">
        <f>IF(AND(BA328&gt;(--"00:00:01"),BA328&lt;(--"15:00:00")),IF(AND(AZ328&gt;(--"00:00:01"),AZ328&lt;(--"15:00:00")),BA328-AZ328,BA328+1-AZ328),BA328-AZ328)</f>
        <v>0</v>
      </c>
      <c r="BV328" s="299">
        <f>AV328</f>
        <v>0</v>
      </c>
      <c r="BW328" s="301"/>
      <c r="BX328" s="299" t="str">
        <f>IF(AV328="T Status",IF(AV328&lt;&gt;T328,"X",""),"")</f>
        <v/>
      </c>
      <c r="BY328" s="301"/>
      <c r="BZ328" s="299" t="str">
        <f>IF(X328&lt;&gt;"",IF(CC328="X","Driver Delay",IF(CA328="X","Paperwork Delay",IF(CB328="X","Late freight late sort",IF(CD328="X","Chiamare Control Room",IF(CE328="X","Chiamare Control Room",IF(CF328="X","Chiamare Control Room","")))))),"")</f>
        <v/>
      </c>
      <c r="CA328" s="302" t="str">
        <f>IF(K328="",IF(IF(AND(G328&gt;(--"00:00:01"),G328&lt;(--"15:00:00")),IF(AND(AT328&gt;(--"08:00:00"),AT328&lt;(--"23:59:59")),G328+1-AT328,G328-AT328),G328-AT328)&gt;(--"00:20:00"),"","X"),"")</f>
        <v>X</v>
      </c>
      <c r="CB328" s="299" t="str">
        <f>IF(K328="",IF(BP328&gt;=(--"00:20:00"),"","X"),"")</f>
        <v>X</v>
      </c>
      <c r="CC328" s="299" t="str">
        <f>IF(OR(AV328="Autista non presente",AV328="Dati driver non presenti"),"X","")</f>
        <v/>
      </c>
      <c r="CD328" s="299" t="str">
        <f>IF(K328="",IF(AND(CC328="",BS328&lt;(--"00:20:00")),"X",""),"")</f>
        <v>X</v>
      </c>
      <c r="CE328" s="299" t="str">
        <f>IF(K328="",IF(BT328&gt;(--"00:15:00"),"X",""),IF(AZ328&lt;&gt;"",IF(G328-AZ328&gt;(--"00:30:00"),"X",""),""))</f>
        <v/>
      </c>
      <c r="CF328" s="299" t="str">
        <f>IF(AND(CA328="",CB328="",CC328="",CD328="",CE328=""),"X","")</f>
        <v/>
      </c>
      <c r="CG328" s="301"/>
      <c r="CH328" s="299" t="str">
        <f>IF(BT328&gt;(--"00:15:00"),"X","")</f>
        <v/>
      </c>
      <c r="CI328" s="302" t="str">
        <f>AY328</f>
        <v/>
      </c>
      <c r="CJ328" s="299" t="str">
        <f>IF(AND(CH328&lt;&gt;"",CI328&lt;&gt;"",LEFT(B328,3)="ITD"),AP328,"")</f>
        <v/>
      </c>
      <c r="CK328" s="305" t="str">
        <f>IF(CJ328&lt;&gt;"",BT328,"")</f>
        <v/>
      </c>
      <c r="CL328" s="301"/>
      <c r="CM328" s="305" t="str">
        <f>IFERROR(VLOOKUP(Q328,'Elenco Casse'!$D$4:$F$292,3,FALSE),"")</f>
        <v/>
      </c>
      <c r="CN328" s="301"/>
      <c r="CO328" s="305" t="str">
        <f>IFERROR(VLOOKUP(S328,'Elenco Casse'!$D$4:$F$292,3,FALSE),"")</f>
        <v/>
      </c>
      <c r="CP328" s="305" t="str">
        <f>IFERROR(IF(VLOOKUP($E328,Outlist!$A$5:$S$120,19,FALSE)&lt;&gt;0,"Y",""),"")</f>
        <v/>
      </c>
      <c r="CQ328" s="301"/>
      <c r="CR328" s="305" t="str">
        <f>CONCATENATE($B328,$E328,$G328)</f>
        <v/>
      </c>
      <c r="CS328" s="301"/>
      <c r="CT328" s="305" t="e">
        <f>VLOOKUP(Out_Table[[#This Row],[Destination             ORANGE (From Planning)]],Outlist!$A$5:$W$120,22,FALSE)</f>
        <v>#N/A</v>
      </c>
    </row>
    <row r="329" spans="1:98" s="20" customFormat="1" ht="15">
      <c r="A329" s="305" t="str">
        <f>$CR329</f>
        <v/>
      </c>
      <c r="B329" s="284"/>
      <c r="C329" s="290">
        <f ca="1">IFERROR(IF(LEFT(B329,3)='STAT 77'!$X$2,_xlfn.XLOOKUP(B329,'STAT 77'!C:C,'STAT 77'!B:B),_xlfn.XLOOKUP(B329,'STAT 77'!B:B,'STAT 77'!C:C)),"NON TROVATO")</f>
        <v>0</v>
      </c>
      <c r="D329" s="25"/>
      <c r="E329" s="290"/>
      <c r="F329" s="290" t="str">
        <f>IFERROR(VLOOKUP(E329,'Cambio O2P'!C:E,2,FALSE),"")</f>
        <v/>
      </c>
      <c r="G329" s="285"/>
      <c r="H329" s="293" t="str">
        <f ca="1">IFERROR(IF(AND('INformazioni per calcoli'!$AB$3&lt;(--"14:30"),'INformazioni per calcoli'!$AB$3&gt;(--"10:00")),"",IF($B329="","",IF($X329&lt;&gt;"","Mezzo Chiuso",IF($W329="","Non al Carico",IF($G329-'INformazioni per calcoli'!$AB$5-'INformazioni per calcoli'!$AB$3+$J329&lt;0,"LFLS",IF($K329&lt;&gt;"","Safe Parking",IF($W329&lt;&gt;"",IF($E329="MXP",$G329-'INformazioni per calcoli'!$AB$6-'INformazioni per calcoli'!$AB$3+$J329,$G329-'INformazioni per calcoli'!$AB$5-'INformazioni per calcoli'!$AB$3+$J329),"Non al carico"))))))),"")</f>
        <v/>
      </c>
      <c r="I329" s="17" t="str">
        <f ca="1">IFERROR(IF($H329&lt;&gt;"",IF($H329="Safe Parking","",IF($W329&lt;&gt;"",IF(AND($U329="X",$V329="X"),$H329-(--"00:30"),""),IF($X329&lt;&gt;"","Mezzo Chiuso","Non al carico"))),""),"")</f>
        <v/>
      </c>
      <c r="J329" s="306" t="str">
        <f>IFERROR(IF($B329&lt;&gt;"",IF(AND('INformazioni per calcoli'!$AB$3&lt;(--"15:00"),'INformazioni per calcoli'!$AB$3&gt;(--"00:00")),0,IF($G329&lt;(--"18:30"),"+1",0)),""),"")</f>
        <v/>
      </c>
      <c r="K329" s="27"/>
      <c r="L329" s="25"/>
      <c r="M329" s="25" t="str">
        <f>IFERROR(_xlfn.XLOOKUP($Q329,'Elenco Casse'!$D:$D,'Elenco Casse'!$E:$E),"")</f>
        <v/>
      </c>
      <c r="N329" s="25" t="str">
        <f>IFERROR(_xlfn.XLOOKUP($Q329,'Elenco Casse'!$D:$D,'Elenco Casse'!$F:$F),"")</f>
        <v/>
      </c>
      <c r="O329" s="286"/>
      <c r="P329" s="295" t="str">
        <f>IFERROR(_xlfn.XLOOKUP($Q329,'Elenco Casse'!$D:$D,'Elenco Casse'!$G:$G),"")</f>
        <v/>
      </c>
      <c r="Q329" s="355"/>
      <c r="R329" s="23"/>
      <c r="S329" s="25"/>
      <c r="T329" s="25"/>
      <c r="U329" s="23" t="str">
        <f>IF(ISNUMBER(SEARCH("Parcel",$T329)),"X","")</f>
        <v/>
      </c>
      <c r="V329" s="23" t="str">
        <f>IF(ISNUMBER(SEARCH("Freight",$T329)),"X","")</f>
        <v/>
      </c>
      <c r="W329" s="26"/>
      <c r="X329" s="27"/>
      <c r="Y329" s="25" t="str">
        <f>IF(Out_Table[[#This Row],[DOC Del. hr. (RTH)]]&lt;&gt;"","XXX","")</f>
        <v/>
      </c>
      <c r="Z329" s="25"/>
      <c r="AA329" s="25"/>
      <c r="AB329" s="57"/>
      <c r="AC329" s="25"/>
      <c r="AD329" s="25"/>
      <c r="AE329" s="57"/>
      <c r="AF329" s="57"/>
      <c r="AG329" s="25"/>
      <c r="AH329" s="57"/>
      <c r="AI329" s="339"/>
      <c r="AJ329" s="339"/>
      <c r="AK329" s="297" t="str">
        <f>IF(X329&lt;&gt;"",CONCATENATE(IF(AA329&lt;&gt;"",CONCATENATE(Z329," ",AA329," ",BI329),""),IF(AD329&lt;&gt;"",CONCATENATE(","," ",AC329," ",AD329," ",BJ329),""),IF(AG329&lt;&gt;"",CONCATENATE(","," ",AF329," ",AG329," ",BK329),""),IF(AJ329&lt;&gt;"",CONCATENATE(","," ","DD"," ",BL329),"")," ",IF(AI329&lt;&gt;"",CONCATENATE(" - ",AI329," Bag"),"")),"")</f>
        <v/>
      </c>
      <c r="AL329" s="287"/>
      <c r="AM329" s="287"/>
      <c r="AN329" s="287"/>
      <c r="AO329" s="287"/>
      <c r="AP329" s="370" t="str">
        <f>IFERROR(VLOOKUP($E326,Outlist!$A$5:$V$120,20,FALSE),"")</f>
        <v/>
      </c>
      <c r="AQ329" s="288" t="str">
        <f>IFERROR(IF(VLOOKUP($A329,#REF!,8,FALSE)&lt;&gt;"",VLOOKUP($A329,#REF!,8,FALSE),""),"")</f>
        <v/>
      </c>
      <c r="AS329" s="24"/>
      <c r="AT329" s="24"/>
      <c r="AU329" s="27"/>
      <c r="AV329" s="27"/>
      <c r="AX329" s="20" t="str">
        <f>IFERROR(IF(Out_Table[[#This Row],[Cancellazione linea]]="Cancellata","yes",""),"")</f>
        <v/>
      </c>
      <c r="AY329" s="72" t="str">
        <f>IF(BA329="",BZ329,IF(AND(BA329&lt;(--"23:59:59"),BA329&gt;(--"15:00:00"),G329&lt;(--"14:00:00"),G329&gt;(--"00:00:01")),"",IF(BA329&gt;G329,BZ329,"")))</f>
        <v/>
      </c>
      <c r="AZ329" s="27"/>
      <c r="BA329" s="32"/>
      <c r="BB329" s="72"/>
      <c r="BC329" s="72" t="str">
        <f>IFERROR(VLOOKUP(Out_Table[[#This Row],[Aggiornamento STATUS]],'INformazioni per calcoli'!$Y$70:$AA$76,2,FALSE),"")</f>
        <v/>
      </c>
      <c r="BD329" s="289"/>
      <c r="BE329" s="289"/>
      <c r="BF329" s="47" t="str">
        <f>LEFT($E329,3)</f>
        <v/>
      </c>
      <c r="BG329" s="298" t="str">
        <f>IF(Out_Table[[#This Row],[Ora Uscita    (GH)]]&lt;&gt;"","x","")</f>
        <v/>
      </c>
      <c r="BH329" s="299" t="e">
        <f>VLOOKUP($O329,'INformazioni per calcoli'!$Y$20:$AA$23,3,FALSE)</f>
        <v>#N/A</v>
      </c>
      <c r="BI329" s="299" t="e">
        <f>MROUND(Out_Table[[#This Row],[Mtr. Trailer]]*AB329,0.5)</f>
        <v>#N/A</v>
      </c>
      <c r="BJ329" s="299" t="e">
        <f>MROUND(Out_Table[[#This Row],[Mtr. Trailer]]*AE329,0.5)</f>
        <v>#N/A</v>
      </c>
      <c r="BK329" s="299" t="e">
        <f>MROUND(Out_Table[[#This Row],[Mtr. Trailer]]*AH329,0.5)</f>
        <v>#N/A</v>
      </c>
      <c r="BL329" s="300">
        <f>Out_Table[[#This Row],[Double Deck trailer N° bumpers]]</f>
        <v>0</v>
      </c>
      <c r="BM329" s="301"/>
      <c r="BN329" s="299">
        <f>B329</f>
        <v>0</v>
      </c>
      <c r="BO329" s="299">
        <f>E329</f>
        <v>0</v>
      </c>
      <c r="BP329" s="302">
        <f>IF(AND(G329&gt;(--"00:00:01"),G329&lt;(--"15:00:00")),IF(AND(X329&gt;(--"00:00:01"),X329&lt;(--"15:00:00")),G329-X329,G329+1-X329),G329-X329)</f>
        <v>0</v>
      </c>
      <c r="BQ329" s="303">
        <f>AE329+AF329+AH329+AJ329</f>
        <v>0</v>
      </c>
      <c r="BR329" s="304" t="str">
        <f>IF(OR(BP329&lt;=(--"00:20:00"),BQ329&gt;=100%),"OK","Not OK")</f>
        <v>OK</v>
      </c>
      <c r="BS329" s="302">
        <f>IF(AND(G329&gt;(--"00:00:01"),G329&lt;(--"15:00:00")),IF(AND(AU329&gt;(--"00:00:01"),AU329&lt;(--"15:00:00")),G329-AU329,G329+1-AU329),G329-AU329)</f>
        <v>0</v>
      </c>
      <c r="BT329" s="302">
        <f>IF(AND(AZ329&gt;(--"00:00:01"),AZ329&lt;(--"15:00:00")),IF(AND(AU329&gt;(--"00:00:01"),AU329&lt;(--"15:00:00")),AZ329-AU329,AZ329+1-AU329),AZ329-AU329)</f>
        <v>0</v>
      </c>
      <c r="BU329" s="302">
        <f>IF(AND(BA329&gt;(--"00:00:01"),BA329&lt;(--"15:00:00")),IF(AND(AZ329&gt;(--"00:00:01"),AZ329&lt;(--"15:00:00")),BA329-AZ329,BA329+1-AZ329),BA329-AZ329)</f>
        <v>0</v>
      </c>
      <c r="BV329" s="299">
        <f>AV329</f>
        <v>0</v>
      </c>
      <c r="BW329" s="301"/>
      <c r="BX329" s="299" t="str">
        <f>IF(AV329="T Status",IF(AV329&lt;&gt;T329,"X",""),"")</f>
        <v/>
      </c>
      <c r="BY329" s="301"/>
      <c r="BZ329" s="299" t="str">
        <f>IF(X329&lt;&gt;"",IF(CC329="X","Driver Delay",IF(CA329="X","Paperwork Delay",IF(CB329="X","Late freight late sort",IF(CD329="X","Chiamare Control Room",IF(CE329="X","Chiamare Control Room",IF(CF329="X","Chiamare Control Room","")))))),"")</f>
        <v/>
      </c>
      <c r="CA329" s="302" t="str">
        <f>IF(K329="",IF(IF(AND(G329&gt;(--"00:00:01"),G329&lt;(--"15:00:00")),IF(AND(AT329&gt;(--"08:00:00"),AT329&lt;(--"23:59:59")),G329+1-AT329,G329-AT329),G329-AT329)&gt;(--"00:20:00"),"","X"),"")</f>
        <v>X</v>
      </c>
      <c r="CB329" s="299" t="str">
        <f>IF(K329="",IF(BP329&gt;=(--"00:20:00"),"","X"),"")</f>
        <v>X</v>
      </c>
      <c r="CC329" s="299" t="str">
        <f>IF(OR(AV329="Autista non presente",AV329="Dati driver non presenti"),"X","")</f>
        <v/>
      </c>
      <c r="CD329" s="299" t="str">
        <f>IF(K329="",IF(AND(CC329="",BS329&lt;(--"00:20:00")),"X",""),"")</f>
        <v>X</v>
      </c>
      <c r="CE329" s="299" t="str">
        <f>IF(K329="",IF(BT329&gt;(--"00:15:00"),"X",""),IF(AZ329&lt;&gt;"",IF(G329-AZ329&gt;(--"00:30:00"),"X",""),""))</f>
        <v/>
      </c>
      <c r="CF329" s="299" t="str">
        <f>IF(AND(CA329="",CB329="",CC329="",CD329="",CE329=""),"X","")</f>
        <v/>
      </c>
      <c r="CG329" s="301"/>
      <c r="CH329" s="299" t="str">
        <f>IF(BT329&gt;(--"00:15:00"),"X","")</f>
        <v/>
      </c>
      <c r="CI329" s="302" t="str">
        <f>AY329</f>
        <v/>
      </c>
      <c r="CJ329" s="299" t="str">
        <f>IF(AND(CH329&lt;&gt;"",CI329&lt;&gt;"",LEFT(B329,3)="ITD"),AP329,"")</f>
        <v/>
      </c>
      <c r="CK329" s="305" t="str">
        <f>IF(CJ329&lt;&gt;"",BT329,"")</f>
        <v/>
      </c>
      <c r="CL329" s="301"/>
      <c r="CM329" s="305" t="str">
        <f>IFERROR(VLOOKUP(Q329,'Elenco Casse'!$D$4:$F$292,3,FALSE),"")</f>
        <v/>
      </c>
      <c r="CN329" s="301"/>
      <c r="CO329" s="305" t="str">
        <f>IFERROR(VLOOKUP(S329,'Elenco Casse'!$D$4:$F$292,3,FALSE),"")</f>
        <v/>
      </c>
      <c r="CP329" s="305" t="str">
        <f>IFERROR(IF(VLOOKUP($E329,Outlist!$A$5:$S$120,19,FALSE)&lt;&gt;0,"Y",""),"")</f>
        <v/>
      </c>
      <c r="CQ329" s="301"/>
      <c r="CR329" s="305" t="str">
        <f>CONCATENATE($B329,$E329,$G329)</f>
        <v/>
      </c>
      <c r="CS329" s="301"/>
      <c r="CT329" s="305" t="e">
        <f>VLOOKUP(Out_Table[[#This Row],[Destination             ORANGE (From Planning)]],Outlist!$A$5:$W$120,22,FALSE)</f>
        <v>#N/A</v>
      </c>
    </row>
    <row r="330" spans="1:98" s="20" customFormat="1" ht="15">
      <c r="A330" s="305" t="str">
        <f>$CR330</f>
        <v/>
      </c>
      <c r="B330" s="284"/>
      <c r="C330" s="290">
        <f ca="1">IFERROR(IF(LEFT(B330,3)='STAT 77'!$X$2,_xlfn.XLOOKUP(B330,'STAT 77'!C:C,'STAT 77'!B:B),_xlfn.XLOOKUP(B330,'STAT 77'!B:B,'STAT 77'!C:C)),"NON TROVATO")</f>
        <v>0</v>
      </c>
      <c r="D330" s="25"/>
      <c r="E330" s="290"/>
      <c r="F330" s="290" t="str">
        <f>IFERROR(VLOOKUP(E330,'Cambio O2P'!C:E,2,FALSE),"")</f>
        <v/>
      </c>
      <c r="G330" s="285"/>
      <c r="H330" s="293" t="str">
        <f ca="1">IFERROR(IF(AND('INformazioni per calcoli'!$AB$3&lt;(--"14:30"),'INformazioni per calcoli'!$AB$3&gt;(--"10:00")),"",IF($B330="","",IF($X330&lt;&gt;"","Mezzo Chiuso",IF($W330="","Non al Carico",IF($G330-'INformazioni per calcoli'!$AB$5-'INformazioni per calcoli'!$AB$3+$J330&lt;0,"LFLS",IF($K330&lt;&gt;"","Safe Parking",IF($W330&lt;&gt;"",IF($E330="MXP",$G330-'INformazioni per calcoli'!$AB$6-'INformazioni per calcoli'!$AB$3+$J330,$G330-'INformazioni per calcoli'!$AB$5-'INformazioni per calcoli'!$AB$3+$J330),"Non al carico"))))))),"")</f>
        <v/>
      </c>
      <c r="I330" s="17" t="str">
        <f ca="1">IFERROR(IF($H330&lt;&gt;"",IF($H330="Safe Parking","",IF($W330&lt;&gt;"",IF(AND($U330="X",$V330="X"),$H330-(--"00:30"),""),IF($X330&lt;&gt;"","Mezzo Chiuso","Non al carico"))),""),"")</f>
        <v/>
      </c>
      <c r="J330" s="306" t="str">
        <f>IFERROR(IF($B330&lt;&gt;"",IF(AND('INformazioni per calcoli'!$AB$3&lt;(--"15:00"),'INformazioni per calcoli'!$AB$3&gt;(--"00:00")),0,IF($G330&lt;(--"18:30"),"+1",0)),""),"")</f>
        <v/>
      </c>
      <c r="K330" s="17"/>
      <c r="L330" s="25"/>
      <c r="M330" s="25" t="str">
        <f>IFERROR(_xlfn.XLOOKUP($Q330,'Elenco Casse'!$D:$D,'Elenco Casse'!$E:$E),"")</f>
        <v/>
      </c>
      <c r="N330" s="25" t="str">
        <f>IFERROR(_xlfn.XLOOKUP($Q330,'Elenco Casse'!$D:$D,'Elenco Casse'!$F:$F),"")</f>
        <v/>
      </c>
      <c r="O330" s="286"/>
      <c r="P330" s="295" t="str">
        <f>IFERROR(_xlfn.XLOOKUP($Q330,'Elenco Casse'!$D:$D,'Elenco Casse'!$G:$G),"")</f>
        <v/>
      </c>
      <c r="Q330" s="355"/>
      <c r="R330" s="23"/>
      <c r="S330" s="25"/>
      <c r="T330" s="25"/>
      <c r="U330" s="23" t="str">
        <f>IF(ISNUMBER(SEARCH("Parcel",$T330)),"X","")</f>
        <v/>
      </c>
      <c r="V330" s="23" t="str">
        <f>IF(ISNUMBER(SEARCH("Freight",$T330)),"X","")</f>
        <v/>
      </c>
      <c r="W330" s="26"/>
      <c r="X330" s="27"/>
      <c r="Y330" s="25" t="str">
        <f>IF(Out_Table[[#This Row],[DOC Del. hr. (RTH)]]&lt;&gt;"","XXX","")</f>
        <v/>
      </c>
      <c r="Z330" s="25"/>
      <c r="AA330" s="25"/>
      <c r="AB330" s="57"/>
      <c r="AC330" s="25"/>
      <c r="AD330" s="25"/>
      <c r="AE330" s="57"/>
      <c r="AF330" s="57"/>
      <c r="AG330" s="25"/>
      <c r="AH330" s="57"/>
      <c r="AI330" s="339"/>
      <c r="AJ330" s="339"/>
      <c r="AK330" s="297" t="str">
        <f>IF(X330&lt;&gt;"",CONCATENATE(IF(AA330&lt;&gt;"",CONCATENATE(Z330," ",AA330," ",BI330),""),IF(AD330&lt;&gt;"",CONCATENATE(","," ",AC330," ",AD330," ",BJ330),""),IF(AG330&lt;&gt;"",CONCATENATE(","," ",AF330," ",AG330," ",BK330),""),IF(AJ330&lt;&gt;"",CONCATENATE(","," ","DD"," ",BL330),"")," ",IF(AI330&lt;&gt;"",CONCATENATE(" - ",AI330," Bag"),"")),"")</f>
        <v/>
      </c>
      <c r="AL330" s="287"/>
      <c r="AM330" s="287"/>
      <c r="AN330" s="287"/>
      <c r="AO330" s="287"/>
      <c r="AP330" s="370" t="str">
        <f>IFERROR(VLOOKUP($E327,Outlist!$A$5:$V$120,20,FALSE),"")</f>
        <v/>
      </c>
      <c r="AQ330" s="288" t="str">
        <f>IFERROR(IF(VLOOKUP($A330,#REF!,8,FALSE)&lt;&gt;"",VLOOKUP($A330,#REF!,8,FALSE),""),"")</f>
        <v/>
      </c>
      <c r="AS330" s="24"/>
      <c r="AT330" s="24"/>
      <c r="AU330" s="27"/>
      <c r="AV330" s="27"/>
      <c r="AX330" s="20" t="str">
        <f>IFERROR(IF(Out_Table[[#This Row],[Cancellazione linea]]="Cancellata","yes",""),"")</f>
        <v/>
      </c>
      <c r="AY330" s="72" t="str">
        <f>IF(BA330="",BZ330,IF(AND(BA330&lt;(--"23:59:59"),BA330&gt;(--"15:00:00"),G330&lt;(--"14:00:00"),G330&gt;(--"00:00:01")),"",IF(BA330&gt;G330,BZ330,"")))</f>
        <v/>
      </c>
      <c r="AZ330" s="27"/>
      <c r="BA330" s="32"/>
      <c r="BB330" s="72"/>
      <c r="BC330" s="72" t="str">
        <f>IFERROR(VLOOKUP(Out_Table[[#This Row],[Aggiornamento STATUS]],'INformazioni per calcoli'!$Y$70:$AA$76,2,FALSE),"")</f>
        <v/>
      </c>
      <c r="BD330" s="289"/>
      <c r="BE330" s="289"/>
      <c r="BF330" s="47" t="str">
        <f>LEFT($E330,3)</f>
        <v/>
      </c>
      <c r="BG330" s="298" t="str">
        <f>IF(Out_Table[[#This Row],[Ora Uscita    (GH)]]&lt;&gt;"","x","")</f>
        <v/>
      </c>
      <c r="BH330" s="299" t="e">
        <f>VLOOKUP($O330,'INformazioni per calcoli'!$Y$20:$AA$23,3,FALSE)</f>
        <v>#N/A</v>
      </c>
      <c r="BI330" s="299" t="e">
        <f>MROUND(Out_Table[[#This Row],[Mtr. Trailer]]*AB330,0.5)</f>
        <v>#N/A</v>
      </c>
      <c r="BJ330" s="299" t="e">
        <f>MROUND(Out_Table[[#This Row],[Mtr. Trailer]]*AE330,0.5)</f>
        <v>#N/A</v>
      </c>
      <c r="BK330" s="299" t="e">
        <f>MROUND(Out_Table[[#This Row],[Mtr. Trailer]]*AH330,0.5)</f>
        <v>#N/A</v>
      </c>
      <c r="BL330" s="300">
        <f>Out_Table[[#This Row],[Double Deck trailer N° bumpers]]</f>
        <v>0</v>
      </c>
      <c r="BM330" s="301"/>
      <c r="BN330" s="299">
        <f>B330</f>
        <v>0</v>
      </c>
      <c r="BO330" s="299">
        <f>E330</f>
        <v>0</v>
      </c>
      <c r="BP330" s="302">
        <f>IF(AND(G330&gt;(--"00:00:01"),G330&lt;(--"15:00:00")),IF(AND(X330&gt;(--"00:00:01"),X330&lt;(--"15:00:00")),G330-X330,G330+1-X330),G330-X330)</f>
        <v>0</v>
      </c>
      <c r="BQ330" s="303">
        <f>AE330+AF330+AH330+AJ330</f>
        <v>0</v>
      </c>
      <c r="BR330" s="304" t="str">
        <f>IF(OR(BP330&lt;=(--"00:20:00"),BQ330&gt;=100%),"OK","Not OK")</f>
        <v>OK</v>
      </c>
      <c r="BS330" s="302">
        <f>IF(AND(G330&gt;(--"00:00:01"),G330&lt;(--"15:00:00")),IF(AND(AU330&gt;(--"00:00:01"),AU330&lt;(--"15:00:00")),G330-AU330,G330+1-AU330),G330-AU330)</f>
        <v>0</v>
      </c>
      <c r="BT330" s="302">
        <f>IF(AND(AZ330&gt;(--"00:00:01"),AZ330&lt;(--"15:00:00")),IF(AND(AU330&gt;(--"00:00:01"),AU330&lt;(--"15:00:00")),AZ330-AU330,AZ330+1-AU330),AZ330-AU330)</f>
        <v>0</v>
      </c>
      <c r="BU330" s="302">
        <f>IF(AND(BA330&gt;(--"00:00:01"),BA330&lt;(--"15:00:00")),IF(AND(AZ330&gt;(--"00:00:01"),AZ330&lt;(--"15:00:00")),BA330-AZ330,BA330+1-AZ330),BA330-AZ330)</f>
        <v>0</v>
      </c>
      <c r="BV330" s="299">
        <f>AV330</f>
        <v>0</v>
      </c>
      <c r="BW330" s="301"/>
      <c r="BX330" s="299" t="str">
        <f>IF(AV330="T Status",IF(AV330&lt;&gt;T330,"X",""),"")</f>
        <v/>
      </c>
      <c r="BY330" s="301"/>
      <c r="BZ330" s="299" t="str">
        <f>IF(X330&lt;&gt;"",IF(CC330="X","Driver Delay",IF(CA330="X","Paperwork Delay",IF(CB330="X","Late freight late sort",IF(CD330="X","Chiamare Control Room",IF(CE330="X","Chiamare Control Room",IF(CF330="X","Chiamare Control Room","")))))),"")</f>
        <v/>
      </c>
      <c r="CA330" s="302" t="str">
        <f>IF(K330="",IF(IF(AND(G330&gt;(--"00:00:01"),G330&lt;(--"15:00:00")),IF(AND(AT330&gt;(--"08:00:00"),AT330&lt;(--"23:59:59")),G330+1-AT330,G330-AT330),G330-AT330)&gt;(--"00:20:00"),"","X"),"")</f>
        <v>X</v>
      </c>
      <c r="CB330" s="299" t="str">
        <f>IF(K330="",IF(BP330&gt;=(--"00:20:00"),"","X"),"")</f>
        <v>X</v>
      </c>
      <c r="CC330" s="299" t="str">
        <f>IF(OR(AV330="Autista non presente",AV330="Dati driver non presenti"),"X","")</f>
        <v/>
      </c>
      <c r="CD330" s="299" t="str">
        <f>IF(K330="",IF(AND(CC330="",BS330&lt;(--"00:20:00")),"X",""),"")</f>
        <v>X</v>
      </c>
      <c r="CE330" s="299" t="str">
        <f>IF(K330="",IF(BT330&gt;(--"00:15:00"),"X",""),IF(AZ330&lt;&gt;"",IF(G330-AZ330&gt;(--"00:30:00"),"X",""),""))</f>
        <v/>
      </c>
      <c r="CF330" s="299" t="str">
        <f>IF(AND(CA330="",CB330="",CC330="",CD330="",CE330=""),"X","")</f>
        <v/>
      </c>
      <c r="CG330" s="301"/>
      <c r="CH330" s="299" t="str">
        <f>IF(BT330&gt;(--"00:15:00"),"X","")</f>
        <v/>
      </c>
      <c r="CI330" s="302" t="str">
        <f>AY330</f>
        <v/>
      </c>
      <c r="CJ330" s="299" t="str">
        <f>IF(AND(CH330&lt;&gt;"",CI330&lt;&gt;"",LEFT(B330,3)="ITD"),AP330,"")</f>
        <v/>
      </c>
      <c r="CK330" s="305" t="str">
        <f>IF(CJ330&lt;&gt;"",BT330,"")</f>
        <v/>
      </c>
      <c r="CL330" s="301"/>
      <c r="CM330" s="305" t="str">
        <f>IFERROR(VLOOKUP(Q330,'Elenco Casse'!$D$4:$F$292,3,FALSE),"")</f>
        <v/>
      </c>
      <c r="CN330" s="301"/>
      <c r="CO330" s="305" t="str">
        <f>IFERROR(VLOOKUP(S330,'Elenco Casse'!$D$4:$F$292,3,FALSE),"")</f>
        <v/>
      </c>
      <c r="CP330" s="305" t="str">
        <f>IFERROR(IF(VLOOKUP($E330,Outlist!$A$5:$S$120,19,FALSE)&lt;&gt;0,"Y",""),"")</f>
        <v/>
      </c>
      <c r="CQ330" s="301"/>
      <c r="CR330" s="305" t="str">
        <f>CONCATENATE($B330,$E330,$G330)</f>
        <v/>
      </c>
      <c r="CS330" s="301"/>
      <c r="CT330" s="305" t="e">
        <f>VLOOKUP(Out_Table[[#This Row],[Destination             ORANGE (From Planning)]],Outlist!$A$5:$W$120,22,FALSE)</f>
        <v>#N/A</v>
      </c>
    </row>
    <row r="331" spans="1:98" s="20" customFormat="1" ht="15">
      <c r="A331" s="305" t="str">
        <f>$CR331</f>
        <v/>
      </c>
      <c r="B331" s="284"/>
      <c r="C331" s="290" t="str">
        <f ca="1">IFERROR(IF(LEFT(B331,3)='STAT 77'!$X$2,_xlfn.XLOOKUP(B331,'STAT 77'!C:C,'STAT 77'!B:B),_xlfn.XLOOKUP(B331,'STAT 77'!B:B,'STAT 77'!C:C)),"NON TROVATO")</f>
        <v>NON TROVATO</v>
      </c>
      <c r="D331" s="25"/>
      <c r="E331" s="290"/>
      <c r="F331" s="290" t="str">
        <f>IFERROR(VLOOKUP(E331,'Cambio O2P'!C:E,2,FALSE),"")</f>
        <v/>
      </c>
      <c r="G331" s="285"/>
      <c r="H331" s="293" t="str">
        <f ca="1">IFERROR(IF(AND('INformazioni per calcoli'!$AB$3&lt;(--"14:30"),'INformazioni per calcoli'!$AB$3&gt;(--"10:00")),"",IF($B331="","",IF($X331&lt;&gt;"","Mezzo Chiuso",IF($W331="","Non al Carico",IF($G331-'INformazioni per calcoli'!$AB$5-'INformazioni per calcoli'!$AB$3+$J331&lt;0,"LFLS",IF($K331&lt;&gt;"","Safe Parking",IF($W331&lt;&gt;"",IF($E331="MXP",$G331-'INformazioni per calcoli'!$AB$6-'INformazioni per calcoli'!$AB$3+$J331,$G331-'INformazioni per calcoli'!$AB$5-'INformazioni per calcoli'!$AB$3+$J331),"Non al carico"))))))),"")</f>
        <v/>
      </c>
      <c r="I331" s="17" t="str">
        <f ca="1">IFERROR(IF($H331&lt;&gt;"",IF($H331="Safe Parking","",IF($W331&lt;&gt;"",IF(AND($U331="X",$V331="X"),$H331-(--"00:30"),""),IF($X331&lt;&gt;"","Mezzo Chiuso","Non al carico"))),""),"")</f>
        <v/>
      </c>
      <c r="J331" s="306" t="str">
        <f>IFERROR(IF($B331&lt;&gt;"",IF(AND('INformazioni per calcoli'!$AB$3&lt;(--"15:00"),'INformazioni per calcoli'!$AB$3&gt;(--"00:00")),0,IF($G331&lt;(--"18:30"),"+1",0)),""),"")</f>
        <v/>
      </c>
      <c r="K331" s="17"/>
      <c r="L331" s="25"/>
      <c r="M331" s="25" t="str">
        <f>IFERROR(_xlfn.XLOOKUP($Q331,'Elenco Casse'!$D:$D,'Elenco Casse'!$E:$E),"")</f>
        <v/>
      </c>
      <c r="N331" s="25" t="str">
        <f>IFERROR(_xlfn.XLOOKUP($Q331,'Elenco Casse'!$D:$D,'Elenco Casse'!$F:$F),"")</f>
        <v/>
      </c>
      <c r="O331" s="286"/>
      <c r="P331" s="295" t="str">
        <f>IFERROR(_xlfn.XLOOKUP($Q331,'Elenco Casse'!$D:$D,'Elenco Casse'!$G:$G),"")</f>
        <v/>
      </c>
      <c r="Q331" s="355"/>
      <c r="R331" s="23"/>
      <c r="S331" s="25"/>
      <c r="T331" s="25"/>
      <c r="U331" s="23" t="str">
        <f>IF(ISNUMBER(SEARCH("Parcel",$T331)),"X","")</f>
        <v/>
      </c>
      <c r="V331" s="23" t="str">
        <f>IF(ISNUMBER(SEARCH("Freight",$T331)),"X","")</f>
        <v/>
      </c>
      <c r="W331" s="26"/>
      <c r="X331" s="27"/>
      <c r="Y331" s="25" t="str">
        <f>IF(Out_Table[[#This Row],[DOC Del. hr. (RTH)]]&lt;&gt;"","XXX","")</f>
        <v/>
      </c>
      <c r="Z331" s="25"/>
      <c r="AA331" s="25"/>
      <c r="AB331" s="57"/>
      <c r="AC331" s="25"/>
      <c r="AD331" s="25"/>
      <c r="AE331" s="57"/>
      <c r="AF331" s="57"/>
      <c r="AG331" s="25"/>
      <c r="AH331" s="57"/>
      <c r="AI331" s="339"/>
      <c r="AJ331" s="339"/>
      <c r="AK331" s="297" t="str">
        <f>IF(X331&lt;&gt;"",CONCATENATE(IF(AA331&lt;&gt;"",CONCATENATE(Z331," ",AA331," ",BI331),""),IF(AD331&lt;&gt;"",CONCATENATE(","," ",AC331," ",AD331," ",BJ331),""),IF(AG331&lt;&gt;"",CONCATENATE(","," ",AF331," ",AG331," ",BK331),""),IF(AJ331&lt;&gt;"",CONCATENATE(","," ","DD"," ",BL331),"")," ",IF(AI331&lt;&gt;"",CONCATENATE(" - ",AI331," Bag"),"")),"")</f>
        <v/>
      </c>
      <c r="AL331" s="287"/>
      <c r="AM331" s="287"/>
      <c r="AN331" s="287"/>
      <c r="AO331" s="287"/>
      <c r="AP331" s="370" t="str">
        <f>IFERROR(VLOOKUP($E328,Outlist!$A$5:$V$120,20,FALSE),"")</f>
        <v/>
      </c>
      <c r="AQ331" s="288" t="str">
        <f>IFERROR(IF(VLOOKUP($A331,#REF!,8,FALSE)&lt;&gt;"",VLOOKUP($A331,#REF!,8,FALSE),""),"")</f>
        <v/>
      </c>
      <c r="AS331" s="24"/>
      <c r="AT331" s="24"/>
      <c r="AU331" s="27"/>
      <c r="AV331" s="27"/>
      <c r="AX331" s="20" t="str">
        <f>IFERROR(IF(Out_Table[[#This Row],[Cancellazione linea]]="Cancellata","yes",""),"")</f>
        <v/>
      </c>
      <c r="AY331" s="72" t="str">
        <f>IF(BA331="",BZ331,IF(AND(BA331&lt;(--"23:59:59"),BA331&gt;(--"15:00:00"),G331&lt;(--"14:00:00"),G331&gt;(--"00:00:01")),"",IF(BA331&gt;G331,BZ331,"")))</f>
        <v/>
      </c>
      <c r="AZ331" s="27"/>
      <c r="BA331" s="32"/>
      <c r="BB331" s="72"/>
      <c r="BC331" s="72" t="str">
        <f>IFERROR(VLOOKUP(Out_Table[[#This Row],[Aggiornamento STATUS]],'INformazioni per calcoli'!$Y$70:$AA$76,2,FALSE),"")</f>
        <v/>
      </c>
      <c r="BD331" s="289"/>
      <c r="BE331" s="289"/>
      <c r="BF331" s="47" t="str">
        <f>LEFT($E331,3)</f>
        <v/>
      </c>
      <c r="BG331" s="298" t="str">
        <f>IF(Out_Table[[#This Row],[Ora Uscita    (GH)]]&lt;&gt;"","x","")</f>
        <v/>
      </c>
      <c r="BH331" s="299" t="e">
        <f>VLOOKUP($O331,'INformazioni per calcoli'!$Y$20:$AA$23,3,FALSE)</f>
        <v>#N/A</v>
      </c>
      <c r="BI331" s="299" t="e">
        <f>MROUND(Out_Table[[#This Row],[Mtr. Trailer]]*AB331,0.5)</f>
        <v>#N/A</v>
      </c>
      <c r="BJ331" s="299" t="e">
        <f>MROUND(Out_Table[[#This Row],[Mtr. Trailer]]*AE331,0.5)</f>
        <v>#N/A</v>
      </c>
      <c r="BK331" s="299" t="e">
        <f>MROUND(Out_Table[[#This Row],[Mtr. Trailer]]*AH331,0.5)</f>
        <v>#N/A</v>
      </c>
      <c r="BL331" s="300">
        <f>Out_Table[[#This Row],[Double Deck trailer N° bumpers]]</f>
        <v>0</v>
      </c>
      <c r="BM331" s="301"/>
      <c r="BN331" s="299">
        <f>B331</f>
        <v>0</v>
      </c>
      <c r="BO331" s="299">
        <f>E331</f>
        <v>0</v>
      </c>
      <c r="BP331" s="302">
        <f>IF(AND(G331&gt;(--"00:00:01"),G331&lt;(--"15:00:00")),IF(AND(X331&gt;(--"00:00:01"),X331&lt;(--"15:00:00")),G331-X331,G331+1-X331),G331-X331)</f>
        <v>0</v>
      </c>
      <c r="BQ331" s="303">
        <f>AE331+AF331+AH331+AJ331</f>
        <v>0</v>
      </c>
      <c r="BR331" s="304" t="str">
        <f>IF(OR(BP331&lt;=(--"00:20:00"),BQ331&gt;=100%),"OK","Not OK")</f>
        <v>OK</v>
      </c>
      <c r="BS331" s="302">
        <f>IF(AND(G331&gt;(--"00:00:01"),G331&lt;(--"15:00:00")),IF(AND(AU331&gt;(--"00:00:01"),AU331&lt;(--"15:00:00")),G331-AU331,G331+1-AU331),G331-AU331)</f>
        <v>0</v>
      </c>
      <c r="BT331" s="302">
        <f>IF(AND(AZ331&gt;(--"00:00:01"),AZ331&lt;(--"15:00:00")),IF(AND(AU331&gt;(--"00:00:01"),AU331&lt;(--"15:00:00")),AZ331-AU331,AZ331+1-AU331),AZ331-AU331)</f>
        <v>0</v>
      </c>
      <c r="BU331" s="302">
        <f>IF(AND(BA331&gt;(--"00:00:01"),BA331&lt;(--"15:00:00")),IF(AND(AZ331&gt;(--"00:00:01"),AZ331&lt;(--"15:00:00")),BA331-AZ331,BA331+1-AZ331),BA331-AZ331)</f>
        <v>0</v>
      </c>
      <c r="BV331" s="299">
        <f>AV331</f>
        <v>0</v>
      </c>
      <c r="BW331" s="301"/>
      <c r="BX331" s="299" t="str">
        <f>IF(AV331="T Status",IF(AV331&lt;&gt;T331,"X",""),"")</f>
        <v/>
      </c>
      <c r="BY331" s="301"/>
      <c r="BZ331" s="299" t="str">
        <f>IF(X331&lt;&gt;"",IF(CC331="X","Driver Delay",IF(CA331="X","Paperwork Delay",IF(CB331="X","Late freight late sort",IF(CD331="X","Chiamare Control Room",IF(CE331="X","Chiamare Control Room",IF(CF331="X","Chiamare Control Room","")))))),"")</f>
        <v/>
      </c>
      <c r="CA331" s="302" t="str">
        <f>IF(K331="",IF(IF(AND(G331&gt;(--"00:00:01"),G331&lt;(--"15:00:00")),IF(AND(AT331&gt;(--"08:00:00"),AT331&lt;(--"23:59:59")),G331+1-AT331,G331-AT331),G331-AT331)&gt;(--"00:20:00"),"","X"),"")</f>
        <v>X</v>
      </c>
      <c r="CB331" s="299" t="str">
        <f>IF(K331="",IF(BP331&gt;=(--"00:20:00"),"","X"),"")</f>
        <v>X</v>
      </c>
      <c r="CC331" s="299" t="str">
        <f>IF(OR(AV331="Autista non presente",AV331="Dati driver non presenti"),"X","")</f>
        <v/>
      </c>
      <c r="CD331" s="299" t="str">
        <f>IF(K331="",IF(AND(CC331="",BS331&lt;(--"00:20:00")),"X",""),"")</f>
        <v>X</v>
      </c>
      <c r="CE331" s="299" t="str">
        <f>IF(K331="",IF(BT331&gt;(--"00:15:00"),"X",""),IF(AZ331&lt;&gt;"",IF(G331-AZ331&gt;(--"00:30:00"),"X",""),""))</f>
        <v/>
      </c>
      <c r="CF331" s="299" t="str">
        <f>IF(AND(CA331="",CB331="",CC331="",CD331="",CE331=""),"X","")</f>
        <v/>
      </c>
      <c r="CG331" s="301"/>
      <c r="CH331" s="299" t="str">
        <f>IF(BT331&gt;(--"00:15:00"),"X","")</f>
        <v/>
      </c>
      <c r="CI331" s="302" t="str">
        <f>AY331</f>
        <v/>
      </c>
      <c r="CJ331" s="299" t="str">
        <f>IF(AND(CH331&lt;&gt;"",CI331&lt;&gt;"",LEFT(B331,3)="ITD"),AP331,"")</f>
        <v/>
      </c>
      <c r="CK331" s="305" t="str">
        <f>IF(CJ331&lt;&gt;"",BT331,"")</f>
        <v/>
      </c>
      <c r="CL331" s="301"/>
      <c r="CM331" s="305" t="str">
        <f>IFERROR(VLOOKUP(Q331,'Elenco Casse'!$D$4:$F$292,3,FALSE),"")</f>
        <v/>
      </c>
      <c r="CN331" s="301"/>
      <c r="CO331" s="305" t="str">
        <f>IFERROR(VLOOKUP(S331,'Elenco Casse'!$D$4:$F$292,3,FALSE),"")</f>
        <v/>
      </c>
      <c r="CP331" s="305" t="str">
        <f>IFERROR(IF(VLOOKUP($E331,Outlist!$A$5:$S$120,19,FALSE)&lt;&gt;0,"Y",""),"")</f>
        <v/>
      </c>
      <c r="CQ331" s="301"/>
      <c r="CR331" s="305" t="str">
        <f>CONCATENATE($B331,$E331,$G331)</f>
        <v/>
      </c>
      <c r="CS331" s="301"/>
      <c r="CT331" s="305" t="e">
        <f>VLOOKUP(Out_Table[[#This Row],[Destination             ORANGE (From Planning)]],Outlist!$A$5:$W$120,22,FALSE)</f>
        <v>#N/A</v>
      </c>
    </row>
    <row r="332" spans="1:98" s="20" customFormat="1" ht="15">
      <c r="A332" s="305" t="str">
        <f>$CR332</f>
        <v/>
      </c>
      <c r="B332" s="284"/>
      <c r="C332" s="290">
        <f ca="1">IFERROR(IF(LEFT(B332,3)='STAT 77'!$X$2,_xlfn.XLOOKUP(B332,'STAT 77'!C:C,'STAT 77'!B:B),_xlfn.XLOOKUP(B332,'STAT 77'!B:B,'STAT 77'!C:C)),"NON TROVATO")</f>
        <v>0</v>
      </c>
      <c r="D332" s="25"/>
      <c r="E332" s="290"/>
      <c r="F332" s="290" t="str">
        <f>IFERROR(VLOOKUP(E332,'Cambio O2P'!C:E,2,FALSE),"")</f>
        <v/>
      </c>
      <c r="G332" s="285"/>
      <c r="H332" s="293" t="str">
        <f ca="1">IFERROR(IF(AND('INformazioni per calcoli'!$AB$3&lt;(--"14:30"),'INformazioni per calcoli'!$AB$3&gt;(--"10:00")),"",IF($B332="","",IF($X332&lt;&gt;"","Mezzo Chiuso",IF($W332="","Non al Carico",IF($G332-'INformazioni per calcoli'!$AB$5-'INformazioni per calcoli'!$AB$3+$J332&lt;0,"LFLS",IF($K332&lt;&gt;"","Safe Parking",IF($W332&lt;&gt;"",IF($E332="MXP",$G332-'INformazioni per calcoli'!$AB$6-'INformazioni per calcoli'!$AB$3+$J332,$G332-'INformazioni per calcoli'!$AB$5-'INformazioni per calcoli'!$AB$3+$J332),"Non al carico"))))))),"")</f>
        <v/>
      </c>
      <c r="I332" s="17" t="str">
        <f ca="1">IFERROR(IF($H332&lt;&gt;"",IF($H332="Safe Parking","",IF($W332&lt;&gt;"",IF(AND($U332="X",$V332="X"),$H332-(--"00:30"),""),IF($X332&lt;&gt;"","Mezzo Chiuso","Non al carico"))),""),"")</f>
        <v/>
      </c>
      <c r="J332" s="306" t="str">
        <f>IFERROR(IF($B332&lt;&gt;"",IF(AND('INformazioni per calcoli'!$AB$3&lt;(--"15:00"),'INformazioni per calcoli'!$AB$3&gt;(--"00:00")),0,IF($G332&lt;(--"18:30"),"+1",0)),""),"")</f>
        <v/>
      </c>
      <c r="K332" s="17"/>
      <c r="L332" s="25"/>
      <c r="M332" s="25" t="str">
        <f>IFERROR(_xlfn.XLOOKUP($Q332,'Elenco Casse'!$D:$D,'Elenco Casse'!$E:$E),"")</f>
        <v/>
      </c>
      <c r="N332" s="25" t="str">
        <f>IFERROR(_xlfn.XLOOKUP($Q332,'Elenco Casse'!$D:$D,'Elenco Casse'!$F:$F),"")</f>
        <v/>
      </c>
      <c r="O332" s="286"/>
      <c r="P332" s="295" t="str">
        <f>IFERROR(_xlfn.XLOOKUP($Q332,'Elenco Casse'!$D:$D,'Elenco Casse'!$G:$G),"")</f>
        <v/>
      </c>
      <c r="Q332" s="355"/>
      <c r="R332" s="23"/>
      <c r="S332" s="25"/>
      <c r="T332" s="25"/>
      <c r="U332" s="23" t="str">
        <f>IF(ISNUMBER(SEARCH("Parcel",$T332)),"X","")</f>
        <v/>
      </c>
      <c r="V332" s="23" t="str">
        <f>IF(ISNUMBER(SEARCH("Freight",$T332)),"X","")</f>
        <v/>
      </c>
      <c r="W332" s="26"/>
      <c r="X332" s="27"/>
      <c r="Y332" s="25" t="str">
        <f>IF(Out_Table[[#This Row],[DOC Del. hr. (RTH)]]&lt;&gt;"","XXX","")</f>
        <v/>
      </c>
      <c r="Z332" s="25"/>
      <c r="AA332" s="25"/>
      <c r="AB332" s="57"/>
      <c r="AC332" s="25"/>
      <c r="AD332" s="25"/>
      <c r="AE332" s="57"/>
      <c r="AF332" s="57"/>
      <c r="AG332" s="25"/>
      <c r="AH332" s="57"/>
      <c r="AI332" s="339"/>
      <c r="AJ332" s="339"/>
      <c r="AK332" s="297" t="str">
        <f>IF(X332&lt;&gt;"",CONCATENATE(IF(AA332&lt;&gt;"",CONCATENATE(Z332," ",AA332," ",BI332),""),IF(AD332&lt;&gt;"",CONCATENATE(","," ",AC332," ",AD332," ",BJ332),""),IF(AG332&lt;&gt;"",CONCATENATE(","," ",AF332," ",AG332," ",BK332),""),IF(AJ332&lt;&gt;"",CONCATENATE(","," ","DD"," ",BL332),"")," ",IF(AI332&lt;&gt;"",CONCATENATE(" - ",AI332," Bag"),"")),"")</f>
        <v/>
      </c>
      <c r="AL332" s="287"/>
      <c r="AM332" s="287"/>
      <c r="AN332" s="287"/>
      <c r="AO332" s="287"/>
      <c r="AP332" s="370" t="str">
        <f>IFERROR(VLOOKUP($E329,Outlist!$A$5:$V$120,20,FALSE),"")</f>
        <v/>
      </c>
      <c r="AQ332" s="288" t="str">
        <f>IFERROR(IF(VLOOKUP($A332,#REF!,8,FALSE)&lt;&gt;"",VLOOKUP($A332,#REF!,8,FALSE),""),"")</f>
        <v/>
      </c>
      <c r="AS332" s="24"/>
      <c r="AT332" s="24"/>
      <c r="AU332" s="27"/>
      <c r="AV332" s="27"/>
      <c r="AX332" s="20" t="str">
        <f>IFERROR(IF(Out_Table[[#This Row],[Cancellazione linea]]="Cancellata","yes",""),"")</f>
        <v/>
      </c>
      <c r="AY332" s="72" t="str">
        <f>IF(BA332="",BZ332,IF(AND(BA332&lt;(--"23:59:59"),BA332&gt;(--"15:00:00"),G332&lt;(--"14:00:00"),G332&gt;(--"00:00:01")),"",IF(BA332&gt;G332,BZ332,"")))</f>
        <v/>
      </c>
      <c r="AZ332" s="27"/>
      <c r="BA332" s="32"/>
      <c r="BB332" s="72"/>
      <c r="BC332" s="72" t="str">
        <f>IFERROR(VLOOKUP(Out_Table[[#This Row],[Aggiornamento STATUS]],'INformazioni per calcoli'!$Y$70:$AA$76,2,FALSE),"")</f>
        <v/>
      </c>
      <c r="BD332" s="289"/>
      <c r="BE332" s="289"/>
      <c r="BF332" s="47" t="str">
        <f>LEFT($E332,3)</f>
        <v/>
      </c>
      <c r="BG332" s="298" t="str">
        <f>IF(Out_Table[[#This Row],[Ora Uscita    (GH)]]&lt;&gt;"","x","")</f>
        <v/>
      </c>
      <c r="BH332" s="299" t="e">
        <f>VLOOKUP($O332,'INformazioni per calcoli'!$Y$20:$AA$23,3,FALSE)</f>
        <v>#N/A</v>
      </c>
      <c r="BI332" s="299" t="e">
        <f>MROUND(Out_Table[[#This Row],[Mtr. Trailer]]*AB332,0.5)</f>
        <v>#N/A</v>
      </c>
      <c r="BJ332" s="299" t="e">
        <f>MROUND(Out_Table[[#This Row],[Mtr. Trailer]]*AE332,0.5)</f>
        <v>#N/A</v>
      </c>
      <c r="BK332" s="299" t="e">
        <f>MROUND(Out_Table[[#This Row],[Mtr. Trailer]]*AH332,0.5)</f>
        <v>#N/A</v>
      </c>
      <c r="BL332" s="300">
        <f>Out_Table[[#This Row],[Double Deck trailer N° bumpers]]</f>
        <v>0</v>
      </c>
      <c r="BM332" s="301"/>
      <c r="BN332" s="299">
        <f>B332</f>
        <v>0</v>
      </c>
      <c r="BO332" s="299">
        <f>E332</f>
        <v>0</v>
      </c>
      <c r="BP332" s="302">
        <f>IF(AND(G332&gt;(--"00:00:01"),G332&lt;(--"15:00:00")),IF(AND(X332&gt;(--"00:00:01"),X332&lt;(--"15:00:00")),G332-X332,G332+1-X332),G332-X332)</f>
        <v>0</v>
      </c>
      <c r="BQ332" s="303">
        <f>AE332+AF332+AH332+AJ332</f>
        <v>0</v>
      </c>
      <c r="BR332" s="304" t="str">
        <f>IF(OR(BP332&lt;=(--"00:20:00"),BQ332&gt;=100%),"OK","Not OK")</f>
        <v>OK</v>
      </c>
      <c r="BS332" s="302">
        <f>IF(AND(G332&gt;(--"00:00:01"),G332&lt;(--"15:00:00")),IF(AND(AU332&gt;(--"00:00:01"),AU332&lt;(--"15:00:00")),G332-AU332,G332+1-AU332),G332-AU332)</f>
        <v>0</v>
      </c>
      <c r="BT332" s="302">
        <f>IF(AND(AZ332&gt;(--"00:00:01"),AZ332&lt;(--"15:00:00")),IF(AND(AU332&gt;(--"00:00:01"),AU332&lt;(--"15:00:00")),AZ332-AU332,AZ332+1-AU332),AZ332-AU332)</f>
        <v>0</v>
      </c>
      <c r="BU332" s="302">
        <f>IF(AND(BA332&gt;(--"00:00:01"),BA332&lt;(--"15:00:00")),IF(AND(AZ332&gt;(--"00:00:01"),AZ332&lt;(--"15:00:00")),BA332-AZ332,BA332+1-AZ332),BA332-AZ332)</f>
        <v>0</v>
      </c>
      <c r="BV332" s="299">
        <f>AV332</f>
        <v>0</v>
      </c>
      <c r="BW332" s="301"/>
      <c r="BX332" s="299" t="str">
        <f>IF(AV332="T Status",IF(AV332&lt;&gt;T332,"X",""),"")</f>
        <v/>
      </c>
      <c r="BY332" s="301"/>
      <c r="BZ332" s="299" t="str">
        <f>IF(X332&lt;&gt;"",IF(CC332="X","Driver Delay",IF(CA332="X","Paperwork Delay",IF(CB332="X","Late freight late sort",IF(CD332="X","Chiamare Control Room",IF(CE332="X","Chiamare Control Room",IF(CF332="X","Chiamare Control Room","")))))),"")</f>
        <v/>
      </c>
      <c r="CA332" s="302" t="str">
        <f>IF(K332="",IF(IF(AND(G332&gt;(--"00:00:01"),G332&lt;(--"15:00:00")),IF(AND(AT332&gt;(--"08:00:00"),AT332&lt;(--"23:59:59")),G332+1-AT332,G332-AT332),G332-AT332)&gt;(--"00:20:00"),"","X"),"")</f>
        <v>X</v>
      </c>
      <c r="CB332" s="299" t="str">
        <f>IF(K332="",IF(BP332&gt;=(--"00:20:00"),"","X"),"")</f>
        <v>X</v>
      </c>
      <c r="CC332" s="299" t="str">
        <f>IF(OR(AV332="Autista non presente",AV332="Dati driver non presenti"),"X","")</f>
        <v/>
      </c>
      <c r="CD332" s="299" t="str">
        <f>IF(K332="",IF(AND(CC332="",BS332&lt;(--"00:20:00")),"X",""),"")</f>
        <v>X</v>
      </c>
      <c r="CE332" s="299" t="str">
        <f>IF(K332="",IF(BT332&gt;(--"00:15:00"),"X",""),IF(AZ332&lt;&gt;"",IF(G332-AZ332&gt;(--"00:30:00"),"X",""),""))</f>
        <v/>
      </c>
      <c r="CF332" s="299" t="str">
        <f>IF(AND(CA332="",CB332="",CC332="",CD332="",CE332=""),"X","")</f>
        <v/>
      </c>
      <c r="CG332" s="301"/>
      <c r="CH332" s="299" t="str">
        <f>IF(BT332&gt;(--"00:15:00"),"X","")</f>
        <v/>
      </c>
      <c r="CI332" s="302" t="str">
        <f>AY332</f>
        <v/>
      </c>
      <c r="CJ332" s="299" t="str">
        <f>IF(AND(CH332&lt;&gt;"",CI332&lt;&gt;"",LEFT(B332,3)="ITD"),AP332,"")</f>
        <v/>
      </c>
      <c r="CK332" s="305" t="str">
        <f>IF(CJ332&lt;&gt;"",BT332,"")</f>
        <v/>
      </c>
      <c r="CL332" s="301"/>
      <c r="CM332" s="305" t="str">
        <f>IFERROR(VLOOKUP(Q332,'Elenco Casse'!$D$4:$F$292,3,FALSE),"")</f>
        <v/>
      </c>
      <c r="CN332" s="301"/>
      <c r="CO332" s="305" t="str">
        <f>IFERROR(VLOOKUP(S332,'Elenco Casse'!$D$4:$F$292,3,FALSE),"")</f>
        <v/>
      </c>
      <c r="CP332" s="305" t="str">
        <f>IFERROR(IF(VLOOKUP($E332,Outlist!$A$5:$S$120,19,FALSE)&lt;&gt;0,"Y",""),"")</f>
        <v/>
      </c>
      <c r="CQ332" s="301"/>
      <c r="CR332" s="305" t="str">
        <f>CONCATENATE($B332,$E332,$G332)</f>
        <v/>
      </c>
      <c r="CS332" s="301"/>
      <c r="CT332" s="305" t="e">
        <f>VLOOKUP(Out_Table[[#This Row],[Destination             ORANGE (From Planning)]],Outlist!$A$5:$W$120,22,FALSE)</f>
        <v>#N/A</v>
      </c>
    </row>
    <row r="333" spans="1:98" s="20" customFormat="1" ht="15">
      <c r="A333" s="305" t="str">
        <f>$CR333</f>
        <v/>
      </c>
      <c r="B333" s="284"/>
      <c r="C333" s="290">
        <f ca="1">IFERROR(IF(LEFT(B333,3)='STAT 77'!$X$2,_xlfn.XLOOKUP(B333,'STAT 77'!C:C,'STAT 77'!B:B),_xlfn.XLOOKUP(B333,'STAT 77'!B:B,'STAT 77'!C:C)),"NON TROVATO")</f>
        <v>0</v>
      </c>
      <c r="D333" s="25"/>
      <c r="E333" s="290"/>
      <c r="F333" s="290" t="str">
        <f>IFERROR(VLOOKUP(E333,'Cambio O2P'!C:E,2,FALSE),"")</f>
        <v/>
      </c>
      <c r="G333" s="285"/>
      <c r="H333" s="293" t="str">
        <f ca="1">IFERROR(IF(AND('INformazioni per calcoli'!$AB$3&lt;(--"14:30"),'INformazioni per calcoli'!$AB$3&gt;(--"10:00")),"",IF($B333="","",IF($X333&lt;&gt;"","Mezzo Chiuso",IF($W333="","Non al Carico",IF($G333-'INformazioni per calcoli'!$AB$5-'INformazioni per calcoli'!$AB$3+$J333&lt;0,"LFLS",IF($K333&lt;&gt;"","Safe Parking",IF($W333&lt;&gt;"",IF($E333="MXP",$G333-'INformazioni per calcoli'!$AB$6-'INformazioni per calcoli'!$AB$3+$J333,$G333-'INformazioni per calcoli'!$AB$5-'INformazioni per calcoli'!$AB$3+$J333),"Non al carico"))))))),"")</f>
        <v/>
      </c>
      <c r="I333" s="17" t="str">
        <f ca="1">IFERROR(IF($H333&lt;&gt;"",IF($H333="Safe Parking","",IF($W333&lt;&gt;"",IF(AND($U333="X",$V333="X"),$H333-(--"00:30"),""),IF($X333&lt;&gt;"","Mezzo Chiuso","Non al carico"))),""),"")</f>
        <v/>
      </c>
      <c r="J333" s="306" t="str">
        <f>IFERROR(IF($B333&lt;&gt;"",IF(AND('INformazioni per calcoli'!$AB$3&lt;(--"15:00"),'INformazioni per calcoli'!$AB$3&gt;(--"00:00")),0,IF($G333&lt;(--"18:30"),"+1",0)),""),"")</f>
        <v/>
      </c>
      <c r="K333" s="17"/>
      <c r="L333" s="25"/>
      <c r="M333" s="25" t="str">
        <f>IFERROR(_xlfn.XLOOKUP($Q333,'Elenco Casse'!$D:$D,'Elenco Casse'!$E:$E),"")</f>
        <v/>
      </c>
      <c r="N333" s="25" t="str">
        <f>IFERROR(_xlfn.XLOOKUP($Q333,'Elenco Casse'!$D:$D,'Elenco Casse'!$F:$F),"")</f>
        <v/>
      </c>
      <c r="O333" s="286"/>
      <c r="P333" s="295" t="str">
        <f>IFERROR(_xlfn.XLOOKUP($Q333,'Elenco Casse'!$D:$D,'Elenco Casse'!$G:$G),"")</f>
        <v/>
      </c>
      <c r="Q333" s="355"/>
      <c r="R333" s="23"/>
      <c r="S333" s="25"/>
      <c r="T333" s="25"/>
      <c r="U333" s="23" t="str">
        <f>IF(ISNUMBER(SEARCH("Parcel",$T333)),"X","")</f>
        <v/>
      </c>
      <c r="V333" s="23" t="str">
        <f>IF(ISNUMBER(SEARCH("Freight",$T333)),"X","")</f>
        <v/>
      </c>
      <c r="W333" s="26"/>
      <c r="X333" s="27"/>
      <c r="Y333" s="25" t="str">
        <f>IF(Out_Table[[#This Row],[DOC Del. hr. (RTH)]]&lt;&gt;"","XXX","")</f>
        <v/>
      </c>
      <c r="Z333" s="25"/>
      <c r="AA333" s="25"/>
      <c r="AB333" s="57"/>
      <c r="AC333" s="25"/>
      <c r="AD333" s="25"/>
      <c r="AE333" s="57"/>
      <c r="AF333" s="57"/>
      <c r="AG333" s="25"/>
      <c r="AH333" s="57"/>
      <c r="AI333" s="339"/>
      <c r="AJ333" s="339"/>
      <c r="AK333" s="297" t="str">
        <f>IF(X333&lt;&gt;"",CONCATENATE(IF(AA333&lt;&gt;"",CONCATENATE(Z333," ",AA333," ",BI333),""),IF(AD333&lt;&gt;"",CONCATENATE(","," ",AC333," ",AD333," ",BJ333),""),IF(AG333&lt;&gt;"",CONCATENATE(","," ",AF333," ",AG333," ",BK333),""),IF(AJ333&lt;&gt;"",CONCATENATE(","," ","DD"," ",BL333),"")," ",IF(AI333&lt;&gt;"",CONCATENATE(" - ",AI333," Bag"),"")),"")</f>
        <v/>
      </c>
      <c r="AL333" s="287"/>
      <c r="AM333" s="287"/>
      <c r="AN333" s="287"/>
      <c r="AO333" s="287"/>
      <c r="AP333" s="370" t="str">
        <f>IFERROR(VLOOKUP($E330,Outlist!$A$5:$V$120,20,FALSE),"")</f>
        <v/>
      </c>
      <c r="AQ333" s="288" t="str">
        <f>IFERROR(IF(VLOOKUP($A333,#REF!,8,FALSE)&lt;&gt;"",VLOOKUP($A333,#REF!,8,FALSE),""),"")</f>
        <v/>
      </c>
      <c r="AS333" s="24"/>
      <c r="AT333" s="24"/>
      <c r="AU333" s="27"/>
      <c r="AV333" s="27"/>
      <c r="AX333" s="20" t="str">
        <f>IFERROR(IF(Out_Table[[#This Row],[Cancellazione linea]]="Cancellata","yes",""),"")</f>
        <v/>
      </c>
      <c r="AY333" s="72" t="str">
        <f>IF(BA333="",BZ333,IF(AND(BA333&lt;(--"23:59:59"),BA333&gt;(--"15:00:00"),G333&lt;(--"14:00:00"),G333&gt;(--"00:00:01")),"",IF(BA333&gt;G333,BZ333,"")))</f>
        <v/>
      </c>
      <c r="AZ333" s="27"/>
      <c r="BA333" s="32"/>
      <c r="BB333" s="72"/>
      <c r="BC333" s="72" t="str">
        <f>IFERROR(VLOOKUP(Out_Table[[#This Row],[Aggiornamento STATUS]],'INformazioni per calcoli'!$Y$70:$AA$76,2,FALSE),"")</f>
        <v/>
      </c>
      <c r="BD333" s="289"/>
      <c r="BE333" s="289"/>
      <c r="BF333" s="47" t="str">
        <f>LEFT($E333,3)</f>
        <v/>
      </c>
      <c r="BG333" s="298" t="str">
        <f>IF(Out_Table[[#This Row],[Ora Uscita    (GH)]]&lt;&gt;"","x","")</f>
        <v/>
      </c>
      <c r="BH333" s="299" t="e">
        <f>VLOOKUP($O333,'INformazioni per calcoli'!$Y$20:$AA$23,3,FALSE)</f>
        <v>#N/A</v>
      </c>
      <c r="BI333" s="299" t="e">
        <f>MROUND(Out_Table[[#This Row],[Mtr. Trailer]]*AB333,0.5)</f>
        <v>#N/A</v>
      </c>
      <c r="BJ333" s="299" t="e">
        <f>MROUND(Out_Table[[#This Row],[Mtr. Trailer]]*AE333,0.5)</f>
        <v>#N/A</v>
      </c>
      <c r="BK333" s="299" t="e">
        <f>MROUND(Out_Table[[#This Row],[Mtr. Trailer]]*AH333,0.5)</f>
        <v>#N/A</v>
      </c>
      <c r="BL333" s="300">
        <f>Out_Table[[#This Row],[Double Deck trailer N° bumpers]]</f>
        <v>0</v>
      </c>
      <c r="BM333" s="301"/>
      <c r="BN333" s="299">
        <f>B333</f>
        <v>0</v>
      </c>
      <c r="BO333" s="299">
        <f>E333</f>
        <v>0</v>
      </c>
      <c r="BP333" s="302">
        <f>IF(AND(G333&gt;(--"00:00:01"),G333&lt;(--"15:00:00")),IF(AND(X333&gt;(--"00:00:01"),X333&lt;(--"15:00:00")),G333-X333,G333+1-X333),G333-X333)</f>
        <v>0</v>
      </c>
      <c r="BQ333" s="303">
        <f>AE333+AF333+AH333+AJ333</f>
        <v>0</v>
      </c>
      <c r="BR333" s="304" t="str">
        <f>IF(OR(BP333&lt;=(--"00:20:00"),BQ333&gt;=100%),"OK","Not OK")</f>
        <v>OK</v>
      </c>
      <c r="BS333" s="302">
        <f>IF(AND(G333&gt;(--"00:00:01"),G333&lt;(--"15:00:00")),IF(AND(AU333&gt;(--"00:00:01"),AU333&lt;(--"15:00:00")),G333-AU333,G333+1-AU333),G333-AU333)</f>
        <v>0</v>
      </c>
      <c r="BT333" s="302">
        <f>IF(AND(AZ333&gt;(--"00:00:01"),AZ333&lt;(--"15:00:00")),IF(AND(AU333&gt;(--"00:00:01"),AU333&lt;(--"15:00:00")),AZ333-AU333,AZ333+1-AU333),AZ333-AU333)</f>
        <v>0</v>
      </c>
      <c r="BU333" s="302">
        <f>IF(AND(BA333&gt;(--"00:00:01"),BA333&lt;(--"15:00:00")),IF(AND(AZ333&gt;(--"00:00:01"),AZ333&lt;(--"15:00:00")),BA333-AZ333,BA333+1-AZ333),BA333-AZ333)</f>
        <v>0</v>
      </c>
      <c r="BV333" s="299">
        <f>AV333</f>
        <v>0</v>
      </c>
      <c r="BW333" s="301"/>
      <c r="BX333" s="299" t="str">
        <f>IF(AV333="T Status",IF(AV333&lt;&gt;T333,"X",""),"")</f>
        <v/>
      </c>
      <c r="BY333" s="301"/>
      <c r="BZ333" s="299" t="str">
        <f>IF(X333&lt;&gt;"",IF(CC333="X","Driver Delay",IF(CA333="X","Paperwork Delay",IF(CB333="X","Late freight late sort",IF(CD333="X","Chiamare Control Room",IF(CE333="X","Chiamare Control Room",IF(CF333="X","Chiamare Control Room","")))))),"")</f>
        <v/>
      </c>
      <c r="CA333" s="302" t="str">
        <f>IF(K333="",IF(IF(AND(G333&gt;(--"00:00:01"),G333&lt;(--"15:00:00")),IF(AND(AT333&gt;(--"08:00:00"),AT333&lt;(--"23:59:59")),G333+1-AT333,G333-AT333),G333-AT333)&gt;(--"00:20:00"),"","X"),"")</f>
        <v>X</v>
      </c>
      <c r="CB333" s="299" t="str">
        <f>IF(K333="",IF(BP333&gt;=(--"00:20:00"),"","X"),"")</f>
        <v>X</v>
      </c>
      <c r="CC333" s="299" t="str">
        <f>IF(OR(AV333="Autista non presente",AV333="Dati driver non presenti"),"X","")</f>
        <v/>
      </c>
      <c r="CD333" s="299" t="str">
        <f>IF(K333="",IF(AND(CC333="",BS333&lt;(--"00:20:00")),"X",""),"")</f>
        <v>X</v>
      </c>
      <c r="CE333" s="299" t="str">
        <f>IF(K333="",IF(BT333&gt;(--"00:15:00"),"X",""),IF(AZ333&lt;&gt;"",IF(G333-AZ333&gt;(--"00:30:00"),"X",""),""))</f>
        <v/>
      </c>
      <c r="CF333" s="299" t="str">
        <f>IF(AND(CA333="",CB333="",CC333="",CD333="",CE333=""),"X","")</f>
        <v/>
      </c>
      <c r="CG333" s="301"/>
      <c r="CH333" s="299" t="str">
        <f>IF(BT333&gt;(--"00:15:00"),"X","")</f>
        <v/>
      </c>
      <c r="CI333" s="302" t="str">
        <f>AY333</f>
        <v/>
      </c>
      <c r="CJ333" s="299" t="str">
        <f>IF(AND(CH333&lt;&gt;"",CI333&lt;&gt;"",LEFT(B333,3)="ITD"),AP333,"")</f>
        <v/>
      </c>
      <c r="CK333" s="305" t="str">
        <f>IF(CJ333&lt;&gt;"",BT333,"")</f>
        <v/>
      </c>
      <c r="CL333" s="301"/>
      <c r="CM333" s="305" t="str">
        <f>IFERROR(VLOOKUP(Q333,'Elenco Casse'!$D$4:$F$292,3,FALSE),"")</f>
        <v/>
      </c>
      <c r="CN333" s="301"/>
      <c r="CO333" s="305" t="str">
        <f>IFERROR(VLOOKUP(S333,'Elenco Casse'!$D$4:$F$292,3,FALSE),"")</f>
        <v/>
      </c>
      <c r="CP333" s="305" t="str">
        <f>IFERROR(IF(VLOOKUP($E333,Outlist!$A$5:$S$120,19,FALSE)&lt;&gt;0,"Y",""),"")</f>
        <v/>
      </c>
      <c r="CQ333" s="301"/>
      <c r="CR333" s="305" t="str">
        <f>CONCATENATE($B333,$E333,$G333)</f>
        <v/>
      </c>
      <c r="CS333" s="301"/>
      <c r="CT333" s="305" t="e">
        <f>VLOOKUP(Out_Table[[#This Row],[Destination             ORANGE (From Planning)]],Outlist!$A$5:$W$120,22,FALSE)</f>
        <v>#N/A</v>
      </c>
    </row>
    <row r="334" spans="1:98" s="20" customFormat="1" ht="15">
      <c r="A334" s="305" t="str">
        <f>$CR334</f>
        <v/>
      </c>
      <c r="B334" s="284"/>
      <c r="C334" s="290" t="str">
        <f ca="1">IFERROR(IF(LEFT(B334,3)='STAT 77'!$X$2,_xlfn.XLOOKUP(B334,'STAT 77'!C:C,'STAT 77'!B:B),_xlfn.XLOOKUP(B334,'STAT 77'!B:B,'STAT 77'!C:C)),"NON TROVATO")</f>
        <v>NON TROVATO</v>
      </c>
      <c r="D334" s="25"/>
      <c r="E334" s="290"/>
      <c r="F334" s="290" t="str">
        <f>IFERROR(VLOOKUP(E334,'Cambio O2P'!C:E,2,FALSE),"")</f>
        <v/>
      </c>
      <c r="G334" s="285"/>
      <c r="H334" s="293" t="str">
        <f ca="1">IFERROR(IF(AND('INformazioni per calcoli'!$AB$3&lt;(--"14:30"),'INformazioni per calcoli'!$AB$3&gt;(--"10:00")),"",IF($B334="","",IF($X334&lt;&gt;"","Mezzo Chiuso",IF($W334="","Non al Carico",IF($G334-'INformazioni per calcoli'!$AB$5-'INformazioni per calcoli'!$AB$3+$J334&lt;0,"LFLS",IF($K334&lt;&gt;"","Safe Parking",IF($W334&lt;&gt;"",IF($E334="MXP",$G334-'INformazioni per calcoli'!$AB$6-'INformazioni per calcoli'!$AB$3+$J334,$G334-'INformazioni per calcoli'!$AB$5-'INformazioni per calcoli'!$AB$3+$J334),"Non al carico"))))))),"")</f>
        <v/>
      </c>
      <c r="I334" s="17" t="str">
        <f ca="1">IFERROR(IF($H334&lt;&gt;"",IF($H334="Safe Parking","",IF($W334&lt;&gt;"",IF(AND($U334="X",$V334="X"),$H334-(--"00:30"),""),IF($X334&lt;&gt;"","Mezzo Chiuso","Non al carico"))),""),"")</f>
        <v/>
      </c>
      <c r="J334" s="306" t="str">
        <f>IFERROR(IF($B334&lt;&gt;"",IF(AND('INformazioni per calcoli'!$AB$3&lt;(--"15:00"),'INformazioni per calcoli'!$AB$3&gt;(--"00:00")),0,IF($G334&lt;(--"18:30"),"+1",0)),""),"")</f>
        <v/>
      </c>
      <c r="K334" s="17"/>
      <c r="L334" s="25"/>
      <c r="M334" s="25" t="str">
        <f>IFERROR(_xlfn.XLOOKUP($Q334,'Elenco Casse'!$D:$D,'Elenco Casse'!$E:$E),"")</f>
        <v/>
      </c>
      <c r="N334" s="25" t="str">
        <f>IFERROR(_xlfn.XLOOKUP($Q334,'Elenco Casse'!$D:$D,'Elenco Casse'!$F:$F),"")</f>
        <v/>
      </c>
      <c r="O334" s="286"/>
      <c r="P334" s="295" t="str">
        <f>IFERROR(_xlfn.XLOOKUP($Q334,'Elenco Casse'!$D:$D,'Elenco Casse'!$G:$G),"")</f>
        <v/>
      </c>
      <c r="Q334" s="355"/>
      <c r="R334" s="23"/>
      <c r="S334" s="25"/>
      <c r="T334" s="25"/>
      <c r="U334" s="23" t="str">
        <f>IF(ISNUMBER(SEARCH("Parcel",$T334)),"X","")</f>
        <v/>
      </c>
      <c r="V334" s="23" t="str">
        <f>IF(ISNUMBER(SEARCH("Freight",$T334)),"X","")</f>
        <v/>
      </c>
      <c r="W334" s="26"/>
      <c r="X334" s="27"/>
      <c r="Y334" s="25" t="str">
        <f>IF(Out_Table[[#This Row],[DOC Del. hr. (RTH)]]&lt;&gt;"","XXX","")</f>
        <v/>
      </c>
      <c r="Z334" s="25"/>
      <c r="AA334" s="25"/>
      <c r="AB334" s="57"/>
      <c r="AC334" s="25"/>
      <c r="AD334" s="25"/>
      <c r="AE334" s="57"/>
      <c r="AF334" s="57"/>
      <c r="AG334" s="25"/>
      <c r="AH334" s="57"/>
      <c r="AI334" s="339"/>
      <c r="AJ334" s="339"/>
      <c r="AK334" s="297" t="str">
        <f>IF(X334&lt;&gt;"",CONCATENATE(IF(AA334&lt;&gt;"",CONCATENATE(Z334," ",AA334," ",BI334),""),IF(AD334&lt;&gt;"",CONCATENATE(","," ",AC334," ",AD334," ",BJ334),""),IF(AG334&lt;&gt;"",CONCATENATE(","," ",AF334," ",AG334," ",BK334),""),IF(AJ334&lt;&gt;"",CONCATENATE(","," ","DD"," ",BL334),"")," ",IF(AI334&lt;&gt;"",CONCATENATE(" - ",AI334," Bag"),"")),"")</f>
        <v/>
      </c>
      <c r="AL334" s="287"/>
      <c r="AM334" s="287"/>
      <c r="AN334" s="287"/>
      <c r="AO334" s="287"/>
      <c r="AP334" s="370" t="str">
        <f>IFERROR(VLOOKUP($E331,Outlist!$A$5:$V$120,20,FALSE),"")</f>
        <v/>
      </c>
      <c r="AQ334" s="288" t="str">
        <f>IFERROR(IF(VLOOKUP($A334,#REF!,8,FALSE)&lt;&gt;"",VLOOKUP($A334,#REF!,8,FALSE),""),"")</f>
        <v/>
      </c>
      <c r="AS334" s="24"/>
      <c r="AT334" s="24"/>
      <c r="AU334" s="27"/>
      <c r="AV334" s="27"/>
      <c r="AX334" s="20" t="str">
        <f>IFERROR(IF(Out_Table[[#This Row],[Cancellazione linea]]="Cancellata","yes",""),"")</f>
        <v/>
      </c>
      <c r="AY334" s="72" t="str">
        <f>IF(BA334="",BZ334,IF(AND(BA334&lt;(--"23:59:59"),BA334&gt;(--"15:00:00"),G334&lt;(--"14:00:00"),G334&gt;(--"00:00:01")),"",IF(BA334&gt;G334,BZ334,"")))</f>
        <v/>
      </c>
      <c r="AZ334" s="27"/>
      <c r="BA334" s="32"/>
      <c r="BB334" s="72"/>
      <c r="BC334" s="72" t="str">
        <f>IFERROR(VLOOKUP(Out_Table[[#This Row],[Aggiornamento STATUS]],'INformazioni per calcoli'!$Y$70:$AA$76,2,FALSE),"")</f>
        <v/>
      </c>
      <c r="BD334" s="289"/>
      <c r="BE334" s="289"/>
      <c r="BF334" s="47" t="str">
        <f>LEFT($E334,3)</f>
        <v/>
      </c>
      <c r="BG334" s="298" t="str">
        <f>IF(Out_Table[[#This Row],[Ora Uscita    (GH)]]&lt;&gt;"","x","")</f>
        <v/>
      </c>
      <c r="BH334" s="299" t="e">
        <f>VLOOKUP($O334,'INformazioni per calcoli'!$Y$20:$AA$23,3,FALSE)</f>
        <v>#N/A</v>
      </c>
      <c r="BI334" s="299" t="e">
        <f>MROUND(Out_Table[[#This Row],[Mtr. Trailer]]*AB334,0.5)</f>
        <v>#N/A</v>
      </c>
      <c r="BJ334" s="299" t="e">
        <f>MROUND(Out_Table[[#This Row],[Mtr. Trailer]]*AE334,0.5)</f>
        <v>#N/A</v>
      </c>
      <c r="BK334" s="299" t="e">
        <f>MROUND(Out_Table[[#This Row],[Mtr. Trailer]]*AH334,0.5)</f>
        <v>#N/A</v>
      </c>
      <c r="BL334" s="300">
        <f>Out_Table[[#This Row],[Double Deck trailer N° bumpers]]</f>
        <v>0</v>
      </c>
      <c r="BM334" s="301"/>
      <c r="BN334" s="299">
        <f>B334</f>
        <v>0</v>
      </c>
      <c r="BO334" s="299">
        <f>E334</f>
        <v>0</v>
      </c>
      <c r="BP334" s="302">
        <f>IF(AND(G334&gt;(--"00:00:01"),G334&lt;(--"15:00:00")),IF(AND(X334&gt;(--"00:00:01"),X334&lt;(--"15:00:00")),G334-X334,G334+1-X334),G334-X334)</f>
        <v>0</v>
      </c>
      <c r="BQ334" s="303">
        <f>AE334+AF334+AH334+AJ334</f>
        <v>0</v>
      </c>
      <c r="BR334" s="304" t="str">
        <f>IF(OR(BP334&lt;=(--"00:20:00"),BQ334&gt;=100%),"OK","Not OK")</f>
        <v>OK</v>
      </c>
      <c r="BS334" s="302">
        <f>IF(AND(G334&gt;(--"00:00:01"),G334&lt;(--"15:00:00")),IF(AND(AU334&gt;(--"00:00:01"),AU334&lt;(--"15:00:00")),G334-AU334,G334+1-AU334),G334-AU334)</f>
        <v>0</v>
      </c>
      <c r="BT334" s="302">
        <f>IF(AND(AZ334&gt;(--"00:00:01"),AZ334&lt;(--"15:00:00")),IF(AND(AU334&gt;(--"00:00:01"),AU334&lt;(--"15:00:00")),AZ334-AU334,AZ334+1-AU334),AZ334-AU334)</f>
        <v>0</v>
      </c>
      <c r="BU334" s="302">
        <f>IF(AND(BA334&gt;(--"00:00:01"),BA334&lt;(--"15:00:00")),IF(AND(AZ334&gt;(--"00:00:01"),AZ334&lt;(--"15:00:00")),BA334-AZ334,BA334+1-AZ334),BA334-AZ334)</f>
        <v>0</v>
      </c>
      <c r="BV334" s="299">
        <f>AV334</f>
        <v>0</v>
      </c>
      <c r="BW334" s="301"/>
      <c r="BX334" s="299" t="str">
        <f>IF(AV334="T Status",IF(AV334&lt;&gt;T334,"X",""),"")</f>
        <v/>
      </c>
      <c r="BY334" s="301"/>
      <c r="BZ334" s="299" t="str">
        <f>IF(X334&lt;&gt;"",IF(CC334="X","Driver Delay",IF(CA334="X","Paperwork Delay",IF(CB334="X","Late freight late sort",IF(CD334="X","Chiamare Control Room",IF(CE334="X","Chiamare Control Room",IF(CF334="X","Chiamare Control Room","")))))),"")</f>
        <v/>
      </c>
      <c r="CA334" s="302" t="str">
        <f>IF(K334="",IF(IF(AND(G334&gt;(--"00:00:01"),G334&lt;(--"15:00:00")),IF(AND(AT334&gt;(--"08:00:00"),AT334&lt;(--"23:59:59")),G334+1-AT334,G334-AT334),G334-AT334)&gt;(--"00:20:00"),"","X"),"")</f>
        <v>X</v>
      </c>
      <c r="CB334" s="299" t="str">
        <f>IF(K334="",IF(BP334&gt;=(--"00:20:00"),"","X"),"")</f>
        <v>X</v>
      </c>
      <c r="CC334" s="299" t="str">
        <f>IF(OR(AV334="Autista non presente",AV334="Dati driver non presenti"),"X","")</f>
        <v/>
      </c>
      <c r="CD334" s="299" t="str">
        <f>IF(K334="",IF(AND(CC334="",BS334&lt;(--"00:20:00")),"X",""),"")</f>
        <v>X</v>
      </c>
      <c r="CE334" s="299" t="str">
        <f>IF(K334="",IF(BT334&gt;(--"00:15:00"),"X",""),IF(AZ334&lt;&gt;"",IF(G334-AZ334&gt;(--"00:30:00"),"X",""),""))</f>
        <v/>
      </c>
      <c r="CF334" s="299" t="str">
        <f>IF(AND(CA334="",CB334="",CC334="",CD334="",CE334=""),"X","")</f>
        <v/>
      </c>
      <c r="CG334" s="301"/>
      <c r="CH334" s="299" t="str">
        <f>IF(BT334&gt;(--"00:15:00"),"X","")</f>
        <v/>
      </c>
      <c r="CI334" s="302" t="str">
        <f>AY334</f>
        <v/>
      </c>
      <c r="CJ334" s="299" t="str">
        <f>IF(AND(CH334&lt;&gt;"",CI334&lt;&gt;"",LEFT(B334,3)="ITD"),AP334,"")</f>
        <v/>
      </c>
      <c r="CK334" s="305" t="str">
        <f>IF(CJ334&lt;&gt;"",BT334,"")</f>
        <v/>
      </c>
      <c r="CL334" s="301"/>
      <c r="CM334" s="305" t="str">
        <f>IFERROR(VLOOKUP(Q334,'Elenco Casse'!$D$4:$F$292,3,FALSE),"")</f>
        <v/>
      </c>
      <c r="CN334" s="301"/>
      <c r="CO334" s="305" t="str">
        <f>IFERROR(VLOOKUP(S334,'Elenco Casse'!$D$4:$F$292,3,FALSE),"")</f>
        <v/>
      </c>
      <c r="CP334" s="305" t="str">
        <f>IFERROR(IF(VLOOKUP($E334,Outlist!$A$5:$S$120,19,FALSE)&lt;&gt;0,"Y",""),"")</f>
        <v/>
      </c>
      <c r="CQ334" s="301"/>
      <c r="CR334" s="305" t="str">
        <f>CONCATENATE($B334,$E334,$G334)</f>
        <v/>
      </c>
      <c r="CS334" s="301"/>
      <c r="CT334" s="305" t="e">
        <f>VLOOKUP(Out_Table[[#This Row],[Destination             ORANGE (From Planning)]],Outlist!$A$5:$W$120,22,FALSE)</f>
        <v>#N/A</v>
      </c>
    </row>
    <row r="335" spans="1:98" s="20" customFormat="1" ht="15">
      <c r="A335" s="305" t="str">
        <f>$CR335</f>
        <v/>
      </c>
      <c r="B335" s="284"/>
      <c r="C335" s="290">
        <f ca="1">IFERROR(IF(LEFT(B335,3)='STAT 77'!$X$2,_xlfn.XLOOKUP(B335,'STAT 77'!C:C,'STAT 77'!B:B),_xlfn.XLOOKUP(B335,'STAT 77'!B:B,'STAT 77'!C:C)),"NON TROVATO")</f>
        <v>0</v>
      </c>
      <c r="D335" s="25"/>
      <c r="E335" s="290"/>
      <c r="F335" s="290" t="str">
        <f>IFERROR(VLOOKUP(E335,'Cambio O2P'!C:E,2,FALSE),"")</f>
        <v/>
      </c>
      <c r="G335" s="285"/>
      <c r="H335" s="293" t="str">
        <f ca="1">IFERROR(IF(AND('INformazioni per calcoli'!$AB$3&lt;(--"14:30"),'INformazioni per calcoli'!$AB$3&gt;(--"10:00")),"",IF($B335="","",IF($X335&lt;&gt;"","Mezzo Chiuso",IF($W335="","Non al Carico",IF($G335-'INformazioni per calcoli'!$AB$5-'INformazioni per calcoli'!$AB$3+$J335&lt;0,"LFLS",IF($K335&lt;&gt;"","Safe Parking",IF($W335&lt;&gt;"",IF($E335="MXP",$G335-'INformazioni per calcoli'!$AB$6-'INformazioni per calcoli'!$AB$3+$J335,$G335-'INformazioni per calcoli'!$AB$5-'INformazioni per calcoli'!$AB$3+$J335),"Non al carico"))))))),"")</f>
        <v/>
      </c>
      <c r="I335" s="17" t="str">
        <f ca="1">IFERROR(IF($H335&lt;&gt;"",IF($H335="Safe Parking","",IF($W335&lt;&gt;"",IF(AND($U335="X",$V335="X"),$H335-(--"00:30"),""),IF($X335&lt;&gt;"","Mezzo Chiuso","Non al carico"))),""),"")</f>
        <v/>
      </c>
      <c r="J335" s="306" t="str">
        <f>IFERROR(IF($B335&lt;&gt;"",IF(AND('INformazioni per calcoli'!$AB$3&lt;(--"15:00"),'INformazioni per calcoli'!$AB$3&gt;(--"00:00")),0,IF($G335&lt;(--"18:30"),"+1",0)),""),"")</f>
        <v/>
      </c>
      <c r="K335" s="17"/>
      <c r="L335" s="25"/>
      <c r="M335" s="25" t="str">
        <f>IFERROR(_xlfn.XLOOKUP($Q335,'Elenco Casse'!$D:$D,'Elenco Casse'!$E:$E),"")</f>
        <v/>
      </c>
      <c r="N335" s="25" t="str">
        <f>IFERROR(_xlfn.XLOOKUP($Q335,'Elenco Casse'!$D:$D,'Elenco Casse'!$F:$F),"")</f>
        <v/>
      </c>
      <c r="O335" s="286"/>
      <c r="P335" s="295" t="str">
        <f>IFERROR(_xlfn.XLOOKUP($Q335,'Elenco Casse'!$D:$D,'Elenco Casse'!$G:$G),"")</f>
        <v/>
      </c>
      <c r="Q335" s="355"/>
      <c r="R335" s="23"/>
      <c r="S335" s="25"/>
      <c r="T335" s="25"/>
      <c r="U335" s="23" t="str">
        <f>IF(ISNUMBER(SEARCH("Parcel",$T335)),"X","")</f>
        <v/>
      </c>
      <c r="V335" s="23" t="str">
        <f>IF(ISNUMBER(SEARCH("Freight",$T335)),"X","")</f>
        <v/>
      </c>
      <c r="W335" s="26"/>
      <c r="X335" s="27"/>
      <c r="Y335" s="25" t="str">
        <f>IF(Out_Table[[#This Row],[DOC Del. hr. (RTH)]]&lt;&gt;"","XXX","")</f>
        <v/>
      </c>
      <c r="Z335" s="25"/>
      <c r="AA335" s="25"/>
      <c r="AB335" s="57"/>
      <c r="AC335" s="25"/>
      <c r="AD335" s="25"/>
      <c r="AE335" s="57"/>
      <c r="AF335" s="57"/>
      <c r="AG335" s="25"/>
      <c r="AH335" s="57"/>
      <c r="AI335" s="339"/>
      <c r="AJ335" s="339"/>
      <c r="AK335" s="297" t="str">
        <f>IF(X335&lt;&gt;"",CONCATENATE(IF(AA335&lt;&gt;"",CONCATENATE(Z335," ",AA335," ",BI335),""),IF(AD335&lt;&gt;"",CONCATENATE(","," ",AC335," ",AD335," ",BJ335),""),IF(AG335&lt;&gt;"",CONCATENATE(","," ",AF335," ",AG335," ",BK335),""),IF(AJ335&lt;&gt;"",CONCATENATE(","," ","DD"," ",BL335),"")," ",IF(AI335&lt;&gt;"",CONCATENATE(" - ",AI335," Bag"),"")),"")</f>
        <v/>
      </c>
      <c r="AL335" s="287"/>
      <c r="AM335" s="287"/>
      <c r="AN335" s="287"/>
      <c r="AO335" s="287"/>
      <c r="AP335" s="370" t="str">
        <f>IFERROR(VLOOKUP($E332,Outlist!$A$5:$V$120,20,FALSE),"")</f>
        <v/>
      </c>
      <c r="AQ335" s="288" t="str">
        <f>IFERROR(IF(VLOOKUP($A335,#REF!,8,FALSE)&lt;&gt;"",VLOOKUP($A335,#REF!,8,FALSE),""),"")</f>
        <v/>
      </c>
      <c r="AS335" s="24"/>
      <c r="AT335" s="24"/>
      <c r="AU335" s="27"/>
      <c r="AV335" s="27"/>
      <c r="AX335" s="20" t="str">
        <f>IFERROR(IF(Out_Table[[#This Row],[Cancellazione linea]]="Cancellata","yes",""),"")</f>
        <v/>
      </c>
      <c r="AY335" s="72" t="str">
        <f>IF(BA335="",BZ335,IF(AND(BA335&lt;(--"23:59:59"),BA335&gt;(--"15:00:00"),G335&lt;(--"14:00:00"),G335&gt;(--"00:00:01")),"",IF(BA335&gt;G335,BZ335,"")))</f>
        <v/>
      </c>
      <c r="AZ335" s="27"/>
      <c r="BA335" s="32"/>
      <c r="BB335" s="72"/>
      <c r="BC335" s="72" t="str">
        <f>IFERROR(VLOOKUP(Out_Table[[#This Row],[Aggiornamento STATUS]],'INformazioni per calcoli'!$Y$70:$AA$76,2,FALSE),"")</f>
        <v/>
      </c>
      <c r="BD335" s="289"/>
      <c r="BE335" s="289"/>
      <c r="BF335" s="47" t="str">
        <f>LEFT($E335,3)</f>
        <v/>
      </c>
      <c r="BG335" s="298" t="str">
        <f>IF(Out_Table[[#This Row],[Ora Uscita    (GH)]]&lt;&gt;"","x","")</f>
        <v/>
      </c>
      <c r="BH335" s="299" t="e">
        <f>VLOOKUP($O335,'INformazioni per calcoli'!$Y$20:$AA$23,3,FALSE)</f>
        <v>#N/A</v>
      </c>
      <c r="BI335" s="299" t="e">
        <f>MROUND(Out_Table[[#This Row],[Mtr. Trailer]]*AB335,0.5)</f>
        <v>#N/A</v>
      </c>
      <c r="BJ335" s="299" t="e">
        <f>MROUND(Out_Table[[#This Row],[Mtr. Trailer]]*AE335,0.5)</f>
        <v>#N/A</v>
      </c>
      <c r="BK335" s="299" t="e">
        <f>MROUND(Out_Table[[#This Row],[Mtr. Trailer]]*AH335,0.5)</f>
        <v>#N/A</v>
      </c>
      <c r="BL335" s="300">
        <f>Out_Table[[#This Row],[Double Deck trailer N° bumpers]]</f>
        <v>0</v>
      </c>
      <c r="BM335" s="301"/>
      <c r="BN335" s="299">
        <f>B335</f>
        <v>0</v>
      </c>
      <c r="BO335" s="299">
        <f>E335</f>
        <v>0</v>
      </c>
      <c r="BP335" s="302">
        <f>IF(AND(G335&gt;(--"00:00:01"),G335&lt;(--"15:00:00")),IF(AND(X335&gt;(--"00:00:01"),X335&lt;(--"15:00:00")),G335-X335,G335+1-X335),G335-X335)</f>
        <v>0</v>
      </c>
      <c r="BQ335" s="303">
        <f>AE335+AF335+AH335+AJ335</f>
        <v>0</v>
      </c>
      <c r="BR335" s="304" t="str">
        <f>IF(OR(BP335&lt;=(--"00:20:00"),BQ335&gt;=100%),"OK","Not OK")</f>
        <v>OK</v>
      </c>
      <c r="BS335" s="302">
        <f>IF(AND(G335&gt;(--"00:00:01"),G335&lt;(--"15:00:00")),IF(AND(AU335&gt;(--"00:00:01"),AU335&lt;(--"15:00:00")),G335-AU335,G335+1-AU335),G335-AU335)</f>
        <v>0</v>
      </c>
      <c r="BT335" s="302">
        <f>IF(AND(AZ335&gt;(--"00:00:01"),AZ335&lt;(--"15:00:00")),IF(AND(AU335&gt;(--"00:00:01"),AU335&lt;(--"15:00:00")),AZ335-AU335,AZ335+1-AU335),AZ335-AU335)</f>
        <v>0</v>
      </c>
      <c r="BU335" s="302">
        <f>IF(AND(BA335&gt;(--"00:00:01"),BA335&lt;(--"15:00:00")),IF(AND(AZ335&gt;(--"00:00:01"),AZ335&lt;(--"15:00:00")),BA335-AZ335,BA335+1-AZ335),BA335-AZ335)</f>
        <v>0</v>
      </c>
      <c r="BV335" s="299">
        <f>AV335</f>
        <v>0</v>
      </c>
      <c r="BW335" s="301"/>
      <c r="BX335" s="299" t="str">
        <f>IF(AV335="T Status",IF(AV335&lt;&gt;T335,"X",""),"")</f>
        <v/>
      </c>
      <c r="BY335" s="301"/>
      <c r="BZ335" s="299" t="str">
        <f>IF(X335&lt;&gt;"",IF(CC335="X","Driver Delay",IF(CA335="X","Paperwork Delay",IF(CB335="X","Late freight late sort",IF(CD335="X","Chiamare Control Room",IF(CE335="X","Chiamare Control Room",IF(CF335="X","Chiamare Control Room","")))))),"")</f>
        <v/>
      </c>
      <c r="CA335" s="302" t="str">
        <f>IF(K335="",IF(IF(AND(G335&gt;(--"00:00:01"),G335&lt;(--"15:00:00")),IF(AND(AT335&gt;(--"08:00:00"),AT335&lt;(--"23:59:59")),G335+1-AT335,G335-AT335),G335-AT335)&gt;(--"00:20:00"),"","X"),"")</f>
        <v>X</v>
      </c>
      <c r="CB335" s="299" t="str">
        <f>IF(K335="",IF(BP335&gt;=(--"00:20:00"),"","X"),"")</f>
        <v>X</v>
      </c>
      <c r="CC335" s="299" t="str">
        <f>IF(OR(AV335="Autista non presente",AV335="Dati driver non presenti"),"X","")</f>
        <v/>
      </c>
      <c r="CD335" s="299" t="str">
        <f>IF(K335="",IF(AND(CC335="",BS335&lt;(--"00:20:00")),"X",""),"")</f>
        <v>X</v>
      </c>
      <c r="CE335" s="299" t="str">
        <f>IF(K335="",IF(BT335&gt;(--"00:15:00"),"X",""),IF(AZ335&lt;&gt;"",IF(G335-AZ335&gt;(--"00:30:00"),"X",""),""))</f>
        <v/>
      </c>
      <c r="CF335" s="299" t="str">
        <f>IF(AND(CA335="",CB335="",CC335="",CD335="",CE335=""),"X","")</f>
        <v/>
      </c>
      <c r="CG335" s="301"/>
      <c r="CH335" s="299" t="str">
        <f>IF(BT335&gt;(--"00:15:00"),"X","")</f>
        <v/>
      </c>
      <c r="CI335" s="302" t="str">
        <f>AY335</f>
        <v/>
      </c>
      <c r="CJ335" s="299" t="str">
        <f>IF(AND(CH335&lt;&gt;"",CI335&lt;&gt;"",LEFT(B335,3)="ITD"),AP335,"")</f>
        <v/>
      </c>
      <c r="CK335" s="305" t="str">
        <f>IF(CJ335&lt;&gt;"",BT335,"")</f>
        <v/>
      </c>
      <c r="CL335" s="301"/>
      <c r="CM335" s="305" t="str">
        <f>IFERROR(VLOOKUP(Q335,'Elenco Casse'!$D$4:$F$292,3,FALSE),"")</f>
        <v/>
      </c>
      <c r="CN335" s="301"/>
      <c r="CO335" s="305" t="str">
        <f>IFERROR(VLOOKUP(S335,'Elenco Casse'!$D$4:$F$292,3,FALSE),"")</f>
        <v/>
      </c>
      <c r="CP335" s="305" t="str">
        <f>IFERROR(IF(VLOOKUP($E335,Outlist!$A$5:$S$120,19,FALSE)&lt;&gt;0,"Y",""),"")</f>
        <v/>
      </c>
      <c r="CQ335" s="301"/>
      <c r="CR335" s="305" t="str">
        <f>CONCATENATE($B335,$E335,$G335)</f>
        <v/>
      </c>
      <c r="CS335" s="301"/>
      <c r="CT335" s="305" t="e">
        <f>VLOOKUP(Out_Table[[#This Row],[Destination             ORANGE (From Planning)]],Outlist!$A$5:$W$120,22,FALSE)</f>
        <v>#N/A</v>
      </c>
    </row>
    <row r="336" spans="1:98" s="20" customFormat="1" ht="15">
      <c r="A336" s="305" t="str">
        <f>$CR336</f>
        <v/>
      </c>
      <c r="B336" s="284"/>
      <c r="C336" s="290">
        <f ca="1">IFERROR(IF(LEFT(B336,3)='STAT 77'!$X$2,_xlfn.XLOOKUP(B336,'STAT 77'!C:C,'STAT 77'!B:B),_xlfn.XLOOKUP(B336,'STAT 77'!B:B,'STAT 77'!C:C)),"NON TROVATO")</f>
        <v>0</v>
      </c>
      <c r="D336" s="25"/>
      <c r="E336" s="290"/>
      <c r="F336" s="290" t="str">
        <f>IFERROR(VLOOKUP(E336,'Cambio O2P'!C:E,2,FALSE),"")</f>
        <v/>
      </c>
      <c r="G336" s="285"/>
      <c r="H336" s="293" t="str">
        <f ca="1">IFERROR(IF(AND('INformazioni per calcoli'!$AB$3&lt;(--"14:30"),'INformazioni per calcoli'!$AB$3&gt;(--"10:00")),"",IF($B336="","",IF($X336&lt;&gt;"","Mezzo Chiuso",IF($W336="","Non al Carico",IF($G336-'INformazioni per calcoli'!$AB$5-'INformazioni per calcoli'!$AB$3+$J336&lt;0,"LFLS",IF($K336&lt;&gt;"","Safe Parking",IF($W336&lt;&gt;"",IF($E336="MXP",$G336-'INformazioni per calcoli'!$AB$6-'INformazioni per calcoli'!$AB$3+$J336,$G336-'INformazioni per calcoli'!$AB$5-'INformazioni per calcoli'!$AB$3+$J336),"Non al carico"))))))),"")</f>
        <v/>
      </c>
      <c r="I336" s="17" t="str">
        <f ca="1">IFERROR(IF($H336&lt;&gt;"",IF($H336="Safe Parking","",IF($W336&lt;&gt;"",IF(AND($U336="X",$V336="X"),$H336-(--"00:30"),""),IF($X336&lt;&gt;"","Mezzo Chiuso","Non al carico"))),""),"")</f>
        <v/>
      </c>
      <c r="J336" s="306" t="str">
        <f>IFERROR(IF($B336&lt;&gt;"",IF(AND('INformazioni per calcoli'!$AB$3&lt;(--"15:00"),'INformazioni per calcoli'!$AB$3&gt;(--"00:00")),0,IF($G336&lt;(--"18:30"),"+1",0)),""),"")</f>
        <v/>
      </c>
      <c r="K336" s="17"/>
      <c r="L336" s="25"/>
      <c r="M336" s="25" t="str">
        <f>IFERROR(_xlfn.XLOOKUP($Q336,'Elenco Casse'!$D:$D,'Elenco Casse'!$E:$E),"")</f>
        <v/>
      </c>
      <c r="N336" s="25" t="str">
        <f>IFERROR(_xlfn.XLOOKUP($Q336,'Elenco Casse'!$D:$D,'Elenco Casse'!$F:$F),"")</f>
        <v/>
      </c>
      <c r="O336" s="286"/>
      <c r="P336" s="295" t="str">
        <f>IFERROR(_xlfn.XLOOKUP($Q336,'Elenco Casse'!$D:$D,'Elenco Casse'!$G:$G),"")</f>
        <v/>
      </c>
      <c r="Q336" s="355"/>
      <c r="R336" s="23"/>
      <c r="S336" s="25"/>
      <c r="T336" s="25"/>
      <c r="U336" s="23" t="str">
        <f>IF(ISNUMBER(SEARCH("Parcel",$T336)),"X","")</f>
        <v/>
      </c>
      <c r="V336" s="23" t="str">
        <f>IF(ISNUMBER(SEARCH("Freight",$T336)),"X","")</f>
        <v/>
      </c>
      <c r="W336" s="26"/>
      <c r="X336" s="27"/>
      <c r="Y336" s="25" t="str">
        <f>IF(Out_Table[[#This Row],[DOC Del. hr. (RTH)]]&lt;&gt;"","XXX","")</f>
        <v/>
      </c>
      <c r="Z336" s="25"/>
      <c r="AA336" s="25"/>
      <c r="AB336" s="57"/>
      <c r="AC336" s="25"/>
      <c r="AD336" s="25"/>
      <c r="AE336" s="57"/>
      <c r="AF336" s="57"/>
      <c r="AG336" s="25"/>
      <c r="AH336" s="57"/>
      <c r="AI336" s="339"/>
      <c r="AJ336" s="339"/>
      <c r="AK336" s="297" t="str">
        <f>IF(X336&lt;&gt;"",CONCATENATE(IF(AA336&lt;&gt;"",CONCATENATE(Z336," ",AA336," ",BI336),""),IF(AD336&lt;&gt;"",CONCATENATE(","," ",AC336," ",AD336," ",BJ336),""),IF(AG336&lt;&gt;"",CONCATENATE(","," ",AF336," ",AG336," ",BK336),""),IF(AJ336&lt;&gt;"",CONCATENATE(","," ","DD"," ",BL336),"")," ",IF(AI336&lt;&gt;"",CONCATENATE(" - ",AI336," Bag"),"")),"")</f>
        <v/>
      </c>
      <c r="AL336" s="287"/>
      <c r="AM336" s="287"/>
      <c r="AN336" s="287"/>
      <c r="AO336" s="287"/>
      <c r="AP336" s="370" t="str">
        <f>IFERROR(VLOOKUP($E333,Outlist!$A$5:$V$120,20,FALSE),"")</f>
        <v/>
      </c>
      <c r="AQ336" s="288" t="str">
        <f>IFERROR(IF(VLOOKUP($A336,#REF!,8,FALSE)&lt;&gt;"",VLOOKUP($A336,#REF!,8,FALSE),""),"")</f>
        <v/>
      </c>
      <c r="AS336" s="24"/>
      <c r="AT336" s="24"/>
      <c r="AU336" s="27"/>
      <c r="AV336" s="27"/>
      <c r="AX336" s="20" t="str">
        <f>IFERROR(IF(Out_Table[[#This Row],[Cancellazione linea]]="Cancellata","yes",""),"")</f>
        <v/>
      </c>
      <c r="AY336" s="72" t="str">
        <f>IF(BA336="",BZ336,IF(AND(BA336&lt;(--"23:59:59"),BA336&gt;(--"15:00:00"),G336&lt;(--"14:00:00"),G336&gt;(--"00:00:01")),"",IF(BA336&gt;G336,BZ336,"")))</f>
        <v/>
      </c>
      <c r="AZ336" s="27"/>
      <c r="BA336" s="32"/>
      <c r="BB336" s="72"/>
      <c r="BC336" s="72" t="str">
        <f>IFERROR(VLOOKUP(Out_Table[[#This Row],[Aggiornamento STATUS]],'INformazioni per calcoli'!$Y$70:$AA$76,2,FALSE),"")</f>
        <v/>
      </c>
      <c r="BD336" s="289"/>
      <c r="BE336" s="289"/>
      <c r="BF336" s="47" t="str">
        <f>LEFT($E336,3)</f>
        <v/>
      </c>
      <c r="BG336" s="298" t="str">
        <f>IF(Out_Table[[#This Row],[Ora Uscita    (GH)]]&lt;&gt;"","x","")</f>
        <v/>
      </c>
      <c r="BH336" s="299" t="e">
        <f>VLOOKUP($O336,'INformazioni per calcoli'!$Y$20:$AA$23,3,FALSE)</f>
        <v>#N/A</v>
      </c>
      <c r="BI336" s="299" t="e">
        <f>MROUND(Out_Table[[#This Row],[Mtr. Trailer]]*AB336,0.5)</f>
        <v>#N/A</v>
      </c>
      <c r="BJ336" s="299" t="e">
        <f>MROUND(Out_Table[[#This Row],[Mtr. Trailer]]*AE336,0.5)</f>
        <v>#N/A</v>
      </c>
      <c r="BK336" s="299" t="e">
        <f>MROUND(Out_Table[[#This Row],[Mtr. Trailer]]*AH336,0.5)</f>
        <v>#N/A</v>
      </c>
      <c r="BL336" s="300">
        <f>Out_Table[[#This Row],[Double Deck trailer N° bumpers]]</f>
        <v>0</v>
      </c>
      <c r="BM336" s="301"/>
      <c r="BN336" s="299">
        <f>B336</f>
        <v>0</v>
      </c>
      <c r="BO336" s="299">
        <f>E336</f>
        <v>0</v>
      </c>
      <c r="BP336" s="302">
        <f>IF(AND(G336&gt;(--"00:00:01"),G336&lt;(--"15:00:00")),IF(AND(X336&gt;(--"00:00:01"),X336&lt;(--"15:00:00")),G336-X336,G336+1-X336),G336-X336)</f>
        <v>0</v>
      </c>
      <c r="BQ336" s="303">
        <f>AE336+AF336+AH336+AJ336</f>
        <v>0</v>
      </c>
      <c r="BR336" s="304" t="str">
        <f>IF(OR(BP336&lt;=(--"00:20:00"),BQ336&gt;=100%),"OK","Not OK")</f>
        <v>OK</v>
      </c>
      <c r="BS336" s="302">
        <f>IF(AND(G336&gt;(--"00:00:01"),G336&lt;(--"15:00:00")),IF(AND(AU336&gt;(--"00:00:01"),AU336&lt;(--"15:00:00")),G336-AU336,G336+1-AU336),G336-AU336)</f>
        <v>0</v>
      </c>
      <c r="BT336" s="302">
        <f>IF(AND(AZ336&gt;(--"00:00:01"),AZ336&lt;(--"15:00:00")),IF(AND(AU336&gt;(--"00:00:01"),AU336&lt;(--"15:00:00")),AZ336-AU336,AZ336+1-AU336),AZ336-AU336)</f>
        <v>0</v>
      </c>
      <c r="BU336" s="302">
        <f>IF(AND(BA336&gt;(--"00:00:01"),BA336&lt;(--"15:00:00")),IF(AND(AZ336&gt;(--"00:00:01"),AZ336&lt;(--"15:00:00")),BA336-AZ336,BA336+1-AZ336),BA336-AZ336)</f>
        <v>0</v>
      </c>
      <c r="BV336" s="299">
        <f>AV336</f>
        <v>0</v>
      </c>
      <c r="BW336" s="301"/>
      <c r="BX336" s="299" t="str">
        <f>IF(AV336="T Status",IF(AV336&lt;&gt;T336,"X",""),"")</f>
        <v/>
      </c>
      <c r="BY336" s="301"/>
      <c r="BZ336" s="299" t="str">
        <f>IF(X336&lt;&gt;"",IF(CC336="X","Driver Delay",IF(CA336="X","Paperwork Delay",IF(CB336="X","Late freight late sort",IF(CD336="X","Chiamare Control Room",IF(CE336="X","Chiamare Control Room",IF(CF336="X","Chiamare Control Room","")))))),"")</f>
        <v/>
      </c>
      <c r="CA336" s="302" t="str">
        <f>IF(K336="",IF(IF(AND(G336&gt;(--"00:00:01"),G336&lt;(--"15:00:00")),IF(AND(AT336&gt;(--"08:00:00"),AT336&lt;(--"23:59:59")),G336+1-AT336,G336-AT336),G336-AT336)&gt;(--"00:20:00"),"","X"),"")</f>
        <v>X</v>
      </c>
      <c r="CB336" s="299" t="str">
        <f>IF(K336="",IF(BP336&gt;=(--"00:20:00"),"","X"),"")</f>
        <v>X</v>
      </c>
      <c r="CC336" s="299" t="str">
        <f>IF(OR(AV336="Autista non presente",AV336="Dati driver non presenti"),"X","")</f>
        <v/>
      </c>
      <c r="CD336" s="299" t="str">
        <f>IF(K336="",IF(AND(CC336="",BS336&lt;(--"00:20:00")),"X",""),"")</f>
        <v>X</v>
      </c>
      <c r="CE336" s="299" t="str">
        <f>IF(K336="",IF(BT336&gt;(--"00:15:00"),"X",""),IF(AZ336&lt;&gt;"",IF(G336-AZ336&gt;(--"00:30:00"),"X",""),""))</f>
        <v/>
      </c>
      <c r="CF336" s="299" t="str">
        <f>IF(AND(CA336="",CB336="",CC336="",CD336="",CE336=""),"X","")</f>
        <v/>
      </c>
      <c r="CG336" s="301"/>
      <c r="CH336" s="299" t="str">
        <f>IF(BT336&gt;(--"00:15:00"),"X","")</f>
        <v/>
      </c>
      <c r="CI336" s="302" t="str">
        <f>AY336</f>
        <v/>
      </c>
      <c r="CJ336" s="299" t="str">
        <f>IF(AND(CH336&lt;&gt;"",CI336&lt;&gt;"",LEFT(B336,3)="ITD"),AP336,"")</f>
        <v/>
      </c>
      <c r="CK336" s="305" t="str">
        <f>IF(CJ336&lt;&gt;"",BT336,"")</f>
        <v/>
      </c>
      <c r="CL336" s="301"/>
      <c r="CM336" s="305" t="str">
        <f>IFERROR(VLOOKUP(Q336,'Elenco Casse'!$D$4:$F$292,3,FALSE),"")</f>
        <v/>
      </c>
      <c r="CN336" s="301"/>
      <c r="CO336" s="305" t="str">
        <f>IFERROR(VLOOKUP(S336,'Elenco Casse'!$D$4:$F$292,3,FALSE),"")</f>
        <v/>
      </c>
      <c r="CP336" s="305" t="str">
        <f>IFERROR(IF(VLOOKUP($E336,Outlist!$A$5:$S$120,19,FALSE)&lt;&gt;0,"Y",""),"")</f>
        <v/>
      </c>
      <c r="CQ336" s="301"/>
      <c r="CR336" s="305" t="str">
        <f>CONCATENATE($B336,$E336,$G336)</f>
        <v/>
      </c>
      <c r="CS336" s="301"/>
      <c r="CT336" s="305" t="e">
        <f>VLOOKUP(Out_Table[[#This Row],[Destination             ORANGE (From Planning)]],Outlist!$A$5:$W$120,22,FALSE)</f>
        <v>#N/A</v>
      </c>
    </row>
    <row r="337" spans="1:98" s="20" customFormat="1" ht="15">
      <c r="A337" s="305" t="str">
        <f>$CR337</f>
        <v/>
      </c>
      <c r="B337" s="284"/>
      <c r="C337" s="290" t="str">
        <f ca="1">IFERROR(IF(LEFT(B337,3)='STAT 77'!$X$2,_xlfn.XLOOKUP(B337,'STAT 77'!C:C,'STAT 77'!B:B),_xlfn.XLOOKUP(B337,'STAT 77'!B:B,'STAT 77'!C:C)),"NON TROVATO")</f>
        <v>NON TROVATO</v>
      </c>
      <c r="D337" s="25"/>
      <c r="E337" s="290"/>
      <c r="F337" s="290" t="str">
        <f>IFERROR(VLOOKUP(E337,'Cambio O2P'!C:E,2,FALSE),"")</f>
        <v/>
      </c>
      <c r="G337" s="285"/>
      <c r="H337" s="293" t="str">
        <f ca="1">IFERROR(IF(AND('INformazioni per calcoli'!$AB$3&lt;(--"14:30"),'INformazioni per calcoli'!$AB$3&gt;(--"10:00")),"",IF($B337="","",IF($X337&lt;&gt;"","Mezzo Chiuso",IF($W337="","Non al Carico",IF($G337-'INformazioni per calcoli'!$AB$5-'INformazioni per calcoli'!$AB$3+$J337&lt;0,"LFLS",IF($K337&lt;&gt;"","Safe Parking",IF($W337&lt;&gt;"",IF($E337="MXP",$G337-'INformazioni per calcoli'!$AB$6-'INformazioni per calcoli'!$AB$3+$J337,$G337-'INformazioni per calcoli'!$AB$5-'INformazioni per calcoli'!$AB$3+$J337),"Non al carico"))))))),"")</f>
        <v/>
      </c>
      <c r="I337" s="17" t="str">
        <f ca="1">IFERROR(IF($H337&lt;&gt;"",IF($H337="Safe Parking","",IF($W337&lt;&gt;"",IF(AND($U337="X",$V337="X"),$H337-(--"00:30"),""),IF($X337&lt;&gt;"","Mezzo Chiuso","Non al carico"))),""),"")</f>
        <v/>
      </c>
      <c r="J337" s="306" t="str">
        <f>IFERROR(IF($B337&lt;&gt;"",IF(AND('INformazioni per calcoli'!$AB$3&lt;(--"15:00"),'INformazioni per calcoli'!$AB$3&gt;(--"00:00")),0,IF($G337&lt;(--"18:30"),"+1",0)),""),"")</f>
        <v/>
      </c>
      <c r="K337" s="17"/>
      <c r="L337" s="25"/>
      <c r="M337" s="25" t="str">
        <f>IFERROR(_xlfn.XLOOKUP($Q337,'Elenco Casse'!$D:$D,'Elenco Casse'!$E:$E),"")</f>
        <v/>
      </c>
      <c r="N337" s="25" t="str">
        <f>IFERROR(_xlfn.XLOOKUP($Q337,'Elenco Casse'!$D:$D,'Elenco Casse'!$F:$F),"")</f>
        <v/>
      </c>
      <c r="O337" s="286"/>
      <c r="P337" s="295" t="str">
        <f>IFERROR(_xlfn.XLOOKUP($Q337,'Elenco Casse'!$D:$D,'Elenco Casse'!$G:$G),"")</f>
        <v/>
      </c>
      <c r="Q337" s="355"/>
      <c r="R337" s="23"/>
      <c r="S337" s="25"/>
      <c r="T337" s="25"/>
      <c r="U337" s="23" t="str">
        <f>IF(ISNUMBER(SEARCH("Parcel",$T337)),"X","")</f>
        <v/>
      </c>
      <c r="V337" s="23" t="str">
        <f>IF(ISNUMBER(SEARCH("Freight",$T337)),"X","")</f>
        <v/>
      </c>
      <c r="W337" s="26"/>
      <c r="X337" s="27"/>
      <c r="Y337" s="25" t="str">
        <f>IF(Out_Table[[#This Row],[DOC Del. hr. (RTH)]]&lt;&gt;"","XXX","")</f>
        <v/>
      </c>
      <c r="Z337" s="25"/>
      <c r="AA337" s="25"/>
      <c r="AB337" s="57"/>
      <c r="AC337" s="25"/>
      <c r="AD337" s="25"/>
      <c r="AE337" s="57"/>
      <c r="AF337" s="57"/>
      <c r="AG337" s="25"/>
      <c r="AH337" s="57"/>
      <c r="AI337" s="339"/>
      <c r="AJ337" s="339"/>
      <c r="AK337" s="297" t="str">
        <f>IF(X337&lt;&gt;"",CONCATENATE(IF(AA337&lt;&gt;"",CONCATENATE(Z337," ",AA337," ",BI337),""),IF(AD337&lt;&gt;"",CONCATENATE(","," ",AC337," ",AD337," ",BJ337),""),IF(AG337&lt;&gt;"",CONCATENATE(","," ",AF337," ",AG337," ",BK337),""),IF(AJ337&lt;&gt;"",CONCATENATE(","," ","DD"," ",BL337),"")," ",IF(AI337&lt;&gt;"",CONCATENATE(" - ",AI337," Bag"),"")),"")</f>
        <v/>
      </c>
      <c r="AL337" s="287"/>
      <c r="AM337" s="287"/>
      <c r="AN337" s="287"/>
      <c r="AO337" s="287"/>
      <c r="AP337" s="370" t="str">
        <f>IFERROR(VLOOKUP($E334,Outlist!$A$5:$V$120,20,FALSE),"")</f>
        <v/>
      </c>
      <c r="AQ337" s="288" t="str">
        <f>IFERROR(IF(VLOOKUP($A337,#REF!,8,FALSE)&lt;&gt;"",VLOOKUP($A337,#REF!,8,FALSE),""),"")</f>
        <v/>
      </c>
      <c r="AS337" s="24"/>
      <c r="AT337" s="24"/>
      <c r="AU337" s="27"/>
      <c r="AV337" s="27"/>
      <c r="AX337" s="20" t="str">
        <f>IFERROR(IF(Out_Table[[#This Row],[Cancellazione linea]]="Cancellata","yes",""),"")</f>
        <v/>
      </c>
      <c r="AY337" s="72" t="str">
        <f>IF(BA337="",BZ337,IF(AND(BA337&lt;(--"23:59:59"),BA337&gt;(--"15:00:00"),G337&lt;(--"14:00:00"),G337&gt;(--"00:00:01")),"",IF(BA337&gt;G337,BZ337,"")))</f>
        <v/>
      </c>
      <c r="AZ337" s="27"/>
      <c r="BA337" s="32"/>
      <c r="BB337" s="72"/>
      <c r="BC337" s="72" t="str">
        <f>IFERROR(VLOOKUP(Out_Table[[#This Row],[Aggiornamento STATUS]],'INformazioni per calcoli'!$Y$70:$AA$76,2,FALSE),"")</f>
        <v/>
      </c>
      <c r="BD337" s="289"/>
      <c r="BE337" s="289"/>
      <c r="BF337" s="47" t="str">
        <f>LEFT($E337,3)</f>
        <v/>
      </c>
      <c r="BG337" s="298" t="str">
        <f>IF(Out_Table[[#This Row],[Ora Uscita    (GH)]]&lt;&gt;"","x","")</f>
        <v/>
      </c>
      <c r="BH337" s="299" t="e">
        <f>VLOOKUP($O337,'INformazioni per calcoli'!$Y$20:$AA$23,3,FALSE)</f>
        <v>#N/A</v>
      </c>
      <c r="BI337" s="299" t="e">
        <f>MROUND(Out_Table[[#This Row],[Mtr. Trailer]]*AB337,0.5)</f>
        <v>#N/A</v>
      </c>
      <c r="BJ337" s="299" t="e">
        <f>MROUND(Out_Table[[#This Row],[Mtr. Trailer]]*AE337,0.5)</f>
        <v>#N/A</v>
      </c>
      <c r="BK337" s="299" t="e">
        <f>MROUND(Out_Table[[#This Row],[Mtr. Trailer]]*AH337,0.5)</f>
        <v>#N/A</v>
      </c>
      <c r="BL337" s="300">
        <f>Out_Table[[#This Row],[Double Deck trailer N° bumpers]]</f>
        <v>0</v>
      </c>
      <c r="BM337" s="301"/>
      <c r="BN337" s="299">
        <f>B337</f>
        <v>0</v>
      </c>
      <c r="BO337" s="299">
        <f>E337</f>
        <v>0</v>
      </c>
      <c r="BP337" s="302">
        <f>IF(AND(G337&gt;(--"00:00:01"),G337&lt;(--"15:00:00")),IF(AND(X337&gt;(--"00:00:01"),X337&lt;(--"15:00:00")),G337-X337,G337+1-X337),G337-X337)</f>
        <v>0</v>
      </c>
      <c r="BQ337" s="303">
        <f>AE337+AF337+AH337+AJ337</f>
        <v>0</v>
      </c>
      <c r="BR337" s="304" t="str">
        <f>IF(OR(BP337&lt;=(--"00:20:00"),BQ337&gt;=100%),"OK","Not OK")</f>
        <v>OK</v>
      </c>
      <c r="BS337" s="302">
        <f>IF(AND(G337&gt;(--"00:00:01"),G337&lt;(--"15:00:00")),IF(AND(AU337&gt;(--"00:00:01"),AU337&lt;(--"15:00:00")),G337-AU337,G337+1-AU337),G337-AU337)</f>
        <v>0</v>
      </c>
      <c r="BT337" s="302">
        <f>IF(AND(AZ337&gt;(--"00:00:01"),AZ337&lt;(--"15:00:00")),IF(AND(AU337&gt;(--"00:00:01"),AU337&lt;(--"15:00:00")),AZ337-AU337,AZ337+1-AU337),AZ337-AU337)</f>
        <v>0</v>
      </c>
      <c r="BU337" s="302">
        <f>IF(AND(BA337&gt;(--"00:00:01"),BA337&lt;(--"15:00:00")),IF(AND(AZ337&gt;(--"00:00:01"),AZ337&lt;(--"15:00:00")),BA337-AZ337,BA337+1-AZ337),BA337-AZ337)</f>
        <v>0</v>
      </c>
      <c r="BV337" s="299">
        <f>AV337</f>
        <v>0</v>
      </c>
      <c r="BW337" s="301"/>
      <c r="BX337" s="299" t="str">
        <f>IF(AV337="T Status",IF(AV337&lt;&gt;T337,"X",""),"")</f>
        <v/>
      </c>
      <c r="BY337" s="301"/>
      <c r="BZ337" s="299" t="str">
        <f>IF(X337&lt;&gt;"",IF(CC337="X","Driver Delay",IF(CA337="X","Paperwork Delay",IF(CB337="X","Late freight late sort",IF(CD337="X","Chiamare Control Room",IF(CE337="X","Chiamare Control Room",IF(CF337="X","Chiamare Control Room","")))))),"")</f>
        <v/>
      </c>
      <c r="CA337" s="302" t="str">
        <f>IF(K337="",IF(IF(AND(G337&gt;(--"00:00:01"),G337&lt;(--"15:00:00")),IF(AND(AT337&gt;(--"08:00:00"),AT337&lt;(--"23:59:59")),G337+1-AT337,G337-AT337),G337-AT337)&gt;(--"00:20:00"),"","X"),"")</f>
        <v>X</v>
      </c>
      <c r="CB337" s="299" t="str">
        <f>IF(K337="",IF(BP337&gt;=(--"00:20:00"),"","X"),"")</f>
        <v>X</v>
      </c>
      <c r="CC337" s="299" t="str">
        <f>IF(OR(AV337="Autista non presente",AV337="Dati driver non presenti"),"X","")</f>
        <v/>
      </c>
      <c r="CD337" s="299" t="str">
        <f>IF(K337="",IF(AND(CC337="",BS337&lt;(--"00:20:00")),"X",""),"")</f>
        <v>X</v>
      </c>
      <c r="CE337" s="299" t="str">
        <f>IF(K337="",IF(BT337&gt;(--"00:15:00"),"X",""),IF(AZ337&lt;&gt;"",IF(G337-AZ337&gt;(--"00:30:00"),"X",""),""))</f>
        <v/>
      </c>
      <c r="CF337" s="299" t="str">
        <f>IF(AND(CA337="",CB337="",CC337="",CD337="",CE337=""),"X","")</f>
        <v/>
      </c>
      <c r="CG337" s="301"/>
      <c r="CH337" s="299" t="str">
        <f>IF(BT337&gt;(--"00:15:00"),"X","")</f>
        <v/>
      </c>
      <c r="CI337" s="302" t="str">
        <f>AY337</f>
        <v/>
      </c>
      <c r="CJ337" s="299" t="str">
        <f>IF(AND(CH337&lt;&gt;"",CI337&lt;&gt;"",LEFT(B337,3)="ITD"),AP337,"")</f>
        <v/>
      </c>
      <c r="CK337" s="305" t="str">
        <f>IF(CJ337&lt;&gt;"",BT337,"")</f>
        <v/>
      </c>
      <c r="CL337" s="301"/>
      <c r="CM337" s="305" t="str">
        <f>IFERROR(VLOOKUP(Q337,'Elenco Casse'!$D$4:$F$292,3,FALSE),"")</f>
        <v/>
      </c>
      <c r="CN337" s="301"/>
      <c r="CO337" s="305" t="str">
        <f>IFERROR(VLOOKUP(S337,'Elenco Casse'!$D$4:$F$292,3,FALSE),"")</f>
        <v/>
      </c>
      <c r="CP337" s="305" t="str">
        <f>IFERROR(IF(VLOOKUP($E337,Outlist!$A$5:$S$120,19,FALSE)&lt;&gt;0,"Y",""),"")</f>
        <v/>
      </c>
      <c r="CQ337" s="301"/>
      <c r="CR337" s="305" t="str">
        <f>CONCATENATE($B337,$E337,$G337)</f>
        <v/>
      </c>
      <c r="CS337" s="301"/>
      <c r="CT337" s="305" t="e">
        <f>VLOOKUP(Out_Table[[#This Row],[Destination             ORANGE (From Planning)]],Outlist!$A$5:$W$120,22,FALSE)</f>
        <v>#N/A</v>
      </c>
    </row>
    <row r="338" spans="1:98" s="20" customFormat="1" ht="15">
      <c r="A338" s="305" t="str">
        <f>$CR338</f>
        <v/>
      </c>
      <c r="B338" s="284"/>
      <c r="C338" s="290">
        <f ca="1">IFERROR(IF(LEFT(B338,3)='STAT 77'!$X$2,_xlfn.XLOOKUP(B338,'STAT 77'!C:C,'STAT 77'!B:B),_xlfn.XLOOKUP(B338,'STAT 77'!B:B,'STAT 77'!C:C)),"NON TROVATO")</f>
        <v>0</v>
      </c>
      <c r="D338" s="25"/>
      <c r="E338" s="290"/>
      <c r="F338" s="290" t="str">
        <f>IFERROR(VLOOKUP(E338,'Cambio O2P'!C:E,2,FALSE),"")</f>
        <v/>
      </c>
      <c r="G338" s="285"/>
      <c r="H338" s="293" t="str">
        <f ca="1">IFERROR(IF(AND('INformazioni per calcoli'!$AB$3&lt;(--"14:30"),'INformazioni per calcoli'!$AB$3&gt;(--"10:00")),"",IF($B338="","",IF($X338&lt;&gt;"","Mezzo Chiuso",IF($W338="","Non al Carico",IF($G338-'INformazioni per calcoli'!$AB$5-'INformazioni per calcoli'!$AB$3+$J338&lt;0,"LFLS",IF($K338&lt;&gt;"","Safe Parking",IF($W338&lt;&gt;"",IF($E338="MXP",$G338-'INformazioni per calcoli'!$AB$6-'INformazioni per calcoli'!$AB$3+$J338,$G338-'INformazioni per calcoli'!$AB$5-'INformazioni per calcoli'!$AB$3+$J338),"Non al carico"))))))),"")</f>
        <v/>
      </c>
      <c r="I338" s="17" t="str">
        <f ca="1">IFERROR(IF($H338&lt;&gt;"",IF($H338="Safe Parking","",IF($W338&lt;&gt;"",IF(AND($U338="X",$V338="X"),$H338-(--"00:30"),""),IF($X338&lt;&gt;"","Mezzo Chiuso","Non al carico"))),""),"")</f>
        <v/>
      </c>
      <c r="J338" s="306" t="str">
        <f>IFERROR(IF($B338&lt;&gt;"",IF(AND('INformazioni per calcoli'!$AB$3&lt;(--"15:00"),'INformazioni per calcoli'!$AB$3&gt;(--"00:00")),0,IF($G338&lt;(--"18:30"),"+1",0)),""),"")</f>
        <v/>
      </c>
      <c r="K338" s="17"/>
      <c r="L338" s="25"/>
      <c r="M338" s="25" t="str">
        <f>IFERROR(_xlfn.XLOOKUP($Q338,'Elenco Casse'!$D:$D,'Elenco Casse'!$E:$E),"")</f>
        <v/>
      </c>
      <c r="N338" s="25" t="str">
        <f>IFERROR(_xlfn.XLOOKUP($Q338,'Elenco Casse'!$D:$D,'Elenco Casse'!$F:$F),"")</f>
        <v/>
      </c>
      <c r="O338" s="286"/>
      <c r="P338" s="295" t="str">
        <f>IFERROR(_xlfn.XLOOKUP($Q338,'Elenco Casse'!$D:$D,'Elenco Casse'!$G:$G),"")</f>
        <v/>
      </c>
      <c r="Q338" s="355"/>
      <c r="R338" s="23"/>
      <c r="S338" s="25"/>
      <c r="T338" s="25"/>
      <c r="U338" s="23" t="str">
        <f>IF(ISNUMBER(SEARCH("Parcel",$T338)),"X","")</f>
        <v/>
      </c>
      <c r="V338" s="23" t="str">
        <f>IF(ISNUMBER(SEARCH("Freight",$T338)),"X","")</f>
        <v/>
      </c>
      <c r="W338" s="26"/>
      <c r="X338" s="27"/>
      <c r="Y338" s="25" t="str">
        <f>IF(Out_Table[[#This Row],[DOC Del. hr. (RTH)]]&lt;&gt;"","XXX","")</f>
        <v/>
      </c>
      <c r="Z338" s="25"/>
      <c r="AA338" s="25"/>
      <c r="AB338" s="57"/>
      <c r="AC338" s="25"/>
      <c r="AD338" s="25"/>
      <c r="AE338" s="57"/>
      <c r="AF338" s="57"/>
      <c r="AG338" s="25"/>
      <c r="AH338" s="57"/>
      <c r="AI338" s="339"/>
      <c r="AJ338" s="339"/>
      <c r="AK338" s="297" t="str">
        <f>IF(X338&lt;&gt;"",CONCATENATE(IF(AA338&lt;&gt;"",CONCATENATE(Z338," ",AA338," ",BI338),""),IF(AD338&lt;&gt;"",CONCATENATE(","," ",AC338," ",AD338," ",BJ338),""),IF(AG338&lt;&gt;"",CONCATENATE(","," ",AF338," ",AG338," ",BK338),""),IF(AJ338&lt;&gt;"",CONCATENATE(","," ","DD"," ",BL338),"")," ",IF(AI338&lt;&gt;"",CONCATENATE(" - ",AI338," Bag"),"")),"")</f>
        <v/>
      </c>
      <c r="AL338" s="287"/>
      <c r="AM338" s="287"/>
      <c r="AN338" s="287"/>
      <c r="AO338" s="287"/>
      <c r="AP338" s="370" t="str">
        <f>IFERROR(VLOOKUP($E335,Outlist!$A$5:$V$120,20,FALSE),"")</f>
        <v/>
      </c>
      <c r="AQ338" s="288" t="str">
        <f>IFERROR(IF(VLOOKUP($A338,#REF!,8,FALSE)&lt;&gt;"",VLOOKUP($A338,#REF!,8,FALSE),""),"")</f>
        <v/>
      </c>
      <c r="AS338" s="24"/>
      <c r="AT338" s="24"/>
      <c r="AU338" s="27"/>
      <c r="AV338" s="27"/>
      <c r="AX338" s="20" t="str">
        <f>IFERROR(IF(Out_Table[[#This Row],[Cancellazione linea]]="Cancellata","yes",""),"")</f>
        <v/>
      </c>
      <c r="AY338" s="72" t="str">
        <f>IF(BA338="",BZ338,IF(AND(BA338&lt;(--"23:59:59"),BA338&gt;(--"15:00:00"),G338&lt;(--"14:00:00"),G338&gt;(--"00:00:01")),"",IF(BA338&gt;G338,BZ338,"")))</f>
        <v/>
      </c>
      <c r="AZ338" s="27"/>
      <c r="BA338" s="32"/>
      <c r="BB338" s="72"/>
      <c r="BC338" s="72" t="str">
        <f>IFERROR(VLOOKUP(Out_Table[[#This Row],[Aggiornamento STATUS]],'INformazioni per calcoli'!$Y$70:$AA$76,2,FALSE),"")</f>
        <v/>
      </c>
      <c r="BD338" s="289"/>
      <c r="BE338" s="289"/>
      <c r="BF338" s="47" t="str">
        <f>LEFT($E338,3)</f>
        <v/>
      </c>
      <c r="BG338" s="298" t="str">
        <f>IF(Out_Table[[#This Row],[Ora Uscita    (GH)]]&lt;&gt;"","x","")</f>
        <v/>
      </c>
      <c r="BH338" s="299" t="e">
        <f>VLOOKUP($O338,'INformazioni per calcoli'!$Y$20:$AA$23,3,FALSE)</f>
        <v>#N/A</v>
      </c>
      <c r="BI338" s="299" t="e">
        <f>MROUND(Out_Table[[#This Row],[Mtr. Trailer]]*AB338,0.5)</f>
        <v>#N/A</v>
      </c>
      <c r="BJ338" s="299" t="e">
        <f>MROUND(Out_Table[[#This Row],[Mtr. Trailer]]*AE338,0.5)</f>
        <v>#N/A</v>
      </c>
      <c r="BK338" s="299" t="e">
        <f>MROUND(Out_Table[[#This Row],[Mtr. Trailer]]*AH338,0.5)</f>
        <v>#N/A</v>
      </c>
      <c r="BL338" s="300">
        <f>Out_Table[[#This Row],[Double Deck trailer N° bumpers]]</f>
        <v>0</v>
      </c>
      <c r="BM338" s="301"/>
      <c r="BN338" s="299">
        <f>B338</f>
        <v>0</v>
      </c>
      <c r="BO338" s="299">
        <f>E338</f>
        <v>0</v>
      </c>
      <c r="BP338" s="302">
        <f>IF(AND(G338&gt;(--"00:00:01"),G338&lt;(--"15:00:00")),IF(AND(X338&gt;(--"00:00:01"),X338&lt;(--"15:00:00")),G338-X338,G338+1-X338),G338-X338)</f>
        <v>0</v>
      </c>
      <c r="BQ338" s="303">
        <f>AE338+AF338+AH338+AJ338</f>
        <v>0</v>
      </c>
      <c r="BR338" s="304" t="str">
        <f>IF(OR(BP338&lt;=(--"00:20:00"),BQ338&gt;=100%),"OK","Not OK")</f>
        <v>OK</v>
      </c>
      <c r="BS338" s="302">
        <f>IF(AND(G338&gt;(--"00:00:01"),G338&lt;(--"15:00:00")),IF(AND(AU338&gt;(--"00:00:01"),AU338&lt;(--"15:00:00")),G338-AU338,G338+1-AU338),G338-AU338)</f>
        <v>0</v>
      </c>
      <c r="BT338" s="302">
        <f>IF(AND(AZ338&gt;(--"00:00:01"),AZ338&lt;(--"15:00:00")),IF(AND(AU338&gt;(--"00:00:01"),AU338&lt;(--"15:00:00")),AZ338-AU338,AZ338+1-AU338),AZ338-AU338)</f>
        <v>0</v>
      </c>
      <c r="BU338" s="302">
        <f>IF(AND(BA338&gt;(--"00:00:01"),BA338&lt;(--"15:00:00")),IF(AND(AZ338&gt;(--"00:00:01"),AZ338&lt;(--"15:00:00")),BA338-AZ338,BA338+1-AZ338),BA338-AZ338)</f>
        <v>0</v>
      </c>
      <c r="BV338" s="299">
        <f>AV338</f>
        <v>0</v>
      </c>
      <c r="BW338" s="301"/>
      <c r="BX338" s="299" t="str">
        <f>IF(AV338="T Status",IF(AV338&lt;&gt;T338,"X",""),"")</f>
        <v/>
      </c>
      <c r="BY338" s="301"/>
      <c r="BZ338" s="299" t="str">
        <f>IF(X338&lt;&gt;"",IF(CC338="X","Driver Delay",IF(CA338="X","Paperwork Delay",IF(CB338="X","Late freight late sort",IF(CD338="X","Chiamare Control Room",IF(CE338="X","Chiamare Control Room",IF(CF338="X","Chiamare Control Room","")))))),"")</f>
        <v/>
      </c>
      <c r="CA338" s="302" t="str">
        <f>IF(K338="",IF(IF(AND(G338&gt;(--"00:00:01"),G338&lt;(--"15:00:00")),IF(AND(AT338&gt;(--"08:00:00"),AT338&lt;(--"23:59:59")),G338+1-AT338,G338-AT338),G338-AT338)&gt;(--"00:20:00"),"","X"),"")</f>
        <v>X</v>
      </c>
      <c r="CB338" s="299" t="str">
        <f>IF(K338="",IF(BP338&gt;=(--"00:20:00"),"","X"),"")</f>
        <v>X</v>
      </c>
      <c r="CC338" s="299" t="str">
        <f>IF(OR(AV338="Autista non presente",AV338="Dati driver non presenti"),"X","")</f>
        <v/>
      </c>
      <c r="CD338" s="299" t="str">
        <f>IF(K338="",IF(AND(CC338="",BS338&lt;(--"00:20:00")),"X",""),"")</f>
        <v>X</v>
      </c>
      <c r="CE338" s="299" t="str">
        <f>IF(K338="",IF(BT338&gt;(--"00:15:00"),"X",""),IF(AZ338&lt;&gt;"",IF(G338-AZ338&gt;(--"00:30:00"),"X",""),""))</f>
        <v/>
      </c>
      <c r="CF338" s="299" t="str">
        <f>IF(AND(CA338="",CB338="",CC338="",CD338="",CE338=""),"X","")</f>
        <v/>
      </c>
      <c r="CG338" s="301"/>
      <c r="CH338" s="299" t="str">
        <f>IF(BT338&gt;(--"00:15:00"),"X","")</f>
        <v/>
      </c>
      <c r="CI338" s="302" t="str">
        <f>AY338</f>
        <v/>
      </c>
      <c r="CJ338" s="299" t="str">
        <f>IF(AND(CH338&lt;&gt;"",CI338&lt;&gt;"",LEFT(B338,3)="ITD"),AP338,"")</f>
        <v/>
      </c>
      <c r="CK338" s="305" t="str">
        <f>IF(CJ338&lt;&gt;"",BT338,"")</f>
        <v/>
      </c>
      <c r="CL338" s="301"/>
      <c r="CM338" s="305" t="str">
        <f>IFERROR(VLOOKUP(Q338,'Elenco Casse'!$D$4:$F$292,3,FALSE),"")</f>
        <v/>
      </c>
      <c r="CN338" s="301"/>
      <c r="CO338" s="305" t="str">
        <f>IFERROR(VLOOKUP(S338,'Elenco Casse'!$D$4:$F$292,3,FALSE),"")</f>
        <v/>
      </c>
      <c r="CP338" s="305" t="str">
        <f>IFERROR(IF(VLOOKUP($E338,Outlist!$A$5:$S$120,19,FALSE)&lt;&gt;0,"Y",""),"")</f>
        <v/>
      </c>
      <c r="CQ338" s="301"/>
      <c r="CR338" s="305" t="str">
        <f>CONCATENATE($B338,$E338,$G338)</f>
        <v/>
      </c>
      <c r="CS338" s="301"/>
      <c r="CT338" s="305" t="e">
        <f>VLOOKUP(Out_Table[[#This Row],[Destination             ORANGE (From Planning)]],Outlist!$A$5:$W$120,22,FALSE)</f>
        <v>#N/A</v>
      </c>
    </row>
    <row r="339" spans="1:98" s="20" customFormat="1" ht="15">
      <c r="A339" s="305" t="str">
        <f>$CR339</f>
        <v/>
      </c>
      <c r="B339" s="284"/>
      <c r="C339" s="290">
        <f ca="1">IFERROR(IF(LEFT(B339,3)='STAT 77'!$X$2,_xlfn.XLOOKUP(B339,'STAT 77'!C:C,'STAT 77'!B:B),_xlfn.XLOOKUP(B339,'STAT 77'!B:B,'STAT 77'!C:C)),"NON TROVATO")</f>
        <v>0</v>
      </c>
      <c r="D339" s="25"/>
      <c r="E339" s="290"/>
      <c r="F339" s="290" t="str">
        <f>IFERROR(VLOOKUP(E339,'Cambio O2P'!C:E,2,FALSE),"")</f>
        <v/>
      </c>
      <c r="G339" s="285"/>
      <c r="H339" s="293" t="str">
        <f ca="1">IFERROR(IF(AND('INformazioni per calcoli'!$AB$3&lt;(--"14:30"),'INformazioni per calcoli'!$AB$3&gt;(--"10:00")),"",IF($B339="","",IF($X339&lt;&gt;"","Mezzo Chiuso",IF($W339="","Non al Carico",IF($G339-'INformazioni per calcoli'!$AB$5-'INformazioni per calcoli'!$AB$3+$J339&lt;0,"LFLS",IF($K339&lt;&gt;"","Safe Parking",IF($W339&lt;&gt;"",IF($E339="MXP",$G339-'INformazioni per calcoli'!$AB$6-'INformazioni per calcoli'!$AB$3+$J339,$G339-'INformazioni per calcoli'!$AB$5-'INformazioni per calcoli'!$AB$3+$J339),"Non al carico"))))))),"")</f>
        <v/>
      </c>
      <c r="I339" s="17" t="str">
        <f ca="1">IFERROR(IF($H339&lt;&gt;"",IF($H339="Safe Parking","",IF($W339&lt;&gt;"",IF(AND($U339="X",$V339="X"),$H339-(--"00:30"),""),IF($X339&lt;&gt;"","Mezzo Chiuso","Non al carico"))),""),"")</f>
        <v/>
      </c>
      <c r="J339" s="306" t="str">
        <f>IFERROR(IF($B339&lt;&gt;"",IF(AND('INformazioni per calcoli'!$AB$3&lt;(--"15:00"),'INformazioni per calcoli'!$AB$3&gt;(--"00:00")),0,IF($G339&lt;(--"18:30"),"+1",0)),""),"")</f>
        <v/>
      </c>
      <c r="K339" s="27"/>
      <c r="L339" s="25"/>
      <c r="M339" s="25" t="str">
        <f>IFERROR(_xlfn.XLOOKUP($Q339,'Elenco Casse'!$D:$D,'Elenco Casse'!$E:$E),"")</f>
        <v/>
      </c>
      <c r="N339" s="25" t="str">
        <f>IFERROR(_xlfn.XLOOKUP($Q339,'Elenco Casse'!$D:$D,'Elenco Casse'!$F:$F),"")</f>
        <v/>
      </c>
      <c r="O339" s="286"/>
      <c r="P339" s="295" t="str">
        <f>IFERROR(_xlfn.XLOOKUP($Q339,'Elenco Casse'!$D:$D,'Elenco Casse'!$G:$G),"")</f>
        <v/>
      </c>
      <c r="Q339" s="355"/>
      <c r="R339" s="23"/>
      <c r="S339" s="25"/>
      <c r="T339" s="25"/>
      <c r="U339" s="23" t="str">
        <f>IF(ISNUMBER(SEARCH("Parcel",$T339)),"X","")</f>
        <v/>
      </c>
      <c r="V339" s="23" t="str">
        <f>IF(ISNUMBER(SEARCH("Freight",$T339)),"X","")</f>
        <v/>
      </c>
      <c r="W339" s="26"/>
      <c r="X339" s="27"/>
      <c r="Y339" s="25" t="str">
        <f>IF(Out_Table[[#This Row],[DOC Del. hr. (RTH)]]&lt;&gt;"","XXX","")</f>
        <v/>
      </c>
      <c r="Z339" s="25"/>
      <c r="AA339" s="25"/>
      <c r="AB339" s="57"/>
      <c r="AC339" s="25"/>
      <c r="AD339" s="25"/>
      <c r="AE339" s="57"/>
      <c r="AF339" s="57"/>
      <c r="AG339" s="25"/>
      <c r="AH339" s="57"/>
      <c r="AI339" s="339"/>
      <c r="AJ339" s="339"/>
      <c r="AK339" s="297" t="str">
        <f>IF(X339&lt;&gt;"",CONCATENATE(IF(AA339&lt;&gt;"",CONCATENATE(Z339," ",AA339," ",BI339),""),IF(AD339&lt;&gt;"",CONCATENATE(","," ",AC339," ",AD339," ",BJ339),""),IF(AG339&lt;&gt;"",CONCATENATE(","," ",AF339," ",AG339," ",BK339),""),IF(AJ339&lt;&gt;"",CONCATENATE(","," ","DD"," ",BL339),"")," ",IF(AI339&lt;&gt;"",CONCATENATE(" - ",AI339," Bag"),"")),"")</f>
        <v/>
      </c>
      <c r="AL339" s="287"/>
      <c r="AM339" s="287"/>
      <c r="AN339" s="287"/>
      <c r="AO339" s="287"/>
      <c r="AP339" s="370" t="str">
        <f>IFERROR(VLOOKUP($E336,Outlist!$A$5:$V$120,20,FALSE),"")</f>
        <v/>
      </c>
      <c r="AQ339" s="288" t="str">
        <f>IFERROR(IF(VLOOKUP($A339,#REF!,8,FALSE)&lt;&gt;"",VLOOKUP($A339,#REF!,8,FALSE),""),"")</f>
        <v/>
      </c>
      <c r="AS339" s="24"/>
      <c r="AT339" s="24"/>
      <c r="AU339" s="27"/>
      <c r="AV339" s="27"/>
      <c r="AX339" s="20" t="str">
        <f>IFERROR(IF(Out_Table[[#This Row],[Cancellazione linea]]="Cancellata","yes",""),"")</f>
        <v/>
      </c>
      <c r="AY339" s="72" t="str">
        <f>IF(BA339="",BZ339,IF(AND(BA339&lt;(--"23:59:59"),BA339&gt;(--"15:00:00"),G339&lt;(--"14:00:00"),G339&gt;(--"00:00:01")),"",IF(BA339&gt;G339,BZ339,"")))</f>
        <v/>
      </c>
      <c r="AZ339" s="27"/>
      <c r="BA339" s="32"/>
      <c r="BB339" s="72"/>
      <c r="BC339" s="72" t="str">
        <f>IFERROR(VLOOKUP(Out_Table[[#This Row],[Aggiornamento STATUS]],'INformazioni per calcoli'!$Y$70:$AA$76,2,FALSE),"")</f>
        <v/>
      </c>
      <c r="BD339" s="289"/>
      <c r="BE339" s="289"/>
      <c r="BF339" s="47" t="str">
        <f>LEFT($E339,3)</f>
        <v/>
      </c>
      <c r="BG339" s="298" t="str">
        <f>IF(Out_Table[[#This Row],[Ora Uscita    (GH)]]&lt;&gt;"","x","")</f>
        <v/>
      </c>
      <c r="BH339" s="299" t="e">
        <f>VLOOKUP($O339,'INformazioni per calcoli'!$Y$20:$AA$23,3,FALSE)</f>
        <v>#N/A</v>
      </c>
      <c r="BI339" s="299" t="e">
        <f>MROUND(Out_Table[[#This Row],[Mtr. Trailer]]*AB339,0.5)</f>
        <v>#N/A</v>
      </c>
      <c r="BJ339" s="299" t="e">
        <f>MROUND(Out_Table[[#This Row],[Mtr. Trailer]]*AE339,0.5)</f>
        <v>#N/A</v>
      </c>
      <c r="BK339" s="299" t="e">
        <f>MROUND(Out_Table[[#This Row],[Mtr. Trailer]]*AH339,0.5)</f>
        <v>#N/A</v>
      </c>
      <c r="BL339" s="300">
        <f>Out_Table[[#This Row],[Double Deck trailer N° bumpers]]</f>
        <v>0</v>
      </c>
      <c r="BM339" s="301"/>
      <c r="BN339" s="299">
        <f>B339</f>
        <v>0</v>
      </c>
      <c r="BO339" s="299">
        <f>E339</f>
        <v>0</v>
      </c>
      <c r="BP339" s="302">
        <f>IF(AND(G339&gt;(--"00:00:01"),G339&lt;(--"15:00:00")),IF(AND(X339&gt;(--"00:00:01"),X339&lt;(--"15:00:00")),G339-X339,G339+1-X339),G339-X339)</f>
        <v>0</v>
      </c>
      <c r="BQ339" s="303">
        <f>AE339+AF339+AH339+AJ339</f>
        <v>0</v>
      </c>
      <c r="BR339" s="304" t="str">
        <f>IF(OR(BP339&lt;=(--"00:20:00"),BQ339&gt;=100%),"OK","Not OK")</f>
        <v>OK</v>
      </c>
      <c r="BS339" s="302">
        <f>IF(AND(G339&gt;(--"00:00:01"),G339&lt;(--"15:00:00")),IF(AND(AU339&gt;(--"00:00:01"),AU339&lt;(--"15:00:00")),G339-AU339,G339+1-AU339),G339-AU339)</f>
        <v>0</v>
      </c>
      <c r="BT339" s="302">
        <f>IF(AND(AZ339&gt;(--"00:00:01"),AZ339&lt;(--"15:00:00")),IF(AND(AU339&gt;(--"00:00:01"),AU339&lt;(--"15:00:00")),AZ339-AU339,AZ339+1-AU339),AZ339-AU339)</f>
        <v>0</v>
      </c>
      <c r="BU339" s="302">
        <f>IF(AND(BA339&gt;(--"00:00:01"),BA339&lt;(--"15:00:00")),IF(AND(AZ339&gt;(--"00:00:01"),AZ339&lt;(--"15:00:00")),BA339-AZ339,BA339+1-AZ339),BA339-AZ339)</f>
        <v>0</v>
      </c>
      <c r="BV339" s="299">
        <f>AV339</f>
        <v>0</v>
      </c>
      <c r="BW339" s="301"/>
      <c r="BX339" s="299" t="str">
        <f>IF(AV339="T Status",IF(AV339&lt;&gt;T339,"X",""),"")</f>
        <v/>
      </c>
      <c r="BY339" s="301"/>
      <c r="BZ339" s="299" t="str">
        <f>IF(X339&lt;&gt;"",IF(CC339="X","Driver Delay",IF(CA339="X","Paperwork Delay",IF(CB339="X","Late freight late sort",IF(CD339="X","Chiamare Control Room",IF(CE339="X","Chiamare Control Room",IF(CF339="X","Chiamare Control Room","")))))),"")</f>
        <v/>
      </c>
      <c r="CA339" s="302" t="str">
        <f>IF(K339="",IF(IF(AND(G339&gt;(--"00:00:01"),G339&lt;(--"15:00:00")),IF(AND(AT339&gt;(--"08:00:00"),AT339&lt;(--"23:59:59")),G339+1-AT339,G339-AT339),G339-AT339)&gt;(--"00:20:00"),"","X"),"")</f>
        <v>X</v>
      </c>
      <c r="CB339" s="299" t="str">
        <f>IF(K339="",IF(BP339&gt;=(--"00:20:00"),"","X"),"")</f>
        <v>X</v>
      </c>
      <c r="CC339" s="299" t="str">
        <f>IF(OR(AV339="Autista non presente",AV339="Dati driver non presenti"),"X","")</f>
        <v/>
      </c>
      <c r="CD339" s="299" t="str">
        <f>IF(K339="",IF(AND(CC339="",BS339&lt;(--"00:20:00")),"X",""),"")</f>
        <v>X</v>
      </c>
      <c r="CE339" s="299" t="str">
        <f>IF(K339="",IF(BT339&gt;(--"00:15:00"),"X",""),IF(AZ339&lt;&gt;"",IF(G339-AZ339&gt;(--"00:30:00"),"X",""),""))</f>
        <v/>
      </c>
      <c r="CF339" s="299" t="str">
        <f>IF(AND(CA339="",CB339="",CC339="",CD339="",CE339=""),"X","")</f>
        <v/>
      </c>
      <c r="CG339" s="301"/>
      <c r="CH339" s="299" t="str">
        <f>IF(BT339&gt;(--"00:15:00"),"X","")</f>
        <v/>
      </c>
      <c r="CI339" s="302" t="str">
        <f>AY339</f>
        <v/>
      </c>
      <c r="CJ339" s="299" t="str">
        <f>IF(AND(CH339&lt;&gt;"",CI339&lt;&gt;"",LEFT(B339,3)="ITD"),AP339,"")</f>
        <v/>
      </c>
      <c r="CK339" s="305" t="str">
        <f>IF(CJ339&lt;&gt;"",BT339,"")</f>
        <v/>
      </c>
      <c r="CL339" s="301"/>
      <c r="CM339" s="305" t="str">
        <f>IFERROR(VLOOKUP(Q339,'Elenco Casse'!$D$4:$F$292,3,FALSE),"")</f>
        <v/>
      </c>
      <c r="CN339" s="301"/>
      <c r="CO339" s="305" t="str">
        <f>IFERROR(VLOOKUP(S339,'Elenco Casse'!$D$4:$F$292,3,FALSE),"")</f>
        <v/>
      </c>
      <c r="CP339" s="305" t="str">
        <f>IFERROR(IF(VLOOKUP($E339,Outlist!$A$5:$S$120,19,FALSE)&lt;&gt;0,"Y",""),"")</f>
        <v/>
      </c>
      <c r="CQ339" s="301"/>
      <c r="CR339" s="305" t="str">
        <f>CONCATENATE($B339,$E339,$G339)</f>
        <v/>
      </c>
      <c r="CS339" s="301"/>
      <c r="CT339" s="305" t="e">
        <f>VLOOKUP(Out_Table[[#This Row],[Destination             ORANGE (From Planning)]],Outlist!$A$5:$W$120,22,FALSE)</f>
        <v>#N/A</v>
      </c>
    </row>
    <row r="340" spans="1:98" s="20" customFormat="1" ht="15">
      <c r="A340" s="305" t="str">
        <f>$CR340</f>
        <v/>
      </c>
      <c r="B340" s="284"/>
      <c r="C340" s="290" t="str">
        <f ca="1">IFERROR(IF(LEFT(B340,3)='STAT 77'!$X$2,_xlfn.XLOOKUP(B340,'STAT 77'!C:C,'STAT 77'!B:B),_xlfn.XLOOKUP(B340,'STAT 77'!B:B,'STAT 77'!C:C)),"NON TROVATO")</f>
        <v>NON TROVATO</v>
      </c>
      <c r="D340" s="25"/>
      <c r="E340" s="290"/>
      <c r="F340" s="290" t="str">
        <f>IFERROR(VLOOKUP(E340,'Cambio O2P'!C:E,2,FALSE),"")</f>
        <v/>
      </c>
      <c r="G340" s="285"/>
      <c r="H340" s="293" t="str">
        <f ca="1">IFERROR(IF(AND('INformazioni per calcoli'!$AB$3&lt;(--"14:30"),'INformazioni per calcoli'!$AB$3&gt;(--"10:00")),"",IF($B340="","",IF($X340&lt;&gt;"","Mezzo Chiuso",IF($W340="","Non al Carico",IF($G340-'INformazioni per calcoli'!$AB$5-'INformazioni per calcoli'!$AB$3+$J340&lt;0,"LFLS",IF($K340&lt;&gt;"","Safe Parking",IF($W340&lt;&gt;"",IF($E340="MXP",$G340-'INformazioni per calcoli'!$AB$6-'INformazioni per calcoli'!$AB$3+$J340,$G340-'INformazioni per calcoli'!$AB$5-'INformazioni per calcoli'!$AB$3+$J340),"Non al carico"))))))),"")</f>
        <v/>
      </c>
      <c r="I340" s="17" t="str">
        <f ca="1">IFERROR(IF($H340&lt;&gt;"",IF($H340="Safe Parking","",IF($W340&lt;&gt;"",IF(AND($U340="X",$V340="X"),$H340-(--"00:30"),""),IF($X340&lt;&gt;"","Mezzo Chiuso","Non al carico"))),""),"")</f>
        <v/>
      </c>
      <c r="J340" s="306" t="str">
        <f>IFERROR(IF($B340&lt;&gt;"",IF(AND('INformazioni per calcoli'!$AB$3&lt;(--"15:00"),'INformazioni per calcoli'!$AB$3&gt;(--"00:00")),0,IF($G340&lt;(--"18:30"),"+1",0)),""),"")</f>
        <v/>
      </c>
      <c r="K340" s="27"/>
      <c r="L340" s="25"/>
      <c r="M340" s="25" t="str">
        <f>IFERROR(_xlfn.XLOOKUP($Q340,'Elenco Casse'!$D:$D,'Elenco Casse'!$E:$E),"")</f>
        <v/>
      </c>
      <c r="N340" s="25" t="str">
        <f>IFERROR(_xlfn.XLOOKUP($Q340,'Elenco Casse'!$D:$D,'Elenco Casse'!$F:$F),"")</f>
        <v/>
      </c>
      <c r="O340" s="286"/>
      <c r="P340" s="295" t="str">
        <f>IFERROR(_xlfn.XLOOKUP($Q340,'Elenco Casse'!$D:$D,'Elenco Casse'!$G:$G),"")</f>
        <v/>
      </c>
      <c r="Q340" s="355"/>
      <c r="R340" s="23"/>
      <c r="S340" s="25"/>
      <c r="T340" s="25"/>
      <c r="U340" s="23" t="str">
        <f>IF(ISNUMBER(SEARCH("Parcel",$T340)),"X","")</f>
        <v/>
      </c>
      <c r="V340" s="23" t="str">
        <f>IF(ISNUMBER(SEARCH("Freight",$T340)),"X","")</f>
        <v/>
      </c>
      <c r="W340" s="26"/>
      <c r="X340" s="27"/>
      <c r="Y340" s="25" t="str">
        <f>IF(Out_Table[[#This Row],[DOC Del. hr. (RTH)]]&lt;&gt;"","XXX","")</f>
        <v/>
      </c>
      <c r="Z340" s="25"/>
      <c r="AA340" s="25"/>
      <c r="AB340" s="57"/>
      <c r="AC340" s="25"/>
      <c r="AD340" s="25"/>
      <c r="AE340" s="57"/>
      <c r="AF340" s="57"/>
      <c r="AG340" s="25"/>
      <c r="AH340" s="57"/>
      <c r="AI340" s="339"/>
      <c r="AJ340" s="339"/>
      <c r="AK340" s="297" t="str">
        <f>IF(X340&lt;&gt;"",CONCATENATE(IF(AA340&lt;&gt;"",CONCATENATE(Z340," ",AA340," ",BI340),""),IF(AD340&lt;&gt;"",CONCATENATE(","," ",AC340," ",AD340," ",BJ340),""),IF(AG340&lt;&gt;"",CONCATENATE(","," ",AF340," ",AG340," ",BK340),""),IF(AJ340&lt;&gt;"",CONCATENATE(","," ","DD"," ",BL340),"")," ",IF(AI340&lt;&gt;"",CONCATENATE(" - ",AI340," Bag"),"")),"")</f>
        <v/>
      </c>
      <c r="AL340" s="287"/>
      <c r="AM340" s="287"/>
      <c r="AN340" s="287"/>
      <c r="AO340" s="287"/>
      <c r="AP340" s="370" t="str">
        <f>IFERROR(VLOOKUP($E337,Outlist!$A$5:$V$120,20,FALSE),"")</f>
        <v/>
      </c>
      <c r="AQ340" s="288" t="str">
        <f>IFERROR(IF(VLOOKUP($A340,#REF!,8,FALSE)&lt;&gt;"",VLOOKUP($A340,#REF!,8,FALSE),""),"")</f>
        <v/>
      </c>
      <c r="AS340" s="24"/>
      <c r="AT340" s="24"/>
      <c r="AU340" s="27"/>
      <c r="AV340" s="27"/>
      <c r="AX340" s="20" t="str">
        <f>IFERROR(IF(Out_Table[[#This Row],[Cancellazione linea]]="Cancellata","yes",""),"")</f>
        <v/>
      </c>
      <c r="AY340" s="72" t="str">
        <f>IF(BA340="",BZ340,IF(AND(BA340&lt;(--"23:59:59"),BA340&gt;(--"15:00:00"),G340&lt;(--"14:00:00"),G340&gt;(--"00:00:01")),"",IF(BA340&gt;G340,BZ340,"")))</f>
        <v/>
      </c>
      <c r="AZ340" s="27"/>
      <c r="BA340" s="32"/>
      <c r="BB340" s="72"/>
      <c r="BC340" s="72" t="str">
        <f>IFERROR(VLOOKUP(Out_Table[[#This Row],[Aggiornamento STATUS]],'INformazioni per calcoli'!$Y$70:$AA$76,2,FALSE),"")</f>
        <v/>
      </c>
      <c r="BD340" s="289"/>
      <c r="BE340" s="289"/>
      <c r="BF340" s="47" t="str">
        <f>LEFT($E340,3)</f>
        <v/>
      </c>
      <c r="BG340" s="298" t="str">
        <f>IF(Out_Table[[#This Row],[Ora Uscita    (GH)]]&lt;&gt;"","x","")</f>
        <v/>
      </c>
      <c r="BH340" s="299" t="e">
        <f>VLOOKUP($O340,'INformazioni per calcoli'!$Y$20:$AA$23,3,FALSE)</f>
        <v>#N/A</v>
      </c>
      <c r="BI340" s="299" t="e">
        <f>MROUND(Out_Table[[#This Row],[Mtr. Trailer]]*AB340,0.5)</f>
        <v>#N/A</v>
      </c>
      <c r="BJ340" s="299" t="e">
        <f>MROUND(Out_Table[[#This Row],[Mtr. Trailer]]*AE340,0.5)</f>
        <v>#N/A</v>
      </c>
      <c r="BK340" s="299" t="e">
        <f>MROUND(Out_Table[[#This Row],[Mtr. Trailer]]*AH340,0.5)</f>
        <v>#N/A</v>
      </c>
      <c r="BL340" s="300">
        <f>Out_Table[[#This Row],[Double Deck trailer N° bumpers]]</f>
        <v>0</v>
      </c>
      <c r="BM340" s="301"/>
      <c r="BN340" s="299">
        <f>B340</f>
        <v>0</v>
      </c>
      <c r="BO340" s="299">
        <f>E340</f>
        <v>0</v>
      </c>
      <c r="BP340" s="302">
        <f>IF(AND(G340&gt;(--"00:00:01"),G340&lt;(--"15:00:00")),IF(AND(X340&gt;(--"00:00:01"),X340&lt;(--"15:00:00")),G340-X340,G340+1-X340),G340-X340)</f>
        <v>0</v>
      </c>
      <c r="BQ340" s="303">
        <f>AE340+AF340+AH340+AJ340</f>
        <v>0</v>
      </c>
      <c r="BR340" s="304" t="str">
        <f>IF(OR(BP340&lt;=(--"00:20:00"),BQ340&gt;=100%),"OK","Not OK")</f>
        <v>OK</v>
      </c>
      <c r="BS340" s="302">
        <f>IF(AND(G340&gt;(--"00:00:01"),G340&lt;(--"15:00:00")),IF(AND(AU340&gt;(--"00:00:01"),AU340&lt;(--"15:00:00")),G340-AU340,G340+1-AU340),G340-AU340)</f>
        <v>0</v>
      </c>
      <c r="BT340" s="302">
        <f>IF(AND(AZ340&gt;(--"00:00:01"),AZ340&lt;(--"15:00:00")),IF(AND(AU340&gt;(--"00:00:01"),AU340&lt;(--"15:00:00")),AZ340-AU340,AZ340+1-AU340),AZ340-AU340)</f>
        <v>0</v>
      </c>
      <c r="BU340" s="302">
        <f>IF(AND(BA340&gt;(--"00:00:01"),BA340&lt;(--"15:00:00")),IF(AND(AZ340&gt;(--"00:00:01"),AZ340&lt;(--"15:00:00")),BA340-AZ340,BA340+1-AZ340),BA340-AZ340)</f>
        <v>0</v>
      </c>
      <c r="BV340" s="299">
        <f>AV340</f>
        <v>0</v>
      </c>
      <c r="BW340" s="301"/>
      <c r="BX340" s="299" t="str">
        <f>IF(AV340="T Status",IF(AV340&lt;&gt;T340,"X",""),"")</f>
        <v/>
      </c>
      <c r="BY340" s="301"/>
      <c r="BZ340" s="299" t="str">
        <f>IF(X340&lt;&gt;"",IF(CC340="X","Driver Delay",IF(CA340="X","Paperwork Delay",IF(CB340="X","Late freight late sort",IF(CD340="X","Chiamare Control Room",IF(CE340="X","Chiamare Control Room",IF(CF340="X","Chiamare Control Room","")))))),"")</f>
        <v/>
      </c>
      <c r="CA340" s="302" t="str">
        <f>IF(K340="",IF(IF(AND(G340&gt;(--"00:00:01"),G340&lt;(--"15:00:00")),IF(AND(AT340&gt;(--"08:00:00"),AT340&lt;(--"23:59:59")),G340+1-AT340,G340-AT340),G340-AT340)&gt;(--"00:20:00"),"","X"),"")</f>
        <v>X</v>
      </c>
      <c r="CB340" s="299" t="str">
        <f>IF(K340="",IF(BP340&gt;=(--"00:20:00"),"","X"),"")</f>
        <v>X</v>
      </c>
      <c r="CC340" s="299" t="str">
        <f>IF(OR(AV340="Autista non presente",AV340="Dati driver non presenti"),"X","")</f>
        <v/>
      </c>
      <c r="CD340" s="299" t="str">
        <f>IF(K340="",IF(AND(CC340="",BS340&lt;(--"00:20:00")),"X",""),"")</f>
        <v>X</v>
      </c>
      <c r="CE340" s="299" t="str">
        <f>IF(K340="",IF(BT340&gt;(--"00:15:00"),"X",""),IF(AZ340&lt;&gt;"",IF(G340-AZ340&gt;(--"00:30:00"),"X",""),""))</f>
        <v/>
      </c>
      <c r="CF340" s="299" t="str">
        <f>IF(AND(CA340="",CB340="",CC340="",CD340="",CE340=""),"X","")</f>
        <v/>
      </c>
      <c r="CG340" s="301"/>
      <c r="CH340" s="299" t="str">
        <f>IF(BT340&gt;(--"00:15:00"),"X","")</f>
        <v/>
      </c>
      <c r="CI340" s="302" t="str">
        <f>AY340</f>
        <v/>
      </c>
      <c r="CJ340" s="299" t="str">
        <f>IF(AND(CH340&lt;&gt;"",CI340&lt;&gt;"",LEFT(B340,3)="ITD"),AP340,"")</f>
        <v/>
      </c>
      <c r="CK340" s="305" t="str">
        <f>IF(CJ340&lt;&gt;"",BT340,"")</f>
        <v/>
      </c>
      <c r="CL340" s="301"/>
      <c r="CM340" s="305" t="str">
        <f>IFERROR(VLOOKUP(Q340,'Elenco Casse'!$D$4:$F$292,3,FALSE),"")</f>
        <v/>
      </c>
      <c r="CN340" s="301"/>
      <c r="CO340" s="305" t="str">
        <f>IFERROR(VLOOKUP(S340,'Elenco Casse'!$D$4:$F$292,3,FALSE),"")</f>
        <v/>
      </c>
      <c r="CP340" s="305" t="str">
        <f>IFERROR(IF(VLOOKUP($E340,Outlist!$A$5:$S$120,19,FALSE)&lt;&gt;0,"Y",""),"")</f>
        <v/>
      </c>
      <c r="CQ340" s="301"/>
      <c r="CR340" s="305" t="str">
        <f>CONCATENATE($B340,$E340,$G340)</f>
        <v/>
      </c>
      <c r="CS340" s="301"/>
      <c r="CT340" s="305" t="e">
        <f>VLOOKUP(Out_Table[[#This Row],[Destination             ORANGE (From Planning)]],Outlist!$A$5:$W$120,22,FALSE)</f>
        <v>#N/A</v>
      </c>
    </row>
    <row r="341" spans="1:98" s="20" customFormat="1" ht="15">
      <c r="A341" s="305" t="str">
        <f>$CR341</f>
        <v/>
      </c>
      <c r="B341" s="284"/>
      <c r="C341" s="290">
        <f ca="1">IFERROR(IF(LEFT(B341,3)='STAT 77'!$X$2,_xlfn.XLOOKUP(B341,'STAT 77'!C:C,'STAT 77'!B:B),_xlfn.XLOOKUP(B341,'STAT 77'!B:B,'STAT 77'!C:C)),"NON TROVATO")</f>
        <v>0</v>
      </c>
      <c r="D341" s="25"/>
      <c r="E341" s="290"/>
      <c r="F341" s="290" t="str">
        <f>IFERROR(VLOOKUP(E341,'Cambio O2P'!C:E,2,FALSE),"")</f>
        <v/>
      </c>
      <c r="G341" s="285"/>
      <c r="H341" s="293" t="str">
        <f ca="1">IFERROR(IF(AND('INformazioni per calcoli'!$AB$3&lt;(--"14:30"),'INformazioni per calcoli'!$AB$3&gt;(--"10:00")),"",IF($B341="","",IF($X341&lt;&gt;"","Mezzo Chiuso",IF($W341="","Non al Carico",IF($G341-'INformazioni per calcoli'!$AB$5-'INformazioni per calcoli'!$AB$3+$J341&lt;0,"LFLS",IF($K341&lt;&gt;"","Safe Parking",IF($W341&lt;&gt;"",IF($E341="MXP",$G341-'INformazioni per calcoli'!$AB$6-'INformazioni per calcoli'!$AB$3+$J341,$G341-'INformazioni per calcoli'!$AB$5-'INformazioni per calcoli'!$AB$3+$J341),"Non al carico"))))))),"")</f>
        <v/>
      </c>
      <c r="I341" s="17" t="str">
        <f ca="1">IFERROR(IF($H341&lt;&gt;"",IF($H341="Safe Parking","",IF($W341&lt;&gt;"",IF(AND($U341="X",$V341="X"),$H341-(--"00:30"),""),IF($X341&lt;&gt;"","Mezzo Chiuso","Non al carico"))),""),"")</f>
        <v/>
      </c>
      <c r="J341" s="306" t="str">
        <f>IFERROR(IF($B341&lt;&gt;"",IF(AND('INformazioni per calcoli'!$AB$3&lt;(--"15:00"),'INformazioni per calcoli'!$AB$3&gt;(--"00:00")),0,IF($G341&lt;(--"18:30"),"+1",0)),""),"")</f>
        <v/>
      </c>
      <c r="K341" s="27"/>
      <c r="L341" s="25"/>
      <c r="M341" s="25" t="str">
        <f>IFERROR(_xlfn.XLOOKUP($Q341,'Elenco Casse'!$D:$D,'Elenco Casse'!$E:$E),"")</f>
        <v/>
      </c>
      <c r="N341" s="25" t="str">
        <f>IFERROR(_xlfn.XLOOKUP($Q341,'Elenco Casse'!$D:$D,'Elenco Casse'!$F:$F),"")</f>
        <v/>
      </c>
      <c r="O341" s="286"/>
      <c r="P341" s="295" t="str">
        <f>IFERROR(_xlfn.XLOOKUP($Q341,'Elenco Casse'!$D:$D,'Elenco Casse'!$G:$G),"")</f>
        <v/>
      </c>
      <c r="Q341" s="355"/>
      <c r="R341" s="23"/>
      <c r="S341" s="25"/>
      <c r="T341" s="25"/>
      <c r="U341" s="23" t="str">
        <f>IF(ISNUMBER(SEARCH("Parcel",$T341)),"X","")</f>
        <v/>
      </c>
      <c r="V341" s="23" t="str">
        <f>IF(ISNUMBER(SEARCH("Freight",$T341)),"X","")</f>
        <v/>
      </c>
      <c r="W341" s="26"/>
      <c r="X341" s="27"/>
      <c r="Y341" s="25" t="str">
        <f>IF(Out_Table[[#This Row],[DOC Del. hr. (RTH)]]&lt;&gt;"","XXX","")</f>
        <v/>
      </c>
      <c r="Z341" s="25"/>
      <c r="AA341" s="25"/>
      <c r="AB341" s="57"/>
      <c r="AC341" s="25"/>
      <c r="AD341" s="25"/>
      <c r="AE341" s="57"/>
      <c r="AF341" s="57"/>
      <c r="AG341" s="25"/>
      <c r="AH341" s="57"/>
      <c r="AI341" s="339"/>
      <c r="AJ341" s="339"/>
      <c r="AK341" s="297" t="str">
        <f>IF(X341&lt;&gt;"",CONCATENATE(IF(AA341&lt;&gt;"",CONCATENATE(Z341," ",AA341," ",BI341),""),IF(AD341&lt;&gt;"",CONCATENATE(","," ",AC341," ",AD341," ",BJ341),""),IF(AG341&lt;&gt;"",CONCATENATE(","," ",AF341," ",AG341," ",BK341),""),IF(AJ341&lt;&gt;"",CONCATENATE(","," ","DD"," ",BL341),"")," ",IF(AI341&lt;&gt;"",CONCATENATE(" - ",AI341," Bag"),"")),"")</f>
        <v/>
      </c>
      <c r="AL341" s="287"/>
      <c r="AM341" s="287"/>
      <c r="AN341" s="287"/>
      <c r="AO341" s="287"/>
      <c r="AP341" s="370" t="str">
        <f>IFERROR(VLOOKUP($E338,Outlist!$A$5:$V$120,20,FALSE),"")</f>
        <v/>
      </c>
      <c r="AQ341" s="288" t="str">
        <f>IFERROR(IF(VLOOKUP($A341,#REF!,8,FALSE)&lt;&gt;"",VLOOKUP($A341,#REF!,8,FALSE),""),"")</f>
        <v/>
      </c>
      <c r="AS341" s="24"/>
      <c r="AT341" s="24"/>
      <c r="AU341" s="27"/>
      <c r="AV341" s="27"/>
      <c r="AX341" s="20" t="str">
        <f>IFERROR(IF(Out_Table[[#This Row],[Cancellazione linea]]="Cancellata","yes",""),"")</f>
        <v/>
      </c>
      <c r="AY341" s="72" t="str">
        <f>IF(BA341="",BZ341,IF(AND(BA341&lt;(--"23:59:59"),BA341&gt;(--"15:00:00"),G341&lt;(--"14:00:00"),G341&gt;(--"00:00:01")),"",IF(BA341&gt;G341,BZ341,"")))</f>
        <v/>
      </c>
      <c r="AZ341" s="27"/>
      <c r="BA341" s="32"/>
      <c r="BB341" s="72"/>
      <c r="BC341" s="72" t="str">
        <f>IFERROR(VLOOKUP(Out_Table[[#This Row],[Aggiornamento STATUS]],'INformazioni per calcoli'!$Y$70:$AA$76,2,FALSE),"")</f>
        <v/>
      </c>
      <c r="BD341" s="289"/>
      <c r="BE341" s="289"/>
      <c r="BF341" s="47" t="str">
        <f>LEFT($E341,3)</f>
        <v/>
      </c>
      <c r="BG341" s="298" t="str">
        <f>IF(Out_Table[[#This Row],[Ora Uscita    (GH)]]&lt;&gt;"","x","")</f>
        <v/>
      </c>
      <c r="BH341" s="299" t="e">
        <f>VLOOKUP($O341,'INformazioni per calcoli'!$Y$20:$AA$23,3,FALSE)</f>
        <v>#N/A</v>
      </c>
      <c r="BI341" s="299" t="e">
        <f>MROUND(Out_Table[[#This Row],[Mtr. Trailer]]*AB341,0.5)</f>
        <v>#N/A</v>
      </c>
      <c r="BJ341" s="299" t="e">
        <f>MROUND(Out_Table[[#This Row],[Mtr. Trailer]]*AE341,0.5)</f>
        <v>#N/A</v>
      </c>
      <c r="BK341" s="299" t="e">
        <f>MROUND(Out_Table[[#This Row],[Mtr. Trailer]]*AH341,0.5)</f>
        <v>#N/A</v>
      </c>
      <c r="BL341" s="300">
        <f>Out_Table[[#This Row],[Double Deck trailer N° bumpers]]</f>
        <v>0</v>
      </c>
      <c r="BM341" s="301"/>
      <c r="BN341" s="299">
        <f>B341</f>
        <v>0</v>
      </c>
      <c r="BO341" s="299">
        <f>E341</f>
        <v>0</v>
      </c>
      <c r="BP341" s="302">
        <f>IF(AND(G341&gt;(--"00:00:01"),G341&lt;(--"15:00:00")),IF(AND(X341&gt;(--"00:00:01"),X341&lt;(--"15:00:00")),G341-X341,G341+1-X341),G341-X341)</f>
        <v>0</v>
      </c>
      <c r="BQ341" s="303">
        <f>AE341+AF341+AH341+AJ341</f>
        <v>0</v>
      </c>
      <c r="BR341" s="304" t="str">
        <f>IF(OR(BP341&lt;=(--"00:20:00"),BQ341&gt;=100%),"OK","Not OK")</f>
        <v>OK</v>
      </c>
      <c r="BS341" s="302">
        <f>IF(AND(G341&gt;(--"00:00:01"),G341&lt;(--"15:00:00")),IF(AND(AU341&gt;(--"00:00:01"),AU341&lt;(--"15:00:00")),G341-AU341,G341+1-AU341),G341-AU341)</f>
        <v>0</v>
      </c>
      <c r="BT341" s="302">
        <f>IF(AND(AZ341&gt;(--"00:00:01"),AZ341&lt;(--"15:00:00")),IF(AND(AU341&gt;(--"00:00:01"),AU341&lt;(--"15:00:00")),AZ341-AU341,AZ341+1-AU341),AZ341-AU341)</f>
        <v>0</v>
      </c>
      <c r="BU341" s="302">
        <f>IF(AND(BA341&gt;(--"00:00:01"),BA341&lt;(--"15:00:00")),IF(AND(AZ341&gt;(--"00:00:01"),AZ341&lt;(--"15:00:00")),BA341-AZ341,BA341+1-AZ341),BA341-AZ341)</f>
        <v>0</v>
      </c>
      <c r="BV341" s="299">
        <f>AV341</f>
        <v>0</v>
      </c>
      <c r="BW341" s="301"/>
      <c r="BX341" s="299" t="str">
        <f>IF(AV341="T Status",IF(AV341&lt;&gt;T341,"X",""),"")</f>
        <v/>
      </c>
      <c r="BY341" s="301"/>
      <c r="BZ341" s="299" t="str">
        <f>IF(X341&lt;&gt;"",IF(CC341="X","Driver Delay",IF(CA341="X","Paperwork Delay",IF(CB341="X","Late freight late sort",IF(CD341="X","Chiamare Control Room",IF(CE341="X","Chiamare Control Room",IF(CF341="X","Chiamare Control Room","")))))),"")</f>
        <v/>
      </c>
      <c r="CA341" s="302" t="str">
        <f>IF(K341="",IF(IF(AND(G341&gt;(--"00:00:01"),G341&lt;(--"15:00:00")),IF(AND(AT341&gt;(--"08:00:00"),AT341&lt;(--"23:59:59")),G341+1-AT341,G341-AT341),G341-AT341)&gt;(--"00:20:00"),"","X"),"")</f>
        <v>X</v>
      </c>
      <c r="CB341" s="299" t="str">
        <f>IF(K341="",IF(BP341&gt;=(--"00:20:00"),"","X"),"")</f>
        <v>X</v>
      </c>
      <c r="CC341" s="299" t="str">
        <f>IF(OR(AV341="Autista non presente",AV341="Dati driver non presenti"),"X","")</f>
        <v/>
      </c>
      <c r="CD341" s="299" t="str">
        <f>IF(K341="",IF(AND(CC341="",BS341&lt;(--"00:20:00")),"X",""),"")</f>
        <v>X</v>
      </c>
      <c r="CE341" s="299" t="str">
        <f>IF(K341="",IF(BT341&gt;(--"00:15:00"),"X",""),IF(AZ341&lt;&gt;"",IF(G341-AZ341&gt;(--"00:30:00"),"X",""),""))</f>
        <v/>
      </c>
      <c r="CF341" s="299" t="str">
        <f>IF(AND(CA341="",CB341="",CC341="",CD341="",CE341=""),"X","")</f>
        <v/>
      </c>
      <c r="CG341" s="301"/>
      <c r="CH341" s="299" t="str">
        <f>IF(BT341&gt;(--"00:15:00"),"X","")</f>
        <v/>
      </c>
      <c r="CI341" s="302" t="str">
        <f>AY341</f>
        <v/>
      </c>
      <c r="CJ341" s="299" t="str">
        <f>IF(AND(CH341&lt;&gt;"",CI341&lt;&gt;"",LEFT(B341,3)="ITD"),AP341,"")</f>
        <v/>
      </c>
      <c r="CK341" s="305" t="str">
        <f>IF(CJ341&lt;&gt;"",BT341,"")</f>
        <v/>
      </c>
      <c r="CL341" s="301"/>
      <c r="CM341" s="305" t="str">
        <f>IFERROR(VLOOKUP(Q341,'Elenco Casse'!$D$4:$F$292,3,FALSE),"")</f>
        <v/>
      </c>
      <c r="CN341" s="301"/>
      <c r="CO341" s="305" t="str">
        <f>IFERROR(VLOOKUP(S341,'Elenco Casse'!$D$4:$F$292,3,FALSE),"")</f>
        <v/>
      </c>
      <c r="CP341" s="305" t="str">
        <f>IFERROR(IF(VLOOKUP($E341,Outlist!$A$5:$S$120,19,FALSE)&lt;&gt;0,"Y",""),"")</f>
        <v/>
      </c>
      <c r="CQ341" s="301"/>
      <c r="CR341" s="305" t="str">
        <f>CONCATENATE($B341,$E341,$G341)</f>
        <v/>
      </c>
      <c r="CS341" s="301"/>
      <c r="CT341" s="305" t="e">
        <f>VLOOKUP(Out_Table[[#This Row],[Destination             ORANGE (From Planning)]],Outlist!$A$5:$W$120,22,FALSE)</f>
        <v>#N/A</v>
      </c>
    </row>
    <row r="342" spans="1:98" s="20" customFormat="1" ht="15">
      <c r="A342" s="305" t="str">
        <f>$CR342</f>
        <v/>
      </c>
      <c r="B342" s="284"/>
      <c r="C342" s="290">
        <f ca="1">IFERROR(IF(LEFT(B342,3)='STAT 77'!$X$2,_xlfn.XLOOKUP(B342,'STAT 77'!C:C,'STAT 77'!B:B),_xlfn.XLOOKUP(B342,'STAT 77'!B:B,'STAT 77'!C:C)),"NON TROVATO")</f>
        <v>0</v>
      </c>
      <c r="D342" s="25"/>
      <c r="E342" s="290"/>
      <c r="F342" s="290" t="str">
        <f>IFERROR(VLOOKUP(E342,'Cambio O2P'!C:E,2,FALSE),"")</f>
        <v/>
      </c>
      <c r="G342" s="285"/>
      <c r="H342" s="293" t="str">
        <f ca="1">IFERROR(IF(AND('INformazioni per calcoli'!$AB$3&lt;(--"14:30"),'INformazioni per calcoli'!$AB$3&gt;(--"10:00")),"",IF($B342="","",IF($X342&lt;&gt;"","Mezzo Chiuso",IF($W342="","Non al Carico",IF($G342-'INformazioni per calcoli'!$AB$5-'INformazioni per calcoli'!$AB$3+$J342&lt;0,"LFLS",IF($K342&lt;&gt;"","Safe Parking",IF($W342&lt;&gt;"",IF($E342="MXP",$G342-'INformazioni per calcoli'!$AB$6-'INformazioni per calcoli'!$AB$3+$J342,$G342-'INformazioni per calcoli'!$AB$5-'INformazioni per calcoli'!$AB$3+$J342),"Non al carico"))))))),"")</f>
        <v/>
      </c>
      <c r="I342" s="17" t="str">
        <f ca="1">IFERROR(IF($H342&lt;&gt;"",IF($H342="Safe Parking","",IF($W342&lt;&gt;"",IF(AND($U342="X",$V342="X"),$H342-(--"00:30"),""),IF($X342&lt;&gt;"","Mezzo Chiuso","Non al carico"))),""),"")</f>
        <v/>
      </c>
      <c r="J342" s="306" t="str">
        <f>IFERROR(IF($B342&lt;&gt;"",IF(AND('INformazioni per calcoli'!$AB$3&lt;(--"15:00"),'INformazioni per calcoli'!$AB$3&gt;(--"00:00")),0,IF($G342&lt;(--"18:30"),"+1",0)),""),"")</f>
        <v/>
      </c>
      <c r="K342" s="17"/>
      <c r="L342" s="25"/>
      <c r="M342" s="25" t="str">
        <f>IFERROR(_xlfn.XLOOKUP($Q342,'Elenco Casse'!$D:$D,'Elenco Casse'!$E:$E),"")</f>
        <v/>
      </c>
      <c r="N342" s="25" t="str">
        <f>IFERROR(_xlfn.XLOOKUP($Q342,'Elenco Casse'!$D:$D,'Elenco Casse'!$F:$F),"")</f>
        <v/>
      </c>
      <c r="O342" s="286"/>
      <c r="P342" s="295" t="str">
        <f>IFERROR(_xlfn.XLOOKUP($Q342,'Elenco Casse'!$D:$D,'Elenco Casse'!$G:$G),"")</f>
        <v/>
      </c>
      <c r="Q342" s="355"/>
      <c r="R342" s="23"/>
      <c r="S342" s="25"/>
      <c r="T342" s="25"/>
      <c r="U342" s="23" t="str">
        <f>IF(ISNUMBER(SEARCH("Parcel",$T342)),"X","")</f>
        <v/>
      </c>
      <c r="V342" s="23" t="str">
        <f>IF(ISNUMBER(SEARCH("Freight",$T342)),"X","")</f>
        <v/>
      </c>
      <c r="W342" s="26"/>
      <c r="X342" s="27"/>
      <c r="Y342" s="25" t="str">
        <f>IF(Out_Table[[#This Row],[DOC Del. hr. (RTH)]]&lt;&gt;"","XXX","")</f>
        <v/>
      </c>
      <c r="Z342" s="25"/>
      <c r="AA342" s="25"/>
      <c r="AB342" s="57"/>
      <c r="AC342" s="25"/>
      <c r="AD342" s="25"/>
      <c r="AE342" s="57"/>
      <c r="AF342" s="57"/>
      <c r="AG342" s="25"/>
      <c r="AH342" s="57"/>
      <c r="AI342" s="339"/>
      <c r="AJ342" s="339"/>
      <c r="AK342" s="297" t="str">
        <f>IF(X342&lt;&gt;"",CONCATENATE(IF(AA342&lt;&gt;"",CONCATENATE(Z342," ",AA342," ",BI342),""),IF(AD342&lt;&gt;"",CONCATENATE(","," ",AC342," ",AD342," ",BJ342),""),IF(AG342&lt;&gt;"",CONCATENATE(","," ",AF342," ",AG342," ",BK342),""),IF(AJ342&lt;&gt;"",CONCATENATE(","," ","DD"," ",BL342),"")," ",IF(AI342&lt;&gt;"",CONCATENATE(" - ",AI342," Bag"),"")),"")</f>
        <v/>
      </c>
      <c r="AL342" s="287"/>
      <c r="AM342" s="287"/>
      <c r="AN342" s="287"/>
      <c r="AO342" s="287"/>
      <c r="AP342" s="370" t="str">
        <f>IFERROR(VLOOKUP($E339,Outlist!$A$5:$V$120,20,FALSE),"")</f>
        <v/>
      </c>
      <c r="AQ342" s="288" t="str">
        <f>IFERROR(IF(VLOOKUP($A342,#REF!,8,FALSE)&lt;&gt;"",VLOOKUP($A342,#REF!,8,FALSE),""),"")</f>
        <v/>
      </c>
      <c r="AS342" s="24"/>
      <c r="AT342" s="24"/>
      <c r="AU342" s="27"/>
      <c r="AV342" s="27"/>
      <c r="AX342" s="20" t="str">
        <f>IFERROR(IF(Out_Table[[#This Row],[Cancellazione linea]]="Cancellata","yes",""),"")</f>
        <v/>
      </c>
      <c r="AY342" s="72" t="str">
        <f>IF(BA342="",BZ342,IF(AND(BA342&lt;(--"23:59:59"),BA342&gt;(--"15:00:00"),G342&lt;(--"14:00:00"),G342&gt;(--"00:00:01")),"",IF(BA342&gt;G342,BZ342,"")))</f>
        <v/>
      </c>
      <c r="AZ342" s="27"/>
      <c r="BA342" s="32"/>
      <c r="BB342" s="72"/>
      <c r="BC342" s="72" t="str">
        <f>IFERROR(VLOOKUP(Out_Table[[#This Row],[Aggiornamento STATUS]],'INformazioni per calcoli'!$Y$70:$AA$76,2,FALSE),"")</f>
        <v/>
      </c>
      <c r="BD342" s="289"/>
      <c r="BE342" s="289"/>
      <c r="BF342" s="47" t="str">
        <f>LEFT($E342,3)</f>
        <v/>
      </c>
      <c r="BG342" s="298" t="str">
        <f>IF(Out_Table[[#This Row],[Ora Uscita    (GH)]]&lt;&gt;"","x","")</f>
        <v/>
      </c>
      <c r="BH342" s="299" t="e">
        <f>VLOOKUP($O342,'INformazioni per calcoli'!$Y$20:$AA$23,3,FALSE)</f>
        <v>#N/A</v>
      </c>
      <c r="BI342" s="299" t="e">
        <f>MROUND(Out_Table[[#This Row],[Mtr. Trailer]]*AB342,0.5)</f>
        <v>#N/A</v>
      </c>
      <c r="BJ342" s="299" t="e">
        <f>MROUND(Out_Table[[#This Row],[Mtr. Trailer]]*AE342,0.5)</f>
        <v>#N/A</v>
      </c>
      <c r="BK342" s="299" t="e">
        <f>MROUND(Out_Table[[#This Row],[Mtr. Trailer]]*AH342,0.5)</f>
        <v>#N/A</v>
      </c>
      <c r="BL342" s="300">
        <f>Out_Table[[#This Row],[Double Deck trailer N° bumpers]]</f>
        <v>0</v>
      </c>
      <c r="BM342" s="301"/>
      <c r="BN342" s="299">
        <f>B342</f>
        <v>0</v>
      </c>
      <c r="BO342" s="299">
        <f>E342</f>
        <v>0</v>
      </c>
      <c r="BP342" s="302">
        <f>IF(AND(G342&gt;(--"00:00:01"),G342&lt;(--"15:00:00")),IF(AND(X342&gt;(--"00:00:01"),X342&lt;(--"15:00:00")),G342-X342,G342+1-X342),G342-X342)</f>
        <v>0</v>
      </c>
      <c r="BQ342" s="303">
        <f>AE342+AF342+AH342+AJ342</f>
        <v>0</v>
      </c>
      <c r="BR342" s="304" t="str">
        <f>IF(OR(BP342&lt;=(--"00:20:00"),BQ342&gt;=100%),"OK","Not OK")</f>
        <v>OK</v>
      </c>
      <c r="BS342" s="302">
        <f>IF(AND(G342&gt;(--"00:00:01"),G342&lt;(--"15:00:00")),IF(AND(AU342&gt;(--"00:00:01"),AU342&lt;(--"15:00:00")),G342-AU342,G342+1-AU342),G342-AU342)</f>
        <v>0</v>
      </c>
      <c r="BT342" s="302">
        <f>IF(AND(AZ342&gt;(--"00:00:01"),AZ342&lt;(--"15:00:00")),IF(AND(AU342&gt;(--"00:00:01"),AU342&lt;(--"15:00:00")),AZ342-AU342,AZ342+1-AU342),AZ342-AU342)</f>
        <v>0</v>
      </c>
      <c r="BU342" s="302">
        <f>IF(AND(BA342&gt;(--"00:00:01"),BA342&lt;(--"15:00:00")),IF(AND(AZ342&gt;(--"00:00:01"),AZ342&lt;(--"15:00:00")),BA342-AZ342,BA342+1-AZ342),BA342-AZ342)</f>
        <v>0</v>
      </c>
      <c r="BV342" s="299">
        <f>AV342</f>
        <v>0</v>
      </c>
      <c r="BW342" s="301"/>
      <c r="BX342" s="299" t="str">
        <f>IF(AV342="T Status",IF(AV342&lt;&gt;T342,"X",""),"")</f>
        <v/>
      </c>
      <c r="BY342" s="301"/>
      <c r="BZ342" s="299" t="str">
        <f>IF(X342&lt;&gt;"",IF(CC342="X","Driver Delay",IF(CA342="X","Paperwork Delay",IF(CB342="X","Late freight late sort",IF(CD342="X","Chiamare Control Room",IF(CE342="X","Chiamare Control Room",IF(CF342="X","Chiamare Control Room","")))))),"")</f>
        <v/>
      </c>
      <c r="CA342" s="302" t="str">
        <f>IF(K342="",IF(IF(AND(G342&gt;(--"00:00:01"),G342&lt;(--"15:00:00")),IF(AND(AT342&gt;(--"08:00:00"),AT342&lt;(--"23:59:59")),G342+1-AT342,G342-AT342),G342-AT342)&gt;(--"00:20:00"),"","X"),"")</f>
        <v>X</v>
      </c>
      <c r="CB342" s="299" t="str">
        <f>IF(K342="",IF(BP342&gt;=(--"00:20:00"),"","X"),"")</f>
        <v>X</v>
      </c>
      <c r="CC342" s="299" t="str">
        <f>IF(OR(AV342="Autista non presente",AV342="Dati driver non presenti"),"X","")</f>
        <v/>
      </c>
      <c r="CD342" s="299" t="str">
        <f>IF(K342="",IF(AND(CC342="",BS342&lt;(--"00:20:00")),"X",""),"")</f>
        <v>X</v>
      </c>
      <c r="CE342" s="299" t="str">
        <f>IF(K342="",IF(BT342&gt;(--"00:15:00"),"X",""),IF(AZ342&lt;&gt;"",IF(G342-AZ342&gt;(--"00:30:00"),"X",""),""))</f>
        <v/>
      </c>
      <c r="CF342" s="299" t="str">
        <f>IF(AND(CA342="",CB342="",CC342="",CD342="",CE342=""),"X","")</f>
        <v/>
      </c>
      <c r="CG342" s="301"/>
      <c r="CH342" s="299" t="str">
        <f>IF(BT342&gt;(--"00:15:00"),"X","")</f>
        <v/>
      </c>
      <c r="CI342" s="302" t="str">
        <f>AY342</f>
        <v/>
      </c>
      <c r="CJ342" s="299" t="str">
        <f>IF(AND(CH342&lt;&gt;"",CI342&lt;&gt;"",LEFT(B342,3)="ITD"),AP342,"")</f>
        <v/>
      </c>
      <c r="CK342" s="305" t="str">
        <f>IF(CJ342&lt;&gt;"",BT342,"")</f>
        <v/>
      </c>
      <c r="CL342" s="301"/>
      <c r="CM342" s="305" t="str">
        <f>IFERROR(VLOOKUP(Q342,'Elenco Casse'!$D$4:$F$292,3,FALSE),"")</f>
        <v/>
      </c>
      <c r="CN342" s="301"/>
      <c r="CO342" s="305" t="str">
        <f>IFERROR(VLOOKUP(S342,'Elenco Casse'!$D$4:$F$292,3,FALSE),"")</f>
        <v/>
      </c>
      <c r="CP342" s="305" t="str">
        <f>IFERROR(IF(VLOOKUP($E342,Outlist!$A$5:$S$120,19,FALSE)&lt;&gt;0,"Y",""),"")</f>
        <v/>
      </c>
      <c r="CQ342" s="301"/>
      <c r="CR342" s="305" t="str">
        <f>CONCATENATE($B342,$E342,$G342)</f>
        <v/>
      </c>
      <c r="CS342" s="301"/>
      <c r="CT342" s="305" t="e">
        <f>VLOOKUP(Out_Table[[#This Row],[Destination             ORANGE (From Planning)]],Outlist!$A$5:$W$120,22,FALSE)</f>
        <v>#N/A</v>
      </c>
    </row>
    <row r="343" spans="1:98" s="20" customFormat="1" ht="15">
      <c r="A343" s="305" t="str">
        <f>$CR343</f>
        <v/>
      </c>
      <c r="B343" s="284"/>
      <c r="C343" s="290" t="str">
        <f ca="1">IFERROR(IF(LEFT(B343,3)='STAT 77'!$X$2,_xlfn.XLOOKUP(B343,'STAT 77'!C:C,'STAT 77'!B:B),_xlfn.XLOOKUP(B343,'STAT 77'!B:B,'STAT 77'!C:C)),"NON TROVATO")</f>
        <v>NON TROVATO</v>
      </c>
      <c r="D343" s="25"/>
      <c r="E343" s="290"/>
      <c r="F343" s="290" t="str">
        <f>IFERROR(VLOOKUP(E343,'Cambio O2P'!C:E,2,FALSE),"")</f>
        <v/>
      </c>
      <c r="G343" s="285"/>
      <c r="H343" s="293" t="str">
        <f ca="1">IFERROR(IF(AND('INformazioni per calcoli'!$AB$3&lt;(--"14:30"),'INformazioni per calcoli'!$AB$3&gt;(--"10:00")),"",IF($B343="","",IF($X343&lt;&gt;"","Mezzo Chiuso",IF($W343="","Non al Carico",IF($G343-'INformazioni per calcoli'!$AB$5-'INformazioni per calcoli'!$AB$3+$J343&lt;0,"LFLS",IF($K343&lt;&gt;"","Safe Parking",IF($W343&lt;&gt;"",IF($E343="MXP",$G343-'INformazioni per calcoli'!$AB$6-'INformazioni per calcoli'!$AB$3+$J343,$G343-'INformazioni per calcoli'!$AB$5-'INformazioni per calcoli'!$AB$3+$J343),"Non al carico"))))))),"")</f>
        <v/>
      </c>
      <c r="I343" s="17" t="str">
        <f ca="1">IFERROR(IF($H343&lt;&gt;"",IF($H343="Safe Parking","",IF($W343&lt;&gt;"",IF(AND($U343="X",$V343="X"),$H343-(--"00:30"),""),IF($X343&lt;&gt;"","Mezzo Chiuso","Non al carico"))),""),"")</f>
        <v/>
      </c>
      <c r="J343" s="306" t="str">
        <f>IFERROR(IF($B343&lt;&gt;"",IF(AND('INformazioni per calcoli'!$AB$3&lt;(--"15:00"),'INformazioni per calcoli'!$AB$3&gt;(--"00:00")),0,IF($G343&lt;(--"18:30"),"+1",0)),""),"")</f>
        <v/>
      </c>
      <c r="K343" s="27"/>
      <c r="L343" s="25"/>
      <c r="M343" s="25" t="str">
        <f>IFERROR(_xlfn.XLOOKUP($Q343,'Elenco Casse'!$D:$D,'Elenco Casse'!$E:$E),"")</f>
        <v/>
      </c>
      <c r="N343" s="25" t="str">
        <f>IFERROR(_xlfn.XLOOKUP($Q343,'Elenco Casse'!$D:$D,'Elenco Casse'!$F:$F),"")</f>
        <v/>
      </c>
      <c r="O343" s="286"/>
      <c r="P343" s="295" t="str">
        <f>IFERROR(_xlfn.XLOOKUP($Q343,'Elenco Casse'!$D:$D,'Elenco Casse'!$G:$G),"")</f>
        <v/>
      </c>
      <c r="Q343" s="355"/>
      <c r="R343" s="23"/>
      <c r="S343" s="25"/>
      <c r="T343" s="25"/>
      <c r="U343" s="23" t="str">
        <f>IF(ISNUMBER(SEARCH("Parcel",$T343)),"X","")</f>
        <v/>
      </c>
      <c r="V343" s="23" t="str">
        <f>IF(ISNUMBER(SEARCH("Freight",$T343)),"X","")</f>
        <v/>
      </c>
      <c r="W343" s="26"/>
      <c r="X343" s="27"/>
      <c r="Y343" s="25" t="str">
        <f>IF(Out_Table[[#This Row],[DOC Del. hr. (RTH)]]&lt;&gt;"","XXX","")</f>
        <v/>
      </c>
      <c r="Z343" s="25"/>
      <c r="AA343" s="25"/>
      <c r="AB343" s="57"/>
      <c r="AC343" s="25"/>
      <c r="AD343" s="25"/>
      <c r="AE343" s="57"/>
      <c r="AF343" s="57"/>
      <c r="AG343" s="25"/>
      <c r="AH343" s="57"/>
      <c r="AI343" s="339"/>
      <c r="AJ343" s="339"/>
      <c r="AK343" s="297" t="str">
        <f>IF(X343&lt;&gt;"",CONCATENATE(IF(AA343&lt;&gt;"",CONCATENATE(Z343," ",AA343," ",BI343),""),IF(AD343&lt;&gt;"",CONCATENATE(","," ",AC343," ",AD343," ",BJ343),""),IF(AG343&lt;&gt;"",CONCATENATE(","," ",AF343," ",AG343," ",BK343),""),IF(AJ343&lt;&gt;"",CONCATENATE(","," ","DD"," ",BL343),"")," ",IF(AI343&lt;&gt;"",CONCATENATE(" - ",AI343," Bag"),"")),"")</f>
        <v/>
      </c>
      <c r="AL343" s="287"/>
      <c r="AM343" s="287"/>
      <c r="AN343" s="287"/>
      <c r="AO343" s="287"/>
      <c r="AP343" s="370" t="str">
        <f>IFERROR(VLOOKUP($E340,Outlist!$A$5:$V$120,20,FALSE),"")</f>
        <v/>
      </c>
      <c r="AQ343" s="288" t="str">
        <f>IFERROR(IF(VLOOKUP($A343,#REF!,8,FALSE)&lt;&gt;"",VLOOKUP($A343,#REF!,8,FALSE),""),"")</f>
        <v/>
      </c>
      <c r="AS343" s="24"/>
      <c r="AT343" s="24"/>
      <c r="AU343" s="27"/>
      <c r="AV343" s="27"/>
      <c r="AX343" s="20" t="str">
        <f>IFERROR(IF(Out_Table[[#This Row],[Cancellazione linea]]="Cancellata","yes",""),"")</f>
        <v/>
      </c>
      <c r="AY343" s="72" t="str">
        <f>IF(BA343="",BZ343,IF(AND(BA343&lt;(--"23:59:59"),BA343&gt;(--"15:00:00"),G343&lt;(--"14:00:00"),G343&gt;(--"00:00:01")),"",IF(BA343&gt;G343,BZ343,"")))</f>
        <v/>
      </c>
      <c r="AZ343" s="27"/>
      <c r="BA343" s="32"/>
      <c r="BB343" s="72"/>
      <c r="BC343" s="72" t="str">
        <f>IFERROR(VLOOKUP(Out_Table[[#This Row],[Aggiornamento STATUS]],'INformazioni per calcoli'!$Y$70:$AA$76,2,FALSE),"")</f>
        <v/>
      </c>
      <c r="BD343" s="289"/>
      <c r="BE343" s="289"/>
      <c r="BF343" s="47" t="str">
        <f>LEFT($E343,3)</f>
        <v/>
      </c>
      <c r="BG343" s="298" t="str">
        <f>IF(Out_Table[[#This Row],[Ora Uscita    (GH)]]&lt;&gt;"","x","")</f>
        <v/>
      </c>
      <c r="BH343" s="299" t="e">
        <f>VLOOKUP($O343,'INformazioni per calcoli'!$Y$20:$AA$23,3,FALSE)</f>
        <v>#N/A</v>
      </c>
      <c r="BI343" s="299" t="e">
        <f>MROUND(Out_Table[[#This Row],[Mtr. Trailer]]*AB343,0.5)</f>
        <v>#N/A</v>
      </c>
      <c r="BJ343" s="299" t="e">
        <f>MROUND(Out_Table[[#This Row],[Mtr. Trailer]]*AE343,0.5)</f>
        <v>#N/A</v>
      </c>
      <c r="BK343" s="299" t="e">
        <f>MROUND(Out_Table[[#This Row],[Mtr. Trailer]]*AH343,0.5)</f>
        <v>#N/A</v>
      </c>
      <c r="BL343" s="300">
        <f>Out_Table[[#This Row],[Double Deck trailer N° bumpers]]</f>
        <v>0</v>
      </c>
      <c r="BM343" s="301"/>
      <c r="BN343" s="299">
        <f>B343</f>
        <v>0</v>
      </c>
      <c r="BO343" s="299">
        <f>E343</f>
        <v>0</v>
      </c>
      <c r="BP343" s="302">
        <f>IF(AND(G343&gt;(--"00:00:01"),G343&lt;(--"15:00:00")),IF(AND(X343&gt;(--"00:00:01"),X343&lt;(--"15:00:00")),G343-X343,G343+1-X343),G343-X343)</f>
        <v>0</v>
      </c>
      <c r="BQ343" s="303">
        <f>AE343+AF343+AH343+AJ343</f>
        <v>0</v>
      </c>
      <c r="BR343" s="304" t="str">
        <f>IF(OR(BP343&lt;=(--"00:20:00"),BQ343&gt;=100%),"OK","Not OK")</f>
        <v>OK</v>
      </c>
      <c r="BS343" s="302">
        <f>IF(AND(G343&gt;(--"00:00:01"),G343&lt;(--"15:00:00")),IF(AND(AU343&gt;(--"00:00:01"),AU343&lt;(--"15:00:00")),G343-AU343,G343+1-AU343),G343-AU343)</f>
        <v>0</v>
      </c>
      <c r="BT343" s="302">
        <f>IF(AND(AZ343&gt;(--"00:00:01"),AZ343&lt;(--"15:00:00")),IF(AND(AU343&gt;(--"00:00:01"),AU343&lt;(--"15:00:00")),AZ343-AU343,AZ343+1-AU343),AZ343-AU343)</f>
        <v>0</v>
      </c>
      <c r="BU343" s="302">
        <f>IF(AND(BA343&gt;(--"00:00:01"),BA343&lt;(--"15:00:00")),IF(AND(AZ343&gt;(--"00:00:01"),AZ343&lt;(--"15:00:00")),BA343-AZ343,BA343+1-AZ343),BA343-AZ343)</f>
        <v>0</v>
      </c>
      <c r="BV343" s="299">
        <f>AV343</f>
        <v>0</v>
      </c>
      <c r="BW343" s="301"/>
      <c r="BX343" s="299" t="str">
        <f>IF(AV343="T Status",IF(AV343&lt;&gt;T343,"X",""),"")</f>
        <v/>
      </c>
      <c r="BY343" s="301"/>
      <c r="BZ343" s="299" t="str">
        <f>IF(X343&lt;&gt;"",IF(CC343="X","Driver Delay",IF(CA343="X","Paperwork Delay",IF(CB343="X","Late freight late sort",IF(CD343="X","Chiamare Control Room",IF(CE343="X","Chiamare Control Room",IF(CF343="X","Chiamare Control Room","")))))),"")</f>
        <v/>
      </c>
      <c r="CA343" s="302" t="str">
        <f>IF(K343="",IF(IF(AND(G343&gt;(--"00:00:01"),G343&lt;(--"15:00:00")),IF(AND(AT343&gt;(--"08:00:00"),AT343&lt;(--"23:59:59")),G343+1-AT343,G343-AT343),G343-AT343)&gt;(--"00:20:00"),"","X"),"")</f>
        <v>X</v>
      </c>
      <c r="CB343" s="299" t="str">
        <f>IF(K343="",IF(BP343&gt;=(--"00:20:00"),"","X"),"")</f>
        <v>X</v>
      </c>
      <c r="CC343" s="299" t="str">
        <f>IF(OR(AV343="Autista non presente",AV343="Dati driver non presenti"),"X","")</f>
        <v/>
      </c>
      <c r="CD343" s="299" t="str">
        <f>IF(K343="",IF(AND(CC343="",BS343&lt;(--"00:20:00")),"X",""),"")</f>
        <v>X</v>
      </c>
      <c r="CE343" s="299" t="str">
        <f>IF(K343="",IF(BT343&gt;(--"00:15:00"),"X",""),IF(AZ343&lt;&gt;"",IF(G343-AZ343&gt;(--"00:30:00"),"X",""),""))</f>
        <v/>
      </c>
      <c r="CF343" s="299" t="str">
        <f>IF(AND(CA343="",CB343="",CC343="",CD343="",CE343=""),"X","")</f>
        <v/>
      </c>
      <c r="CG343" s="301"/>
      <c r="CH343" s="299" t="str">
        <f>IF(BT343&gt;(--"00:15:00"),"X","")</f>
        <v/>
      </c>
      <c r="CI343" s="302" t="str">
        <f>AY343</f>
        <v/>
      </c>
      <c r="CJ343" s="299" t="str">
        <f>IF(AND(CH343&lt;&gt;"",CI343&lt;&gt;"",LEFT(B343,3)="ITD"),AP343,"")</f>
        <v/>
      </c>
      <c r="CK343" s="305" t="str">
        <f>IF(CJ343&lt;&gt;"",BT343,"")</f>
        <v/>
      </c>
      <c r="CL343" s="301"/>
      <c r="CM343" s="305" t="str">
        <f>IFERROR(VLOOKUP(Q343,'Elenco Casse'!$D$4:$F$292,3,FALSE),"")</f>
        <v/>
      </c>
      <c r="CN343" s="301"/>
      <c r="CO343" s="305" t="str">
        <f>IFERROR(VLOOKUP(S343,'Elenco Casse'!$D$4:$F$292,3,FALSE),"")</f>
        <v/>
      </c>
      <c r="CP343" s="305" t="str">
        <f>IFERROR(IF(VLOOKUP($E343,Outlist!$A$5:$S$120,19,FALSE)&lt;&gt;0,"Y",""),"")</f>
        <v/>
      </c>
      <c r="CQ343" s="301"/>
      <c r="CR343" s="305" t="str">
        <f>CONCATENATE($B343,$E343,$G343)</f>
        <v/>
      </c>
      <c r="CS343" s="301"/>
      <c r="CT343" s="305" t="e">
        <f>VLOOKUP(Out_Table[[#This Row],[Destination             ORANGE (From Planning)]],Outlist!$A$5:$W$120,22,FALSE)</f>
        <v>#N/A</v>
      </c>
    </row>
    <row r="344" spans="1:98" s="20" customFormat="1" ht="15">
      <c r="A344" s="305" t="str">
        <f>$CR344</f>
        <v/>
      </c>
      <c r="B344" s="284"/>
      <c r="C344" s="290">
        <f ca="1">IFERROR(IF(LEFT(B344,3)='STAT 77'!$X$2,_xlfn.XLOOKUP(B344,'STAT 77'!C:C,'STAT 77'!B:B),_xlfn.XLOOKUP(B344,'STAT 77'!B:B,'STAT 77'!C:C)),"NON TROVATO")</f>
        <v>0</v>
      </c>
      <c r="D344" s="25"/>
      <c r="E344" s="25"/>
      <c r="F344" s="290" t="str">
        <f>IFERROR(VLOOKUP(E344,'Cambio O2P'!C:E,2,FALSE),"")</f>
        <v/>
      </c>
      <c r="G344" s="285"/>
      <c r="H344" s="293" t="str">
        <f ca="1">IFERROR(IF(AND('INformazioni per calcoli'!$AB$3&lt;(--"14:30"),'INformazioni per calcoli'!$AB$3&gt;(--"10:00")),"",IF($B344="","",IF($X344&lt;&gt;"","Mezzo Chiuso",IF($W344="","Non al Carico",IF($G344-'INformazioni per calcoli'!$AB$5-'INformazioni per calcoli'!$AB$3+$J344&lt;0,"LFLS",IF($K344&lt;&gt;"","Safe Parking",IF($W344&lt;&gt;"",IF($E344="MXP",$G344-'INformazioni per calcoli'!$AB$6-'INformazioni per calcoli'!$AB$3+$J344,$G344-'INformazioni per calcoli'!$AB$5-'INformazioni per calcoli'!$AB$3+$J344),"Non al carico"))))))),"")</f>
        <v/>
      </c>
      <c r="I344" s="17" t="str">
        <f ca="1">IFERROR(IF($H344&lt;&gt;"",IF($H344="Safe Parking","",IF($W344&lt;&gt;"",IF(AND($U344="X",$V344="X"),$H344-(--"00:30"),""),IF($X344&lt;&gt;"","Mezzo Chiuso","Non al carico"))),""),"")</f>
        <v/>
      </c>
      <c r="J344" s="306" t="str">
        <f>IFERROR(IF($B344&lt;&gt;"",IF(AND('INformazioni per calcoli'!$AB$3&lt;(--"15:00"),'INformazioni per calcoli'!$AB$3&gt;(--"00:00")),0,IF($G344&lt;(--"18:30"),"+1",0)),""),"")</f>
        <v/>
      </c>
      <c r="K344" s="17"/>
      <c r="L344" s="25"/>
      <c r="M344" s="25" t="str">
        <f>IFERROR(_xlfn.XLOOKUP($Q344,'Elenco Casse'!$D:$D,'Elenco Casse'!$E:$E),"")</f>
        <v/>
      </c>
      <c r="N344" s="25" t="str">
        <f>IFERROR(_xlfn.XLOOKUP($Q344,'Elenco Casse'!$D:$D,'Elenco Casse'!$F:$F),"")</f>
        <v/>
      </c>
      <c r="O344" s="286"/>
      <c r="P344" s="295" t="str">
        <f>IFERROR(_xlfn.XLOOKUP($Q344,'Elenco Casse'!$D:$D,'Elenco Casse'!$G:$G),"")</f>
        <v/>
      </c>
      <c r="Q344" s="355"/>
      <c r="R344" s="23"/>
      <c r="S344" s="25"/>
      <c r="T344" s="25"/>
      <c r="U344" s="23" t="str">
        <f>IF(ISNUMBER(SEARCH("Parcel",$T344)),"X","")</f>
        <v/>
      </c>
      <c r="V344" s="23" t="str">
        <f>IF(ISNUMBER(SEARCH("Freight",$T344)),"X","")</f>
        <v/>
      </c>
      <c r="W344" s="26"/>
      <c r="X344" s="27"/>
      <c r="Y344" s="25" t="str">
        <f>IF(Out_Table[[#This Row],[DOC Del. hr. (RTH)]]&lt;&gt;"","XXX","")</f>
        <v/>
      </c>
      <c r="Z344" s="25"/>
      <c r="AA344" s="25"/>
      <c r="AB344" s="57"/>
      <c r="AC344" s="25"/>
      <c r="AD344" s="25"/>
      <c r="AE344" s="57"/>
      <c r="AF344" s="57"/>
      <c r="AG344" s="25"/>
      <c r="AH344" s="57"/>
      <c r="AI344" s="339"/>
      <c r="AJ344" s="339"/>
      <c r="AK344" s="297" t="str">
        <f>IF(X344&lt;&gt;"",CONCATENATE(IF(AA344&lt;&gt;"",CONCATENATE(Z344," ",AA344," ",BI344),""),IF(AD344&lt;&gt;"",CONCATENATE(","," ",AC344," ",AD344," ",BJ344),""),IF(AG344&lt;&gt;"",CONCATENATE(","," ",AF344," ",AG344," ",BK344),""),IF(AJ344&lt;&gt;"",CONCATENATE(","," ","DD"," ",BL344),"")," ",IF(AI344&lt;&gt;"",CONCATENATE(" - ",AI344," Bag"),"")),"")</f>
        <v/>
      </c>
      <c r="AL344" s="287"/>
      <c r="AM344" s="287"/>
      <c r="AN344" s="287"/>
      <c r="AO344" s="287"/>
      <c r="AP344" s="370" t="str">
        <f>IFERROR(VLOOKUP(#REF!,Outlist!$A$5:$V$120,20,FALSE),"")</f>
        <v/>
      </c>
      <c r="AQ344" s="288" t="str">
        <f>IFERROR(IF(VLOOKUP($A344,#REF!,8,FALSE)&lt;&gt;"",VLOOKUP($A344,#REF!,8,FALSE),""),"")</f>
        <v/>
      </c>
      <c r="AS344" s="24"/>
      <c r="AT344" s="24"/>
      <c r="AU344" s="27"/>
      <c r="AV344" s="27"/>
      <c r="AX344" s="20" t="str">
        <f>IFERROR(IF(Out_Table[[#This Row],[Cancellazione linea]]="Cancellata","yes",""),"")</f>
        <v/>
      </c>
      <c r="AY344" s="72" t="str">
        <f>IF(BA344="",BZ344,IF(AND(BA344&lt;(--"23:59:59"),BA344&gt;(--"15:00:00"),G344&lt;(--"14:00:00"),G344&gt;(--"00:00:01")),"",IF(BA344&gt;G344,BZ344,"")))</f>
        <v/>
      </c>
      <c r="AZ344" s="27"/>
      <c r="BA344" s="32"/>
      <c r="BB344" s="72"/>
      <c r="BC344" s="72" t="str">
        <f>IFERROR(VLOOKUP(Out_Table[[#This Row],[Aggiornamento STATUS]],'INformazioni per calcoli'!$Y$70:$AA$76,2,FALSE),"")</f>
        <v/>
      </c>
      <c r="BD344" s="289"/>
      <c r="BE344" s="289"/>
      <c r="BF344" s="47" t="str">
        <f>LEFT($E344,3)</f>
        <v/>
      </c>
      <c r="BG344" s="298" t="str">
        <f>IF(Out_Table[[#This Row],[Ora Uscita    (GH)]]&lt;&gt;"","x","")</f>
        <v/>
      </c>
      <c r="BH344" s="299" t="e">
        <f>VLOOKUP($O344,'INformazioni per calcoli'!$Y$20:$AA$23,3,FALSE)</f>
        <v>#N/A</v>
      </c>
      <c r="BI344" s="299" t="e">
        <f>MROUND(Out_Table[[#This Row],[Mtr. Trailer]]*AB344,0.5)</f>
        <v>#N/A</v>
      </c>
      <c r="BJ344" s="299" t="e">
        <f>MROUND(Out_Table[[#This Row],[Mtr. Trailer]]*AE344,0.5)</f>
        <v>#N/A</v>
      </c>
      <c r="BK344" s="299" t="e">
        <f>MROUND(Out_Table[[#This Row],[Mtr. Trailer]]*AH344,0.5)</f>
        <v>#N/A</v>
      </c>
      <c r="BL344" s="300">
        <f>Out_Table[[#This Row],[Double Deck trailer N° bumpers]]</f>
        <v>0</v>
      </c>
      <c r="BM344" s="301"/>
      <c r="BN344" s="299">
        <f>B344</f>
        <v>0</v>
      </c>
      <c r="BO344" s="299">
        <f>E344</f>
        <v>0</v>
      </c>
      <c r="BP344" s="302">
        <f>IF(AND(G344&gt;(--"00:00:01"),G344&lt;(--"15:00:00")),IF(AND(X344&gt;(--"00:00:01"),X344&lt;(--"15:00:00")),G344-X344,G344+1-X344),G344-X344)</f>
        <v>0</v>
      </c>
      <c r="BQ344" s="303">
        <f>AE344+AF344+AH344+AJ344</f>
        <v>0</v>
      </c>
      <c r="BR344" s="304" t="str">
        <f>IF(OR(BP344&lt;=(--"00:20:00"),BQ344&gt;=100%),"OK","Not OK")</f>
        <v>OK</v>
      </c>
      <c r="BS344" s="302">
        <f>IF(AND(G344&gt;(--"00:00:01"),G344&lt;(--"15:00:00")),IF(AND(AU344&gt;(--"00:00:01"),AU344&lt;(--"15:00:00")),G344-AU344,G344+1-AU344),G344-AU344)</f>
        <v>0</v>
      </c>
      <c r="BT344" s="302">
        <f>IF(AND(AZ344&gt;(--"00:00:01"),AZ344&lt;(--"15:00:00")),IF(AND(AU344&gt;(--"00:00:01"),AU344&lt;(--"15:00:00")),AZ344-AU344,AZ344+1-AU344),AZ344-AU344)</f>
        <v>0</v>
      </c>
      <c r="BU344" s="302">
        <f>IF(AND(BA344&gt;(--"00:00:01"),BA344&lt;(--"15:00:00")),IF(AND(AZ344&gt;(--"00:00:01"),AZ344&lt;(--"15:00:00")),BA344-AZ344,BA344+1-AZ344),BA344-AZ344)</f>
        <v>0</v>
      </c>
      <c r="BV344" s="299">
        <f>AV344</f>
        <v>0</v>
      </c>
      <c r="BW344" s="301"/>
      <c r="BX344" s="299" t="str">
        <f>IF(AV344="T Status",IF(AV344&lt;&gt;T344,"X",""),"")</f>
        <v/>
      </c>
      <c r="BY344" s="301"/>
      <c r="BZ344" s="299" t="str">
        <f>IF(X344&lt;&gt;"",IF(CC344="X","Driver Delay",IF(CA344="X","Paperwork Delay",IF(CB344="X","Late freight late sort",IF(CD344="X","Chiamare Control Room",IF(CE344="X","Chiamare Control Room",IF(CF344="X","Chiamare Control Room","")))))),"")</f>
        <v/>
      </c>
      <c r="CA344" s="302" t="str">
        <f>IF(K344="",IF(IF(AND(G344&gt;(--"00:00:01"),G344&lt;(--"15:00:00")),IF(AND(AT344&gt;(--"08:00:00"),AT344&lt;(--"23:59:59")),G344+1-AT344,G344-AT344),G344-AT344)&gt;(--"00:20:00"),"","X"),"")</f>
        <v>X</v>
      </c>
      <c r="CB344" s="299" t="str">
        <f>IF(K344="",IF(BP344&gt;=(--"00:20:00"),"","X"),"")</f>
        <v>X</v>
      </c>
      <c r="CC344" s="299" t="str">
        <f>IF(OR(AV344="Autista non presente",AV344="Dati driver non presenti"),"X","")</f>
        <v/>
      </c>
      <c r="CD344" s="299" t="str">
        <f>IF(K344="",IF(AND(CC344="",BS344&lt;(--"00:20:00")),"X",""),"")</f>
        <v>X</v>
      </c>
      <c r="CE344" s="299" t="str">
        <f>IF(K344="",IF(BT344&gt;(--"00:15:00"),"X",""),IF(AZ344&lt;&gt;"",IF(G344-AZ344&gt;(--"00:30:00"),"X",""),""))</f>
        <v/>
      </c>
      <c r="CF344" s="299" t="str">
        <f>IF(AND(CA344="",CB344="",CC344="",CD344="",CE344=""),"X","")</f>
        <v/>
      </c>
      <c r="CG344" s="301"/>
      <c r="CH344" s="299" t="str">
        <f>IF(BT344&gt;(--"00:15:00"),"X","")</f>
        <v/>
      </c>
      <c r="CI344" s="302" t="str">
        <f>AY344</f>
        <v/>
      </c>
      <c r="CJ344" s="299" t="str">
        <f>IF(AND(CH344&lt;&gt;"",CI344&lt;&gt;"",LEFT(B344,3)="ITD"),AP344,"")</f>
        <v/>
      </c>
      <c r="CK344" s="305" t="str">
        <f>IF(CJ344&lt;&gt;"",BT344,"")</f>
        <v/>
      </c>
      <c r="CL344" s="301"/>
      <c r="CM344" s="305" t="str">
        <f>IFERROR(VLOOKUP(Q344,'Elenco Casse'!$D$4:$F$292,3,FALSE),"")</f>
        <v/>
      </c>
      <c r="CN344" s="301"/>
      <c r="CO344" s="305" t="str">
        <f>IFERROR(VLOOKUP(S344,'Elenco Casse'!$D$4:$F$292,3,FALSE),"")</f>
        <v/>
      </c>
      <c r="CP344" s="305" t="str">
        <f>IFERROR(IF(VLOOKUP($E344,Outlist!$A$5:$S$120,19,FALSE)&lt;&gt;0,"Y",""),"")</f>
        <v/>
      </c>
      <c r="CQ344" s="301"/>
      <c r="CR344" s="305" t="str">
        <f>CONCATENATE($B344,$E344,$G344)</f>
        <v/>
      </c>
      <c r="CS344" s="301"/>
      <c r="CT344" s="305" t="e">
        <f>VLOOKUP(Out_Table[[#This Row],[Destination             ORANGE (From Planning)]],Outlist!$A$5:$W$120,22,FALSE)</f>
        <v>#N/A</v>
      </c>
    </row>
    <row r="345" spans="1:98" s="20" customFormat="1" ht="15">
      <c r="A345" s="305" t="str">
        <f>$CR345</f>
        <v/>
      </c>
      <c r="B345" s="284"/>
      <c r="C345" s="290">
        <f ca="1">IFERROR(IF(LEFT(B345,3)='STAT 77'!$X$2,_xlfn.XLOOKUP(B345,'STAT 77'!C:C,'STAT 77'!B:B),_xlfn.XLOOKUP(B345,'STAT 77'!B:B,'STAT 77'!C:C)),"NON TROVATO")</f>
        <v>0</v>
      </c>
      <c r="D345" s="25"/>
      <c r="E345" s="290"/>
      <c r="F345" s="290" t="str">
        <f>IFERROR(VLOOKUP(E345,'Cambio O2P'!C:E,2,FALSE),"")</f>
        <v/>
      </c>
      <c r="G345" s="285"/>
      <c r="H345" s="293" t="str">
        <f ca="1">IFERROR(IF(AND('INformazioni per calcoli'!$AB$3&lt;(--"14:30"),'INformazioni per calcoli'!$AB$3&gt;(--"10:00")),"",IF($B345="","",IF($X345&lt;&gt;"","Mezzo Chiuso",IF($W345="","Non al Carico",IF($G345-'INformazioni per calcoli'!$AB$5-'INformazioni per calcoli'!$AB$3+$J345&lt;0,"LFLS",IF($K345&lt;&gt;"","Safe Parking",IF($W345&lt;&gt;"",IF($E345="MXP",$G345-'INformazioni per calcoli'!$AB$6-'INformazioni per calcoli'!$AB$3+$J345,$G345-'INformazioni per calcoli'!$AB$5-'INformazioni per calcoli'!$AB$3+$J345),"Non al carico"))))))),"")</f>
        <v/>
      </c>
      <c r="I345" s="17" t="str">
        <f ca="1">IFERROR(IF($H345&lt;&gt;"",IF($H345="Safe Parking","",IF($W345&lt;&gt;"",IF(AND($U345="X",$V345="X"),$H345-(--"00:30"),""),IF($X345&lt;&gt;"","Mezzo Chiuso","Non al carico"))),""),"")</f>
        <v/>
      </c>
      <c r="J345" s="306" t="str">
        <f>IFERROR(IF($B345&lt;&gt;"",IF(AND('INformazioni per calcoli'!$AB$3&lt;(--"15:00"),'INformazioni per calcoli'!$AB$3&gt;(--"00:00")),0,IF($G345&lt;(--"18:30"),"+1",0)),""),"")</f>
        <v/>
      </c>
      <c r="K345" s="17"/>
      <c r="L345" s="25"/>
      <c r="M345" s="25" t="str">
        <f>IFERROR(_xlfn.XLOOKUP($Q345,'Elenco Casse'!$D:$D,'Elenco Casse'!$E:$E),"")</f>
        <v/>
      </c>
      <c r="N345" s="25" t="str">
        <f>IFERROR(_xlfn.XLOOKUP($Q345,'Elenco Casse'!$D:$D,'Elenco Casse'!$F:$F),"")</f>
        <v/>
      </c>
      <c r="O345" s="286"/>
      <c r="P345" s="295" t="str">
        <f>IFERROR(_xlfn.XLOOKUP($Q345,'Elenco Casse'!$D:$D,'Elenco Casse'!$G:$G),"")</f>
        <v/>
      </c>
      <c r="Q345" s="355"/>
      <c r="R345" s="23"/>
      <c r="S345" s="25"/>
      <c r="T345" s="25"/>
      <c r="U345" s="23" t="str">
        <f>IF(ISNUMBER(SEARCH("Parcel",$T345)),"X","")</f>
        <v/>
      </c>
      <c r="V345" s="23" t="str">
        <f>IF(ISNUMBER(SEARCH("Freight",$T345)),"X","")</f>
        <v/>
      </c>
      <c r="W345" s="26"/>
      <c r="X345" s="27"/>
      <c r="Y345" s="25" t="str">
        <f>IF(Out_Table[[#This Row],[DOC Del. hr. (RTH)]]&lt;&gt;"","XXX","")</f>
        <v/>
      </c>
      <c r="Z345" s="25"/>
      <c r="AA345" s="25"/>
      <c r="AB345" s="57"/>
      <c r="AC345" s="25"/>
      <c r="AD345" s="25"/>
      <c r="AE345" s="57"/>
      <c r="AF345" s="57"/>
      <c r="AG345" s="25"/>
      <c r="AH345" s="57"/>
      <c r="AI345" s="339"/>
      <c r="AJ345" s="339"/>
      <c r="AK345" s="297" t="str">
        <f>IF(X345&lt;&gt;"",CONCATENATE(IF(AA345&lt;&gt;"",CONCATENATE(Z345," ",AA345," ",BI345),""),IF(AD345&lt;&gt;"",CONCATENATE(","," ",AC345," ",AD345," ",BJ345),""),IF(AG345&lt;&gt;"",CONCATENATE(","," ",AF345," ",AG345," ",BK345),""),IF(AJ345&lt;&gt;"",CONCATENATE(","," ","DD"," ",BL345),"")," ",IF(AI345&lt;&gt;"",CONCATENATE(" - ",AI345," Bag"),"")),"")</f>
        <v/>
      </c>
      <c r="AL345" s="287"/>
      <c r="AM345" s="287"/>
      <c r="AN345" s="287"/>
      <c r="AO345" s="287"/>
      <c r="AP345" s="370" t="str">
        <f>IFERROR(VLOOKUP($E342,Outlist!$A$5:$V$120,20,FALSE),"")</f>
        <v/>
      </c>
      <c r="AQ345" s="288" t="str">
        <f>IFERROR(IF(VLOOKUP($A345,#REF!,8,FALSE)&lt;&gt;"",VLOOKUP($A345,#REF!,8,FALSE),""),"")</f>
        <v/>
      </c>
      <c r="AS345" s="24"/>
      <c r="AT345" s="24"/>
      <c r="AU345" s="27"/>
      <c r="AV345" s="27"/>
      <c r="AX345" s="20" t="str">
        <f>IFERROR(IF(Out_Table[[#This Row],[Cancellazione linea]]="Cancellata","yes",""),"")</f>
        <v/>
      </c>
      <c r="AY345" s="72" t="str">
        <f>IF(BA345="",BZ345,IF(AND(BA345&lt;(--"23:59:59"),BA345&gt;(--"15:00:00"),G345&lt;(--"14:00:00"),G345&gt;(--"00:00:01")),"",IF(BA345&gt;G345,BZ345,"")))</f>
        <v/>
      </c>
      <c r="AZ345" s="27"/>
      <c r="BA345" s="32"/>
      <c r="BB345" s="72"/>
      <c r="BC345" s="72" t="str">
        <f>IFERROR(VLOOKUP(Out_Table[[#This Row],[Aggiornamento STATUS]],'INformazioni per calcoli'!$Y$70:$AA$76,2,FALSE),"")</f>
        <v/>
      </c>
      <c r="BD345" s="289"/>
      <c r="BE345" s="289"/>
      <c r="BF345" s="47" t="str">
        <f>LEFT($E345,3)</f>
        <v/>
      </c>
      <c r="BG345" s="298" t="str">
        <f>IF(Out_Table[[#This Row],[Ora Uscita    (GH)]]&lt;&gt;"","x","")</f>
        <v/>
      </c>
      <c r="BH345" s="299" t="e">
        <f>VLOOKUP($O345,'INformazioni per calcoli'!$Y$20:$AA$23,3,FALSE)</f>
        <v>#N/A</v>
      </c>
      <c r="BI345" s="299" t="e">
        <f>MROUND(Out_Table[[#This Row],[Mtr. Trailer]]*AB345,0.5)</f>
        <v>#N/A</v>
      </c>
      <c r="BJ345" s="299" t="e">
        <f>MROUND(Out_Table[[#This Row],[Mtr. Trailer]]*AE345,0.5)</f>
        <v>#N/A</v>
      </c>
      <c r="BK345" s="299" t="e">
        <f>MROUND(Out_Table[[#This Row],[Mtr. Trailer]]*AH345,0.5)</f>
        <v>#N/A</v>
      </c>
      <c r="BL345" s="300">
        <f>Out_Table[[#This Row],[Double Deck trailer N° bumpers]]</f>
        <v>0</v>
      </c>
      <c r="BM345" s="301"/>
      <c r="BN345" s="299">
        <f>B345</f>
        <v>0</v>
      </c>
      <c r="BO345" s="299">
        <f>E345</f>
        <v>0</v>
      </c>
      <c r="BP345" s="302">
        <f>IF(AND(G345&gt;(--"00:00:01"),G345&lt;(--"15:00:00")),IF(AND(X345&gt;(--"00:00:01"),X345&lt;(--"15:00:00")),G345-X345,G345+1-X345),G345-X345)</f>
        <v>0</v>
      </c>
      <c r="BQ345" s="303">
        <f>AE345+AF345+AH345+AJ345</f>
        <v>0</v>
      </c>
      <c r="BR345" s="304" t="str">
        <f>IF(OR(BP345&lt;=(--"00:20:00"),BQ345&gt;=100%),"OK","Not OK")</f>
        <v>OK</v>
      </c>
      <c r="BS345" s="302">
        <f>IF(AND(G345&gt;(--"00:00:01"),G345&lt;(--"15:00:00")),IF(AND(AU345&gt;(--"00:00:01"),AU345&lt;(--"15:00:00")),G345-AU345,G345+1-AU345),G345-AU345)</f>
        <v>0</v>
      </c>
      <c r="BT345" s="302">
        <f>IF(AND(AZ345&gt;(--"00:00:01"),AZ345&lt;(--"15:00:00")),IF(AND(AU345&gt;(--"00:00:01"),AU345&lt;(--"15:00:00")),AZ345-AU345,AZ345+1-AU345),AZ345-AU345)</f>
        <v>0</v>
      </c>
      <c r="BU345" s="302">
        <f>IF(AND(BA345&gt;(--"00:00:01"),BA345&lt;(--"15:00:00")),IF(AND(AZ345&gt;(--"00:00:01"),AZ345&lt;(--"15:00:00")),BA345-AZ345,BA345+1-AZ345),BA345-AZ345)</f>
        <v>0</v>
      </c>
      <c r="BV345" s="299">
        <f>AV345</f>
        <v>0</v>
      </c>
      <c r="BW345" s="301"/>
      <c r="BX345" s="299" t="str">
        <f>IF(AV345="T Status",IF(AV345&lt;&gt;T345,"X",""),"")</f>
        <v/>
      </c>
      <c r="BY345" s="301"/>
      <c r="BZ345" s="299" t="str">
        <f>IF(X345&lt;&gt;"",IF(CC345="X","Driver Delay",IF(CA345="X","Paperwork Delay",IF(CB345="X","Late freight late sort",IF(CD345="X","Chiamare Control Room",IF(CE345="X","Chiamare Control Room",IF(CF345="X","Chiamare Control Room","")))))),"")</f>
        <v/>
      </c>
      <c r="CA345" s="302" t="str">
        <f>IF(K345="",IF(IF(AND(G345&gt;(--"00:00:01"),G345&lt;(--"15:00:00")),IF(AND(AT345&gt;(--"08:00:00"),AT345&lt;(--"23:59:59")),G345+1-AT345,G345-AT345),G345-AT345)&gt;(--"00:20:00"),"","X"),"")</f>
        <v>X</v>
      </c>
      <c r="CB345" s="299" t="str">
        <f>IF(K345="",IF(BP345&gt;=(--"00:20:00"),"","X"),"")</f>
        <v>X</v>
      </c>
      <c r="CC345" s="299" t="str">
        <f>IF(OR(AV345="Autista non presente",AV345="Dati driver non presenti"),"X","")</f>
        <v/>
      </c>
      <c r="CD345" s="299" t="str">
        <f>IF(K345="",IF(AND(CC345="",BS345&lt;(--"00:20:00")),"X",""),"")</f>
        <v>X</v>
      </c>
      <c r="CE345" s="299" t="str">
        <f>IF(K345="",IF(BT345&gt;(--"00:15:00"),"X",""),IF(AZ345&lt;&gt;"",IF(G345-AZ345&gt;(--"00:30:00"),"X",""),""))</f>
        <v/>
      </c>
      <c r="CF345" s="299" t="str">
        <f>IF(AND(CA345="",CB345="",CC345="",CD345="",CE345=""),"X","")</f>
        <v/>
      </c>
      <c r="CG345" s="301"/>
      <c r="CH345" s="299" t="str">
        <f>IF(BT345&gt;(--"00:15:00"),"X","")</f>
        <v/>
      </c>
      <c r="CI345" s="302" t="str">
        <f>AY345</f>
        <v/>
      </c>
      <c r="CJ345" s="299" t="str">
        <f>IF(AND(CH345&lt;&gt;"",CI345&lt;&gt;"",LEFT(B345,3)="ITD"),AP345,"")</f>
        <v/>
      </c>
      <c r="CK345" s="305" t="str">
        <f>IF(CJ345&lt;&gt;"",BT345,"")</f>
        <v/>
      </c>
      <c r="CL345" s="301"/>
      <c r="CM345" s="305" t="str">
        <f>IFERROR(VLOOKUP(Q345,'Elenco Casse'!$D$4:$F$292,3,FALSE),"")</f>
        <v/>
      </c>
      <c r="CN345" s="301"/>
      <c r="CO345" s="305" t="str">
        <f>IFERROR(VLOOKUP(S345,'Elenco Casse'!$D$4:$F$292,3,FALSE),"")</f>
        <v/>
      </c>
      <c r="CP345" s="305" t="str">
        <f>IFERROR(IF(VLOOKUP($E345,Outlist!$A$5:$S$120,19,FALSE)&lt;&gt;0,"Y",""),"")</f>
        <v/>
      </c>
      <c r="CQ345" s="301"/>
      <c r="CR345" s="305" t="str">
        <f>CONCATENATE($B345,$E345,$G345)</f>
        <v/>
      </c>
      <c r="CS345" s="301"/>
      <c r="CT345" s="305" t="e">
        <f>VLOOKUP(Out_Table[[#This Row],[Destination             ORANGE (From Planning)]],Outlist!$A$5:$W$120,22,FALSE)</f>
        <v>#N/A</v>
      </c>
    </row>
    <row r="346" spans="1:98" s="20" customFormat="1" ht="15">
      <c r="A346" s="305" t="str">
        <f>$CR346</f>
        <v/>
      </c>
      <c r="B346" s="284"/>
      <c r="C346" s="290" t="str">
        <f ca="1">IFERROR(IF(LEFT(B346,3)='STAT 77'!$X$2,_xlfn.XLOOKUP(B346,'STAT 77'!C:C,'STAT 77'!B:B),_xlfn.XLOOKUP(B346,'STAT 77'!B:B,'STAT 77'!C:C)),"NON TROVATO")</f>
        <v>NON TROVATO</v>
      </c>
      <c r="D346" s="25"/>
      <c r="E346" s="290"/>
      <c r="F346" s="290" t="str">
        <f>IFERROR(VLOOKUP(E346,'Cambio O2P'!C:E,2,FALSE),"")</f>
        <v/>
      </c>
      <c r="G346" s="285"/>
      <c r="H346" s="293" t="str">
        <f ca="1">IFERROR(IF(AND('INformazioni per calcoli'!$AB$3&lt;(--"14:30"),'INformazioni per calcoli'!$AB$3&gt;(--"10:00")),"",IF($B346="","",IF($X346&lt;&gt;"","Mezzo Chiuso",IF($W346="","Non al Carico",IF($G346-'INformazioni per calcoli'!$AB$5-'INformazioni per calcoli'!$AB$3+$J346&lt;0,"LFLS",IF($K346&lt;&gt;"","Safe Parking",IF($W346&lt;&gt;"",IF($E346="MXP",$G346-'INformazioni per calcoli'!$AB$6-'INformazioni per calcoli'!$AB$3+$J346,$G346-'INformazioni per calcoli'!$AB$5-'INformazioni per calcoli'!$AB$3+$J346),"Non al carico"))))))),"")</f>
        <v/>
      </c>
      <c r="I346" s="17" t="str">
        <f ca="1">IFERROR(IF($H346&lt;&gt;"",IF($H346="Safe Parking","",IF($W346&lt;&gt;"",IF(AND($U346="X",$V346="X"),$H346-(--"00:30"),""),IF($X346&lt;&gt;"","Mezzo Chiuso","Non al carico"))),""),"")</f>
        <v/>
      </c>
      <c r="J346" s="306" t="str">
        <f>IFERROR(IF($B346&lt;&gt;"",IF(AND('INformazioni per calcoli'!$AB$3&lt;(--"15:00"),'INformazioni per calcoli'!$AB$3&gt;(--"00:00")),0,IF($G346&lt;(--"18:30"),"+1",0)),""),"")</f>
        <v/>
      </c>
      <c r="K346" s="17"/>
      <c r="L346" s="25"/>
      <c r="M346" s="25" t="str">
        <f>IFERROR(_xlfn.XLOOKUP($Q346,'Elenco Casse'!$D:$D,'Elenco Casse'!$E:$E),"")</f>
        <v/>
      </c>
      <c r="N346" s="25" t="str">
        <f>IFERROR(_xlfn.XLOOKUP($Q346,'Elenco Casse'!$D:$D,'Elenco Casse'!$F:$F),"")</f>
        <v/>
      </c>
      <c r="O346" s="286"/>
      <c r="P346" s="295" t="str">
        <f>IFERROR(_xlfn.XLOOKUP($Q346,'Elenco Casse'!$D:$D,'Elenco Casse'!$G:$G),"")</f>
        <v/>
      </c>
      <c r="Q346" s="355"/>
      <c r="R346" s="23"/>
      <c r="S346" s="25"/>
      <c r="T346" s="25"/>
      <c r="U346" s="23" t="str">
        <f>IF(ISNUMBER(SEARCH("Parcel",$T346)),"X","")</f>
        <v/>
      </c>
      <c r="V346" s="23" t="str">
        <f>IF(ISNUMBER(SEARCH("Freight",$T346)),"X","")</f>
        <v/>
      </c>
      <c r="W346" s="26"/>
      <c r="X346" s="27"/>
      <c r="Y346" s="25" t="str">
        <f>IF(Out_Table[[#This Row],[DOC Del. hr. (RTH)]]&lt;&gt;"","XXX","")</f>
        <v/>
      </c>
      <c r="Z346" s="25"/>
      <c r="AA346" s="25"/>
      <c r="AB346" s="57"/>
      <c r="AC346" s="25"/>
      <c r="AD346" s="25"/>
      <c r="AE346" s="57"/>
      <c r="AF346" s="57"/>
      <c r="AG346" s="25"/>
      <c r="AH346" s="57"/>
      <c r="AI346" s="339"/>
      <c r="AJ346" s="339"/>
      <c r="AK346" s="297" t="str">
        <f>IF(X346&lt;&gt;"",CONCATENATE(IF(AA346&lt;&gt;"",CONCATENATE(Z346," ",AA346," ",BI346),""),IF(AD346&lt;&gt;"",CONCATENATE(","," ",AC346," ",AD346," ",BJ346),""),IF(AG346&lt;&gt;"",CONCATENATE(","," ",AF346," ",AG346," ",BK346),""),IF(AJ346&lt;&gt;"",CONCATENATE(","," ","DD"," ",BL346),"")," ",IF(AI346&lt;&gt;"",CONCATENATE(" - ",AI346," Bag"),"")),"")</f>
        <v/>
      </c>
      <c r="AL346" s="287"/>
      <c r="AM346" s="287"/>
      <c r="AN346" s="287"/>
      <c r="AO346" s="287"/>
      <c r="AP346" s="370" t="str">
        <f>IFERROR(VLOOKUP($E343,Outlist!$A$5:$V$120,20,FALSE),"")</f>
        <v/>
      </c>
      <c r="AQ346" s="288" t="str">
        <f>IFERROR(IF(VLOOKUP($A346,#REF!,8,FALSE)&lt;&gt;"",VLOOKUP($A346,#REF!,8,FALSE),""),"")</f>
        <v/>
      </c>
      <c r="AS346" s="24"/>
      <c r="AT346" s="24"/>
      <c r="AU346" s="27"/>
      <c r="AV346" s="27"/>
      <c r="AX346" s="20" t="str">
        <f>IFERROR(IF(Out_Table[[#This Row],[Cancellazione linea]]="Cancellata","yes",""),"")</f>
        <v/>
      </c>
      <c r="AY346" s="72" t="str">
        <f>IF(BA346="",BZ346,IF(AND(BA346&lt;(--"23:59:59"),BA346&gt;(--"15:00:00"),G346&lt;(--"14:00:00"),G346&gt;(--"00:00:01")),"",IF(BA346&gt;G346,BZ346,"")))</f>
        <v/>
      </c>
      <c r="AZ346" s="27"/>
      <c r="BA346" s="32"/>
      <c r="BB346" s="72"/>
      <c r="BC346" s="72" t="str">
        <f>IFERROR(VLOOKUP(Out_Table[[#This Row],[Aggiornamento STATUS]],'INformazioni per calcoli'!$Y$70:$AA$76,2,FALSE),"")</f>
        <v/>
      </c>
      <c r="BD346" s="289"/>
      <c r="BE346" s="289"/>
      <c r="BF346" s="47" t="str">
        <f>LEFT($E346,3)</f>
        <v/>
      </c>
      <c r="BG346" s="298" t="str">
        <f>IF(Out_Table[[#This Row],[Ora Uscita    (GH)]]&lt;&gt;"","x","")</f>
        <v/>
      </c>
      <c r="BH346" s="299" t="e">
        <f>VLOOKUP($O346,'INformazioni per calcoli'!$Y$20:$AA$23,3,FALSE)</f>
        <v>#N/A</v>
      </c>
      <c r="BI346" s="299" t="e">
        <f>MROUND(Out_Table[[#This Row],[Mtr. Trailer]]*AB346,0.5)</f>
        <v>#N/A</v>
      </c>
      <c r="BJ346" s="299" t="e">
        <f>MROUND(Out_Table[[#This Row],[Mtr. Trailer]]*AE346,0.5)</f>
        <v>#N/A</v>
      </c>
      <c r="BK346" s="299" t="e">
        <f>MROUND(Out_Table[[#This Row],[Mtr. Trailer]]*AH346,0.5)</f>
        <v>#N/A</v>
      </c>
      <c r="BL346" s="300">
        <f>Out_Table[[#This Row],[Double Deck trailer N° bumpers]]</f>
        <v>0</v>
      </c>
      <c r="BM346" s="301"/>
      <c r="BN346" s="299">
        <f>B346</f>
        <v>0</v>
      </c>
      <c r="BO346" s="299">
        <f>E346</f>
        <v>0</v>
      </c>
      <c r="BP346" s="302">
        <f>IF(AND(G346&gt;(--"00:00:01"),G346&lt;(--"15:00:00")),IF(AND(X346&gt;(--"00:00:01"),X346&lt;(--"15:00:00")),G346-X346,G346+1-X346),G346-X346)</f>
        <v>0</v>
      </c>
      <c r="BQ346" s="303">
        <f>AE346+AF346+AH346+AJ346</f>
        <v>0</v>
      </c>
      <c r="BR346" s="304" t="str">
        <f>IF(OR(BP346&lt;=(--"00:20:00"),BQ346&gt;=100%),"OK","Not OK")</f>
        <v>OK</v>
      </c>
      <c r="BS346" s="302">
        <f>IF(AND(G346&gt;(--"00:00:01"),G346&lt;(--"15:00:00")),IF(AND(AU346&gt;(--"00:00:01"),AU346&lt;(--"15:00:00")),G346-AU346,G346+1-AU346),G346-AU346)</f>
        <v>0</v>
      </c>
      <c r="BT346" s="302">
        <f>IF(AND(AZ346&gt;(--"00:00:01"),AZ346&lt;(--"15:00:00")),IF(AND(AU346&gt;(--"00:00:01"),AU346&lt;(--"15:00:00")),AZ346-AU346,AZ346+1-AU346),AZ346-AU346)</f>
        <v>0</v>
      </c>
      <c r="BU346" s="302">
        <f>IF(AND(BA346&gt;(--"00:00:01"),BA346&lt;(--"15:00:00")),IF(AND(AZ346&gt;(--"00:00:01"),AZ346&lt;(--"15:00:00")),BA346-AZ346,BA346+1-AZ346),BA346-AZ346)</f>
        <v>0</v>
      </c>
      <c r="BV346" s="299">
        <f>AV346</f>
        <v>0</v>
      </c>
      <c r="BW346" s="301"/>
      <c r="BX346" s="299" t="str">
        <f>IF(AV346="T Status",IF(AV346&lt;&gt;T346,"X",""),"")</f>
        <v/>
      </c>
      <c r="BY346" s="301"/>
      <c r="BZ346" s="299" t="str">
        <f>IF(X346&lt;&gt;"",IF(CC346="X","Driver Delay",IF(CA346="X","Paperwork Delay",IF(CB346="X","Late freight late sort",IF(CD346="X","Chiamare Control Room",IF(CE346="X","Chiamare Control Room",IF(CF346="X","Chiamare Control Room","")))))),"")</f>
        <v/>
      </c>
      <c r="CA346" s="302" t="str">
        <f>IF(K346="",IF(IF(AND(G346&gt;(--"00:00:01"),G346&lt;(--"15:00:00")),IF(AND(AT346&gt;(--"08:00:00"),AT346&lt;(--"23:59:59")),G346+1-AT346,G346-AT346),G346-AT346)&gt;(--"00:20:00"),"","X"),"")</f>
        <v>X</v>
      </c>
      <c r="CB346" s="299" t="str">
        <f>IF(K346="",IF(BP346&gt;=(--"00:20:00"),"","X"),"")</f>
        <v>X</v>
      </c>
      <c r="CC346" s="299" t="str">
        <f>IF(OR(AV346="Autista non presente",AV346="Dati driver non presenti"),"X","")</f>
        <v/>
      </c>
      <c r="CD346" s="299" t="str">
        <f>IF(K346="",IF(AND(CC346="",BS346&lt;(--"00:20:00")),"X",""),"")</f>
        <v>X</v>
      </c>
      <c r="CE346" s="299" t="str">
        <f>IF(K346="",IF(BT346&gt;(--"00:15:00"),"X",""),IF(AZ346&lt;&gt;"",IF(G346-AZ346&gt;(--"00:30:00"),"X",""),""))</f>
        <v/>
      </c>
      <c r="CF346" s="299" t="str">
        <f>IF(AND(CA346="",CB346="",CC346="",CD346="",CE346=""),"X","")</f>
        <v/>
      </c>
      <c r="CG346" s="301"/>
      <c r="CH346" s="299" t="str">
        <f>IF(BT346&gt;(--"00:15:00"),"X","")</f>
        <v/>
      </c>
      <c r="CI346" s="302" t="str">
        <f>AY346</f>
        <v/>
      </c>
      <c r="CJ346" s="299" t="str">
        <f>IF(AND(CH346&lt;&gt;"",CI346&lt;&gt;"",LEFT(B346,3)="ITD"),AP346,"")</f>
        <v/>
      </c>
      <c r="CK346" s="305" t="str">
        <f>IF(CJ346&lt;&gt;"",BT346,"")</f>
        <v/>
      </c>
      <c r="CL346" s="301"/>
      <c r="CM346" s="305" t="str">
        <f>IFERROR(VLOOKUP(Q346,'Elenco Casse'!$D$4:$F$292,3,FALSE),"")</f>
        <v/>
      </c>
      <c r="CN346" s="301"/>
      <c r="CO346" s="305" t="str">
        <f>IFERROR(VLOOKUP(S346,'Elenco Casse'!$D$4:$F$292,3,FALSE),"")</f>
        <v/>
      </c>
      <c r="CP346" s="305" t="str">
        <f>IFERROR(IF(VLOOKUP($E346,Outlist!$A$5:$S$120,19,FALSE)&lt;&gt;0,"Y",""),"")</f>
        <v/>
      </c>
      <c r="CQ346" s="301"/>
      <c r="CR346" s="305" t="str">
        <f>CONCATENATE($B346,$E346,$G346)</f>
        <v/>
      </c>
      <c r="CS346" s="301"/>
      <c r="CT346" s="305" t="e">
        <f>VLOOKUP(Out_Table[[#This Row],[Destination             ORANGE (From Planning)]],Outlist!$A$5:$W$120,22,FALSE)</f>
        <v>#N/A</v>
      </c>
    </row>
    <row r="347" spans="1:98" s="20" customFormat="1" ht="15">
      <c r="A347" s="305" t="str">
        <f>$CR347</f>
        <v/>
      </c>
      <c r="B347" s="284"/>
      <c r="C347" s="290">
        <f ca="1">IFERROR(IF(LEFT(B347,3)='STAT 77'!$X$2,_xlfn.XLOOKUP(B347,'STAT 77'!C:C,'STAT 77'!B:B),_xlfn.XLOOKUP(B347,'STAT 77'!B:B,'STAT 77'!C:C)),"NON TROVATO")</f>
        <v>0</v>
      </c>
      <c r="D347" s="25"/>
      <c r="E347" s="290"/>
      <c r="F347" s="290" t="str">
        <f>IFERROR(VLOOKUP(E347,'Cambio O2P'!C:E,2,FALSE),"")</f>
        <v/>
      </c>
      <c r="G347" s="285"/>
      <c r="H347" s="293" t="str">
        <f ca="1">IFERROR(IF(AND('INformazioni per calcoli'!$AB$3&lt;(--"14:30"),'INformazioni per calcoli'!$AB$3&gt;(--"10:00")),"",IF($B347="","",IF($X347&lt;&gt;"","Mezzo Chiuso",IF($W347="","Non al Carico",IF($G347-'INformazioni per calcoli'!$AB$5-'INformazioni per calcoli'!$AB$3+$J347&lt;0,"LFLS",IF($K347&lt;&gt;"","Safe Parking",IF($W347&lt;&gt;"",IF($E347="MXP",$G347-'INformazioni per calcoli'!$AB$6-'INformazioni per calcoli'!$AB$3+$J347,$G347-'INformazioni per calcoli'!$AB$5-'INformazioni per calcoli'!$AB$3+$J347),"Non al carico"))))))),"")</f>
        <v/>
      </c>
      <c r="I347" s="17" t="str">
        <f ca="1">IFERROR(IF($H347&lt;&gt;"",IF($H347="Safe Parking","",IF($W347&lt;&gt;"",IF(AND($U347="X",$V347="X"),$H347-(--"00:30"),""),IF($X347&lt;&gt;"","Mezzo Chiuso","Non al carico"))),""),"")</f>
        <v/>
      </c>
      <c r="J347" s="306" t="str">
        <f>IFERROR(IF($B347&lt;&gt;"",IF(AND('INformazioni per calcoli'!$AB$3&lt;(--"15:00"),'INformazioni per calcoli'!$AB$3&gt;(--"00:00")),0,IF($G347&lt;(--"18:30"),"+1",0)),""),"")</f>
        <v/>
      </c>
      <c r="K347" s="17"/>
      <c r="L347" s="25"/>
      <c r="M347" s="25" t="str">
        <f>IFERROR(_xlfn.XLOOKUP($Q347,'Elenco Casse'!$D:$D,'Elenco Casse'!$E:$E),"")</f>
        <v/>
      </c>
      <c r="N347" s="25" t="str">
        <f>IFERROR(_xlfn.XLOOKUP($Q347,'Elenco Casse'!$D:$D,'Elenco Casse'!$F:$F),"")</f>
        <v/>
      </c>
      <c r="O347" s="286"/>
      <c r="P347" s="295" t="str">
        <f>IFERROR(_xlfn.XLOOKUP($Q347,'Elenco Casse'!$D:$D,'Elenco Casse'!$G:$G),"")</f>
        <v/>
      </c>
      <c r="Q347" s="355"/>
      <c r="R347" s="23"/>
      <c r="S347" s="25"/>
      <c r="T347" s="25"/>
      <c r="U347" s="23" t="str">
        <f>IF(ISNUMBER(SEARCH("Parcel",$T347)),"X","")</f>
        <v/>
      </c>
      <c r="V347" s="23" t="str">
        <f>IF(ISNUMBER(SEARCH("Freight",$T347)),"X","")</f>
        <v/>
      </c>
      <c r="W347" s="26"/>
      <c r="X347" s="27"/>
      <c r="Y347" s="25" t="str">
        <f>IF(Out_Table[[#This Row],[DOC Del. hr. (RTH)]]&lt;&gt;"","XXX","")</f>
        <v/>
      </c>
      <c r="Z347" s="25"/>
      <c r="AA347" s="25"/>
      <c r="AB347" s="57"/>
      <c r="AC347" s="25"/>
      <c r="AD347" s="25"/>
      <c r="AE347" s="57"/>
      <c r="AF347" s="57"/>
      <c r="AG347" s="25"/>
      <c r="AH347" s="57"/>
      <c r="AI347" s="339"/>
      <c r="AJ347" s="339"/>
      <c r="AK347" s="297" t="str">
        <f>IF(X347&lt;&gt;"",CONCATENATE(IF(AA347&lt;&gt;"",CONCATENATE(Z347," ",AA347," ",BI347),""),IF(AD347&lt;&gt;"",CONCATENATE(","," ",AC347," ",AD347," ",BJ347),""),IF(AG347&lt;&gt;"",CONCATENATE(","," ",AF347," ",AG347," ",BK347),""),IF(AJ347&lt;&gt;"",CONCATENATE(","," ","DD"," ",BL347),"")," ",IF(AI347&lt;&gt;"",CONCATENATE(" - ",AI347," Bag"),"")),"")</f>
        <v/>
      </c>
      <c r="AL347" s="287"/>
      <c r="AM347" s="287"/>
      <c r="AN347" s="287"/>
      <c r="AO347" s="287"/>
      <c r="AP347" s="370" t="str">
        <f>IFERROR(VLOOKUP($E344,Outlist!$A$5:$V$120,20,FALSE),"")</f>
        <v/>
      </c>
      <c r="AQ347" s="288" t="str">
        <f>IFERROR(IF(VLOOKUP($A347,#REF!,8,FALSE)&lt;&gt;"",VLOOKUP($A347,#REF!,8,FALSE),""),"")</f>
        <v/>
      </c>
      <c r="AS347" s="24"/>
      <c r="AT347" s="24"/>
      <c r="AU347" s="27"/>
      <c r="AV347" s="27"/>
      <c r="AX347" s="20" t="str">
        <f>IFERROR(IF(Out_Table[[#This Row],[Cancellazione linea]]="Cancellata","yes",""),"")</f>
        <v/>
      </c>
      <c r="AY347" s="72" t="str">
        <f>IF(BA347="",BZ347,IF(AND(BA347&lt;(--"23:59:59"),BA347&gt;(--"15:00:00"),G347&lt;(--"14:00:00"),G347&gt;(--"00:00:01")),"",IF(BA347&gt;G347,BZ347,"")))</f>
        <v/>
      </c>
      <c r="AZ347" s="27"/>
      <c r="BA347" s="32"/>
      <c r="BB347" s="72"/>
      <c r="BC347" s="72" t="str">
        <f>IFERROR(VLOOKUP(Out_Table[[#This Row],[Aggiornamento STATUS]],'INformazioni per calcoli'!$Y$70:$AA$76,2,FALSE),"")</f>
        <v/>
      </c>
      <c r="BD347" s="289"/>
      <c r="BE347" s="289"/>
      <c r="BF347" s="47" t="str">
        <f>LEFT($E347,3)</f>
        <v/>
      </c>
      <c r="BG347" s="298" t="str">
        <f>IF(Out_Table[[#This Row],[Ora Uscita    (GH)]]&lt;&gt;"","x","")</f>
        <v/>
      </c>
      <c r="BH347" s="299" t="e">
        <f>VLOOKUP($O347,'INformazioni per calcoli'!$Y$20:$AA$23,3,FALSE)</f>
        <v>#N/A</v>
      </c>
      <c r="BI347" s="299" t="e">
        <f>MROUND(Out_Table[[#This Row],[Mtr. Trailer]]*AB347,0.5)</f>
        <v>#N/A</v>
      </c>
      <c r="BJ347" s="299" t="e">
        <f>MROUND(Out_Table[[#This Row],[Mtr. Trailer]]*AE347,0.5)</f>
        <v>#N/A</v>
      </c>
      <c r="BK347" s="299" t="e">
        <f>MROUND(Out_Table[[#This Row],[Mtr. Trailer]]*AH347,0.5)</f>
        <v>#N/A</v>
      </c>
      <c r="BL347" s="300">
        <f>Out_Table[[#This Row],[Double Deck trailer N° bumpers]]</f>
        <v>0</v>
      </c>
      <c r="BM347" s="301"/>
      <c r="BN347" s="299">
        <f>B347</f>
        <v>0</v>
      </c>
      <c r="BO347" s="299">
        <f>E347</f>
        <v>0</v>
      </c>
      <c r="BP347" s="302">
        <f>IF(AND(G347&gt;(--"00:00:01"),G347&lt;(--"15:00:00")),IF(AND(X347&gt;(--"00:00:01"),X347&lt;(--"15:00:00")),G347-X347,G347+1-X347),G347-X347)</f>
        <v>0</v>
      </c>
      <c r="BQ347" s="303">
        <f>AE347+AF347+AH347+AJ347</f>
        <v>0</v>
      </c>
      <c r="BR347" s="304" t="str">
        <f>IF(OR(BP347&lt;=(--"00:20:00"),BQ347&gt;=100%),"OK","Not OK")</f>
        <v>OK</v>
      </c>
      <c r="BS347" s="302">
        <f>IF(AND(G347&gt;(--"00:00:01"),G347&lt;(--"15:00:00")),IF(AND(AU347&gt;(--"00:00:01"),AU347&lt;(--"15:00:00")),G347-AU347,G347+1-AU347),G347-AU347)</f>
        <v>0</v>
      </c>
      <c r="BT347" s="302">
        <f>IF(AND(AZ347&gt;(--"00:00:01"),AZ347&lt;(--"15:00:00")),IF(AND(AU347&gt;(--"00:00:01"),AU347&lt;(--"15:00:00")),AZ347-AU347,AZ347+1-AU347),AZ347-AU347)</f>
        <v>0</v>
      </c>
      <c r="BU347" s="302">
        <f>IF(AND(BA347&gt;(--"00:00:01"),BA347&lt;(--"15:00:00")),IF(AND(AZ347&gt;(--"00:00:01"),AZ347&lt;(--"15:00:00")),BA347-AZ347,BA347+1-AZ347),BA347-AZ347)</f>
        <v>0</v>
      </c>
      <c r="BV347" s="299">
        <f>AV347</f>
        <v>0</v>
      </c>
      <c r="BW347" s="301"/>
      <c r="BX347" s="299" t="str">
        <f>IF(AV347="T Status",IF(AV347&lt;&gt;T347,"X",""),"")</f>
        <v/>
      </c>
      <c r="BY347" s="301"/>
      <c r="BZ347" s="299" t="str">
        <f>IF(X347&lt;&gt;"",IF(CC347="X","Driver Delay",IF(CA347="X","Paperwork Delay",IF(CB347="X","Late freight late sort",IF(CD347="X","Chiamare Control Room",IF(CE347="X","Chiamare Control Room",IF(CF347="X","Chiamare Control Room","")))))),"")</f>
        <v/>
      </c>
      <c r="CA347" s="302" t="str">
        <f>IF(K347="",IF(IF(AND(G347&gt;(--"00:00:01"),G347&lt;(--"15:00:00")),IF(AND(AT347&gt;(--"08:00:00"),AT347&lt;(--"23:59:59")),G347+1-AT347,G347-AT347),G347-AT347)&gt;(--"00:20:00"),"","X"),"")</f>
        <v>X</v>
      </c>
      <c r="CB347" s="299" t="str">
        <f>IF(K347="",IF(BP347&gt;=(--"00:20:00"),"","X"),"")</f>
        <v>X</v>
      </c>
      <c r="CC347" s="299" t="str">
        <f>IF(OR(AV347="Autista non presente",AV347="Dati driver non presenti"),"X","")</f>
        <v/>
      </c>
      <c r="CD347" s="299" t="str">
        <f>IF(K347="",IF(AND(CC347="",BS347&lt;(--"00:20:00")),"X",""),"")</f>
        <v>X</v>
      </c>
      <c r="CE347" s="299" t="str">
        <f>IF(K347="",IF(BT347&gt;(--"00:15:00"),"X",""),IF(AZ347&lt;&gt;"",IF(G347-AZ347&gt;(--"00:30:00"),"X",""),""))</f>
        <v/>
      </c>
      <c r="CF347" s="299" t="str">
        <f>IF(AND(CA347="",CB347="",CC347="",CD347="",CE347=""),"X","")</f>
        <v/>
      </c>
      <c r="CG347" s="301"/>
      <c r="CH347" s="299" t="str">
        <f>IF(BT347&gt;(--"00:15:00"),"X","")</f>
        <v/>
      </c>
      <c r="CI347" s="302" t="str">
        <f>AY347</f>
        <v/>
      </c>
      <c r="CJ347" s="299" t="str">
        <f>IF(AND(CH347&lt;&gt;"",CI347&lt;&gt;"",LEFT(B347,3)="ITD"),AP347,"")</f>
        <v/>
      </c>
      <c r="CK347" s="305" t="str">
        <f>IF(CJ347&lt;&gt;"",BT347,"")</f>
        <v/>
      </c>
      <c r="CL347" s="301"/>
      <c r="CM347" s="305" t="str">
        <f>IFERROR(VLOOKUP(Q347,'Elenco Casse'!$D$4:$F$292,3,FALSE),"")</f>
        <v/>
      </c>
      <c r="CN347" s="301"/>
      <c r="CO347" s="305" t="str">
        <f>IFERROR(VLOOKUP(S347,'Elenco Casse'!$D$4:$F$292,3,FALSE),"")</f>
        <v/>
      </c>
      <c r="CP347" s="305" t="str">
        <f>IFERROR(IF(VLOOKUP($E347,Outlist!$A$5:$S$120,19,FALSE)&lt;&gt;0,"Y",""),"")</f>
        <v/>
      </c>
      <c r="CQ347" s="301"/>
      <c r="CR347" s="305" t="str">
        <f>CONCATENATE($B347,$E347,$G347)</f>
        <v/>
      </c>
      <c r="CS347" s="301"/>
      <c r="CT347" s="305" t="e">
        <f>VLOOKUP(Out_Table[[#This Row],[Destination             ORANGE (From Planning)]],Outlist!$A$5:$W$120,22,FALSE)</f>
        <v>#N/A</v>
      </c>
    </row>
    <row r="348" spans="1:98" s="20" customFormat="1" ht="15">
      <c r="A348" s="305" t="str">
        <f>$CR348</f>
        <v/>
      </c>
      <c r="B348" s="284"/>
      <c r="C348" s="290">
        <f ca="1">IFERROR(IF(LEFT(B348,3)='STAT 77'!$X$2,_xlfn.XLOOKUP(B348,'STAT 77'!C:C,'STAT 77'!B:B),_xlfn.XLOOKUP(B348,'STAT 77'!B:B,'STAT 77'!C:C)),"NON TROVATO")</f>
        <v>0</v>
      </c>
      <c r="D348" s="25"/>
      <c r="E348" s="290"/>
      <c r="F348" s="290" t="str">
        <f>IFERROR(VLOOKUP(E348,'Cambio O2P'!C:E,2,FALSE),"")</f>
        <v/>
      </c>
      <c r="G348" s="285"/>
      <c r="H348" s="293" t="str">
        <f ca="1">IFERROR(IF(AND('INformazioni per calcoli'!$AB$3&lt;(--"14:30"),'INformazioni per calcoli'!$AB$3&gt;(--"10:00")),"",IF($B348="","",IF($X348&lt;&gt;"","Mezzo Chiuso",IF($W348="","Non al Carico",IF($G348-'INformazioni per calcoli'!$AB$5-'INformazioni per calcoli'!$AB$3+$J348&lt;0,"LFLS",IF($K348&lt;&gt;"","Safe Parking",IF($W348&lt;&gt;"",IF($E348="MXP",$G348-'INformazioni per calcoli'!$AB$6-'INformazioni per calcoli'!$AB$3+$J348,$G348-'INformazioni per calcoli'!$AB$5-'INformazioni per calcoli'!$AB$3+$J348),"Non al carico"))))))),"")</f>
        <v/>
      </c>
      <c r="I348" s="17" t="str">
        <f ca="1">IFERROR(IF($H348&lt;&gt;"",IF($H348="Safe Parking","",IF($W348&lt;&gt;"",IF(AND($U348="X",$V348="X"),$H348-(--"00:30"),""),IF($X348&lt;&gt;"","Mezzo Chiuso","Non al carico"))),""),"")</f>
        <v/>
      </c>
      <c r="J348" s="306" t="str">
        <f>IFERROR(IF($B348&lt;&gt;"",IF(AND('INformazioni per calcoli'!$AB$3&lt;(--"15:00"),'INformazioni per calcoli'!$AB$3&gt;(--"00:00")),0,IF($G348&lt;(--"18:30"),"+1",0)),""),"")</f>
        <v/>
      </c>
      <c r="K348" s="17"/>
      <c r="L348" s="25"/>
      <c r="M348" s="25" t="str">
        <f>IFERROR(_xlfn.XLOOKUP($Q348,'Elenco Casse'!$D:$D,'Elenco Casse'!$E:$E),"")</f>
        <v/>
      </c>
      <c r="N348" s="25" t="str">
        <f>IFERROR(_xlfn.XLOOKUP($Q348,'Elenco Casse'!$D:$D,'Elenco Casse'!$F:$F),"")</f>
        <v/>
      </c>
      <c r="O348" s="286"/>
      <c r="P348" s="295" t="str">
        <f>IFERROR(_xlfn.XLOOKUP($Q348,'Elenco Casse'!$D:$D,'Elenco Casse'!$G:$G),"")</f>
        <v/>
      </c>
      <c r="Q348" s="355"/>
      <c r="R348" s="23"/>
      <c r="S348" s="25"/>
      <c r="T348" s="25"/>
      <c r="U348" s="23" t="str">
        <f>IF(ISNUMBER(SEARCH("Parcel",$T348)),"X","")</f>
        <v/>
      </c>
      <c r="V348" s="23" t="str">
        <f>IF(ISNUMBER(SEARCH("Freight",$T348)),"X","")</f>
        <v/>
      </c>
      <c r="W348" s="26"/>
      <c r="X348" s="27"/>
      <c r="Y348" s="25" t="str">
        <f>IF(Out_Table[[#This Row],[DOC Del. hr. (RTH)]]&lt;&gt;"","XXX","")</f>
        <v/>
      </c>
      <c r="Z348" s="25"/>
      <c r="AA348" s="25"/>
      <c r="AB348" s="57"/>
      <c r="AC348" s="25"/>
      <c r="AD348" s="25"/>
      <c r="AE348" s="57"/>
      <c r="AF348" s="57"/>
      <c r="AG348" s="25"/>
      <c r="AH348" s="57"/>
      <c r="AI348" s="339"/>
      <c r="AJ348" s="339"/>
      <c r="AK348" s="297" t="str">
        <f>IF(X348&lt;&gt;"",CONCATENATE(IF(AA348&lt;&gt;"",CONCATENATE(Z348," ",AA348," ",BI348),""),IF(AD348&lt;&gt;"",CONCATENATE(","," ",AC348," ",AD348," ",BJ348),""),IF(AG348&lt;&gt;"",CONCATENATE(","," ",AF348," ",AG348," ",BK348),""),IF(AJ348&lt;&gt;"",CONCATENATE(","," ","DD"," ",BL348),"")," ",IF(AI348&lt;&gt;"",CONCATENATE(" - ",AI348," Bag"),"")),"")</f>
        <v/>
      </c>
      <c r="AL348" s="287"/>
      <c r="AM348" s="287"/>
      <c r="AN348" s="287"/>
      <c r="AO348" s="287"/>
      <c r="AP348" s="370" t="str">
        <f>IFERROR(VLOOKUP($E345,Outlist!$A$5:$V$120,20,FALSE),"")</f>
        <v/>
      </c>
      <c r="AQ348" s="288" t="str">
        <f>IFERROR(IF(VLOOKUP($A348,#REF!,8,FALSE)&lt;&gt;"",VLOOKUP($A348,#REF!,8,FALSE),""),"")</f>
        <v/>
      </c>
      <c r="AS348" s="24"/>
      <c r="AT348" s="24"/>
      <c r="AU348" s="27"/>
      <c r="AV348" s="27"/>
      <c r="AX348" s="20" t="str">
        <f>IFERROR(IF(Out_Table[[#This Row],[Cancellazione linea]]="Cancellata","yes",""),"")</f>
        <v/>
      </c>
      <c r="AY348" s="72" t="str">
        <f>IF(BA348="",BZ348,IF(AND(BA348&lt;(--"23:59:59"),BA348&gt;(--"15:00:00"),G348&lt;(--"14:00:00"),G348&gt;(--"00:00:01")),"",IF(BA348&gt;G348,BZ348,"")))</f>
        <v/>
      </c>
      <c r="AZ348" s="27"/>
      <c r="BA348" s="32"/>
      <c r="BB348" s="72"/>
      <c r="BC348" s="72" t="str">
        <f>IFERROR(VLOOKUP(Out_Table[[#This Row],[Aggiornamento STATUS]],'INformazioni per calcoli'!$Y$70:$AA$76,2,FALSE),"")</f>
        <v/>
      </c>
      <c r="BD348" s="289"/>
      <c r="BE348" s="289"/>
      <c r="BF348" s="47" t="str">
        <f>LEFT($E348,3)</f>
        <v/>
      </c>
      <c r="BG348" s="298" t="str">
        <f>IF(Out_Table[[#This Row],[Ora Uscita    (GH)]]&lt;&gt;"","x","")</f>
        <v/>
      </c>
      <c r="BH348" s="299" t="e">
        <f>VLOOKUP($O348,'INformazioni per calcoli'!$Y$20:$AA$23,3,FALSE)</f>
        <v>#N/A</v>
      </c>
      <c r="BI348" s="299" t="e">
        <f>MROUND(Out_Table[[#This Row],[Mtr. Trailer]]*AB348,0.5)</f>
        <v>#N/A</v>
      </c>
      <c r="BJ348" s="299" t="e">
        <f>MROUND(Out_Table[[#This Row],[Mtr. Trailer]]*AE348,0.5)</f>
        <v>#N/A</v>
      </c>
      <c r="BK348" s="299" t="e">
        <f>MROUND(Out_Table[[#This Row],[Mtr. Trailer]]*AH348,0.5)</f>
        <v>#N/A</v>
      </c>
      <c r="BL348" s="300">
        <f>Out_Table[[#This Row],[Double Deck trailer N° bumpers]]</f>
        <v>0</v>
      </c>
      <c r="BM348" s="301"/>
      <c r="BN348" s="299">
        <f>B348</f>
        <v>0</v>
      </c>
      <c r="BO348" s="299">
        <f>E348</f>
        <v>0</v>
      </c>
      <c r="BP348" s="302">
        <f>IF(AND(G348&gt;(--"00:00:01"),G348&lt;(--"15:00:00")),IF(AND(X348&gt;(--"00:00:01"),X348&lt;(--"15:00:00")),G348-X348,G348+1-X348),G348-X348)</f>
        <v>0</v>
      </c>
      <c r="BQ348" s="303">
        <f>AE348+AF348+AH348+AJ348</f>
        <v>0</v>
      </c>
      <c r="BR348" s="304" t="str">
        <f>IF(OR(BP348&lt;=(--"00:20:00"),BQ348&gt;=100%),"OK","Not OK")</f>
        <v>OK</v>
      </c>
      <c r="BS348" s="302">
        <f>IF(AND(G348&gt;(--"00:00:01"),G348&lt;(--"15:00:00")),IF(AND(AU348&gt;(--"00:00:01"),AU348&lt;(--"15:00:00")),G348-AU348,G348+1-AU348),G348-AU348)</f>
        <v>0</v>
      </c>
      <c r="BT348" s="302">
        <f>IF(AND(AZ348&gt;(--"00:00:01"),AZ348&lt;(--"15:00:00")),IF(AND(AU348&gt;(--"00:00:01"),AU348&lt;(--"15:00:00")),AZ348-AU348,AZ348+1-AU348),AZ348-AU348)</f>
        <v>0</v>
      </c>
      <c r="BU348" s="302">
        <f>IF(AND(BA348&gt;(--"00:00:01"),BA348&lt;(--"15:00:00")),IF(AND(AZ348&gt;(--"00:00:01"),AZ348&lt;(--"15:00:00")),BA348-AZ348,BA348+1-AZ348),BA348-AZ348)</f>
        <v>0</v>
      </c>
      <c r="BV348" s="299">
        <f>AV348</f>
        <v>0</v>
      </c>
      <c r="BW348" s="301"/>
      <c r="BX348" s="299" t="str">
        <f>IF(AV348="T Status",IF(AV348&lt;&gt;T348,"X",""),"")</f>
        <v/>
      </c>
      <c r="BY348" s="301"/>
      <c r="BZ348" s="299" t="str">
        <f>IF(X348&lt;&gt;"",IF(CC348="X","Driver Delay",IF(CA348="X","Paperwork Delay",IF(CB348="X","Late freight late sort",IF(CD348="X","Chiamare Control Room",IF(CE348="X","Chiamare Control Room",IF(CF348="X","Chiamare Control Room","")))))),"")</f>
        <v/>
      </c>
      <c r="CA348" s="302" t="str">
        <f>IF(K348="",IF(IF(AND(G348&gt;(--"00:00:01"),G348&lt;(--"15:00:00")),IF(AND(AT348&gt;(--"08:00:00"),AT348&lt;(--"23:59:59")),G348+1-AT348,G348-AT348),G348-AT348)&gt;(--"00:20:00"),"","X"),"")</f>
        <v>X</v>
      </c>
      <c r="CB348" s="299" t="str">
        <f>IF(K348="",IF(BP348&gt;=(--"00:20:00"),"","X"),"")</f>
        <v>X</v>
      </c>
      <c r="CC348" s="299" t="str">
        <f>IF(OR(AV348="Autista non presente",AV348="Dati driver non presenti"),"X","")</f>
        <v/>
      </c>
      <c r="CD348" s="299" t="str">
        <f>IF(K348="",IF(AND(CC348="",BS348&lt;(--"00:20:00")),"X",""),"")</f>
        <v>X</v>
      </c>
      <c r="CE348" s="299" t="str">
        <f>IF(K348="",IF(BT348&gt;(--"00:15:00"),"X",""),IF(AZ348&lt;&gt;"",IF(G348-AZ348&gt;(--"00:30:00"),"X",""),""))</f>
        <v/>
      </c>
      <c r="CF348" s="299" t="str">
        <f>IF(AND(CA348="",CB348="",CC348="",CD348="",CE348=""),"X","")</f>
        <v/>
      </c>
      <c r="CG348" s="301"/>
      <c r="CH348" s="299" t="str">
        <f>IF(BT348&gt;(--"00:15:00"),"X","")</f>
        <v/>
      </c>
      <c r="CI348" s="302" t="str">
        <f>AY348</f>
        <v/>
      </c>
      <c r="CJ348" s="299" t="str">
        <f>IF(AND(CH348&lt;&gt;"",CI348&lt;&gt;"",LEFT(B348,3)="ITD"),AP348,"")</f>
        <v/>
      </c>
      <c r="CK348" s="305" t="str">
        <f>IF(CJ348&lt;&gt;"",BT348,"")</f>
        <v/>
      </c>
      <c r="CL348" s="301"/>
      <c r="CM348" s="305" t="str">
        <f>IFERROR(VLOOKUP(Q348,'Elenco Casse'!$D$4:$F$292,3,FALSE),"")</f>
        <v/>
      </c>
      <c r="CN348" s="301"/>
      <c r="CO348" s="305" t="str">
        <f>IFERROR(VLOOKUP(S348,'Elenco Casse'!$D$4:$F$292,3,FALSE),"")</f>
        <v/>
      </c>
      <c r="CP348" s="305" t="str">
        <f>IFERROR(IF(VLOOKUP($E348,Outlist!$A$5:$S$120,19,FALSE)&lt;&gt;0,"Y",""),"")</f>
        <v/>
      </c>
      <c r="CQ348" s="301"/>
      <c r="CR348" s="305" t="str">
        <f>CONCATENATE($B348,$E348,$G348)</f>
        <v/>
      </c>
      <c r="CS348" s="301"/>
      <c r="CT348" s="305" t="e">
        <f>VLOOKUP(Out_Table[[#This Row],[Destination             ORANGE (From Planning)]],Outlist!$A$5:$W$120,22,FALSE)</f>
        <v>#N/A</v>
      </c>
    </row>
    <row r="349" spans="1:98" s="20" customFormat="1" ht="15">
      <c r="A349" s="305" t="str">
        <f>$CR349</f>
        <v/>
      </c>
      <c r="B349" s="284"/>
      <c r="C349" s="290" t="str">
        <f ca="1">IFERROR(IF(LEFT(B349,3)='STAT 77'!$X$2,_xlfn.XLOOKUP(B349,'STAT 77'!C:C,'STAT 77'!B:B),_xlfn.XLOOKUP(B349,'STAT 77'!B:B,'STAT 77'!C:C)),"NON TROVATO")</f>
        <v>NON TROVATO</v>
      </c>
      <c r="D349" s="25"/>
      <c r="E349" s="290"/>
      <c r="F349" s="290" t="str">
        <f>IFERROR(VLOOKUP(E349,'Cambio O2P'!C:E,2,FALSE),"")</f>
        <v/>
      </c>
      <c r="G349" s="285"/>
      <c r="H349" s="293" t="str">
        <f ca="1">IFERROR(IF(AND('INformazioni per calcoli'!$AB$3&lt;(--"14:30"),'INformazioni per calcoli'!$AB$3&gt;(--"10:00")),"",IF($B349="","",IF($X349&lt;&gt;"","Mezzo Chiuso",IF($W349="","Non al Carico",IF($G349-'INformazioni per calcoli'!$AB$5-'INformazioni per calcoli'!$AB$3+$J349&lt;0,"LFLS",IF($K349&lt;&gt;"","Safe Parking",IF($W349&lt;&gt;"",IF($E349="MXP",$G349-'INformazioni per calcoli'!$AB$6-'INformazioni per calcoli'!$AB$3+$J349,$G349-'INformazioni per calcoli'!$AB$5-'INformazioni per calcoli'!$AB$3+$J349),"Non al carico"))))))),"")</f>
        <v/>
      </c>
      <c r="I349" s="17" t="str">
        <f ca="1">IFERROR(IF($H349&lt;&gt;"",IF($H349="Safe Parking","",IF($W349&lt;&gt;"",IF(AND($U349="X",$V349="X"),$H349-(--"00:30"),""),IF($X349&lt;&gt;"","Mezzo Chiuso","Non al carico"))),""),"")</f>
        <v/>
      </c>
      <c r="J349" s="306" t="str">
        <f>IFERROR(IF($B349&lt;&gt;"",IF(AND('INformazioni per calcoli'!$AB$3&lt;(--"15:00"),'INformazioni per calcoli'!$AB$3&gt;(--"00:00")),0,IF($G349&lt;(--"18:30"),"+1",0)),""),"")</f>
        <v/>
      </c>
      <c r="K349" s="17"/>
      <c r="L349" s="25"/>
      <c r="M349" s="25" t="str">
        <f>IFERROR(_xlfn.XLOOKUP($Q349,'Elenco Casse'!$D:$D,'Elenco Casse'!$E:$E),"")</f>
        <v/>
      </c>
      <c r="N349" s="25" t="str">
        <f>IFERROR(_xlfn.XLOOKUP($Q349,'Elenco Casse'!$D:$D,'Elenco Casse'!$F:$F),"")</f>
        <v/>
      </c>
      <c r="O349" s="286"/>
      <c r="P349" s="295" t="str">
        <f>IFERROR(_xlfn.XLOOKUP($Q349,'Elenco Casse'!$D:$D,'Elenco Casse'!$G:$G),"")</f>
        <v/>
      </c>
      <c r="Q349" s="355"/>
      <c r="R349" s="23"/>
      <c r="S349" s="25"/>
      <c r="T349" s="25"/>
      <c r="U349" s="23" t="str">
        <f>IF(ISNUMBER(SEARCH("Parcel",$T349)),"X","")</f>
        <v/>
      </c>
      <c r="V349" s="23" t="str">
        <f>IF(ISNUMBER(SEARCH("Freight",$T349)),"X","")</f>
        <v/>
      </c>
      <c r="W349" s="26"/>
      <c r="X349" s="27"/>
      <c r="Y349" s="25" t="str">
        <f>IF(Out_Table[[#This Row],[DOC Del. hr. (RTH)]]&lt;&gt;"","XXX","")</f>
        <v/>
      </c>
      <c r="Z349" s="25"/>
      <c r="AA349" s="25"/>
      <c r="AB349" s="57"/>
      <c r="AC349" s="25"/>
      <c r="AD349" s="25"/>
      <c r="AE349" s="57"/>
      <c r="AF349" s="57"/>
      <c r="AG349" s="25"/>
      <c r="AH349" s="57"/>
      <c r="AI349" s="339"/>
      <c r="AJ349" s="339"/>
      <c r="AK349" s="297" t="str">
        <f>IF(X349&lt;&gt;"",CONCATENATE(IF(AA349&lt;&gt;"",CONCATENATE(Z349," ",AA349," ",BI349),""),IF(AD349&lt;&gt;"",CONCATENATE(","," ",AC349," ",AD349," ",BJ349),""),IF(AG349&lt;&gt;"",CONCATENATE(","," ",AF349," ",AG349," ",BK349),""),IF(AJ349&lt;&gt;"",CONCATENATE(","," ","DD"," ",BL349),"")," ",IF(AI349&lt;&gt;"",CONCATENATE(" - ",AI349," Bag"),"")),"")</f>
        <v/>
      </c>
      <c r="AL349" s="287"/>
      <c r="AM349" s="287"/>
      <c r="AN349" s="287"/>
      <c r="AO349" s="287"/>
      <c r="AP349" s="370" t="str">
        <f>IFERROR(VLOOKUP($E346,Outlist!$A$5:$V$120,20,FALSE),"")</f>
        <v/>
      </c>
      <c r="AQ349" s="288" t="str">
        <f>IFERROR(IF(VLOOKUP($A349,#REF!,8,FALSE)&lt;&gt;"",VLOOKUP($A349,#REF!,8,FALSE),""),"")</f>
        <v/>
      </c>
      <c r="AS349" s="24"/>
      <c r="AT349" s="24"/>
      <c r="AU349" s="27"/>
      <c r="AV349" s="27"/>
      <c r="AX349" s="20" t="str">
        <f>IFERROR(IF(Out_Table[[#This Row],[Cancellazione linea]]="Cancellata","yes",""),"")</f>
        <v/>
      </c>
      <c r="AY349" s="72" t="str">
        <f>IF(BA349="",BZ349,IF(AND(BA349&lt;(--"23:59:59"),BA349&gt;(--"15:00:00"),G349&lt;(--"14:00:00"),G349&gt;(--"00:00:01")),"",IF(BA349&gt;G349,BZ349,"")))</f>
        <v/>
      </c>
      <c r="AZ349" s="27"/>
      <c r="BA349" s="32"/>
      <c r="BB349" s="72"/>
      <c r="BC349" s="72" t="str">
        <f>IFERROR(VLOOKUP(Out_Table[[#This Row],[Aggiornamento STATUS]],'INformazioni per calcoli'!$Y$70:$AA$76,2,FALSE),"")</f>
        <v/>
      </c>
      <c r="BD349" s="289"/>
      <c r="BE349" s="289"/>
      <c r="BF349" s="47" t="str">
        <f>LEFT($E349,3)</f>
        <v/>
      </c>
      <c r="BG349" s="298" t="str">
        <f>IF(Out_Table[[#This Row],[Ora Uscita    (GH)]]&lt;&gt;"","x","")</f>
        <v/>
      </c>
      <c r="BH349" s="299" t="e">
        <f>VLOOKUP($O349,'INformazioni per calcoli'!$Y$20:$AA$23,3,FALSE)</f>
        <v>#N/A</v>
      </c>
      <c r="BI349" s="299" t="e">
        <f>MROUND(Out_Table[[#This Row],[Mtr. Trailer]]*AB349,0.5)</f>
        <v>#N/A</v>
      </c>
      <c r="BJ349" s="299" t="e">
        <f>MROUND(Out_Table[[#This Row],[Mtr. Trailer]]*AE349,0.5)</f>
        <v>#N/A</v>
      </c>
      <c r="BK349" s="299" t="e">
        <f>MROUND(Out_Table[[#This Row],[Mtr. Trailer]]*AH349,0.5)</f>
        <v>#N/A</v>
      </c>
      <c r="BL349" s="300">
        <f>Out_Table[[#This Row],[Double Deck trailer N° bumpers]]</f>
        <v>0</v>
      </c>
      <c r="BM349" s="301"/>
      <c r="BN349" s="299">
        <f>B349</f>
        <v>0</v>
      </c>
      <c r="BO349" s="299">
        <f>E349</f>
        <v>0</v>
      </c>
      <c r="BP349" s="302">
        <f>IF(AND(G349&gt;(--"00:00:01"),G349&lt;(--"15:00:00")),IF(AND(X349&gt;(--"00:00:01"),X349&lt;(--"15:00:00")),G349-X349,G349+1-X349),G349-X349)</f>
        <v>0</v>
      </c>
      <c r="BQ349" s="303">
        <f>AE349+AF349+AH349+AJ349</f>
        <v>0</v>
      </c>
      <c r="BR349" s="304" t="str">
        <f>IF(OR(BP349&lt;=(--"00:20:00"),BQ349&gt;=100%),"OK","Not OK")</f>
        <v>OK</v>
      </c>
      <c r="BS349" s="302">
        <f>IF(AND(G349&gt;(--"00:00:01"),G349&lt;(--"15:00:00")),IF(AND(AU349&gt;(--"00:00:01"),AU349&lt;(--"15:00:00")),G349-AU349,G349+1-AU349),G349-AU349)</f>
        <v>0</v>
      </c>
      <c r="BT349" s="302">
        <f>IF(AND(AZ349&gt;(--"00:00:01"),AZ349&lt;(--"15:00:00")),IF(AND(AU349&gt;(--"00:00:01"),AU349&lt;(--"15:00:00")),AZ349-AU349,AZ349+1-AU349),AZ349-AU349)</f>
        <v>0</v>
      </c>
      <c r="BU349" s="302">
        <f>IF(AND(BA349&gt;(--"00:00:01"),BA349&lt;(--"15:00:00")),IF(AND(AZ349&gt;(--"00:00:01"),AZ349&lt;(--"15:00:00")),BA349-AZ349,BA349+1-AZ349),BA349-AZ349)</f>
        <v>0</v>
      </c>
      <c r="BV349" s="299">
        <f>AV349</f>
        <v>0</v>
      </c>
      <c r="BW349" s="301"/>
      <c r="BX349" s="299" t="str">
        <f>IF(AV349="T Status",IF(AV349&lt;&gt;T349,"X",""),"")</f>
        <v/>
      </c>
      <c r="BY349" s="301"/>
      <c r="BZ349" s="299" t="str">
        <f>IF(X349&lt;&gt;"",IF(CC349="X","Driver Delay",IF(CA349="X","Paperwork Delay",IF(CB349="X","Late freight late sort",IF(CD349="X","Chiamare Control Room",IF(CE349="X","Chiamare Control Room",IF(CF349="X","Chiamare Control Room","")))))),"")</f>
        <v/>
      </c>
      <c r="CA349" s="302" t="str">
        <f>IF(K349="",IF(IF(AND(G349&gt;(--"00:00:01"),G349&lt;(--"15:00:00")),IF(AND(AT349&gt;(--"08:00:00"),AT349&lt;(--"23:59:59")),G349+1-AT349,G349-AT349),G349-AT349)&gt;(--"00:20:00"),"","X"),"")</f>
        <v>X</v>
      </c>
      <c r="CB349" s="299" t="str">
        <f>IF(K349="",IF(BP349&gt;=(--"00:20:00"),"","X"),"")</f>
        <v>X</v>
      </c>
      <c r="CC349" s="299" t="str">
        <f>IF(OR(AV349="Autista non presente",AV349="Dati driver non presenti"),"X","")</f>
        <v/>
      </c>
      <c r="CD349" s="299" t="str">
        <f>IF(K349="",IF(AND(CC349="",BS349&lt;(--"00:20:00")),"X",""),"")</f>
        <v>X</v>
      </c>
      <c r="CE349" s="299" t="str">
        <f>IF(K349="",IF(BT349&gt;(--"00:15:00"),"X",""),IF(AZ349&lt;&gt;"",IF(G349-AZ349&gt;(--"00:30:00"),"X",""),""))</f>
        <v/>
      </c>
      <c r="CF349" s="299" t="str">
        <f>IF(AND(CA349="",CB349="",CC349="",CD349="",CE349=""),"X","")</f>
        <v/>
      </c>
      <c r="CG349" s="301"/>
      <c r="CH349" s="299" t="str">
        <f>IF(BT349&gt;(--"00:15:00"),"X","")</f>
        <v/>
      </c>
      <c r="CI349" s="302" t="str">
        <f>AY349</f>
        <v/>
      </c>
      <c r="CJ349" s="299" t="str">
        <f>IF(AND(CH349&lt;&gt;"",CI349&lt;&gt;"",LEFT(B349,3)="ITD"),AP349,"")</f>
        <v/>
      </c>
      <c r="CK349" s="305" t="str">
        <f>IF(CJ349&lt;&gt;"",BT349,"")</f>
        <v/>
      </c>
      <c r="CL349" s="301"/>
      <c r="CM349" s="305" t="str">
        <f>IFERROR(VLOOKUP(Q349,'Elenco Casse'!$D$4:$F$292,3,FALSE),"")</f>
        <v/>
      </c>
      <c r="CN349" s="301"/>
      <c r="CO349" s="305" t="str">
        <f>IFERROR(VLOOKUP(S349,'Elenco Casse'!$D$4:$F$292,3,FALSE),"")</f>
        <v/>
      </c>
      <c r="CP349" s="305" t="str">
        <f>IFERROR(IF(VLOOKUP($E349,Outlist!$A$5:$S$120,19,FALSE)&lt;&gt;0,"Y",""),"")</f>
        <v/>
      </c>
      <c r="CQ349" s="301"/>
      <c r="CR349" s="305" t="str">
        <f>CONCATENATE($B349,$E349,$G349)</f>
        <v/>
      </c>
      <c r="CS349" s="301"/>
      <c r="CT349" s="305" t="e">
        <f>VLOOKUP(Out_Table[[#This Row],[Destination             ORANGE (From Planning)]],Outlist!$A$5:$W$120,22,FALSE)</f>
        <v>#N/A</v>
      </c>
    </row>
    <row r="350" spans="1:98" s="20" customFormat="1" ht="15">
      <c r="A350" s="305" t="str">
        <f>$CR350</f>
        <v/>
      </c>
      <c r="B350" s="284"/>
      <c r="C350" s="290">
        <f ca="1">IFERROR(IF(LEFT(B350,3)='STAT 77'!$X$2,_xlfn.XLOOKUP(B350,'STAT 77'!C:C,'STAT 77'!B:B),_xlfn.XLOOKUP(B350,'STAT 77'!B:B,'STAT 77'!C:C)),"NON TROVATO")</f>
        <v>0</v>
      </c>
      <c r="D350" s="25"/>
      <c r="E350" s="290"/>
      <c r="F350" s="290" t="str">
        <f>IFERROR(VLOOKUP(E350,'Cambio O2P'!C:E,2,FALSE),"")</f>
        <v/>
      </c>
      <c r="G350" s="285"/>
      <c r="H350" s="293" t="str">
        <f ca="1">IFERROR(IF(AND('INformazioni per calcoli'!$AB$3&lt;(--"14:30"),'INformazioni per calcoli'!$AB$3&gt;(--"10:00")),"",IF($B350="","",IF($X350&lt;&gt;"","Mezzo Chiuso",IF($W350="","Non al Carico",IF($G350-'INformazioni per calcoli'!$AB$5-'INformazioni per calcoli'!$AB$3+$J350&lt;0,"LFLS",IF($K350&lt;&gt;"","Safe Parking",IF($W350&lt;&gt;"",IF($E350="MXP",$G350-'INformazioni per calcoli'!$AB$6-'INformazioni per calcoli'!$AB$3+$J350,$G350-'INformazioni per calcoli'!$AB$5-'INformazioni per calcoli'!$AB$3+$J350),"Non al carico"))))))),"")</f>
        <v/>
      </c>
      <c r="I350" s="17" t="str">
        <f ca="1">IFERROR(IF($H350&lt;&gt;"",IF($H350="Safe Parking","",IF($W350&lt;&gt;"",IF(AND($U350="X",$V350="X"),$H350-(--"00:30"),""),IF($X350&lt;&gt;"","Mezzo Chiuso","Non al carico"))),""),"")</f>
        <v/>
      </c>
      <c r="J350" s="306" t="str">
        <f>IFERROR(IF($B350&lt;&gt;"",IF(AND('INformazioni per calcoli'!$AB$3&lt;(--"15:00"),'INformazioni per calcoli'!$AB$3&gt;(--"00:00")),0,IF($G350&lt;(--"18:30"),"+1",0)),""),"")</f>
        <v/>
      </c>
      <c r="K350" s="17"/>
      <c r="L350" s="25"/>
      <c r="M350" s="25" t="str">
        <f>IFERROR(_xlfn.XLOOKUP($Q350,'Elenco Casse'!$D:$D,'Elenco Casse'!$E:$E),"")</f>
        <v/>
      </c>
      <c r="N350" s="25" t="str">
        <f>IFERROR(_xlfn.XLOOKUP($Q350,'Elenco Casse'!$D:$D,'Elenco Casse'!$F:$F),"")</f>
        <v/>
      </c>
      <c r="O350" s="286"/>
      <c r="P350" s="295" t="str">
        <f>IFERROR(_xlfn.XLOOKUP($Q350,'Elenco Casse'!$D:$D,'Elenco Casse'!$G:$G),"")</f>
        <v/>
      </c>
      <c r="Q350" s="355"/>
      <c r="R350" s="23"/>
      <c r="S350" s="25"/>
      <c r="T350" s="25"/>
      <c r="U350" s="23" t="str">
        <f>IF(ISNUMBER(SEARCH("Parcel",$T350)),"X","")</f>
        <v/>
      </c>
      <c r="V350" s="23" t="str">
        <f>IF(ISNUMBER(SEARCH("Freight",$T350)),"X","")</f>
        <v/>
      </c>
      <c r="W350" s="26"/>
      <c r="X350" s="27"/>
      <c r="Y350" s="25" t="str">
        <f>IF(Out_Table[[#This Row],[DOC Del. hr. (RTH)]]&lt;&gt;"","XXX","")</f>
        <v/>
      </c>
      <c r="Z350" s="25"/>
      <c r="AA350" s="25"/>
      <c r="AB350" s="57"/>
      <c r="AC350" s="25"/>
      <c r="AD350" s="25"/>
      <c r="AE350" s="57"/>
      <c r="AF350" s="57"/>
      <c r="AG350" s="25"/>
      <c r="AH350" s="57"/>
      <c r="AI350" s="339"/>
      <c r="AJ350" s="339"/>
      <c r="AK350" s="297" t="str">
        <f>IF(X350&lt;&gt;"",CONCATENATE(IF(AA350&lt;&gt;"",CONCATENATE(Z350," ",AA350," ",BI350),""),IF(AD350&lt;&gt;"",CONCATENATE(","," ",AC350," ",AD350," ",BJ350),""),IF(AG350&lt;&gt;"",CONCATENATE(","," ",AF350," ",AG350," ",BK350),""),IF(AJ350&lt;&gt;"",CONCATENATE(","," ","DD"," ",BL350),"")," ",IF(AI350&lt;&gt;"",CONCATENATE(" - ",AI350," Bag"),"")),"")</f>
        <v/>
      </c>
      <c r="AL350" s="287"/>
      <c r="AM350" s="287"/>
      <c r="AN350" s="287"/>
      <c r="AO350" s="287"/>
      <c r="AP350" s="370" t="str">
        <f>IFERROR(VLOOKUP($E347,Outlist!$A$5:$V$120,20,FALSE),"")</f>
        <v/>
      </c>
      <c r="AQ350" s="288" t="str">
        <f>IFERROR(IF(VLOOKUP($A350,#REF!,8,FALSE)&lt;&gt;"",VLOOKUP($A350,#REF!,8,FALSE),""),"")</f>
        <v/>
      </c>
      <c r="AS350" s="24"/>
      <c r="AT350" s="24"/>
      <c r="AU350" s="27"/>
      <c r="AV350" s="27"/>
      <c r="AX350" s="20" t="str">
        <f>IFERROR(IF(Out_Table[[#This Row],[Cancellazione linea]]="Cancellata","yes",""),"")</f>
        <v/>
      </c>
      <c r="AY350" s="72" t="str">
        <f>IF(BA350="",BZ350,IF(AND(BA350&lt;(--"23:59:59"),BA350&gt;(--"15:00:00"),G350&lt;(--"14:00:00"),G350&gt;(--"00:00:01")),"",IF(BA350&gt;G350,BZ350,"")))</f>
        <v/>
      </c>
      <c r="AZ350" s="27"/>
      <c r="BA350" s="32"/>
      <c r="BB350" s="72"/>
      <c r="BC350" s="72" t="str">
        <f>IFERROR(VLOOKUP(Out_Table[[#This Row],[Aggiornamento STATUS]],'INformazioni per calcoli'!$Y$70:$AA$76,2,FALSE),"")</f>
        <v/>
      </c>
      <c r="BD350" s="289"/>
      <c r="BE350" s="289"/>
      <c r="BF350" s="47" t="str">
        <f>LEFT($E350,3)</f>
        <v/>
      </c>
      <c r="BG350" s="298" t="str">
        <f>IF(Out_Table[[#This Row],[Ora Uscita    (GH)]]&lt;&gt;"","x","")</f>
        <v/>
      </c>
      <c r="BH350" s="299" t="e">
        <f>VLOOKUP($O350,'INformazioni per calcoli'!$Y$20:$AA$23,3,FALSE)</f>
        <v>#N/A</v>
      </c>
      <c r="BI350" s="299" t="e">
        <f>MROUND(Out_Table[[#This Row],[Mtr. Trailer]]*AB350,0.5)</f>
        <v>#N/A</v>
      </c>
      <c r="BJ350" s="299" t="e">
        <f>MROUND(Out_Table[[#This Row],[Mtr. Trailer]]*AE350,0.5)</f>
        <v>#N/A</v>
      </c>
      <c r="BK350" s="299" t="e">
        <f>MROUND(Out_Table[[#This Row],[Mtr. Trailer]]*AH350,0.5)</f>
        <v>#N/A</v>
      </c>
      <c r="BL350" s="300">
        <f>Out_Table[[#This Row],[Double Deck trailer N° bumpers]]</f>
        <v>0</v>
      </c>
      <c r="BM350" s="301"/>
      <c r="BN350" s="299">
        <f>B350</f>
        <v>0</v>
      </c>
      <c r="BO350" s="299">
        <f>E350</f>
        <v>0</v>
      </c>
      <c r="BP350" s="302">
        <f>IF(AND(G350&gt;(--"00:00:01"),G350&lt;(--"15:00:00")),IF(AND(X350&gt;(--"00:00:01"),X350&lt;(--"15:00:00")),G350-X350,G350+1-X350),G350-X350)</f>
        <v>0</v>
      </c>
      <c r="BQ350" s="303">
        <f>AE350+AF350+AH350+AJ350</f>
        <v>0</v>
      </c>
      <c r="BR350" s="304" t="str">
        <f>IF(OR(BP350&lt;=(--"00:20:00"),BQ350&gt;=100%),"OK","Not OK")</f>
        <v>OK</v>
      </c>
      <c r="BS350" s="302">
        <f>IF(AND(G350&gt;(--"00:00:01"),G350&lt;(--"15:00:00")),IF(AND(AU350&gt;(--"00:00:01"),AU350&lt;(--"15:00:00")),G350-AU350,G350+1-AU350),G350-AU350)</f>
        <v>0</v>
      </c>
      <c r="BT350" s="302">
        <f>IF(AND(AZ350&gt;(--"00:00:01"),AZ350&lt;(--"15:00:00")),IF(AND(AU350&gt;(--"00:00:01"),AU350&lt;(--"15:00:00")),AZ350-AU350,AZ350+1-AU350),AZ350-AU350)</f>
        <v>0</v>
      </c>
      <c r="BU350" s="302">
        <f>IF(AND(BA350&gt;(--"00:00:01"),BA350&lt;(--"15:00:00")),IF(AND(AZ350&gt;(--"00:00:01"),AZ350&lt;(--"15:00:00")),BA350-AZ350,BA350+1-AZ350),BA350-AZ350)</f>
        <v>0</v>
      </c>
      <c r="BV350" s="299">
        <f>AV350</f>
        <v>0</v>
      </c>
      <c r="BW350" s="301"/>
      <c r="BX350" s="299" t="str">
        <f>IF(AV350="T Status",IF(AV350&lt;&gt;T350,"X",""),"")</f>
        <v/>
      </c>
      <c r="BY350" s="301"/>
      <c r="BZ350" s="299" t="str">
        <f>IF(X350&lt;&gt;"",IF(CC350="X","Driver Delay",IF(CA350="X","Paperwork Delay",IF(CB350="X","Late freight late sort",IF(CD350="X","Chiamare Control Room",IF(CE350="X","Chiamare Control Room",IF(CF350="X","Chiamare Control Room","")))))),"")</f>
        <v/>
      </c>
      <c r="CA350" s="302" t="str">
        <f>IF(K350="",IF(IF(AND(G350&gt;(--"00:00:01"),G350&lt;(--"15:00:00")),IF(AND(AT350&gt;(--"08:00:00"),AT350&lt;(--"23:59:59")),G350+1-AT350,G350-AT350),G350-AT350)&gt;(--"00:20:00"),"","X"),"")</f>
        <v>X</v>
      </c>
      <c r="CB350" s="299" t="str">
        <f>IF(K350="",IF(BP350&gt;=(--"00:20:00"),"","X"),"")</f>
        <v>X</v>
      </c>
      <c r="CC350" s="299" t="str">
        <f>IF(OR(AV350="Autista non presente",AV350="Dati driver non presenti"),"X","")</f>
        <v/>
      </c>
      <c r="CD350" s="299" t="str">
        <f>IF(K350="",IF(AND(CC350="",BS350&lt;(--"00:20:00")),"X",""),"")</f>
        <v>X</v>
      </c>
      <c r="CE350" s="299" t="str">
        <f>IF(K350="",IF(BT350&gt;(--"00:15:00"),"X",""),IF(AZ350&lt;&gt;"",IF(G350-AZ350&gt;(--"00:30:00"),"X",""),""))</f>
        <v/>
      </c>
      <c r="CF350" s="299" t="str">
        <f>IF(AND(CA350="",CB350="",CC350="",CD350="",CE350=""),"X","")</f>
        <v/>
      </c>
      <c r="CG350" s="301"/>
      <c r="CH350" s="299" t="str">
        <f>IF(BT350&gt;(--"00:15:00"),"X","")</f>
        <v/>
      </c>
      <c r="CI350" s="302" t="str">
        <f>AY350</f>
        <v/>
      </c>
      <c r="CJ350" s="299" t="str">
        <f>IF(AND(CH350&lt;&gt;"",CI350&lt;&gt;"",LEFT(B350,3)="ITD"),AP350,"")</f>
        <v/>
      </c>
      <c r="CK350" s="305" t="str">
        <f>IF(CJ350&lt;&gt;"",BT350,"")</f>
        <v/>
      </c>
      <c r="CL350" s="301"/>
      <c r="CM350" s="305" t="str">
        <f>IFERROR(VLOOKUP(Q350,'Elenco Casse'!$D$4:$F$292,3,FALSE),"")</f>
        <v/>
      </c>
      <c r="CN350" s="301"/>
      <c r="CO350" s="305" t="str">
        <f>IFERROR(VLOOKUP(S350,'Elenco Casse'!$D$4:$F$292,3,FALSE),"")</f>
        <v/>
      </c>
      <c r="CP350" s="305" t="str">
        <f>IFERROR(IF(VLOOKUP($E350,Outlist!$A$5:$S$120,19,FALSE)&lt;&gt;0,"Y",""),"")</f>
        <v/>
      </c>
      <c r="CQ350" s="301"/>
      <c r="CR350" s="305" t="str">
        <f>CONCATENATE($B350,$E350,$G350)</f>
        <v/>
      </c>
      <c r="CS350" s="301"/>
      <c r="CT350" s="305" t="e">
        <f>VLOOKUP(Out_Table[[#This Row],[Destination             ORANGE (From Planning)]],Outlist!$A$5:$W$120,22,FALSE)</f>
        <v>#N/A</v>
      </c>
    </row>
    <row r="351" spans="1:98" s="20" customFormat="1" ht="15">
      <c r="A351" s="305" t="str">
        <f>$CR351</f>
        <v/>
      </c>
      <c r="B351" s="284"/>
      <c r="C351" s="290">
        <f ca="1">IFERROR(IF(LEFT(B351,3)='STAT 77'!$X$2,_xlfn.XLOOKUP(B351,'STAT 77'!C:C,'STAT 77'!B:B),_xlfn.XLOOKUP(B351,'STAT 77'!B:B,'STAT 77'!C:C)),"NON TROVATO")</f>
        <v>0</v>
      </c>
      <c r="D351" s="25"/>
      <c r="E351" s="290"/>
      <c r="F351" s="290" t="str">
        <f>IFERROR(VLOOKUP(E351,'Cambio O2P'!C:E,2,FALSE),"")</f>
        <v/>
      </c>
      <c r="G351" s="285"/>
      <c r="H351" s="293" t="str">
        <f ca="1">IFERROR(IF(AND('INformazioni per calcoli'!$AB$3&lt;(--"14:30"),'INformazioni per calcoli'!$AB$3&gt;(--"10:00")),"",IF($B351="","",IF($X351&lt;&gt;"","Mezzo Chiuso",IF($W351="","Non al Carico",IF($G351-'INformazioni per calcoli'!$AB$5-'INformazioni per calcoli'!$AB$3+$J351&lt;0,"LFLS",IF($K351&lt;&gt;"","Safe Parking",IF($W351&lt;&gt;"",IF($E351="MXP",$G351-'INformazioni per calcoli'!$AB$6-'INformazioni per calcoli'!$AB$3+$J351,$G351-'INformazioni per calcoli'!$AB$5-'INformazioni per calcoli'!$AB$3+$J351),"Non al carico"))))))),"")</f>
        <v/>
      </c>
      <c r="I351" s="17" t="str">
        <f ca="1">IFERROR(IF($H351&lt;&gt;"",IF($H351="Safe Parking","",IF($W351&lt;&gt;"",IF(AND($U351="X",$V351="X"),$H351-(--"00:30"),""),IF($X351&lt;&gt;"","Mezzo Chiuso","Non al carico"))),""),"")</f>
        <v/>
      </c>
      <c r="J351" s="306" t="str">
        <f>IFERROR(IF($B351&lt;&gt;"",IF(AND('INformazioni per calcoli'!$AB$3&lt;(--"15:00"),'INformazioni per calcoli'!$AB$3&gt;(--"00:00")),0,IF($G351&lt;(--"18:30"),"+1",0)),""),"")</f>
        <v/>
      </c>
      <c r="K351" s="27"/>
      <c r="L351" s="25"/>
      <c r="M351" s="25" t="str">
        <f>IFERROR(_xlfn.XLOOKUP($Q351,'Elenco Casse'!$D:$D,'Elenco Casse'!$E:$E),"")</f>
        <v/>
      </c>
      <c r="N351" s="25" t="str">
        <f>IFERROR(_xlfn.XLOOKUP($Q351,'Elenco Casse'!$D:$D,'Elenco Casse'!$F:$F),"")</f>
        <v/>
      </c>
      <c r="O351" s="286"/>
      <c r="P351" s="295" t="str">
        <f>IFERROR(_xlfn.XLOOKUP($Q351,'Elenco Casse'!$D:$D,'Elenco Casse'!$G:$G),"")</f>
        <v/>
      </c>
      <c r="Q351" s="355"/>
      <c r="R351" s="23"/>
      <c r="S351" s="25"/>
      <c r="T351" s="25"/>
      <c r="U351" s="23" t="str">
        <f>IF(ISNUMBER(SEARCH("Parcel",$T351)),"X","")</f>
        <v/>
      </c>
      <c r="V351" s="23" t="str">
        <f>IF(ISNUMBER(SEARCH("Freight",$T351)),"X","")</f>
        <v/>
      </c>
      <c r="W351" s="26"/>
      <c r="X351" s="27"/>
      <c r="Y351" s="25" t="str">
        <f>IF(Out_Table[[#This Row],[DOC Del. hr. (RTH)]]&lt;&gt;"","XXX","")</f>
        <v/>
      </c>
      <c r="Z351" s="25"/>
      <c r="AA351" s="25"/>
      <c r="AB351" s="57"/>
      <c r="AC351" s="25"/>
      <c r="AD351" s="25"/>
      <c r="AE351" s="57"/>
      <c r="AF351" s="57"/>
      <c r="AG351" s="25"/>
      <c r="AH351" s="57"/>
      <c r="AI351" s="339"/>
      <c r="AJ351" s="339"/>
      <c r="AK351" s="297" t="str">
        <f>IF(X351&lt;&gt;"",CONCATENATE(IF(AA351&lt;&gt;"",CONCATENATE(Z351," ",AA351," ",BI351),""),IF(AD351&lt;&gt;"",CONCATENATE(","," ",AC351," ",AD351," ",BJ351),""),IF(AG351&lt;&gt;"",CONCATENATE(","," ",AF351," ",AG351," ",BK351),""),IF(AJ351&lt;&gt;"",CONCATENATE(","," ","DD"," ",BL351),"")," ",IF(AI351&lt;&gt;"",CONCATENATE(" - ",AI351," Bag"),"")),"")</f>
        <v/>
      </c>
      <c r="AL351" s="287"/>
      <c r="AM351" s="287"/>
      <c r="AN351" s="287"/>
      <c r="AO351" s="287"/>
      <c r="AP351" s="370" t="str">
        <f>IFERROR(VLOOKUP($E348,Outlist!$A$5:$V$120,20,FALSE),"")</f>
        <v/>
      </c>
      <c r="AQ351" s="288" t="str">
        <f>IFERROR(IF(VLOOKUP($A351,#REF!,8,FALSE)&lt;&gt;"",VLOOKUP($A351,#REF!,8,FALSE),""),"")</f>
        <v/>
      </c>
      <c r="AS351" s="24"/>
      <c r="AT351" s="24"/>
      <c r="AU351" s="27"/>
      <c r="AV351" s="27"/>
      <c r="AX351" s="20" t="str">
        <f>IFERROR(IF(Out_Table[[#This Row],[Cancellazione linea]]="Cancellata","yes",""),"")</f>
        <v/>
      </c>
      <c r="AY351" s="72" t="str">
        <f>IF(BA351="",BZ351,IF(AND(BA351&lt;(--"23:59:59"),BA351&gt;(--"15:00:00"),G351&lt;(--"14:00:00"),G351&gt;(--"00:00:01")),"",IF(BA351&gt;G351,BZ351,"")))</f>
        <v/>
      </c>
      <c r="AZ351" s="27"/>
      <c r="BA351" s="32"/>
      <c r="BB351" s="72"/>
      <c r="BC351" s="72" t="str">
        <f>IFERROR(VLOOKUP(Out_Table[[#This Row],[Aggiornamento STATUS]],'INformazioni per calcoli'!$Y$70:$AA$76,2,FALSE),"")</f>
        <v/>
      </c>
      <c r="BD351" s="289"/>
      <c r="BE351" s="289"/>
      <c r="BF351" s="47" t="str">
        <f>LEFT($E351,3)</f>
        <v/>
      </c>
      <c r="BG351" s="298" t="str">
        <f>IF(Out_Table[[#This Row],[Ora Uscita    (GH)]]&lt;&gt;"","x","")</f>
        <v/>
      </c>
      <c r="BH351" s="299" t="e">
        <f>VLOOKUP($O351,'INformazioni per calcoli'!$Y$20:$AA$23,3,FALSE)</f>
        <v>#N/A</v>
      </c>
      <c r="BI351" s="299" t="e">
        <f>MROUND(Out_Table[[#This Row],[Mtr. Trailer]]*AB351,0.5)</f>
        <v>#N/A</v>
      </c>
      <c r="BJ351" s="299" t="e">
        <f>MROUND(Out_Table[[#This Row],[Mtr. Trailer]]*AE351,0.5)</f>
        <v>#N/A</v>
      </c>
      <c r="BK351" s="299" t="e">
        <f>MROUND(Out_Table[[#This Row],[Mtr. Trailer]]*AH351,0.5)</f>
        <v>#N/A</v>
      </c>
      <c r="BL351" s="300">
        <f>Out_Table[[#This Row],[Double Deck trailer N° bumpers]]</f>
        <v>0</v>
      </c>
      <c r="BM351" s="301"/>
      <c r="BN351" s="299">
        <f>B351</f>
        <v>0</v>
      </c>
      <c r="BO351" s="299">
        <f>E351</f>
        <v>0</v>
      </c>
      <c r="BP351" s="302">
        <f>IF(AND(G351&gt;(--"00:00:01"),G351&lt;(--"15:00:00")),IF(AND(X351&gt;(--"00:00:01"),X351&lt;(--"15:00:00")),G351-X351,G351+1-X351),G351-X351)</f>
        <v>0</v>
      </c>
      <c r="BQ351" s="303">
        <f>AE351+AF351+AH351+AJ351</f>
        <v>0</v>
      </c>
      <c r="BR351" s="304" t="str">
        <f>IF(OR(BP351&lt;=(--"00:20:00"),BQ351&gt;=100%),"OK","Not OK")</f>
        <v>OK</v>
      </c>
      <c r="BS351" s="302">
        <f>IF(AND(G351&gt;(--"00:00:01"),G351&lt;(--"15:00:00")),IF(AND(AU351&gt;(--"00:00:01"),AU351&lt;(--"15:00:00")),G351-AU351,G351+1-AU351),G351-AU351)</f>
        <v>0</v>
      </c>
      <c r="BT351" s="302">
        <f>IF(AND(AZ351&gt;(--"00:00:01"),AZ351&lt;(--"15:00:00")),IF(AND(AU351&gt;(--"00:00:01"),AU351&lt;(--"15:00:00")),AZ351-AU351,AZ351+1-AU351),AZ351-AU351)</f>
        <v>0</v>
      </c>
      <c r="BU351" s="302">
        <f>IF(AND(BA351&gt;(--"00:00:01"),BA351&lt;(--"15:00:00")),IF(AND(AZ351&gt;(--"00:00:01"),AZ351&lt;(--"15:00:00")),BA351-AZ351,BA351+1-AZ351),BA351-AZ351)</f>
        <v>0</v>
      </c>
      <c r="BV351" s="299">
        <f>AV351</f>
        <v>0</v>
      </c>
      <c r="BW351" s="301"/>
      <c r="BX351" s="299" t="str">
        <f>IF(AV351="T Status",IF(AV351&lt;&gt;T351,"X",""),"")</f>
        <v/>
      </c>
      <c r="BY351" s="301"/>
      <c r="BZ351" s="299" t="str">
        <f>IF(X351&lt;&gt;"",IF(CC351="X","Driver Delay",IF(CA351="X","Paperwork Delay",IF(CB351="X","Late freight late sort",IF(CD351="X","Chiamare Control Room",IF(CE351="X","Chiamare Control Room",IF(CF351="X","Chiamare Control Room","")))))),"")</f>
        <v/>
      </c>
      <c r="CA351" s="302" t="str">
        <f>IF(K351="",IF(IF(AND(G351&gt;(--"00:00:01"),G351&lt;(--"15:00:00")),IF(AND(AT351&gt;(--"08:00:00"),AT351&lt;(--"23:59:59")),G351+1-AT351,G351-AT351),G351-AT351)&gt;(--"00:20:00"),"","X"),"")</f>
        <v>X</v>
      </c>
      <c r="CB351" s="299" t="str">
        <f>IF(K351="",IF(BP351&gt;=(--"00:20:00"),"","X"),"")</f>
        <v>X</v>
      </c>
      <c r="CC351" s="299" t="str">
        <f>IF(OR(AV351="Autista non presente",AV351="Dati driver non presenti"),"X","")</f>
        <v/>
      </c>
      <c r="CD351" s="299" t="str">
        <f>IF(K351="",IF(AND(CC351="",BS351&lt;(--"00:20:00")),"X",""),"")</f>
        <v>X</v>
      </c>
      <c r="CE351" s="299" t="str">
        <f>IF(K351="",IF(BT351&gt;(--"00:15:00"),"X",""),IF(AZ351&lt;&gt;"",IF(G351-AZ351&gt;(--"00:30:00"),"X",""),""))</f>
        <v/>
      </c>
      <c r="CF351" s="299" t="str">
        <f>IF(AND(CA351="",CB351="",CC351="",CD351="",CE351=""),"X","")</f>
        <v/>
      </c>
      <c r="CG351" s="301"/>
      <c r="CH351" s="299" t="str">
        <f>IF(BT351&gt;(--"00:15:00"),"X","")</f>
        <v/>
      </c>
      <c r="CI351" s="302" t="str">
        <f>AY351</f>
        <v/>
      </c>
      <c r="CJ351" s="299" t="str">
        <f>IF(AND(CH351&lt;&gt;"",CI351&lt;&gt;"",LEFT(B351,3)="ITD"),AP351,"")</f>
        <v/>
      </c>
      <c r="CK351" s="305" t="str">
        <f>IF(CJ351&lt;&gt;"",BT351,"")</f>
        <v/>
      </c>
      <c r="CL351" s="301"/>
      <c r="CM351" s="305" t="str">
        <f>IFERROR(VLOOKUP(Q351,'Elenco Casse'!$D$4:$F$292,3,FALSE),"")</f>
        <v/>
      </c>
      <c r="CN351" s="301"/>
      <c r="CO351" s="305" t="str">
        <f>IFERROR(VLOOKUP(S351,'Elenco Casse'!$D$4:$F$292,3,FALSE),"")</f>
        <v/>
      </c>
      <c r="CP351" s="305" t="str">
        <f>IFERROR(IF(VLOOKUP($E351,Outlist!$A$5:$S$120,19,FALSE)&lt;&gt;0,"Y",""),"")</f>
        <v/>
      </c>
      <c r="CQ351" s="301"/>
      <c r="CR351" s="305" t="str">
        <f>CONCATENATE($B351,$E351,$G351)</f>
        <v/>
      </c>
      <c r="CS351" s="301"/>
      <c r="CT351" s="305" t="e">
        <f>VLOOKUP(Out_Table[[#This Row],[Destination             ORANGE (From Planning)]],Outlist!$A$5:$W$120,22,FALSE)</f>
        <v>#N/A</v>
      </c>
    </row>
    <row r="352" spans="1:98" s="20" customFormat="1" ht="15">
      <c r="A352" s="305" t="str">
        <f>$CR352</f>
        <v/>
      </c>
      <c r="B352" s="284"/>
      <c r="C352" s="290" t="str">
        <f ca="1">IFERROR(IF(LEFT(B352,3)='STAT 77'!$X$2,_xlfn.XLOOKUP(B352,'STAT 77'!C:C,'STAT 77'!B:B),_xlfn.XLOOKUP(B352,'STAT 77'!B:B,'STAT 77'!C:C)),"NON TROVATO")</f>
        <v>NON TROVATO</v>
      </c>
      <c r="D352" s="25"/>
      <c r="E352" s="290"/>
      <c r="F352" s="290" t="str">
        <f>IFERROR(VLOOKUP(E352,'Cambio O2P'!C:E,2,FALSE),"")</f>
        <v/>
      </c>
      <c r="G352" s="285"/>
      <c r="H352" s="293" t="str">
        <f ca="1">IFERROR(IF(AND('INformazioni per calcoli'!$AB$3&lt;(--"14:30"),'INformazioni per calcoli'!$AB$3&gt;(--"10:00")),"",IF($B352="","",IF($X352&lt;&gt;"","Mezzo Chiuso",IF($W352="","Non al Carico",IF($G352-'INformazioni per calcoli'!$AB$5-'INformazioni per calcoli'!$AB$3+$J352&lt;0,"LFLS",IF($K352&lt;&gt;"","Safe Parking",IF($W352&lt;&gt;"",IF($E352="MXP",$G352-'INformazioni per calcoli'!$AB$6-'INformazioni per calcoli'!$AB$3+$J352,$G352-'INformazioni per calcoli'!$AB$5-'INformazioni per calcoli'!$AB$3+$J352),"Non al carico"))))))),"")</f>
        <v/>
      </c>
      <c r="I352" s="17" t="str">
        <f ca="1">IFERROR(IF($H352&lt;&gt;"",IF($H352="Safe Parking","",IF($W352&lt;&gt;"",IF(AND($U352="X",$V352="X"),$H352-(--"00:30"),""),IF($X352&lt;&gt;"","Mezzo Chiuso","Non al carico"))),""),"")</f>
        <v/>
      </c>
      <c r="J352" s="306" t="str">
        <f>IFERROR(IF($B352&lt;&gt;"",IF(AND('INformazioni per calcoli'!$AB$3&lt;(--"15:00"),'INformazioni per calcoli'!$AB$3&gt;(--"00:00")),0,IF($G352&lt;(--"18:30"),"+1",0)),""),"")</f>
        <v/>
      </c>
      <c r="K352" s="27"/>
      <c r="L352" s="25"/>
      <c r="M352" s="25" t="str">
        <f>IFERROR(_xlfn.XLOOKUP($Q352,'Elenco Casse'!$D:$D,'Elenco Casse'!$E:$E),"")</f>
        <v/>
      </c>
      <c r="N352" s="25" t="str">
        <f>IFERROR(_xlfn.XLOOKUP($Q352,'Elenco Casse'!$D:$D,'Elenco Casse'!$F:$F),"")</f>
        <v/>
      </c>
      <c r="O352" s="286"/>
      <c r="P352" s="295" t="str">
        <f>IFERROR(_xlfn.XLOOKUP($Q352,'Elenco Casse'!$D:$D,'Elenco Casse'!$G:$G),"")</f>
        <v/>
      </c>
      <c r="Q352" s="355"/>
      <c r="R352" s="23"/>
      <c r="S352" s="25"/>
      <c r="T352" s="25"/>
      <c r="U352" s="23" t="str">
        <f>IF(ISNUMBER(SEARCH("Parcel",$T352)),"X","")</f>
        <v/>
      </c>
      <c r="V352" s="23" t="str">
        <f>IF(ISNUMBER(SEARCH("Freight",$T352)),"X","")</f>
        <v/>
      </c>
      <c r="W352" s="26"/>
      <c r="X352" s="27"/>
      <c r="Y352" s="25" t="str">
        <f>IF(Out_Table[[#This Row],[DOC Del. hr. (RTH)]]&lt;&gt;"","XXX","")</f>
        <v/>
      </c>
      <c r="Z352" s="25"/>
      <c r="AA352" s="25"/>
      <c r="AB352" s="57"/>
      <c r="AC352" s="25"/>
      <c r="AD352" s="25"/>
      <c r="AE352" s="57"/>
      <c r="AF352" s="57"/>
      <c r="AG352" s="25"/>
      <c r="AH352" s="57"/>
      <c r="AI352" s="339"/>
      <c r="AJ352" s="339"/>
      <c r="AK352" s="297" t="str">
        <f>IF(X352&lt;&gt;"",CONCATENATE(IF(AA352&lt;&gt;"",CONCATENATE(Z352," ",AA352," ",BI352),""),IF(AD352&lt;&gt;"",CONCATENATE(","," ",AC352," ",AD352," ",BJ352),""),IF(AG352&lt;&gt;"",CONCATENATE(","," ",AF352," ",AG352," ",BK352),""),IF(AJ352&lt;&gt;"",CONCATENATE(","," ","DD"," ",BL352),"")," ",IF(AI352&lt;&gt;"",CONCATENATE(" - ",AI352," Bag"),"")),"")</f>
        <v/>
      </c>
      <c r="AL352" s="287"/>
      <c r="AM352" s="287"/>
      <c r="AN352" s="287"/>
      <c r="AO352" s="287"/>
      <c r="AP352" s="370" t="str">
        <f>IFERROR(VLOOKUP($E349,Outlist!$A$5:$V$120,20,FALSE),"")</f>
        <v/>
      </c>
      <c r="AQ352" s="288" t="str">
        <f>IFERROR(IF(VLOOKUP($A352,#REF!,8,FALSE)&lt;&gt;"",VLOOKUP($A352,#REF!,8,FALSE),""),"")</f>
        <v/>
      </c>
      <c r="AS352" s="24"/>
      <c r="AT352" s="24"/>
      <c r="AU352" s="27"/>
      <c r="AV352" s="27"/>
      <c r="AX352" s="20" t="str">
        <f>IFERROR(IF(Out_Table[[#This Row],[Cancellazione linea]]="Cancellata","yes",""),"")</f>
        <v/>
      </c>
      <c r="AY352" s="72" t="str">
        <f>IF(BA352="",BZ352,IF(AND(BA352&lt;(--"23:59:59"),BA352&gt;(--"15:00:00"),G352&lt;(--"14:00:00"),G352&gt;(--"00:00:01")),"",IF(BA352&gt;G352,BZ352,"")))</f>
        <v/>
      </c>
      <c r="AZ352" s="27"/>
      <c r="BA352" s="32"/>
      <c r="BB352" s="72"/>
      <c r="BC352" s="72" t="str">
        <f>IFERROR(VLOOKUP(Out_Table[[#This Row],[Aggiornamento STATUS]],'INformazioni per calcoli'!$Y$70:$AA$76,2,FALSE),"")</f>
        <v/>
      </c>
      <c r="BD352" s="289"/>
      <c r="BE352" s="289"/>
      <c r="BF352" s="47" t="str">
        <f>LEFT($E352,3)</f>
        <v/>
      </c>
      <c r="BG352" s="298" t="str">
        <f>IF(Out_Table[[#This Row],[Ora Uscita    (GH)]]&lt;&gt;"","x","")</f>
        <v/>
      </c>
      <c r="BH352" s="299" t="e">
        <f>VLOOKUP($O352,'INformazioni per calcoli'!$Y$20:$AA$23,3,FALSE)</f>
        <v>#N/A</v>
      </c>
      <c r="BI352" s="299" t="e">
        <f>MROUND(Out_Table[[#This Row],[Mtr. Trailer]]*AB352,0.5)</f>
        <v>#N/A</v>
      </c>
      <c r="BJ352" s="299" t="e">
        <f>MROUND(Out_Table[[#This Row],[Mtr. Trailer]]*AE352,0.5)</f>
        <v>#N/A</v>
      </c>
      <c r="BK352" s="299" t="e">
        <f>MROUND(Out_Table[[#This Row],[Mtr. Trailer]]*AH352,0.5)</f>
        <v>#N/A</v>
      </c>
      <c r="BL352" s="300">
        <f>Out_Table[[#This Row],[Double Deck trailer N° bumpers]]</f>
        <v>0</v>
      </c>
      <c r="BM352" s="301"/>
      <c r="BN352" s="299">
        <f>B352</f>
        <v>0</v>
      </c>
      <c r="BO352" s="299">
        <f>E352</f>
        <v>0</v>
      </c>
      <c r="BP352" s="302">
        <f>IF(AND(G352&gt;(--"00:00:01"),G352&lt;(--"15:00:00")),IF(AND(X352&gt;(--"00:00:01"),X352&lt;(--"15:00:00")),G352-X352,G352+1-X352),G352-X352)</f>
        <v>0</v>
      </c>
      <c r="BQ352" s="303">
        <f>AE352+AF352+AH352+AJ352</f>
        <v>0</v>
      </c>
      <c r="BR352" s="304" t="str">
        <f>IF(OR(BP352&lt;=(--"00:20:00"),BQ352&gt;=100%),"OK","Not OK")</f>
        <v>OK</v>
      </c>
      <c r="BS352" s="302">
        <f>IF(AND(G352&gt;(--"00:00:01"),G352&lt;(--"15:00:00")),IF(AND(AU352&gt;(--"00:00:01"),AU352&lt;(--"15:00:00")),G352-AU352,G352+1-AU352),G352-AU352)</f>
        <v>0</v>
      </c>
      <c r="BT352" s="302">
        <f>IF(AND(AZ352&gt;(--"00:00:01"),AZ352&lt;(--"15:00:00")),IF(AND(AU352&gt;(--"00:00:01"),AU352&lt;(--"15:00:00")),AZ352-AU352,AZ352+1-AU352),AZ352-AU352)</f>
        <v>0</v>
      </c>
      <c r="BU352" s="302">
        <f>IF(AND(BA352&gt;(--"00:00:01"),BA352&lt;(--"15:00:00")),IF(AND(AZ352&gt;(--"00:00:01"),AZ352&lt;(--"15:00:00")),BA352-AZ352,BA352+1-AZ352),BA352-AZ352)</f>
        <v>0</v>
      </c>
      <c r="BV352" s="299">
        <f>AV352</f>
        <v>0</v>
      </c>
      <c r="BW352" s="301"/>
      <c r="BX352" s="299" t="str">
        <f>IF(AV352="T Status",IF(AV352&lt;&gt;T352,"X",""),"")</f>
        <v/>
      </c>
      <c r="BY352" s="301"/>
      <c r="BZ352" s="299" t="str">
        <f>IF(X352&lt;&gt;"",IF(CC352="X","Driver Delay",IF(CA352="X","Paperwork Delay",IF(CB352="X","Late freight late sort",IF(CD352="X","Chiamare Control Room",IF(CE352="X","Chiamare Control Room",IF(CF352="X","Chiamare Control Room","")))))),"")</f>
        <v/>
      </c>
      <c r="CA352" s="302" t="str">
        <f>IF(K352="",IF(IF(AND(G352&gt;(--"00:00:01"),G352&lt;(--"15:00:00")),IF(AND(AT352&gt;(--"08:00:00"),AT352&lt;(--"23:59:59")),G352+1-AT352,G352-AT352),G352-AT352)&gt;(--"00:20:00"),"","X"),"")</f>
        <v>X</v>
      </c>
      <c r="CB352" s="299" t="str">
        <f>IF(K352="",IF(BP352&gt;=(--"00:20:00"),"","X"),"")</f>
        <v>X</v>
      </c>
      <c r="CC352" s="299" t="str">
        <f>IF(OR(AV352="Autista non presente",AV352="Dati driver non presenti"),"X","")</f>
        <v/>
      </c>
      <c r="CD352" s="299" t="str">
        <f>IF(K352="",IF(AND(CC352="",BS352&lt;(--"00:20:00")),"X",""),"")</f>
        <v>X</v>
      </c>
      <c r="CE352" s="299" t="str">
        <f>IF(K352="",IF(BT352&gt;(--"00:15:00"),"X",""),IF(AZ352&lt;&gt;"",IF(G352-AZ352&gt;(--"00:30:00"),"X",""),""))</f>
        <v/>
      </c>
      <c r="CF352" s="299" t="str">
        <f>IF(AND(CA352="",CB352="",CC352="",CD352="",CE352=""),"X","")</f>
        <v/>
      </c>
      <c r="CG352" s="301"/>
      <c r="CH352" s="299" t="str">
        <f>IF(BT352&gt;(--"00:15:00"),"X","")</f>
        <v/>
      </c>
      <c r="CI352" s="302" t="str">
        <f>AY352</f>
        <v/>
      </c>
      <c r="CJ352" s="299" t="str">
        <f>IF(AND(CH352&lt;&gt;"",CI352&lt;&gt;"",LEFT(B352,3)="ITD"),AP352,"")</f>
        <v/>
      </c>
      <c r="CK352" s="305" t="str">
        <f>IF(CJ352&lt;&gt;"",BT352,"")</f>
        <v/>
      </c>
      <c r="CL352" s="301"/>
      <c r="CM352" s="305" t="str">
        <f>IFERROR(VLOOKUP(Q352,'Elenco Casse'!$D$4:$F$292,3,FALSE),"")</f>
        <v/>
      </c>
      <c r="CN352" s="301"/>
      <c r="CO352" s="305" t="str">
        <f>IFERROR(VLOOKUP(S352,'Elenco Casse'!$D$4:$F$292,3,FALSE),"")</f>
        <v/>
      </c>
      <c r="CP352" s="305" t="str">
        <f>IFERROR(IF(VLOOKUP($E352,Outlist!$A$5:$S$120,19,FALSE)&lt;&gt;0,"Y",""),"")</f>
        <v/>
      </c>
      <c r="CQ352" s="301"/>
      <c r="CR352" s="305" t="str">
        <f>CONCATENATE($B352,$E352,$G352)</f>
        <v/>
      </c>
      <c r="CS352" s="301"/>
      <c r="CT352" s="305" t="e">
        <f>VLOOKUP(Out_Table[[#This Row],[Destination             ORANGE (From Planning)]],Outlist!$A$5:$W$120,22,FALSE)</f>
        <v>#N/A</v>
      </c>
    </row>
    <row r="353" spans="1:98" s="20" customFormat="1" ht="15">
      <c r="A353" s="305" t="str">
        <f>$CR353</f>
        <v/>
      </c>
      <c r="B353" s="284"/>
      <c r="C353" s="290">
        <f ca="1">IFERROR(IF(LEFT(B353,3)='STAT 77'!$X$2,_xlfn.XLOOKUP(B353,'STAT 77'!C:C,'STAT 77'!B:B),_xlfn.XLOOKUP(B353,'STAT 77'!B:B,'STAT 77'!C:C)),"NON TROVATO")</f>
        <v>0</v>
      </c>
      <c r="D353" s="25"/>
      <c r="E353" s="290"/>
      <c r="F353" s="290" t="str">
        <f>IFERROR(VLOOKUP(E353,'Cambio O2P'!C:E,2,FALSE),"")</f>
        <v/>
      </c>
      <c r="G353" s="285"/>
      <c r="H353" s="293" t="str">
        <f ca="1">IFERROR(IF(AND('INformazioni per calcoli'!$AB$3&lt;(--"14:30"),'INformazioni per calcoli'!$AB$3&gt;(--"10:00")),"",IF($B353="","",IF($X353&lt;&gt;"","Mezzo Chiuso",IF($W353="","Non al Carico",IF($G353-'INformazioni per calcoli'!$AB$5-'INformazioni per calcoli'!$AB$3+$J353&lt;0,"LFLS",IF($K353&lt;&gt;"","Safe Parking",IF($W353&lt;&gt;"",IF($E353="MXP",$G353-'INformazioni per calcoli'!$AB$6-'INformazioni per calcoli'!$AB$3+$J353,$G353-'INformazioni per calcoli'!$AB$5-'INformazioni per calcoli'!$AB$3+$J353),"Non al carico"))))))),"")</f>
        <v/>
      </c>
      <c r="I353" s="17" t="str">
        <f ca="1">IFERROR(IF($H353&lt;&gt;"",IF($H353="Safe Parking","",IF($W353&lt;&gt;"",IF(AND($U353="X",$V353="X"),$H353-(--"00:30"),""),IF($X353&lt;&gt;"","Mezzo Chiuso","Non al carico"))),""),"")</f>
        <v/>
      </c>
      <c r="J353" s="306" t="str">
        <f>IFERROR(IF($B353&lt;&gt;"",IF(AND('INformazioni per calcoli'!$AB$3&lt;(--"15:00"),'INformazioni per calcoli'!$AB$3&gt;(--"00:00")),0,IF($G353&lt;(--"18:30"),"+1",0)),""),"")</f>
        <v/>
      </c>
      <c r="K353" s="27"/>
      <c r="L353" s="25"/>
      <c r="M353" s="25" t="str">
        <f>IFERROR(_xlfn.XLOOKUP($Q353,'Elenco Casse'!$D:$D,'Elenco Casse'!$E:$E),"")</f>
        <v/>
      </c>
      <c r="N353" s="25" t="str">
        <f>IFERROR(_xlfn.XLOOKUP($Q353,'Elenco Casse'!$D:$D,'Elenco Casse'!$F:$F),"")</f>
        <v/>
      </c>
      <c r="O353" s="286"/>
      <c r="P353" s="295" t="str">
        <f>IFERROR(_xlfn.XLOOKUP($Q353,'Elenco Casse'!$D:$D,'Elenco Casse'!$G:$G),"")</f>
        <v/>
      </c>
      <c r="Q353" s="355"/>
      <c r="R353" s="23"/>
      <c r="S353" s="25"/>
      <c r="T353" s="25"/>
      <c r="U353" s="23" t="str">
        <f>IF(ISNUMBER(SEARCH("Parcel",$T353)),"X","")</f>
        <v/>
      </c>
      <c r="V353" s="23" t="str">
        <f>IF(ISNUMBER(SEARCH("Freight",$T353)),"X","")</f>
        <v/>
      </c>
      <c r="W353" s="26"/>
      <c r="X353" s="27"/>
      <c r="Y353" s="25" t="str">
        <f>IF(Out_Table[[#This Row],[DOC Del. hr. (RTH)]]&lt;&gt;"","XXX","")</f>
        <v/>
      </c>
      <c r="Z353" s="25"/>
      <c r="AA353" s="25"/>
      <c r="AB353" s="57"/>
      <c r="AC353" s="25"/>
      <c r="AD353" s="25"/>
      <c r="AE353" s="57"/>
      <c r="AF353" s="57"/>
      <c r="AG353" s="25"/>
      <c r="AH353" s="57"/>
      <c r="AI353" s="339"/>
      <c r="AJ353" s="339"/>
      <c r="AK353" s="297" t="str">
        <f>IF(X353&lt;&gt;"",CONCATENATE(IF(AA353&lt;&gt;"",CONCATENATE(Z353," ",AA353," ",BI353),""),IF(AD353&lt;&gt;"",CONCATENATE(","," ",AC353," ",AD353," ",BJ353),""),IF(AG353&lt;&gt;"",CONCATENATE(","," ",AF353," ",AG353," ",BK353),""),IF(AJ353&lt;&gt;"",CONCATENATE(","," ","DD"," ",BL353),"")," ",IF(AI353&lt;&gt;"",CONCATENATE(" - ",AI353," Bag"),"")),"")</f>
        <v/>
      </c>
      <c r="AL353" s="287"/>
      <c r="AM353" s="287"/>
      <c r="AN353" s="287"/>
      <c r="AO353" s="287"/>
      <c r="AP353" s="370" t="str">
        <f>IFERROR(VLOOKUP($E350,Outlist!$A$5:$V$120,20,FALSE),"")</f>
        <v/>
      </c>
      <c r="AQ353" s="288" t="str">
        <f>IFERROR(IF(VLOOKUP($A353,#REF!,8,FALSE)&lt;&gt;"",VLOOKUP($A353,#REF!,8,FALSE),""),"")</f>
        <v/>
      </c>
      <c r="AS353" s="24"/>
      <c r="AT353" s="24"/>
      <c r="AU353" s="27"/>
      <c r="AV353" s="27"/>
      <c r="AX353" s="20" t="str">
        <f>IFERROR(IF(Out_Table[[#This Row],[Cancellazione linea]]="Cancellata","yes",""),"")</f>
        <v/>
      </c>
      <c r="AY353" s="72" t="str">
        <f>IF(BA353="",BZ353,IF(AND(BA353&lt;(--"23:59:59"),BA353&gt;(--"15:00:00"),G353&lt;(--"14:00:00"),G353&gt;(--"00:00:01")),"",IF(BA353&gt;G353,BZ353,"")))</f>
        <v/>
      </c>
      <c r="AZ353" s="27"/>
      <c r="BA353" s="32"/>
      <c r="BB353" s="72"/>
      <c r="BC353" s="72" t="str">
        <f>IFERROR(VLOOKUP(Out_Table[[#This Row],[Aggiornamento STATUS]],'INformazioni per calcoli'!$Y$70:$AA$76,2,FALSE),"")</f>
        <v/>
      </c>
      <c r="BD353" s="289"/>
      <c r="BE353" s="289"/>
      <c r="BF353" s="47" t="str">
        <f>LEFT($E353,3)</f>
        <v/>
      </c>
      <c r="BG353" s="298" t="str">
        <f>IF(Out_Table[[#This Row],[Ora Uscita    (GH)]]&lt;&gt;"","x","")</f>
        <v/>
      </c>
      <c r="BH353" s="299" t="e">
        <f>VLOOKUP($O353,'INformazioni per calcoli'!$Y$20:$AA$23,3,FALSE)</f>
        <v>#N/A</v>
      </c>
      <c r="BI353" s="299" t="e">
        <f>MROUND(Out_Table[[#This Row],[Mtr. Trailer]]*AB353,0.5)</f>
        <v>#N/A</v>
      </c>
      <c r="BJ353" s="299" t="e">
        <f>MROUND(Out_Table[[#This Row],[Mtr. Trailer]]*AE353,0.5)</f>
        <v>#N/A</v>
      </c>
      <c r="BK353" s="299" t="e">
        <f>MROUND(Out_Table[[#This Row],[Mtr. Trailer]]*AH353,0.5)</f>
        <v>#N/A</v>
      </c>
      <c r="BL353" s="300">
        <f>Out_Table[[#This Row],[Double Deck trailer N° bumpers]]</f>
        <v>0</v>
      </c>
      <c r="BM353" s="301"/>
      <c r="BN353" s="299">
        <f>B353</f>
        <v>0</v>
      </c>
      <c r="BO353" s="299">
        <f>E353</f>
        <v>0</v>
      </c>
      <c r="BP353" s="302">
        <f>IF(AND(G353&gt;(--"00:00:01"),G353&lt;(--"15:00:00")),IF(AND(X353&gt;(--"00:00:01"),X353&lt;(--"15:00:00")),G353-X353,G353+1-X353),G353-X353)</f>
        <v>0</v>
      </c>
      <c r="BQ353" s="303">
        <f>AE353+AF353+AH353+AJ353</f>
        <v>0</v>
      </c>
      <c r="BR353" s="304" t="str">
        <f>IF(OR(BP353&lt;=(--"00:20:00"),BQ353&gt;=100%),"OK","Not OK")</f>
        <v>OK</v>
      </c>
      <c r="BS353" s="302">
        <f>IF(AND(G353&gt;(--"00:00:01"),G353&lt;(--"15:00:00")),IF(AND(AU353&gt;(--"00:00:01"),AU353&lt;(--"15:00:00")),G353-AU353,G353+1-AU353),G353-AU353)</f>
        <v>0</v>
      </c>
      <c r="BT353" s="302">
        <f>IF(AND(AZ353&gt;(--"00:00:01"),AZ353&lt;(--"15:00:00")),IF(AND(AU353&gt;(--"00:00:01"),AU353&lt;(--"15:00:00")),AZ353-AU353,AZ353+1-AU353),AZ353-AU353)</f>
        <v>0</v>
      </c>
      <c r="BU353" s="302">
        <f>IF(AND(BA353&gt;(--"00:00:01"),BA353&lt;(--"15:00:00")),IF(AND(AZ353&gt;(--"00:00:01"),AZ353&lt;(--"15:00:00")),BA353-AZ353,BA353+1-AZ353),BA353-AZ353)</f>
        <v>0</v>
      </c>
      <c r="BV353" s="299">
        <f>AV353</f>
        <v>0</v>
      </c>
      <c r="BW353" s="301"/>
      <c r="BX353" s="299" t="str">
        <f>IF(AV353="T Status",IF(AV353&lt;&gt;T353,"X",""),"")</f>
        <v/>
      </c>
      <c r="BY353" s="301"/>
      <c r="BZ353" s="299" t="str">
        <f>IF(X353&lt;&gt;"",IF(CC353="X","Driver Delay",IF(CA353="X","Paperwork Delay",IF(CB353="X","Late freight late sort",IF(CD353="X","Chiamare Control Room",IF(CE353="X","Chiamare Control Room",IF(CF353="X","Chiamare Control Room","")))))),"")</f>
        <v/>
      </c>
      <c r="CA353" s="302" t="str">
        <f>IF(K353="",IF(IF(AND(G353&gt;(--"00:00:01"),G353&lt;(--"15:00:00")),IF(AND(AT353&gt;(--"08:00:00"),AT353&lt;(--"23:59:59")),G353+1-AT353,G353-AT353),G353-AT353)&gt;(--"00:20:00"),"","X"),"")</f>
        <v>X</v>
      </c>
      <c r="CB353" s="299" t="str">
        <f>IF(K353="",IF(BP353&gt;=(--"00:20:00"),"","X"),"")</f>
        <v>X</v>
      </c>
      <c r="CC353" s="299" t="str">
        <f>IF(OR(AV353="Autista non presente",AV353="Dati driver non presenti"),"X","")</f>
        <v/>
      </c>
      <c r="CD353" s="299" t="str">
        <f>IF(K353="",IF(AND(CC353="",BS353&lt;(--"00:20:00")),"X",""),"")</f>
        <v>X</v>
      </c>
      <c r="CE353" s="299" t="str">
        <f>IF(K353="",IF(BT353&gt;(--"00:15:00"),"X",""),IF(AZ353&lt;&gt;"",IF(G353-AZ353&gt;(--"00:30:00"),"X",""),""))</f>
        <v/>
      </c>
      <c r="CF353" s="299" t="str">
        <f>IF(AND(CA353="",CB353="",CC353="",CD353="",CE353=""),"X","")</f>
        <v/>
      </c>
      <c r="CG353" s="301"/>
      <c r="CH353" s="299" t="str">
        <f>IF(BT353&gt;(--"00:15:00"),"X","")</f>
        <v/>
      </c>
      <c r="CI353" s="302" t="str">
        <f>AY353</f>
        <v/>
      </c>
      <c r="CJ353" s="299" t="str">
        <f>IF(AND(CH353&lt;&gt;"",CI353&lt;&gt;"",LEFT(B353,3)="ITD"),AP353,"")</f>
        <v/>
      </c>
      <c r="CK353" s="305" t="str">
        <f>IF(CJ353&lt;&gt;"",BT353,"")</f>
        <v/>
      </c>
      <c r="CL353" s="301"/>
      <c r="CM353" s="305" t="str">
        <f>IFERROR(VLOOKUP(Q353,'Elenco Casse'!$D$4:$F$292,3,FALSE),"")</f>
        <v/>
      </c>
      <c r="CN353" s="301"/>
      <c r="CO353" s="305" t="str">
        <f>IFERROR(VLOOKUP(S353,'Elenco Casse'!$D$4:$F$292,3,FALSE),"")</f>
        <v/>
      </c>
      <c r="CP353" s="305" t="str">
        <f>IFERROR(IF(VLOOKUP($E353,Outlist!$A$5:$S$120,19,FALSE)&lt;&gt;0,"Y",""),"")</f>
        <v/>
      </c>
      <c r="CQ353" s="301"/>
      <c r="CR353" s="305" t="str">
        <f>CONCATENATE($B353,$E353,$G353)</f>
        <v/>
      </c>
      <c r="CS353" s="301"/>
      <c r="CT353" s="305" t="e">
        <f>VLOOKUP(Out_Table[[#This Row],[Destination             ORANGE (From Planning)]],Outlist!$A$5:$W$120,22,FALSE)</f>
        <v>#N/A</v>
      </c>
    </row>
    <row r="354" spans="1:98" s="20" customFormat="1" ht="15">
      <c r="A354" s="305" t="str">
        <f>$CR354</f>
        <v/>
      </c>
      <c r="B354" s="284"/>
      <c r="C354" s="290">
        <f ca="1">IFERROR(IF(LEFT(B354,3)='STAT 77'!$X$2,_xlfn.XLOOKUP(B354,'STAT 77'!C:C,'STAT 77'!B:B),_xlfn.XLOOKUP(B354,'STAT 77'!B:B,'STAT 77'!C:C)),"NON TROVATO")</f>
        <v>0</v>
      </c>
      <c r="D354" s="25"/>
      <c r="E354" s="290"/>
      <c r="F354" s="290" t="str">
        <f>IFERROR(VLOOKUP(E354,'Cambio O2P'!C:E,2,FALSE),"")</f>
        <v/>
      </c>
      <c r="G354" s="285"/>
      <c r="H354" s="293" t="str">
        <f ca="1">IFERROR(IF(AND('INformazioni per calcoli'!$AB$3&lt;(--"14:30"),'INformazioni per calcoli'!$AB$3&gt;(--"10:00")),"",IF($B354="","",IF($X354&lt;&gt;"","Mezzo Chiuso",IF($W354="","Non al Carico",IF($G354-'INformazioni per calcoli'!$AB$5-'INformazioni per calcoli'!$AB$3+$J354&lt;0,"LFLS",IF($K354&lt;&gt;"","Safe Parking",IF($W354&lt;&gt;"",IF($E354="MXP",$G354-'INformazioni per calcoli'!$AB$6-'INformazioni per calcoli'!$AB$3+$J354,$G354-'INformazioni per calcoli'!$AB$5-'INformazioni per calcoli'!$AB$3+$J354),"Non al carico"))))))),"")</f>
        <v/>
      </c>
      <c r="I354" s="17" t="str">
        <f ca="1">IFERROR(IF($H354&lt;&gt;"",IF($H354="Safe Parking","",IF($W354&lt;&gt;"",IF(AND($U354="X",$V354="X"),$H354-(--"00:30"),""),IF($X354&lt;&gt;"","Mezzo Chiuso","Non al carico"))),""),"")</f>
        <v/>
      </c>
      <c r="J354" s="306" t="str">
        <f>IFERROR(IF($B354&lt;&gt;"",IF(AND('INformazioni per calcoli'!$AB$3&lt;(--"15:00"),'INformazioni per calcoli'!$AB$3&gt;(--"00:00")),0,IF($G354&lt;(--"18:30"),"+1",0)),""),"")</f>
        <v/>
      </c>
      <c r="K354" s="27"/>
      <c r="L354" s="25"/>
      <c r="M354" s="25" t="str">
        <f>IFERROR(_xlfn.XLOOKUP($Q354,'Elenco Casse'!$D:$D,'Elenco Casse'!$E:$E),"")</f>
        <v/>
      </c>
      <c r="N354" s="25" t="str">
        <f>IFERROR(_xlfn.XLOOKUP($Q354,'Elenco Casse'!$D:$D,'Elenco Casse'!$F:$F),"")</f>
        <v/>
      </c>
      <c r="O354" s="286"/>
      <c r="P354" s="295" t="str">
        <f>IFERROR(_xlfn.XLOOKUP($Q354,'Elenco Casse'!$D:$D,'Elenco Casse'!$G:$G),"")</f>
        <v/>
      </c>
      <c r="Q354" s="355"/>
      <c r="R354" s="23"/>
      <c r="S354" s="25"/>
      <c r="T354" s="25"/>
      <c r="U354" s="23" t="str">
        <f>IF(ISNUMBER(SEARCH("Parcel",$T354)),"X","")</f>
        <v/>
      </c>
      <c r="V354" s="23" t="str">
        <f>IF(ISNUMBER(SEARCH("Freight",$T354)),"X","")</f>
        <v/>
      </c>
      <c r="W354" s="26"/>
      <c r="X354" s="27"/>
      <c r="Y354" s="25" t="str">
        <f>IF(Out_Table[[#This Row],[DOC Del. hr. (RTH)]]&lt;&gt;"","XXX","")</f>
        <v/>
      </c>
      <c r="Z354" s="25"/>
      <c r="AA354" s="25"/>
      <c r="AB354" s="57"/>
      <c r="AC354" s="25"/>
      <c r="AD354" s="25"/>
      <c r="AE354" s="57"/>
      <c r="AF354" s="57"/>
      <c r="AG354" s="25"/>
      <c r="AH354" s="57"/>
      <c r="AI354" s="339"/>
      <c r="AJ354" s="339"/>
      <c r="AK354" s="297" t="str">
        <f>IF(X354&lt;&gt;"",CONCATENATE(IF(AA354&lt;&gt;"",CONCATENATE(Z354," ",AA354," ",BI354),""),IF(AD354&lt;&gt;"",CONCATENATE(","," ",AC354," ",AD354," ",BJ354),""),IF(AG354&lt;&gt;"",CONCATENATE(","," ",AF354," ",AG354," ",BK354),""),IF(AJ354&lt;&gt;"",CONCATENATE(","," ","DD"," ",BL354),"")," ",IF(AI354&lt;&gt;"",CONCATENATE(" - ",AI354," Bag"),"")),"")</f>
        <v/>
      </c>
      <c r="AL354" s="287"/>
      <c r="AM354" s="287"/>
      <c r="AN354" s="287"/>
      <c r="AO354" s="287"/>
      <c r="AP354" s="370" t="str">
        <f>IFERROR(VLOOKUP($E351,Outlist!$A$5:$V$120,20,FALSE),"")</f>
        <v/>
      </c>
      <c r="AQ354" s="288" t="str">
        <f>IFERROR(IF(VLOOKUP($A354,#REF!,8,FALSE)&lt;&gt;"",VLOOKUP($A354,#REF!,8,FALSE),""),"")</f>
        <v/>
      </c>
      <c r="AS354" s="24"/>
      <c r="AT354" s="24"/>
      <c r="AU354" s="27"/>
      <c r="AV354" s="27"/>
      <c r="AX354" s="20" t="str">
        <f>IFERROR(IF(Out_Table[[#This Row],[Cancellazione linea]]="Cancellata","yes",""),"")</f>
        <v/>
      </c>
      <c r="AY354" s="72" t="str">
        <f>IF(BA354="",BZ354,IF(AND(BA354&lt;(--"23:59:59"),BA354&gt;(--"15:00:00"),G354&lt;(--"14:00:00"),G354&gt;(--"00:00:01")),"",IF(BA354&gt;G354,BZ354,"")))</f>
        <v/>
      </c>
      <c r="AZ354" s="27"/>
      <c r="BA354" s="32"/>
      <c r="BB354" s="72"/>
      <c r="BC354" s="72" t="str">
        <f>IFERROR(VLOOKUP(Out_Table[[#This Row],[Aggiornamento STATUS]],'INformazioni per calcoli'!$Y$70:$AA$76,2,FALSE),"")</f>
        <v/>
      </c>
      <c r="BD354" s="289"/>
      <c r="BE354" s="289"/>
      <c r="BF354" s="47" t="str">
        <f>LEFT($E354,3)</f>
        <v/>
      </c>
      <c r="BG354" s="298" t="str">
        <f>IF(Out_Table[[#This Row],[Ora Uscita    (GH)]]&lt;&gt;"","x","")</f>
        <v/>
      </c>
      <c r="BH354" s="299" t="e">
        <f>VLOOKUP($O354,'INformazioni per calcoli'!$Y$20:$AA$23,3,FALSE)</f>
        <v>#N/A</v>
      </c>
      <c r="BI354" s="299" t="e">
        <f>MROUND(Out_Table[[#This Row],[Mtr. Trailer]]*AB354,0.5)</f>
        <v>#N/A</v>
      </c>
      <c r="BJ354" s="299" t="e">
        <f>MROUND(Out_Table[[#This Row],[Mtr. Trailer]]*AE354,0.5)</f>
        <v>#N/A</v>
      </c>
      <c r="BK354" s="299" t="e">
        <f>MROUND(Out_Table[[#This Row],[Mtr. Trailer]]*AH354,0.5)</f>
        <v>#N/A</v>
      </c>
      <c r="BL354" s="300">
        <f>Out_Table[[#This Row],[Double Deck trailer N° bumpers]]</f>
        <v>0</v>
      </c>
      <c r="BM354" s="301"/>
      <c r="BN354" s="299">
        <f>B354</f>
        <v>0</v>
      </c>
      <c r="BO354" s="299">
        <f>E354</f>
        <v>0</v>
      </c>
      <c r="BP354" s="302">
        <f>IF(AND(G354&gt;(--"00:00:01"),G354&lt;(--"15:00:00")),IF(AND(X354&gt;(--"00:00:01"),X354&lt;(--"15:00:00")),G354-X354,G354+1-X354),G354-X354)</f>
        <v>0</v>
      </c>
      <c r="BQ354" s="303">
        <f>AE354+AF354+AH354+AJ354</f>
        <v>0</v>
      </c>
      <c r="BR354" s="304" t="str">
        <f>IF(OR(BP354&lt;=(--"00:20:00"),BQ354&gt;=100%),"OK","Not OK")</f>
        <v>OK</v>
      </c>
      <c r="BS354" s="302">
        <f>IF(AND(G354&gt;(--"00:00:01"),G354&lt;(--"15:00:00")),IF(AND(AU354&gt;(--"00:00:01"),AU354&lt;(--"15:00:00")),G354-AU354,G354+1-AU354),G354-AU354)</f>
        <v>0</v>
      </c>
      <c r="BT354" s="302">
        <f>IF(AND(AZ354&gt;(--"00:00:01"),AZ354&lt;(--"15:00:00")),IF(AND(AU354&gt;(--"00:00:01"),AU354&lt;(--"15:00:00")),AZ354-AU354,AZ354+1-AU354),AZ354-AU354)</f>
        <v>0</v>
      </c>
      <c r="BU354" s="302">
        <f>IF(AND(BA354&gt;(--"00:00:01"),BA354&lt;(--"15:00:00")),IF(AND(AZ354&gt;(--"00:00:01"),AZ354&lt;(--"15:00:00")),BA354-AZ354,BA354+1-AZ354),BA354-AZ354)</f>
        <v>0</v>
      </c>
      <c r="BV354" s="299">
        <f>AV354</f>
        <v>0</v>
      </c>
      <c r="BW354" s="301"/>
      <c r="BX354" s="299" t="str">
        <f>IF(AV354="T Status",IF(AV354&lt;&gt;T354,"X",""),"")</f>
        <v/>
      </c>
      <c r="BY354" s="301"/>
      <c r="BZ354" s="299" t="str">
        <f>IF(X354&lt;&gt;"",IF(CC354="X","Driver Delay",IF(CA354="X","Paperwork Delay",IF(CB354="X","Late freight late sort",IF(CD354="X","Chiamare Control Room",IF(CE354="X","Chiamare Control Room",IF(CF354="X","Chiamare Control Room","")))))),"")</f>
        <v/>
      </c>
      <c r="CA354" s="302" t="str">
        <f>IF(K354="",IF(IF(AND(G354&gt;(--"00:00:01"),G354&lt;(--"15:00:00")),IF(AND(AT354&gt;(--"08:00:00"),AT354&lt;(--"23:59:59")),G354+1-AT354,G354-AT354),G354-AT354)&gt;(--"00:20:00"),"","X"),"")</f>
        <v>X</v>
      </c>
      <c r="CB354" s="299" t="str">
        <f>IF(K354="",IF(BP354&gt;=(--"00:20:00"),"","X"),"")</f>
        <v>X</v>
      </c>
      <c r="CC354" s="299" t="str">
        <f>IF(OR(AV354="Autista non presente",AV354="Dati driver non presenti"),"X","")</f>
        <v/>
      </c>
      <c r="CD354" s="299" t="str">
        <f>IF(K354="",IF(AND(CC354="",BS354&lt;(--"00:20:00")),"X",""),"")</f>
        <v>X</v>
      </c>
      <c r="CE354" s="299" t="str">
        <f>IF(K354="",IF(BT354&gt;(--"00:15:00"),"X",""),IF(AZ354&lt;&gt;"",IF(G354-AZ354&gt;(--"00:30:00"),"X",""),""))</f>
        <v/>
      </c>
      <c r="CF354" s="299" t="str">
        <f>IF(AND(CA354="",CB354="",CC354="",CD354="",CE354=""),"X","")</f>
        <v/>
      </c>
      <c r="CG354" s="301"/>
      <c r="CH354" s="299" t="str">
        <f>IF(BT354&gt;(--"00:15:00"),"X","")</f>
        <v/>
      </c>
      <c r="CI354" s="302" t="str">
        <f>AY354</f>
        <v/>
      </c>
      <c r="CJ354" s="299" t="str">
        <f>IF(AND(CH354&lt;&gt;"",CI354&lt;&gt;"",LEFT(B354,3)="ITD"),AP354,"")</f>
        <v/>
      </c>
      <c r="CK354" s="305" t="str">
        <f>IF(CJ354&lt;&gt;"",BT354,"")</f>
        <v/>
      </c>
      <c r="CL354" s="301"/>
      <c r="CM354" s="305" t="str">
        <f>IFERROR(VLOOKUP(Q354,'Elenco Casse'!$D$4:$F$292,3,FALSE),"")</f>
        <v/>
      </c>
      <c r="CN354" s="301"/>
      <c r="CO354" s="305" t="str">
        <f>IFERROR(VLOOKUP(S354,'Elenco Casse'!$D$4:$F$292,3,FALSE),"")</f>
        <v/>
      </c>
      <c r="CP354" s="305" t="str">
        <f>IFERROR(IF(VLOOKUP($E354,Outlist!$A$5:$S$120,19,FALSE)&lt;&gt;0,"Y",""),"")</f>
        <v/>
      </c>
      <c r="CQ354" s="301"/>
      <c r="CR354" s="305" t="str">
        <f>CONCATENATE($B354,$E354,$G354)</f>
        <v/>
      </c>
      <c r="CS354" s="301"/>
      <c r="CT354" s="305" t="e">
        <f>VLOOKUP(Out_Table[[#This Row],[Destination             ORANGE (From Planning)]],Outlist!$A$5:$W$120,22,FALSE)</f>
        <v>#N/A</v>
      </c>
    </row>
    <row r="355" spans="1:98" s="20" customFormat="1" ht="15">
      <c r="A355" s="305" t="str">
        <f>$CR355</f>
        <v/>
      </c>
      <c r="B355" s="284"/>
      <c r="C355" s="290" t="str">
        <f ca="1">IFERROR(IF(LEFT(B355,3)='STAT 77'!$X$2,_xlfn.XLOOKUP(B355,'STAT 77'!C:C,'STAT 77'!B:B),_xlfn.XLOOKUP(B355,'STAT 77'!B:B,'STAT 77'!C:C)),"NON TROVATO")</f>
        <v>NON TROVATO</v>
      </c>
      <c r="D355" s="25"/>
      <c r="E355" s="290"/>
      <c r="F355" s="290" t="str">
        <f>IFERROR(VLOOKUP(E355,'Cambio O2P'!C:E,2,FALSE),"")</f>
        <v/>
      </c>
      <c r="G355" s="285"/>
      <c r="H355" s="293" t="str">
        <f ca="1">IFERROR(IF(AND('INformazioni per calcoli'!$AB$3&lt;(--"14:30"),'INformazioni per calcoli'!$AB$3&gt;(--"10:00")),"",IF($B355="","",IF($X355&lt;&gt;"","Mezzo Chiuso",IF($W355="","Non al Carico",IF($G355-'INformazioni per calcoli'!$AB$5-'INformazioni per calcoli'!$AB$3+$J355&lt;0,"LFLS",IF($K355&lt;&gt;"","Safe Parking",IF($W355&lt;&gt;"",IF($E355="MXP",$G355-'INformazioni per calcoli'!$AB$6-'INformazioni per calcoli'!$AB$3+$J355,$G355-'INformazioni per calcoli'!$AB$5-'INformazioni per calcoli'!$AB$3+$J355),"Non al carico"))))))),"")</f>
        <v/>
      </c>
      <c r="I355" s="17" t="str">
        <f ca="1">IFERROR(IF($H355&lt;&gt;"",IF($H355="Safe Parking","",IF($W355&lt;&gt;"",IF(AND($U355="X",$V355="X"),$H355-(--"00:30"),""),IF($X355&lt;&gt;"","Mezzo Chiuso","Non al carico"))),""),"")</f>
        <v/>
      </c>
      <c r="J355" s="306" t="str">
        <f>IFERROR(IF($B355&lt;&gt;"",IF(AND('INformazioni per calcoli'!$AB$3&lt;(--"15:00"),'INformazioni per calcoli'!$AB$3&gt;(--"00:00")),0,IF($G355&lt;(--"18:30"),"+1",0)),""),"")</f>
        <v/>
      </c>
      <c r="K355" s="27"/>
      <c r="L355" s="25"/>
      <c r="M355" s="25" t="str">
        <f>IFERROR(_xlfn.XLOOKUP($Q355,'Elenco Casse'!$D:$D,'Elenco Casse'!$E:$E),"")</f>
        <v/>
      </c>
      <c r="N355" s="25" t="str">
        <f>IFERROR(_xlfn.XLOOKUP($Q355,'Elenco Casse'!$D:$D,'Elenco Casse'!$F:$F),"")</f>
        <v/>
      </c>
      <c r="O355" s="286"/>
      <c r="P355" s="295" t="str">
        <f>IFERROR(_xlfn.XLOOKUP($Q355,'Elenco Casse'!$D:$D,'Elenco Casse'!$G:$G),"")</f>
        <v/>
      </c>
      <c r="Q355" s="355"/>
      <c r="R355" s="23"/>
      <c r="S355" s="25"/>
      <c r="T355" s="25"/>
      <c r="U355" s="23" t="str">
        <f>IF(ISNUMBER(SEARCH("Parcel",$T355)),"X","")</f>
        <v/>
      </c>
      <c r="V355" s="23" t="str">
        <f>IF(ISNUMBER(SEARCH("Freight",$T355)),"X","")</f>
        <v/>
      </c>
      <c r="W355" s="26"/>
      <c r="X355" s="27"/>
      <c r="Y355" s="25" t="str">
        <f>IF(Out_Table[[#This Row],[DOC Del. hr. (RTH)]]&lt;&gt;"","XXX","")</f>
        <v/>
      </c>
      <c r="Z355" s="25"/>
      <c r="AA355" s="25"/>
      <c r="AB355" s="57"/>
      <c r="AC355" s="25"/>
      <c r="AD355" s="25"/>
      <c r="AE355" s="57"/>
      <c r="AF355" s="57"/>
      <c r="AG355" s="25"/>
      <c r="AH355" s="57"/>
      <c r="AI355" s="339"/>
      <c r="AJ355" s="339"/>
      <c r="AK355" s="297" t="str">
        <f>IF(X355&lt;&gt;"",CONCATENATE(IF(AA355&lt;&gt;"",CONCATENATE(Z355," ",AA355," ",BI355),""),IF(AD355&lt;&gt;"",CONCATENATE(","," ",AC355," ",AD355," ",BJ355),""),IF(AG355&lt;&gt;"",CONCATENATE(","," ",AF355," ",AG355," ",BK355),""),IF(AJ355&lt;&gt;"",CONCATENATE(","," ","DD"," ",BL355),"")," ",IF(AI355&lt;&gt;"",CONCATENATE(" - ",AI355," Bag"),"")),"")</f>
        <v/>
      </c>
      <c r="AL355" s="287"/>
      <c r="AM355" s="287"/>
      <c r="AN355" s="287"/>
      <c r="AO355" s="287"/>
      <c r="AP355" s="370" t="str">
        <f>IFERROR(VLOOKUP($E352,Outlist!$A$5:$V$120,20,FALSE),"")</f>
        <v/>
      </c>
      <c r="AQ355" s="288" t="str">
        <f>IFERROR(IF(VLOOKUP($A355,#REF!,8,FALSE)&lt;&gt;"",VLOOKUP($A355,#REF!,8,FALSE),""),"")</f>
        <v/>
      </c>
      <c r="AS355" s="24"/>
      <c r="AT355" s="24"/>
      <c r="AU355" s="27"/>
      <c r="AV355" s="27"/>
      <c r="AX355" s="20" t="str">
        <f>IFERROR(IF(Out_Table[[#This Row],[Cancellazione linea]]="Cancellata","yes",""),"")</f>
        <v/>
      </c>
      <c r="AY355" s="72" t="str">
        <f>IF(BA355="",BZ355,IF(AND(BA355&lt;(--"23:59:59"),BA355&gt;(--"15:00:00"),G355&lt;(--"14:00:00"),G355&gt;(--"00:00:01")),"",IF(BA355&gt;G355,BZ355,"")))</f>
        <v/>
      </c>
      <c r="AZ355" s="27"/>
      <c r="BA355" s="32"/>
      <c r="BB355" s="72"/>
      <c r="BC355" s="72" t="str">
        <f>IFERROR(VLOOKUP(Out_Table[[#This Row],[Aggiornamento STATUS]],'INformazioni per calcoli'!$Y$70:$AA$76,2,FALSE),"")</f>
        <v/>
      </c>
      <c r="BD355" s="289"/>
      <c r="BE355" s="289"/>
      <c r="BF355" s="47" t="str">
        <f>LEFT($E355,3)</f>
        <v/>
      </c>
      <c r="BG355" s="298" t="str">
        <f>IF(Out_Table[[#This Row],[Ora Uscita    (GH)]]&lt;&gt;"","x","")</f>
        <v/>
      </c>
      <c r="BH355" s="299" t="e">
        <f>VLOOKUP($O355,'INformazioni per calcoli'!$Y$20:$AA$23,3,FALSE)</f>
        <v>#N/A</v>
      </c>
      <c r="BI355" s="299" t="e">
        <f>MROUND(Out_Table[[#This Row],[Mtr. Trailer]]*AB355,0.5)</f>
        <v>#N/A</v>
      </c>
      <c r="BJ355" s="299" t="e">
        <f>MROUND(Out_Table[[#This Row],[Mtr. Trailer]]*AE355,0.5)</f>
        <v>#N/A</v>
      </c>
      <c r="BK355" s="299" t="e">
        <f>MROUND(Out_Table[[#This Row],[Mtr. Trailer]]*AH355,0.5)</f>
        <v>#N/A</v>
      </c>
      <c r="BL355" s="300">
        <f>Out_Table[[#This Row],[Double Deck trailer N° bumpers]]</f>
        <v>0</v>
      </c>
      <c r="BM355" s="301"/>
      <c r="BN355" s="299">
        <f>B355</f>
        <v>0</v>
      </c>
      <c r="BO355" s="299">
        <f>E355</f>
        <v>0</v>
      </c>
      <c r="BP355" s="302">
        <f>IF(AND(G355&gt;(--"00:00:01"),G355&lt;(--"15:00:00")),IF(AND(X355&gt;(--"00:00:01"),X355&lt;(--"15:00:00")),G355-X355,G355+1-X355),G355-X355)</f>
        <v>0</v>
      </c>
      <c r="BQ355" s="303">
        <f>AE355+AF355+AH355+AJ355</f>
        <v>0</v>
      </c>
      <c r="BR355" s="304" t="str">
        <f>IF(OR(BP355&lt;=(--"00:20:00"),BQ355&gt;=100%),"OK","Not OK")</f>
        <v>OK</v>
      </c>
      <c r="BS355" s="302">
        <f>IF(AND(G355&gt;(--"00:00:01"),G355&lt;(--"15:00:00")),IF(AND(AU355&gt;(--"00:00:01"),AU355&lt;(--"15:00:00")),G355-AU355,G355+1-AU355),G355-AU355)</f>
        <v>0</v>
      </c>
      <c r="BT355" s="302">
        <f>IF(AND(AZ355&gt;(--"00:00:01"),AZ355&lt;(--"15:00:00")),IF(AND(AU355&gt;(--"00:00:01"),AU355&lt;(--"15:00:00")),AZ355-AU355,AZ355+1-AU355),AZ355-AU355)</f>
        <v>0</v>
      </c>
      <c r="BU355" s="302">
        <f>IF(AND(BA355&gt;(--"00:00:01"),BA355&lt;(--"15:00:00")),IF(AND(AZ355&gt;(--"00:00:01"),AZ355&lt;(--"15:00:00")),BA355-AZ355,BA355+1-AZ355),BA355-AZ355)</f>
        <v>0</v>
      </c>
      <c r="BV355" s="299">
        <f>AV355</f>
        <v>0</v>
      </c>
      <c r="BW355" s="301"/>
      <c r="BX355" s="299" t="str">
        <f>IF(AV355="T Status",IF(AV355&lt;&gt;T355,"X",""),"")</f>
        <v/>
      </c>
      <c r="BY355" s="301"/>
      <c r="BZ355" s="299" t="str">
        <f>IF(X355&lt;&gt;"",IF(CC355="X","Driver Delay",IF(CA355="X","Paperwork Delay",IF(CB355="X","Late freight late sort",IF(CD355="X","Chiamare Control Room",IF(CE355="X","Chiamare Control Room",IF(CF355="X","Chiamare Control Room","")))))),"")</f>
        <v/>
      </c>
      <c r="CA355" s="302" t="str">
        <f>IF(K355="",IF(IF(AND(G355&gt;(--"00:00:01"),G355&lt;(--"15:00:00")),IF(AND(AT355&gt;(--"08:00:00"),AT355&lt;(--"23:59:59")),G355+1-AT355,G355-AT355),G355-AT355)&gt;(--"00:20:00"),"","X"),"")</f>
        <v>X</v>
      </c>
      <c r="CB355" s="299" t="str">
        <f>IF(K355="",IF(BP355&gt;=(--"00:20:00"),"","X"),"")</f>
        <v>X</v>
      </c>
      <c r="CC355" s="299" t="str">
        <f>IF(OR(AV355="Autista non presente",AV355="Dati driver non presenti"),"X","")</f>
        <v/>
      </c>
      <c r="CD355" s="299" t="str">
        <f>IF(K355="",IF(AND(CC355="",BS355&lt;(--"00:20:00")),"X",""),"")</f>
        <v>X</v>
      </c>
      <c r="CE355" s="299" t="str">
        <f>IF(K355="",IF(BT355&gt;(--"00:15:00"),"X",""),IF(AZ355&lt;&gt;"",IF(G355-AZ355&gt;(--"00:30:00"),"X",""),""))</f>
        <v/>
      </c>
      <c r="CF355" s="299" t="str">
        <f>IF(AND(CA355="",CB355="",CC355="",CD355="",CE355=""),"X","")</f>
        <v/>
      </c>
      <c r="CG355" s="301"/>
      <c r="CH355" s="299" t="str">
        <f>IF(BT355&gt;(--"00:15:00"),"X","")</f>
        <v/>
      </c>
      <c r="CI355" s="302" t="str">
        <f>AY355</f>
        <v/>
      </c>
      <c r="CJ355" s="299" t="str">
        <f>IF(AND(CH355&lt;&gt;"",CI355&lt;&gt;"",LEFT(B355,3)="ITD"),AP355,"")</f>
        <v/>
      </c>
      <c r="CK355" s="305" t="str">
        <f>IF(CJ355&lt;&gt;"",BT355,"")</f>
        <v/>
      </c>
      <c r="CL355" s="301"/>
      <c r="CM355" s="305" t="str">
        <f>IFERROR(VLOOKUP(Q355,'Elenco Casse'!$D$4:$F$292,3,FALSE),"")</f>
        <v/>
      </c>
      <c r="CN355" s="301"/>
      <c r="CO355" s="305" t="str">
        <f>IFERROR(VLOOKUP(S355,'Elenco Casse'!$D$4:$F$292,3,FALSE),"")</f>
        <v/>
      </c>
      <c r="CP355" s="305" t="str">
        <f>IFERROR(IF(VLOOKUP($E355,Outlist!$A$5:$S$120,19,FALSE)&lt;&gt;0,"Y",""),"")</f>
        <v/>
      </c>
      <c r="CQ355" s="301"/>
      <c r="CR355" s="305" t="str">
        <f>CONCATENATE($B355,$E355,$G355)</f>
        <v/>
      </c>
      <c r="CS355" s="301"/>
      <c r="CT355" s="305" t="e">
        <f>VLOOKUP(Out_Table[[#This Row],[Destination             ORANGE (From Planning)]],Outlist!$A$5:$W$120,22,FALSE)</f>
        <v>#N/A</v>
      </c>
    </row>
    <row r="356" spans="1:98" s="20" customFormat="1" ht="15">
      <c r="A356" s="305" t="str">
        <f>$CR356</f>
        <v/>
      </c>
      <c r="B356" s="284"/>
      <c r="C356" s="290">
        <f ca="1">IFERROR(IF(LEFT(B356,3)='STAT 77'!$X$2,_xlfn.XLOOKUP(B356,'STAT 77'!C:C,'STAT 77'!B:B),_xlfn.XLOOKUP(B356,'STAT 77'!B:B,'STAT 77'!C:C)),"NON TROVATO")</f>
        <v>0</v>
      </c>
      <c r="D356" s="25"/>
      <c r="E356" s="290"/>
      <c r="F356" s="290" t="str">
        <f>IFERROR(VLOOKUP(E356,'Cambio O2P'!C:E,2,FALSE),"")</f>
        <v/>
      </c>
      <c r="G356" s="285"/>
      <c r="H356" s="293" t="str">
        <f ca="1">IFERROR(IF(AND('INformazioni per calcoli'!$AB$3&lt;(--"14:30"),'INformazioni per calcoli'!$AB$3&gt;(--"10:00")),"",IF($B356="","",IF($X356&lt;&gt;"","Mezzo Chiuso",IF($W356="","Non al Carico",IF($G356-'INformazioni per calcoli'!$AB$5-'INformazioni per calcoli'!$AB$3+$J356&lt;0,"LFLS",IF($K356&lt;&gt;"","Safe Parking",IF($W356&lt;&gt;"",IF($E356="MXP",$G356-'INformazioni per calcoli'!$AB$6-'INformazioni per calcoli'!$AB$3+$J356,$G356-'INformazioni per calcoli'!$AB$5-'INformazioni per calcoli'!$AB$3+$J356),"Non al carico"))))))),"")</f>
        <v/>
      </c>
      <c r="I356" s="17" t="str">
        <f ca="1">IFERROR(IF($H356&lt;&gt;"",IF($H356="Safe Parking","",IF($W356&lt;&gt;"",IF(AND($U356="X",$V356="X"),$H356-(--"00:30"),""),IF($X356&lt;&gt;"","Mezzo Chiuso","Non al carico"))),""),"")</f>
        <v/>
      </c>
      <c r="J356" s="306" t="str">
        <f>IFERROR(IF($B356&lt;&gt;"",IF(AND('INformazioni per calcoli'!$AB$3&lt;(--"15:00"),'INformazioni per calcoli'!$AB$3&gt;(--"00:00")),0,IF($G356&lt;(--"18:30"),"+1",0)),""),"")</f>
        <v/>
      </c>
      <c r="K356" s="27"/>
      <c r="L356" s="25"/>
      <c r="M356" s="25" t="str">
        <f>IFERROR(_xlfn.XLOOKUP($Q356,'Elenco Casse'!$D:$D,'Elenco Casse'!$E:$E),"")</f>
        <v/>
      </c>
      <c r="N356" s="25" t="str">
        <f>IFERROR(_xlfn.XLOOKUP($Q356,'Elenco Casse'!$D:$D,'Elenco Casse'!$F:$F),"")</f>
        <v/>
      </c>
      <c r="O356" s="286"/>
      <c r="P356" s="295" t="str">
        <f>IFERROR(_xlfn.XLOOKUP($Q356,'Elenco Casse'!$D:$D,'Elenco Casse'!$G:$G),"")</f>
        <v/>
      </c>
      <c r="Q356" s="355"/>
      <c r="R356" s="23"/>
      <c r="S356" s="25"/>
      <c r="T356" s="25"/>
      <c r="U356" s="23" t="str">
        <f>IF(ISNUMBER(SEARCH("Parcel",$T356)),"X","")</f>
        <v/>
      </c>
      <c r="V356" s="23" t="str">
        <f>IF(ISNUMBER(SEARCH("Freight",$T356)),"X","")</f>
        <v/>
      </c>
      <c r="W356" s="26"/>
      <c r="X356" s="27"/>
      <c r="Y356" s="25" t="str">
        <f>IF(Out_Table[[#This Row],[DOC Del. hr. (RTH)]]&lt;&gt;"","XXX","")</f>
        <v/>
      </c>
      <c r="Z356" s="25"/>
      <c r="AA356" s="25"/>
      <c r="AB356" s="57"/>
      <c r="AC356" s="25"/>
      <c r="AD356" s="25"/>
      <c r="AE356" s="57"/>
      <c r="AF356" s="57"/>
      <c r="AG356" s="25"/>
      <c r="AH356" s="57"/>
      <c r="AI356" s="339"/>
      <c r="AJ356" s="339"/>
      <c r="AK356" s="297" t="str">
        <f>IF(X356&lt;&gt;"",CONCATENATE(IF(AA356&lt;&gt;"",CONCATENATE(Z356," ",AA356," ",BI356),""),IF(AD356&lt;&gt;"",CONCATENATE(","," ",AC356," ",AD356," ",BJ356),""),IF(AG356&lt;&gt;"",CONCATENATE(","," ",AF356," ",AG356," ",BK356),""),IF(AJ356&lt;&gt;"",CONCATENATE(","," ","DD"," ",BL356),"")," ",IF(AI356&lt;&gt;"",CONCATENATE(" - ",AI356," Bag"),"")),"")</f>
        <v/>
      </c>
      <c r="AL356" s="287"/>
      <c r="AM356" s="287"/>
      <c r="AN356" s="287"/>
      <c r="AO356" s="287"/>
      <c r="AP356" s="370" t="str">
        <f>IFERROR(VLOOKUP($E353,Outlist!$A$5:$V$120,20,FALSE),"")</f>
        <v/>
      </c>
      <c r="AQ356" s="288" t="str">
        <f>IFERROR(IF(VLOOKUP($A356,#REF!,8,FALSE)&lt;&gt;"",VLOOKUP($A356,#REF!,8,FALSE),""),"")</f>
        <v/>
      </c>
      <c r="AS356" s="24"/>
      <c r="AT356" s="24"/>
      <c r="AU356" s="27"/>
      <c r="AV356" s="27"/>
      <c r="AX356" s="20" t="str">
        <f>IFERROR(IF(Out_Table[[#This Row],[Cancellazione linea]]="Cancellata","yes",""),"")</f>
        <v/>
      </c>
      <c r="AY356" s="72" t="str">
        <f>IF(BA356="",BZ356,IF(AND(BA356&lt;(--"23:59:59"),BA356&gt;(--"15:00:00"),G356&lt;(--"14:00:00"),G356&gt;(--"00:00:01")),"",IF(BA356&gt;G356,BZ356,"")))</f>
        <v/>
      </c>
      <c r="AZ356" s="27"/>
      <c r="BA356" s="32"/>
      <c r="BB356" s="72"/>
      <c r="BC356" s="72" t="str">
        <f>IFERROR(VLOOKUP(Out_Table[[#This Row],[Aggiornamento STATUS]],'INformazioni per calcoli'!$Y$70:$AA$76,2,FALSE),"")</f>
        <v/>
      </c>
      <c r="BD356" s="289"/>
      <c r="BE356" s="289"/>
      <c r="BF356" s="47" t="str">
        <f>LEFT($E356,3)</f>
        <v/>
      </c>
      <c r="BG356" s="298" t="str">
        <f>IF(Out_Table[[#This Row],[Ora Uscita    (GH)]]&lt;&gt;"","x","")</f>
        <v/>
      </c>
      <c r="BH356" s="299" t="e">
        <f>VLOOKUP($O356,'INformazioni per calcoli'!$Y$20:$AA$23,3,FALSE)</f>
        <v>#N/A</v>
      </c>
      <c r="BI356" s="299" t="e">
        <f>MROUND(Out_Table[[#This Row],[Mtr. Trailer]]*AB356,0.5)</f>
        <v>#N/A</v>
      </c>
      <c r="BJ356" s="299" t="e">
        <f>MROUND(Out_Table[[#This Row],[Mtr. Trailer]]*AE356,0.5)</f>
        <v>#N/A</v>
      </c>
      <c r="BK356" s="299" t="e">
        <f>MROUND(Out_Table[[#This Row],[Mtr. Trailer]]*AH356,0.5)</f>
        <v>#N/A</v>
      </c>
      <c r="BL356" s="300">
        <f>Out_Table[[#This Row],[Double Deck trailer N° bumpers]]</f>
        <v>0</v>
      </c>
      <c r="BM356" s="301"/>
      <c r="BN356" s="299">
        <f>B356</f>
        <v>0</v>
      </c>
      <c r="BO356" s="299">
        <f>E356</f>
        <v>0</v>
      </c>
      <c r="BP356" s="302">
        <f>IF(AND(G356&gt;(--"00:00:01"),G356&lt;(--"15:00:00")),IF(AND(X356&gt;(--"00:00:01"),X356&lt;(--"15:00:00")),G356-X356,G356+1-X356),G356-X356)</f>
        <v>0</v>
      </c>
      <c r="BQ356" s="303">
        <f>AE356+AF356+AH356+AJ356</f>
        <v>0</v>
      </c>
      <c r="BR356" s="304" t="str">
        <f>IF(OR(BP356&lt;=(--"00:20:00"),BQ356&gt;=100%),"OK","Not OK")</f>
        <v>OK</v>
      </c>
      <c r="BS356" s="302">
        <f>IF(AND(G356&gt;(--"00:00:01"),G356&lt;(--"15:00:00")),IF(AND(AU356&gt;(--"00:00:01"),AU356&lt;(--"15:00:00")),G356-AU356,G356+1-AU356),G356-AU356)</f>
        <v>0</v>
      </c>
      <c r="BT356" s="302">
        <f>IF(AND(AZ356&gt;(--"00:00:01"),AZ356&lt;(--"15:00:00")),IF(AND(AU356&gt;(--"00:00:01"),AU356&lt;(--"15:00:00")),AZ356-AU356,AZ356+1-AU356),AZ356-AU356)</f>
        <v>0</v>
      </c>
      <c r="BU356" s="302">
        <f>IF(AND(BA356&gt;(--"00:00:01"),BA356&lt;(--"15:00:00")),IF(AND(AZ356&gt;(--"00:00:01"),AZ356&lt;(--"15:00:00")),BA356-AZ356,BA356+1-AZ356),BA356-AZ356)</f>
        <v>0</v>
      </c>
      <c r="BV356" s="299">
        <f>AV356</f>
        <v>0</v>
      </c>
      <c r="BW356" s="301"/>
      <c r="BX356" s="299" t="str">
        <f>IF(AV356="T Status",IF(AV356&lt;&gt;T356,"X",""),"")</f>
        <v/>
      </c>
      <c r="BY356" s="301"/>
      <c r="BZ356" s="299" t="str">
        <f>IF(X356&lt;&gt;"",IF(CC356="X","Driver Delay",IF(CA356="X","Paperwork Delay",IF(CB356="X","Late freight late sort",IF(CD356="X","Chiamare Control Room",IF(CE356="X","Chiamare Control Room",IF(CF356="X","Chiamare Control Room","")))))),"")</f>
        <v/>
      </c>
      <c r="CA356" s="302" t="str">
        <f>IF(K356="",IF(IF(AND(G356&gt;(--"00:00:01"),G356&lt;(--"15:00:00")),IF(AND(AT356&gt;(--"08:00:00"),AT356&lt;(--"23:59:59")),G356+1-AT356,G356-AT356),G356-AT356)&gt;(--"00:20:00"),"","X"),"")</f>
        <v>X</v>
      </c>
      <c r="CB356" s="299" t="str">
        <f>IF(K356="",IF(BP356&gt;=(--"00:20:00"),"","X"),"")</f>
        <v>X</v>
      </c>
      <c r="CC356" s="299" t="str">
        <f>IF(OR(AV356="Autista non presente",AV356="Dati driver non presenti"),"X","")</f>
        <v/>
      </c>
      <c r="CD356" s="299" t="str">
        <f>IF(K356="",IF(AND(CC356="",BS356&lt;(--"00:20:00")),"X",""),"")</f>
        <v>X</v>
      </c>
      <c r="CE356" s="299" t="str">
        <f>IF(K356="",IF(BT356&gt;(--"00:15:00"),"X",""),IF(AZ356&lt;&gt;"",IF(G356-AZ356&gt;(--"00:30:00"),"X",""),""))</f>
        <v/>
      </c>
      <c r="CF356" s="299" t="str">
        <f>IF(AND(CA356="",CB356="",CC356="",CD356="",CE356=""),"X","")</f>
        <v/>
      </c>
      <c r="CG356" s="301"/>
      <c r="CH356" s="299" t="str">
        <f>IF(BT356&gt;(--"00:15:00"),"X","")</f>
        <v/>
      </c>
      <c r="CI356" s="302" t="str">
        <f>AY356</f>
        <v/>
      </c>
      <c r="CJ356" s="299" t="str">
        <f>IF(AND(CH356&lt;&gt;"",CI356&lt;&gt;"",LEFT(B356,3)="ITD"),AP356,"")</f>
        <v/>
      </c>
      <c r="CK356" s="305" t="str">
        <f>IF(CJ356&lt;&gt;"",BT356,"")</f>
        <v/>
      </c>
      <c r="CL356" s="301"/>
      <c r="CM356" s="305" t="str">
        <f>IFERROR(VLOOKUP(Q356,'Elenco Casse'!$D$4:$F$292,3,FALSE),"")</f>
        <v/>
      </c>
      <c r="CN356" s="301"/>
      <c r="CO356" s="305" t="str">
        <f>IFERROR(VLOOKUP(S356,'Elenco Casse'!$D$4:$F$292,3,FALSE),"")</f>
        <v/>
      </c>
      <c r="CP356" s="305" t="str">
        <f>IFERROR(IF(VLOOKUP($E356,Outlist!$A$5:$S$120,19,FALSE)&lt;&gt;0,"Y",""),"")</f>
        <v/>
      </c>
      <c r="CQ356" s="301"/>
      <c r="CR356" s="305" t="str">
        <f>CONCATENATE($B356,$E356,$G356)</f>
        <v/>
      </c>
      <c r="CS356" s="301"/>
      <c r="CT356" s="305" t="e">
        <f>VLOOKUP(Out_Table[[#This Row],[Destination             ORANGE (From Planning)]],Outlist!$A$5:$W$120,22,FALSE)</f>
        <v>#N/A</v>
      </c>
    </row>
    <row r="357" spans="1:98" s="20" customFormat="1" ht="15">
      <c r="A357" s="305" t="str">
        <f>$CR357</f>
        <v/>
      </c>
      <c r="B357" s="284"/>
      <c r="C357" s="290">
        <f ca="1">IFERROR(IF(LEFT(B357,3)='STAT 77'!$X$2,_xlfn.XLOOKUP(B357,'STAT 77'!C:C,'STAT 77'!B:B),_xlfn.XLOOKUP(B357,'STAT 77'!B:B,'STAT 77'!C:C)),"NON TROVATO")</f>
        <v>0</v>
      </c>
      <c r="D357" s="25"/>
      <c r="E357" s="25"/>
      <c r="F357" s="290" t="str">
        <f>IFERROR(VLOOKUP(E357,'Cambio O2P'!C:E,2,FALSE),"")</f>
        <v/>
      </c>
      <c r="G357" s="285"/>
      <c r="H357" s="293" t="str">
        <f ca="1">IFERROR(IF(AND('INformazioni per calcoli'!$AB$3&lt;(--"14:30"),'INformazioni per calcoli'!$AB$3&gt;(--"10:00")),"",IF($B357="","",IF($X357&lt;&gt;"","Mezzo Chiuso",IF($W357="","Non al Carico",IF($G357-'INformazioni per calcoli'!$AB$5-'INformazioni per calcoli'!$AB$3+$J357&lt;0,"LFLS",IF($K357&lt;&gt;"","Safe Parking",IF($W357&lt;&gt;"",IF($E357="MXP",$G357-'INformazioni per calcoli'!$AB$6-'INformazioni per calcoli'!$AB$3+$J357,$G357-'INformazioni per calcoli'!$AB$5-'INformazioni per calcoli'!$AB$3+$J357),"Non al carico"))))))),"")</f>
        <v/>
      </c>
      <c r="I357" s="17" t="str">
        <f ca="1">IFERROR(IF($H357&lt;&gt;"",IF($H357="Safe Parking","",IF($W357&lt;&gt;"",IF(AND($U357="X",$V357="X"),$H357-(--"00:30"),""),IF($X357&lt;&gt;"","Mezzo Chiuso","Non al carico"))),""),"")</f>
        <v/>
      </c>
      <c r="J357" s="306" t="str">
        <f>IFERROR(IF($B357&lt;&gt;"",IF(AND('INformazioni per calcoli'!$AB$3&lt;(--"15:00"),'INformazioni per calcoli'!$AB$3&gt;(--"00:00")),0,IF($G357&lt;(--"18:30"),"+1",0)),""),"")</f>
        <v/>
      </c>
      <c r="K357" s="27"/>
      <c r="L357" s="25"/>
      <c r="M357" s="25" t="str">
        <f>IFERROR(_xlfn.XLOOKUP($Q357,'Elenco Casse'!$D:$D,'Elenco Casse'!$E:$E),"")</f>
        <v/>
      </c>
      <c r="N357" s="25" t="str">
        <f>IFERROR(_xlfn.XLOOKUP($Q357,'Elenco Casse'!$D:$D,'Elenco Casse'!$F:$F),"")</f>
        <v/>
      </c>
      <c r="O357" s="286"/>
      <c r="P357" s="295" t="str">
        <f>IFERROR(_xlfn.XLOOKUP($Q357,'Elenco Casse'!$D:$D,'Elenco Casse'!$G:$G),"")</f>
        <v/>
      </c>
      <c r="Q357" s="355"/>
      <c r="R357" s="23"/>
      <c r="S357" s="25"/>
      <c r="T357" s="25"/>
      <c r="U357" s="23" t="str">
        <f>IF(ISNUMBER(SEARCH("Parcel",$T357)),"X","")</f>
        <v/>
      </c>
      <c r="V357" s="23" t="str">
        <f>IF(ISNUMBER(SEARCH("Freight",$T357)),"X","")</f>
        <v/>
      </c>
      <c r="W357" s="26"/>
      <c r="X357" s="27"/>
      <c r="Y357" s="25" t="str">
        <f>IF(Out_Table[[#This Row],[DOC Del. hr. (RTH)]]&lt;&gt;"","XXX","")</f>
        <v/>
      </c>
      <c r="Z357" s="25"/>
      <c r="AA357" s="25"/>
      <c r="AB357" s="57"/>
      <c r="AC357" s="25"/>
      <c r="AD357" s="25"/>
      <c r="AE357" s="57"/>
      <c r="AF357" s="57"/>
      <c r="AG357" s="25"/>
      <c r="AH357" s="57"/>
      <c r="AI357" s="339"/>
      <c r="AJ357" s="339"/>
      <c r="AK357" s="297" t="str">
        <f>IF(X357&lt;&gt;"",CONCATENATE(IF(AA357&lt;&gt;"",CONCATENATE(Z357," ",AA357," ",BI357),""),IF(AD357&lt;&gt;"",CONCATENATE(","," ",AC357," ",AD357," ",BJ357),""),IF(AG357&lt;&gt;"",CONCATENATE(","," ",AF357," ",AG357," ",BK357),""),IF(AJ357&lt;&gt;"",CONCATENATE(","," ","DD"," ",BL357),"")," ",IF(AI357&lt;&gt;"",CONCATENATE(" - ",AI357," Bag"),"")),"")</f>
        <v/>
      </c>
      <c r="AL357" s="287"/>
      <c r="AM357" s="287"/>
      <c r="AN357" s="287"/>
      <c r="AO357" s="287"/>
      <c r="AP357" s="370" t="str">
        <f>IFERROR(VLOOKUP($E357,Outlist!$A$5:$V$120,20,FALSE),"")</f>
        <v/>
      </c>
      <c r="AQ357" s="288" t="str">
        <f>IFERROR(IF(VLOOKUP($A357,#REF!,8,FALSE)&lt;&gt;"",VLOOKUP($A357,#REF!,8,FALSE),""),"")</f>
        <v/>
      </c>
      <c r="AS357" s="24"/>
      <c r="AT357" s="24"/>
      <c r="AU357" s="27"/>
      <c r="AV357" s="27"/>
      <c r="AX357" s="20" t="str">
        <f>IFERROR(IF(Out_Table[[#This Row],[Cancellazione linea]]="Cancellata","yes",""),"")</f>
        <v/>
      </c>
      <c r="AY357" s="72" t="str">
        <f>IF(BA357="",BZ357,IF(AND(BA357&lt;(--"23:59:59"),BA357&gt;(--"15:00:00"),G357&lt;(--"14:00:00"),G357&gt;(--"00:00:01")),"",IF(BA357&gt;G357,BZ357,"")))</f>
        <v/>
      </c>
      <c r="AZ357" s="27"/>
      <c r="BA357" s="32"/>
      <c r="BB357" s="72"/>
      <c r="BC357" s="72" t="str">
        <f>IFERROR(VLOOKUP(Out_Table[[#This Row],[Aggiornamento STATUS]],'INformazioni per calcoli'!$Y$70:$AA$76,2,FALSE),"")</f>
        <v/>
      </c>
      <c r="BD357" s="289"/>
      <c r="BE357" s="289"/>
      <c r="BF357" s="47" t="str">
        <f>LEFT($E357,3)</f>
        <v/>
      </c>
      <c r="BG357" s="298" t="str">
        <f>IF(Out_Table[[#This Row],[Ora Uscita    (GH)]]&lt;&gt;"","x","")</f>
        <v/>
      </c>
      <c r="BH357" s="299" t="e">
        <f>VLOOKUP($O357,'INformazioni per calcoli'!$Y$20:$AA$23,3,FALSE)</f>
        <v>#N/A</v>
      </c>
      <c r="BI357" s="299" t="e">
        <f>MROUND(Out_Table[[#This Row],[Mtr. Trailer]]*AB357,0.5)</f>
        <v>#N/A</v>
      </c>
      <c r="BJ357" s="299" t="e">
        <f>MROUND(Out_Table[[#This Row],[Mtr. Trailer]]*AE357,0.5)</f>
        <v>#N/A</v>
      </c>
      <c r="BK357" s="299" t="e">
        <f>MROUND(Out_Table[[#This Row],[Mtr. Trailer]]*AH357,0.5)</f>
        <v>#N/A</v>
      </c>
      <c r="BL357" s="300">
        <f>Out_Table[[#This Row],[Double Deck trailer N° bumpers]]</f>
        <v>0</v>
      </c>
      <c r="BM357" s="301"/>
      <c r="BN357" s="299">
        <f>B357</f>
        <v>0</v>
      </c>
      <c r="BO357" s="299">
        <f>E357</f>
        <v>0</v>
      </c>
      <c r="BP357" s="302">
        <f>IF(AND(G357&gt;(--"00:00:01"),G357&lt;(--"15:00:00")),IF(AND(X357&gt;(--"00:00:01"),X357&lt;(--"15:00:00")),G357-X357,G357+1-X357),G357-X357)</f>
        <v>0</v>
      </c>
      <c r="BQ357" s="303">
        <f>AE357+AF357+AH357+AJ357</f>
        <v>0</v>
      </c>
      <c r="BR357" s="304" t="str">
        <f>IF(OR(BP357&lt;=(--"00:20:00"),BQ357&gt;=100%),"OK","Not OK")</f>
        <v>OK</v>
      </c>
      <c r="BS357" s="302">
        <f>IF(AND(G357&gt;(--"00:00:01"),G357&lt;(--"15:00:00")),IF(AND(AU357&gt;(--"00:00:01"),AU357&lt;(--"15:00:00")),G357-AU357,G357+1-AU357),G357-AU357)</f>
        <v>0</v>
      </c>
      <c r="BT357" s="302">
        <f>IF(AND(AZ357&gt;(--"00:00:01"),AZ357&lt;(--"15:00:00")),IF(AND(AU357&gt;(--"00:00:01"),AU357&lt;(--"15:00:00")),AZ357-AU357,AZ357+1-AU357),AZ357-AU357)</f>
        <v>0</v>
      </c>
      <c r="BU357" s="302">
        <f>IF(AND(BA357&gt;(--"00:00:01"),BA357&lt;(--"15:00:00")),IF(AND(AZ357&gt;(--"00:00:01"),AZ357&lt;(--"15:00:00")),BA357-AZ357,BA357+1-AZ357),BA357-AZ357)</f>
        <v>0</v>
      </c>
      <c r="BV357" s="299">
        <f>AV357</f>
        <v>0</v>
      </c>
      <c r="BW357" s="301"/>
      <c r="BX357" s="299" t="str">
        <f>IF(AV357="T Status",IF(AV357&lt;&gt;T357,"X",""),"")</f>
        <v/>
      </c>
      <c r="BY357" s="301"/>
      <c r="BZ357" s="299" t="str">
        <f>IF(X357&lt;&gt;"",IF(CC357="X","Driver Delay",IF(CA357="X","Paperwork Delay",IF(CB357="X","Late freight late sort",IF(CD357="X","Chiamare Control Room",IF(CE357="X","Chiamare Control Room",IF(CF357="X","Chiamare Control Room","")))))),"")</f>
        <v/>
      </c>
      <c r="CA357" s="302" t="str">
        <f>IF(K357="",IF(IF(AND(G357&gt;(--"00:00:01"),G357&lt;(--"15:00:00")),IF(AND(AT357&gt;(--"08:00:00"),AT357&lt;(--"23:59:59")),G357+1-AT357,G357-AT357),G357-AT357)&gt;(--"00:20:00"),"","X"),"")</f>
        <v>X</v>
      </c>
      <c r="CB357" s="299" t="str">
        <f>IF(K357="",IF(BP357&gt;=(--"00:20:00"),"","X"),"")</f>
        <v>X</v>
      </c>
      <c r="CC357" s="299" t="str">
        <f>IF(OR(AV357="Autista non presente",AV357="Dati driver non presenti"),"X","")</f>
        <v/>
      </c>
      <c r="CD357" s="299" t="str">
        <f>IF(K357="",IF(AND(CC357="",BS357&lt;(--"00:20:00")),"X",""),"")</f>
        <v>X</v>
      </c>
      <c r="CE357" s="299" t="str">
        <f>IF(K357="",IF(BT357&gt;(--"00:15:00"),"X",""),IF(AZ357&lt;&gt;"",IF(G357-AZ357&gt;(--"00:30:00"),"X",""),""))</f>
        <v/>
      </c>
      <c r="CF357" s="299" t="str">
        <f>IF(AND(CA357="",CB357="",CC357="",CD357="",CE357=""),"X","")</f>
        <v/>
      </c>
      <c r="CG357" s="301"/>
      <c r="CH357" s="299" t="str">
        <f>IF(BT357&gt;(--"00:15:00"),"X","")</f>
        <v/>
      </c>
      <c r="CI357" s="302" t="str">
        <f>AY357</f>
        <v/>
      </c>
      <c r="CJ357" s="299" t="str">
        <f>IF(AND(CH357&lt;&gt;"",CI357&lt;&gt;"",LEFT(B357,3)="ITD"),AP357,"")</f>
        <v/>
      </c>
      <c r="CK357" s="305" t="str">
        <f>IF(CJ357&lt;&gt;"",BT357,"")</f>
        <v/>
      </c>
      <c r="CL357" s="301"/>
      <c r="CM357" s="305" t="str">
        <f>IFERROR(VLOOKUP(Q357,'Elenco Casse'!$D$4:$F$292,3,FALSE),"")</f>
        <v/>
      </c>
      <c r="CN357" s="301"/>
      <c r="CO357" s="305" t="str">
        <f>IFERROR(VLOOKUP(S357,'Elenco Casse'!$D$4:$F$292,3,FALSE),"")</f>
        <v/>
      </c>
      <c r="CP357" s="305" t="str">
        <f>IFERROR(IF(VLOOKUP($E357,Outlist!$A$5:$S$120,19,FALSE)&lt;&gt;0,"Y",""),"")</f>
        <v/>
      </c>
      <c r="CQ357" s="301"/>
      <c r="CR357" s="305" t="str">
        <f>CONCATENATE($B357,$E357,$G357)</f>
        <v/>
      </c>
      <c r="CS357" s="301"/>
      <c r="CT357" s="305" t="e">
        <f>VLOOKUP(Out_Table[[#This Row],[Destination             ORANGE (From Planning)]],Outlist!$A$5:$W$120,22,FALSE)</f>
        <v>#N/A</v>
      </c>
    </row>
    <row r="358" spans="1:98" s="20" customFormat="1" ht="15">
      <c r="A358" s="305" t="str">
        <f>$CR358</f>
        <v/>
      </c>
      <c r="B358" s="284"/>
      <c r="C358" s="290" t="str">
        <f ca="1">IFERROR(IF(LEFT(B358,3)='STAT 77'!$X$2,_xlfn.XLOOKUP(B358,'STAT 77'!C:C,'STAT 77'!B:B),_xlfn.XLOOKUP(B358,'STAT 77'!B:B,'STAT 77'!C:C)),"NON TROVATO")</f>
        <v>NON TROVATO</v>
      </c>
      <c r="D358" s="25"/>
      <c r="E358" s="25"/>
      <c r="F358" s="290" t="str">
        <f>IFERROR(VLOOKUP(E358,'Cambio O2P'!C:E,2,FALSE),"")</f>
        <v/>
      </c>
      <c r="G358" s="285"/>
      <c r="H358" s="293" t="str">
        <f ca="1">IFERROR(IF(AND('INformazioni per calcoli'!$AB$3&lt;(--"14:30"),'INformazioni per calcoli'!$AB$3&gt;(--"10:00")),"",IF($B358="","",IF($X358&lt;&gt;"","Mezzo Chiuso",IF($W358="","Non al Carico",IF($G358-'INformazioni per calcoli'!$AB$5-'INformazioni per calcoli'!$AB$3+$J358&lt;0,"LFLS",IF($K358&lt;&gt;"","Safe Parking",IF($W358&lt;&gt;"",IF($E358="MXP",$G358-'INformazioni per calcoli'!$AB$6-'INformazioni per calcoli'!$AB$3+$J358,$G358-'INformazioni per calcoli'!$AB$5-'INformazioni per calcoli'!$AB$3+$J358),"Non al carico"))))))),"")</f>
        <v/>
      </c>
      <c r="I358" s="17" t="str">
        <f ca="1">IFERROR(IF($H358&lt;&gt;"",IF($H358="Safe Parking","",IF($W358&lt;&gt;"",IF(AND($U358="X",$V358="X"),$H358-(--"00:30"),""),IF($X358&lt;&gt;"","Mezzo Chiuso","Non al carico"))),""),"")</f>
        <v/>
      </c>
      <c r="J358" s="306" t="str">
        <f>IFERROR(IF($B358&lt;&gt;"",IF(AND('INformazioni per calcoli'!$AB$3&lt;(--"15:00"),'INformazioni per calcoli'!$AB$3&gt;(--"00:00")),0,IF($G358&lt;(--"18:30"),"+1",0)),""),"")</f>
        <v/>
      </c>
      <c r="K358" s="27"/>
      <c r="L358" s="25"/>
      <c r="M358" s="25" t="str">
        <f>IFERROR(_xlfn.XLOOKUP($Q358,'Elenco Casse'!$D:$D,'Elenco Casse'!$E:$E),"")</f>
        <v/>
      </c>
      <c r="N358" s="25" t="str">
        <f>IFERROR(_xlfn.XLOOKUP($Q358,'Elenco Casse'!$D:$D,'Elenco Casse'!$F:$F),"")</f>
        <v/>
      </c>
      <c r="O358" s="286"/>
      <c r="P358" s="295" t="str">
        <f>IFERROR(_xlfn.XLOOKUP($Q358,'Elenco Casse'!$D:$D,'Elenco Casse'!$G:$G),"")</f>
        <v/>
      </c>
      <c r="Q358" s="355"/>
      <c r="R358" s="23"/>
      <c r="S358" s="25"/>
      <c r="T358" s="25"/>
      <c r="U358" s="23" t="str">
        <f>IF(ISNUMBER(SEARCH("Parcel",$T358)),"X","")</f>
        <v/>
      </c>
      <c r="V358" s="23" t="str">
        <f>IF(ISNUMBER(SEARCH("Freight",$T358)),"X","")</f>
        <v/>
      </c>
      <c r="W358" s="26"/>
      <c r="X358" s="27"/>
      <c r="Y358" s="25" t="str">
        <f>IF(Out_Table[[#This Row],[DOC Del. hr. (RTH)]]&lt;&gt;"","XXX","")</f>
        <v/>
      </c>
      <c r="Z358" s="25"/>
      <c r="AA358" s="25"/>
      <c r="AB358" s="57"/>
      <c r="AC358" s="25"/>
      <c r="AD358" s="25"/>
      <c r="AE358" s="57"/>
      <c r="AF358" s="57"/>
      <c r="AG358" s="25"/>
      <c r="AH358" s="57"/>
      <c r="AI358" s="339"/>
      <c r="AJ358" s="339"/>
      <c r="AK358" s="297" t="str">
        <f>IF(X358&lt;&gt;"",CONCATENATE(IF(AA358&lt;&gt;"",CONCATENATE(Z358," ",AA358," ",BI358),""),IF(AD358&lt;&gt;"",CONCATENATE(","," ",AC358," ",AD358," ",BJ358),""),IF(AG358&lt;&gt;"",CONCATENATE(","," ",AF358," ",AG358," ",BK358),""),IF(AJ358&lt;&gt;"",CONCATENATE(","," ","DD"," ",BL358),"")," ",IF(AI358&lt;&gt;"",CONCATENATE(" - ",AI358," Bag"),"")),"")</f>
        <v/>
      </c>
      <c r="AL358" s="287"/>
      <c r="AM358" s="287"/>
      <c r="AN358" s="287"/>
      <c r="AO358" s="287"/>
      <c r="AP358" s="370" t="str">
        <f>IFERROR(VLOOKUP($E358,Outlist!$A$5:$V$120,20,FALSE),"")</f>
        <v/>
      </c>
      <c r="AQ358" s="288" t="str">
        <f>IFERROR(IF(VLOOKUP($A358,#REF!,8,FALSE)&lt;&gt;"",VLOOKUP($A358,#REF!,8,FALSE),""),"")</f>
        <v/>
      </c>
      <c r="AS358" s="24"/>
      <c r="AT358" s="24"/>
      <c r="AU358" s="27"/>
      <c r="AV358" s="27"/>
      <c r="AX358" s="20" t="str">
        <f>IFERROR(IF(Out_Table[[#This Row],[Cancellazione linea]]="Cancellata","yes",""),"")</f>
        <v/>
      </c>
      <c r="AY358" s="72" t="str">
        <f>IF(BA358="",BZ358,IF(AND(BA358&lt;(--"23:59:59"),BA358&gt;(--"15:00:00"),G358&lt;(--"14:00:00"),G358&gt;(--"00:00:01")),"",IF(BA358&gt;G358,BZ358,"")))</f>
        <v/>
      </c>
      <c r="AZ358" s="27"/>
      <c r="BA358" s="32"/>
      <c r="BB358" s="72"/>
      <c r="BC358" s="72" t="str">
        <f>IFERROR(VLOOKUP(Out_Table[[#This Row],[Aggiornamento STATUS]],'INformazioni per calcoli'!$Y$70:$AA$76,2,FALSE),"")</f>
        <v/>
      </c>
      <c r="BD358" s="289"/>
      <c r="BE358" s="289"/>
      <c r="BF358" s="47" t="str">
        <f>LEFT($E358,3)</f>
        <v/>
      </c>
      <c r="BG358" s="298" t="str">
        <f>IF(Out_Table[[#This Row],[Ora Uscita    (GH)]]&lt;&gt;"","x","")</f>
        <v/>
      </c>
      <c r="BH358" s="299" t="e">
        <f>VLOOKUP($O358,'INformazioni per calcoli'!$Y$20:$AA$23,3,FALSE)</f>
        <v>#N/A</v>
      </c>
      <c r="BI358" s="299" t="e">
        <f>MROUND(Out_Table[[#This Row],[Mtr. Trailer]]*AB358,0.5)</f>
        <v>#N/A</v>
      </c>
      <c r="BJ358" s="299" t="e">
        <f>MROUND(Out_Table[[#This Row],[Mtr. Trailer]]*AE358,0.5)</f>
        <v>#N/A</v>
      </c>
      <c r="BK358" s="299" t="e">
        <f>MROUND(Out_Table[[#This Row],[Mtr. Trailer]]*AH358,0.5)</f>
        <v>#N/A</v>
      </c>
      <c r="BL358" s="300">
        <f>Out_Table[[#This Row],[Double Deck trailer N° bumpers]]</f>
        <v>0</v>
      </c>
      <c r="BM358" s="301"/>
      <c r="BN358" s="299">
        <f>B358</f>
        <v>0</v>
      </c>
      <c r="BO358" s="299">
        <f>E358</f>
        <v>0</v>
      </c>
      <c r="BP358" s="302">
        <f>IF(AND(G358&gt;(--"00:00:01"),G358&lt;(--"15:00:00")),IF(AND(X358&gt;(--"00:00:01"),X358&lt;(--"15:00:00")),G358-X358,G358+1-X358),G358-X358)</f>
        <v>0</v>
      </c>
      <c r="BQ358" s="303">
        <f>AE358+AF358+AH358+AJ358</f>
        <v>0</v>
      </c>
      <c r="BR358" s="304" t="str">
        <f>IF(OR(BP358&lt;=(--"00:20:00"),BQ358&gt;=100%),"OK","Not OK")</f>
        <v>OK</v>
      </c>
      <c r="BS358" s="302">
        <f>IF(AND(G358&gt;(--"00:00:01"),G358&lt;(--"15:00:00")),IF(AND(AU358&gt;(--"00:00:01"),AU358&lt;(--"15:00:00")),G358-AU358,G358+1-AU358),G358-AU358)</f>
        <v>0</v>
      </c>
      <c r="BT358" s="302">
        <f>IF(AND(AZ358&gt;(--"00:00:01"),AZ358&lt;(--"15:00:00")),IF(AND(AU358&gt;(--"00:00:01"),AU358&lt;(--"15:00:00")),AZ358-AU358,AZ358+1-AU358),AZ358-AU358)</f>
        <v>0</v>
      </c>
      <c r="BU358" s="302">
        <f>IF(AND(BA358&gt;(--"00:00:01"),BA358&lt;(--"15:00:00")),IF(AND(AZ358&gt;(--"00:00:01"),AZ358&lt;(--"15:00:00")),BA358-AZ358,BA358+1-AZ358),BA358-AZ358)</f>
        <v>0</v>
      </c>
      <c r="BV358" s="299">
        <f>AV358</f>
        <v>0</v>
      </c>
      <c r="BW358" s="301"/>
      <c r="BX358" s="299" t="str">
        <f>IF(AV358="T Status",IF(AV358&lt;&gt;T358,"X",""),"")</f>
        <v/>
      </c>
      <c r="BY358" s="301"/>
      <c r="BZ358" s="299" t="str">
        <f>IF(X358&lt;&gt;"",IF(CC358="X","Driver Delay",IF(CA358="X","Paperwork Delay",IF(CB358="X","Late freight late sort",IF(CD358="X","Chiamare Control Room",IF(CE358="X","Chiamare Control Room",IF(CF358="X","Chiamare Control Room","")))))),"")</f>
        <v/>
      </c>
      <c r="CA358" s="302" t="str">
        <f>IF(K358="",IF(IF(AND(G358&gt;(--"00:00:01"),G358&lt;(--"15:00:00")),IF(AND(AT358&gt;(--"08:00:00"),AT358&lt;(--"23:59:59")),G358+1-AT358,G358-AT358),G358-AT358)&gt;(--"00:20:00"),"","X"),"")</f>
        <v>X</v>
      </c>
      <c r="CB358" s="299" t="str">
        <f>IF(K358="",IF(BP358&gt;=(--"00:20:00"),"","X"),"")</f>
        <v>X</v>
      </c>
      <c r="CC358" s="299" t="str">
        <f>IF(OR(AV358="Autista non presente",AV358="Dati driver non presenti"),"X","")</f>
        <v/>
      </c>
      <c r="CD358" s="299" t="str">
        <f>IF(K358="",IF(AND(CC358="",BS358&lt;(--"00:20:00")),"X",""),"")</f>
        <v>X</v>
      </c>
      <c r="CE358" s="299" t="str">
        <f>IF(K358="",IF(BT358&gt;(--"00:15:00"),"X",""),IF(AZ358&lt;&gt;"",IF(G358-AZ358&gt;(--"00:30:00"),"X",""),""))</f>
        <v/>
      </c>
      <c r="CF358" s="299" t="str">
        <f>IF(AND(CA358="",CB358="",CC358="",CD358="",CE358=""),"X","")</f>
        <v/>
      </c>
      <c r="CG358" s="301"/>
      <c r="CH358" s="299" t="str">
        <f>IF(BT358&gt;(--"00:15:00"),"X","")</f>
        <v/>
      </c>
      <c r="CI358" s="302" t="str">
        <f>AY358</f>
        <v/>
      </c>
      <c r="CJ358" s="299" t="str">
        <f>IF(AND(CH358&lt;&gt;"",CI358&lt;&gt;"",LEFT(B358,3)="ITD"),AP358,"")</f>
        <v/>
      </c>
      <c r="CK358" s="305" t="str">
        <f>IF(CJ358&lt;&gt;"",BT358,"")</f>
        <v/>
      </c>
      <c r="CL358" s="301"/>
      <c r="CM358" s="305" t="str">
        <f>IFERROR(VLOOKUP(Q358,'Elenco Casse'!$D$4:$F$292,3,FALSE),"")</f>
        <v/>
      </c>
      <c r="CN358" s="301"/>
      <c r="CO358" s="305" t="str">
        <f>IFERROR(VLOOKUP(S358,'Elenco Casse'!$D$4:$F$292,3,FALSE),"")</f>
        <v/>
      </c>
      <c r="CP358" s="305" t="str">
        <f>IFERROR(IF(VLOOKUP($E358,Outlist!$A$5:$S$120,19,FALSE)&lt;&gt;0,"Y",""),"")</f>
        <v/>
      </c>
      <c r="CQ358" s="301"/>
      <c r="CR358" s="305" t="str">
        <f>CONCATENATE($B358,$E358,$G358)</f>
        <v/>
      </c>
      <c r="CS358" s="301"/>
      <c r="CT358" s="305" t="e">
        <f>VLOOKUP(Out_Table[[#This Row],[Destination             ORANGE (From Planning)]],Outlist!$A$5:$W$120,22,FALSE)</f>
        <v>#N/A</v>
      </c>
    </row>
    <row r="359" spans="1:98" s="20" customFormat="1" ht="15">
      <c r="A359" s="305" t="str">
        <f>$CR359</f>
        <v/>
      </c>
      <c r="B359" s="284"/>
      <c r="C359" s="290">
        <f ca="1">IFERROR(IF(LEFT(B359,3)='STAT 77'!$X$2,_xlfn.XLOOKUP(B359,'STAT 77'!C:C,'STAT 77'!B:B),_xlfn.XLOOKUP(B359,'STAT 77'!B:B,'STAT 77'!C:C)),"NON TROVATO")</f>
        <v>0</v>
      </c>
      <c r="D359" s="25"/>
      <c r="E359" s="25"/>
      <c r="F359" s="290" t="str">
        <f>IFERROR(VLOOKUP(E359,'Cambio O2P'!C:E,2,FALSE),"")</f>
        <v/>
      </c>
      <c r="G359" s="285"/>
      <c r="H359" s="293" t="str">
        <f ca="1">IFERROR(IF(AND('INformazioni per calcoli'!$AB$3&lt;(--"14:30"),'INformazioni per calcoli'!$AB$3&gt;(--"10:00")),"",IF($B359="","",IF($X359&lt;&gt;"","Mezzo Chiuso",IF($W359="","Non al Carico",IF($G359-'INformazioni per calcoli'!$AB$5-'INformazioni per calcoli'!$AB$3+$J359&lt;0,"LFLS",IF($K359&lt;&gt;"","Safe Parking",IF($W359&lt;&gt;"",IF($E359="MXP",$G359-'INformazioni per calcoli'!$AB$6-'INformazioni per calcoli'!$AB$3+$J359,$G359-'INformazioni per calcoli'!$AB$5-'INformazioni per calcoli'!$AB$3+$J359),"Non al carico"))))))),"")</f>
        <v/>
      </c>
      <c r="I359" s="17" t="str">
        <f ca="1">IFERROR(IF($H359&lt;&gt;"",IF($H359="Safe Parking","",IF($W359&lt;&gt;"",IF(AND($U359="X",$V359="X"),$H359-(--"00:30"),""),IF($X359&lt;&gt;"","Mezzo Chiuso","Non al carico"))),""),"")</f>
        <v/>
      </c>
      <c r="J359" s="306" t="str">
        <f>IFERROR(IF($B359&lt;&gt;"",IF(AND('INformazioni per calcoli'!$AB$3&lt;(--"15:00"),'INformazioni per calcoli'!$AB$3&gt;(--"00:00")),0,IF($G359&lt;(--"18:30"),"+1",0)),""),"")</f>
        <v/>
      </c>
      <c r="K359" s="27"/>
      <c r="L359" s="25"/>
      <c r="M359" s="25" t="str">
        <f>IFERROR(_xlfn.XLOOKUP($Q359,'Elenco Casse'!$D:$D,'Elenco Casse'!$E:$E),"")</f>
        <v/>
      </c>
      <c r="N359" s="25" t="str">
        <f>IFERROR(_xlfn.XLOOKUP($Q359,'Elenco Casse'!$D:$D,'Elenco Casse'!$F:$F),"")</f>
        <v/>
      </c>
      <c r="O359" s="286"/>
      <c r="P359" s="295" t="str">
        <f>IFERROR(_xlfn.XLOOKUP($Q359,'Elenco Casse'!$D:$D,'Elenco Casse'!$G:$G),"")</f>
        <v/>
      </c>
      <c r="Q359" s="355"/>
      <c r="R359" s="23"/>
      <c r="S359" s="25"/>
      <c r="T359" s="25"/>
      <c r="U359" s="23" t="str">
        <f>IF(ISNUMBER(SEARCH("Parcel",$T359)),"X","")</f>
        <v/>
      </c>
      <c r="V359" s="23" t="str">
        <f>IF(ISNUMBER(SEARCH("Freight",$T359)),"X","")</f>
        <v/>
      </c>
      <c r="W359" s="26"/>
      <c r="X359" s="27"/>
      <c r="Y359" s="25" t="str">
        <f>IF(Out_Table[[#This Row],[DOC Del. hr. (RTH)]]&lt;&gt;"","XXX","")</f>
        <v/>
      </c>
      <c r="Z359" s="25"/>
      <c r="AA359" s="25"/>
      <c r="AB359" s="57"/>
      <c r="AC359" s="25"/>
      <c r="AD359" s="25"/>
      <c r="AE359" s="57"/>
      <c r="AF359" s="57"/>
      <c r="AG359" s="25"/>
      <c r="AH359" s="57"/>
      <c r="AI359" s="339"/>
      <c r="AJ359" s="339"/>
      <c r="AK359" s="297" t="str">
        <f>IF(X359&lt;&gt;"",CONCATENATE(IF(AA359&lt;&gt;"",CONCATENATE(Z359," ",AA359," ",BI359),""),IF(AD359&lt;&gt;"",CONCATENATE(","," ",AC359," ",AD359," ",BJ359),""),IF(AG359&lt;&gt;"",CONCATENATE(","," ",AF359," ",AG359," ",BK359),""),IF(AJ359&lt;&gt;"",CONCATENATE(","," ","DD"," ",BL359),"")," ",IF(AI359&lt;&gt;"",CONCATENATE(" - ",AI359," Bag"),"")),"")</f>
        <v/>
      </c>
      <c r="AL359" s="287"/>
      <c r="AM359" s="287"/>
      <c r="AN359" s="287"/>
      <c r="AO359" s="287"/>
      <c r="AP359" s="370" t="str">
        <f>IFERROR(VLOOKUP($E359,Outlist!$A$5:$V$120,20,FALSE),"")</f>
        <v/>
      </c>
      <c r="AQ359" s="288" t="str">
        <f>IFERROR(IF(VLOOKUP($A359,#REF!,8,FALSE)&lt;&gt;"",VLOOKUP($A359,#REF!,8,FALSE),""),"")</f>
        <v/>
      </c>
      <c r="AS359" s="24"/>
      <c r="AT359" s="24"/>
      <c r="AU359" s="27"/>
      <c r="AV359" s="27"/>
      <c r="AX359" s="20" t="str">
        <f>IFERROR(IF(Out_Table[[#This Row],[Cancellazione linea]]="Cancellata","yes",""),"")</f>
        <v/>
      </c>
      <c r="AY359" s="72" t="str">
        <f>IF(BA359="",BZ359,IF(AND(BA359&lt;(--"23:59:59"),BA359&gt;(--"15:00:00"),G359&lt;(--"14:00:00"),G359&gt;(--"00:00:01")),"",IF(BA359&gt;G359,BZ359,"")))</f>
        <v/>
      </c>
      <c r="AZ359" s="27"/>
      <c r="BA359" s="32"/>
      <c r="BB359" s="72"/>
      <c r="BC359" s="72" t="str">
        <f>IFERROR(VLOOKUP(Out_Table[[#This Row],[Aggiornamento STATUS]],'INformazioni per calcoli'!$Y$70:$AA$76,2,FALSE),"")</f>
        <v/>
      </c>
      <c r="BD359" s="289"/>
      <c r="BE359" s="289"/>
      <c r="BF359" s="47" t="str">
        <f>LEFT($E359,3)</f>
        <v/>
      </c>
      <c r="BG359" s="298" t="str">
        <f>IF(Out_Table[[#This Row],[Ora Uscita    (GH)]]&lt;&gt;"","x","")</f>
        <v/>
      </c>
      <c r="BH359" s="299" t="e">
        <f>VLOOKUP($O359,'INformazioni per calcoli'!$Y$20:$AA$23,3,FALSE)</f>
        <v>#N/A</v>
      </c>
      <c r="BI359" s="299" t="e">
        <f>MROUND(Out_Table[[#This Row],[Mtr. Trailer]]*AB359,0.5)</f>
        <v>#N/A</v>
      </c>
      <c r="BJ359" s="299" t="e">
        <f>MROUND(Out_Table[[#This Row],[Mtr. Trailer]]*AE359,0.5)</f>
        <v>#N/A</v>
      </c>
      <c r="BK359" s="299" t="e">
        <f>MROUND(Out_Table[[#This Row],[Mtr. Trailer]]*AH359,0.5)</f>
        <v>#N/A</v>
      </c>
      <c r="BL359" s="300">
        <f>Out_Table[[#This Row],[Double Deck trailer N° bumpers]]</f>
        <v>0</v>
      </c>
      <c r="BM359" s="301"/>
      <c r="BN359" s="299">
        <f>B359</f>
        <v>0</v>
      </c>
      <c r="BO359" s="299">
        <f>E359</f>
        <v>0</v>
      </c>
      <c r="BP359" s="302">
        <f>IF(AND(G359&gt;(--"00:00:01"),G359&lt;(--"15:00:00")),IF(AND(X359&gt;(--"00:00:01"),X359&lt;(--"15:00:00")),G359-X359,G359+1-X359),G359-X359)</f>
        <v>0</v>
      </c>
      <c r="BQ359" s="303">
        <f>AE359+AF359+AH359+AJ359</f>
        <v>0</v>
      </c>
      <c r="BR359" s="304" t="str">
        <f>IF(OR(BP359&lt;=(--"00:20:00"),BQ359&gt;=100%),"OK","Not OK")</f>
        <v>OK</v>
      </c>
      <c r="BS359" s="302">
        <f>IF(AND(G359&gt;(--"00:00:01"),G359&lt;(--"15:00:00")),IF(AND(AU359&gt;(--"00:00:01"),AU359&lt;(--"15:00:00")),G359-AU359,G359+1-AU359),G359-AU359)</f>
        <v>0</v>
      </c>
      <c r="BT359" s="302">
        <f>IF(AND(AZ359&gt;(--"00:00:01"),AZ359&lt;(--"15:00:00")),IF(AND(AU359&gt;(--"00:00:01"),AU359&lt;(--"15:00:00")),AZ359-AU359,AZ359+1-AU359),AZ359-AU359)</f>
        <v>0</v>
      </c>
      <c r="BU359" s="302">
        <f>IF(AND(BA359&gt;(--"00:00:01"),BA359&lt;(--"15:00:00")),IF(AND(AZ359&gt;(--"00:00:01"),AZ359&lt;(--"15:00:00")),BA359-AZ359,BA359+1-AZ359),BA359-AZ359)</f>
        <v>0</v>
      </c>
      <c r="BV359" s="299">
        <f>AV359</f>
        <v>0</v>
      </c>
      <c r="BW359" s="301"/>
      <c r="BX359" s="299" t="str">
        <f>IF(AV359="T Status",IF(AV359&lt;&gt;T359,"X",""),"")</f>
        <v/>
      </c>
      <c r="BY359" s="301"/>
      <c r="BZ359" s="299" t="str">
        <f>IF(X359&lt;&gt;"",IF(CC359="X","Driver Delay",IF(CA359="X","Paperwork Delay",IF(CB359="X","Late freight late sort",IF(CD359="X","Chiamare Control Room",IF(CE359="X","Chiamare Control Room",IF(CF359="X","Chiamare Control Room","")))))),"")</f>
        <v/>
      </c>
      <c r="CA359" s="302" t="str">
        <f>IF(K359="",IF(IF(AND(G359&gt;(--"00:00:01"),G359&lt;(--"15:00:00")),IF(AND(AT359&gt;(--"08:00:00"),AT359&lt;(--"23:59:59")),G359+1-AT359,G359-AT359),G359-AT359)&gt;(--"00:20:00"),"","X"),"")</f>
        <v>X</v>
      </c>
      <c r="CB359" s="299" t="str">
        <f>IF(K359="",IF(BP359&gt;=(--"00:20:00"),"","X"),"")</f>
        <v>X</v>
      </c>
      <c r="CC359" s="299" t="str">
        <f>IF(OR(AV359="Autista non presente",AV359="Dati driver non presenti"),"X","")</f>
        <v/>
      </c>
      <c r="CD359" s="299" t="str">
        <f>IF(K359="",IF(AND(CC359="",BS359&lt;(--"00:20:00")),"X",""),"")</f>
        <v>X</v>
      </c>
      <c r="CE359" s="299" t="str">
        <f>IF(K359="",IF(BT359&gt;(--"00:15:00"),"X",""),IF(AZ359&lt;&gt;"",IF(G359-AZ359&gt;(--"00:30:00"),"X",""),""))</f>
        <v/>
      </c>
      <c r="CF359" s="299" t="str">
        <f>IF(AND(CA359="",CB359="",CC359="",CD359="",CE359=""),"X","")</f>
        <v/>
      </c>
      <c r="CG359" s="301"/>
      <c r="CH359" s="299" t="str">
        <f>IF(BT359&gt;(--"00:15:00"),"X","")</f>
        <v/>
      </c>
      <c r="CI359" s="302" t="str">
        <f>AY359</f>
        <v/>
      </c>
      <c r="CJ359" s="299" t="str">
        <f>IF(AND(CH359&lt;&gt;"",CI359&lt;&gt;"",LEFT(B359,3)="ITD"),AP359,"")</f>
        <v/>
      </c>
      <c r="CK359" s="305" t="str">
        <f>IF(CJ359&lt;&gt;"",BT359,"")</f>
        <v/>
      </c>
      <c r="CL359" s="301"/>
      <c r="CM359" s="305" t="str">
        <f>IFERROR(VLOOKUP(Q359,'Elenco Casse'!$D$4:$F$292,3,FALSE),"")</f>
        <v/>
      </c>
      <c r="CN359" s="301"/>
      <c r="CO359" s="305" t="str">
        <f>IFERROR(VLOOKUP(S359,'Elenco Casse'!$D$4:$F$292,3,FALSE),"")</f>
        <v/>
      </c>
      <c r="CP359" s="305" t="str">
        <f>IFERROR(IF(VLOOKUP($E359,Outlist!$A$5:$S$120,19,FALSE)&lt;&gt;0,"Y",""),"")</f>
        <v/>
      </c>
      <c r="CQ359" s="301"/>
      <c r="CR359" s="305" t="str">
        <f>CONCATENATE($B359,$E359,$G359)</f>
        <v/>
      </c>
      <c r="CS359" s="301"/>
      <c r="CT359" s="305" t="e">
        <f>VLOOKUP(Out_Table[[#This Row],[Destination             ORANGE (From Planning)]],Outlist!$A$5:$W$120,22,FALSE)</f>
        <v>#N/A</v>
      </c>
    </row>
    <row r="360" spans="1:98" s="20" customFormat="1" ht="15">
      <c r="A360" s="305" t="str">
        <f>$CR360</f>
        <v/>
      </c>
      <c r="B360" s="284"/>
      <c r="C360" s="290">
        <f ca="1">IFERROR(IF(LEFT(B360,3)='STAT 77'!$X$2,_xlfn.XLOOKUP(B360,'STAT 77'!C:C,'STAT 77'!B:B),_xlfn.XLOOKUP(B360,'STAT 77'!B:B,'STAT 77'!C:C)),"NON TROVATO")</f>
        <v>0</v>
      </c>
      <c r="D360" s="25"/>
      <c r="E360" s="25"/>
      <c r="F360" s="290" t="str">
        <f>IFERROR(VLOOKUP(E360,'Cambio O2P'!C:E,2,FALSE),"")</f>
        <v/>
      </c>
      <c r="G360" s="285"/>
      <c r="H360" s="293" t="str">
        <f ca="1">IFERROR(IF(AND('INformazioni per calcoli'!$AB$3&lt;(--"14:30"),'INformazioni per calcoli'!$AB$3&gt;(--"10:00")),"",IF($B360="","",IF($X360&lt;&gt;"","Mezzo Chiuso",IF($W360="","Non al Carico",IF($G360-'INformazioni per calcoli'!$AB$5-'INformazioni per calcoli'!$AB$3+$J360&lt;0,"LFLS",IF($K360&lt;&gt;"","Safe Parking",IF($W360&lt;&gt;"",IF($E360="MXP",$G360-'INformazioni per calcoli'!$AB$6-'INformazioni per calcoli'!$AB$3+$J360,$G360-'INformazioni per calcoli'!$AB$5-'INformazioni per calcoli'!$AB$3+$J360),"Non al carico"))))))),"")</f>
        <v/>
      </c>
      <c r="I360" s="17" t="str">
        <f ca="1">IFERROR(IF($H360&lt;&gt;"",IF($H360="Safe Parking","",IF($W360&lt;&gt;"",IF(AND($U360="X",$V360="X"),$H360-(--"00:30"),""),IF($X360&lt;&gt;"","Mezzo Chiuso","Non al carico"))),""),"")</f>
        <v/>
      </c>
      <c r="J360" s="306" t="str">
        <f>IFERROR(IF($B360&lt;&gt;"",IF(AND('INformazioni per calcoli'!$AB$3&lt;(--"15:00"),'INformazioni per calcoli'!$AB$3&gt;(--"00:00")),0,IF($G360&lt;(--"18:30"),"+1",0)),""),"")</f>
        <v/>
      </c>
      <c r="K360" s="27"/>
      <c r="L360" s="25"/>
      <c r="M360" s="25" t="str">
        <f>IFERROR(_xlfn.XLOOKUP($Q360,'Elenco Casse'!$D:$D,'Elenco Casse'!$E:$E),"")</f>
        <v/>
      </c>
      <c r="N360" s="25" t="str">
        <f>IFERROR(_xlfn.XLOOKUP($Q360,'Elenco Casse'!$D:$D,'Elenco Casse'!$F:$F),"")</f>
        <v/>
      </c>
      <c r="O360" s="286"/>
      <c r="P360" s="295" t="str">
        <f>IFERROR(_xlfn.XLOOKUP($Q360,'Elenco Casse'!$D:$D,'Elenco Casse'!$G:$G),"")</f>
        <v/>
      </c>
      <c r="Q360" s="355"/>
      <c r="R360" s="23"/>
      <c r="S360" s="25"/>
      <c r="T360" s="25"/>
      <c r="U360" s="23" t="str">
        <f>IF(ISNUMBER(SEARCH("Parcel",$T360)),"X","")</f>
        <v/>
      </c>
      <c r="V360" s="23" t="str">
        <f>IF(ISNUMBER(SEARCH("Freight",$T360)),"X","")</f>
        <v/>
      </c>
      <c r="W360" s="26"/>
      <c r="X360" s="27"/>
      <c r="Y360" s="25" t="str">
        <f>IF(Out_Table[[#This Row],[DOC Del. hr. (RTH)]]&lt;&gt;"","XXX","")</f>
        <v/>
      </c>
      <c r="Z360" s="25"/>
      <c r="AA360" s="25"/>
      <c r="AB360" s="57"/>
      <c r="AC360" s="25"/>
      <c r="AD360" s="25"/>
      <c r="AE360" s="57"/>
      <c r="AF360" s="57"/>
      <c r="AG360" s="25"/>
      <c r="AH360" s="57"/>
      <c r="AI360" s="339"/>
      <c r="AJ360" s="339"/>
      <c r="AK360" s="297" t="str">
        <f>IF(X360&lt;&gt;"",CONCATENATE(IF(AA360&lt;&gt;"",CONCATENATE(Z360," ",AA360," ",BI360),""),IF(AD360&lt;&gt;"",CONCATENATE(","," ",AC360," ",AD360," ",BJ360),""),IF(AG360&lt;&gt;"",CONCATENATE(","," ",AF360," ",AG360," ",BK360),""),IF(AJ360&lt;&gt;"",CONCATENATE(","," ","DD"," ",BL360),"")," ",IF(AI360&lt;&gt;"",CONCATENATE(" - ",AI360," Bag"),"")),"")</f>
        <v/>
      </c>
      <c r="AL360" s="287"/>
      <c r="AM360" s="287"/>
      <c r="AN360" s="287"/>
      <c r="AO360" s="287"/>
      <c r="AP360" s="370" t="str">
        <f>IFERROR(VLOOKUP($E360,Outlist!$A$5:$V$120,20,FALSE),"")</f>
        <v/>
      </c>
      <c r="AQ360" s="288" t="str">
        <f>IFERROR(IF(VLOOKUP($A360,#REF!,8,FALSE)&lt;&gt;"",VLOOKUP($A360,#REF!,8,FALSE),""),"")</f>
        <v/>
      </c>
      <c r="AS360" s="24"/>
      <c r="AT360" s="24"/>
      <c r="AU360" s="27"/>
      <c r="AV360" s="27"/>
      <c r="AX360" s="20" t="str">
        <f>IFERROR(IF(Out_Table[[#This Row],[Cancellazione linea]]="Cancellata","yes",""),"")</f>
        <v/>
      </c>
      <c r="AY360" s="72" t="str">
        <f>IF(BA360="",BZ360,IF(AND(BA360&lt;(--"23:59:59"),BA360&gt;(--"15:00:00"),G360&lt;(--"14:00:00"),G360&gt;(--"00:00:01")),"",IF(BA360&gt;G360,BZ360,"")))</f>
        <v/>
      </c>
      <c r="AZ360" s="27"/>
      <c r="BA360" s="32"/>
      <c r="BB360" s="72"/>
      <c r="BC360" s="72" t="str">
        <f>IFERROR(VLOOKUP(Out_Table[[#This Row],[Aggiornamento STATUS]],'INformazioni per calcoli'!$Y$70:$AA$76,2,FALSE),"")</f>
        <v/>
      </c>
      <c r="BD360" s="289"/>
      <c r="BE360" s="289"/>
      <c r="BF360" s="47" t="str">
        <f>LEFT($E360,3)</f>
        <v/>
      </c>
      <c r="BG360" s="298" t="str">
        <f>IF(Out_Table[[#This Row],[Ora Uscita    (GH)]]&lt;&gt;"","x","")</f>
        <v/>
      </c>
      <c r="BH360" s="299" t="e">
        <f>VLOOKUP($O360,'INformazioni per calcoli'!$Y$20:$AA$23,3,FALSE)</f>
        <v>#N/A</v>
      </c>
      <c r="BI360" s="299" t="e">
        <f>MROUND(Out_Table[[#This Row],[Mtr. Trailer]]*AB360,0.5)</f>
        <v>#N/A</v>
      </c>
      <c r="BJ360" s="299" t="e">
        <f>MROUND(Out_Table[[#This Row],[Mtr. Trailer]]*AE360,0.5)</f>
        <v>#N/A</v>
      </c>
      <c r="BK360" s="299" t="e">
        <f>MROUND(Out_Table[[#This Row],[Mtr. Trailer]]*AH360,0.5)</f>
        <v>#N/A</v>
      </c>
      <c r="BL360" s="300">
        <f>Out_Table[[#This Row],[Double Deck trailer N° bumpers]]</f>
        <v>0</v>
      </c>
      <c r="BM360" s="301"/>
      <c r="BN360" s="299">
        <f>B360</f>
        <v>0</v>
      </c>
      <c r="BO360" s="299">
        <f>E360</f>
        <v>0</v>
      </c>
      <c r="BP360" s="302">
        <f>IF(AND(G360&gt;(--"00:00:01"),G360&lt;(--"15:00:00")),IF(AND(X360&gt;(--"00:00:01"),X360&lt;(--"15:00:00")),G360-X360,G360+1-X360),G360-X360)</f>
        <v>0</v>
      </c>
      <c r="BQ360" s="303">
        <f>AE360+AF360+AH360+AJ360</f>
        <v>0</v>
      </c>
      <c r="BR360" s="304" t="str">
        <f>IF(OR(BP360&lt;=(--"00:20:00"),BQ360&gt;=100%),"OK","Not OK")</f>
        <v>OK</v>
      </c>
      <c r="BS360" s="302">
        <f>IF(AND(G360&gt;(--"00:00:01"),G360&lt;(--"15:00:00")),IF(AND(AU360&gt;(--"00:00:01"),AU360&lt;(--"15:00:00")),G360-AU360,G360+1-AU360),G360-AU360)</f>
        <v>0</v>
      </c>
      <c r="BT360" s="302">
        <f>IF(AND(AZ360&gt;(--"00:00:01"),AZ360&lt;(--"15:00:00")),IF(AND(AU360&gt;(--"00:00:01"),AU360&lt;(--"15:00:00")),AZ360-AU360,AZ360+1-AU360),AZ360-AU360)</f>
        <v>0</v>
      </c>
      <c r="BU360" s="302">
        <f>IF(AND(BA360&gt;(--"00:00:01"),BA360&lt;(--"15:00:00")),IF(AND(AZ360&gt;(--"00:00:01"),AZ360&lt;(--"15:00:00")),BA360-AZ360,BA360+1-AZ360),BA360-AZ360)</f>
        <v>0</v>
      </c>
      <c r="BV360" s="299">
        <f>AV360</f>
        <v>0</v>
      </c>
      <c r="BW360" s="301"/>
      <c r="BX360" s="299" t="str">
        <f>IF(AV360="T Status",IF(AV360&lt;&gt;T360,"X",""),"")</f>
        <v/>
      </c>
      <c r="BY360" s="301"/>
      <c r="BZ360" s="299" t="str">
        <f>IF(X360&lt;&gt;"",IF(CC360="X","Driver Delay",IF(CA360="X","Paperwork Delay",IF(CB360="X","Late freight late sort",IF(CD360="X","Chiamare Control Room",IF(CE360="X","Chiamare Control Room",IF(CF360="X","Chiamare Control Room","")))))),"")</f>
        <v/>
      </c>
      <c r="CA360" s="302" t="str">
        <f>IF(K360="",IF(IF(AND(G360&gt;(--"00:00:01"),G360&lt;(--"15:00:00")),IF(AND(AT360&gt;(--"08:00:00"),AT360&lt;(--"23:59:59")),G360+1-AT360,G360-AT360),G360-AT360)&gt;(--"00:20:00"),"","X"),"")</f>
        <v>X</v>
      </c>
      <c r="CB360" s="299" t="str">
        <f>IF(K360="",IF(BP360&gt;=(--"00:20:00"),"","X"),"")</f>
        <v>X</v>
      </c>
      <c r="CC360" s="299" t="str">
        <f>IF(OR(AV360="Autista non presente",AV360="Dati driver non presenti"),"X","")</f>
        <v/>
      </c>
      <c r="CD360" s="299" t="str">
        <f>IF(K360="",IF(AND(CC360="",BS360&lt;(--"00:20:00")),"X",""),"")</f>
        <v>X</v>
      </c>
      <c r="CE360" s="299" t="str">
        <f>IF(K360="",IF(BT360&gt;(--"00:15:00"),"X",""),IF(AZ360&lt;&gt;"",IF(G360-AZ360&gt;(--"00:30:00"),"X",""),""))</f>
        <v/>
      </c>
      <c r="CF360" s="299" t="str">
        <f>IF(AND(CA360="",CB360="",CC360="",CD360="",CE360=""),"X","")</f>
        <v/>
      </c>
      <c r="CG360" s="301"/>
      <c r="CH360" s="299" t="str">
        <f>IF(BT360&gt;(--"00:15:00"),"X","")</f>
        <v/>
      </c>
      <c r="CI360" s="302" t="str">
        <f>AY360</f>
        <v/>
      </c>
      <c r="CJ360" s="299" t="str">
        <f>IF(AND(CH360&lt;&gt;"",CI360&lt;&gt;"",LEFT(B360,3)="ITD"),AP360,"")</f>
        <v/>
      </c>
      <c r="CK360" s="305" t="str">
        <f>IF(CJ360&lt;&gt;"",BT360,"")</f>
        <v/>
      </c>
      <c r="CL360" s="301"/>
      <c r="CM360" s="305" t="str">
        <f>IFERROR(VLOOKUP(Q360,'Elenco Casse'!$D$4:$F$292,3,FALSE),"")</f>
        <v/>
      </c>
      <c r="CN360" s="301"/>
      <c r="CO360" s="305" t="str">
        <f>IFERROR(VLOOKUP(S360,'Elenco Casse'!$D$4:$F$292,3,FALSE),"")</f>
        <v/>
      </c>
      <c r="CP360" s="305" t="str">
        <f>IFERROR(IF(VLOOKUP($E360,Outlist!$A$5:$S$120,19,FALSE)&lt;&gt;0,"Y",""),"")</f>
        <v/>
      </c>
      <c r="CQ360" s="301"/>
      <c r="CR360" s="305" t="str">
        <f>CONCATENATE($B360,$E360,$G360)</f>
        <v/>
      </c>
      <c r="CS360" s="301"/>
      <c r="CT360" s="305" t="e">
        <f>VLOOKUP(Out_Table[[#This Row],[Destination             ORANGE (From Planning)]],Outlist!$A$5:$W$120,22,FALSE)</f>
        <v>#N/A</v>
      </c>
    </row>
    <row r="361" spans="1:98" s="20" customFormat="1" ht="15">
      <c r="A361" s="305" t="str">
        <f>$CR361</f>
        <v/>
      </c>
      <c r="B361" s="284"/>
      <c r="C361" s="290" t="str">
        <f ca="1">IFERROR(IF(LEFT(B361,3)='STAT 77'!$X$2,_xlfn.XLOOKUP(B361,'STAT 77'!C:C,'STAT 77'!B:B),_xlfn.XLOOKUP(B361,'STAT 77'!B:B,'STAT 77'!C:C)),"NON TROVATO")</f>
        <v>NON TROVATO</v>
      </c>
      <c r="D361" s="25"/>
      <c r="E361" s="25"/>
      <c r="F361" s="290" t="str">
        <f>IFERROR(VLOOKUP(E361,'Cambio O2P'!C:E,2,FALSE),"")</f>
        <v/>
      </c>
      <c r="G361" s="285"/>
      <c r="H361" s="293" t="str">
        <f ca="1">IFERROR(IF(AND('INformazioni per calcoli'!$AB$3&lt;(--"14:30"),'INformazioni per calcoli'!$AB$3&gt;(--"10:00")),"",IF($B361="","",IF($X361&lt;&gt;"","Mezzo Chiuso",IF($W361="","Non al Carico",IF($G361-'INformazioni per calcoli'!$AB$5-'INformazioni per calcoli'!$AB$3+$J361&lt;0,"LFLS",IF($K361&lt;&gt;"","Safe Parking",IF($W361&lt;&gt;"",IF($E361="MXP",$G361-'INformazioni per calcoli'!$AB$6-'INformazioni per calcoli'!$AB$3+$J361,$G361-'INformazioni per calcoli'!$AB$5-'INformazioni per calcoli'!$AB$3+$J361),"Non al carico"))))))),"")</f>
        <v/>
      </c>
      <c r="I361" s="17" t="str">
        <f ca="1">IFERROR(IF($H361&lt;&gt;"",IF($H361="Safe Parking","",IF($W361&lt;&gt;"",IF(AND($U361="X",$V361="X"),$H361-(--"00:30"),""),IF($X361&lt;&gt;"","Mezzo Chiuso","Non al carico"))),""),"")</f>
        <v/>
      </c>
      <c r="J361" s="306" t="str">
        <f>IFERROR(IF($B361&lt;&gt;"",IF(AND('INformazioni per calcoli'!$AB$3&lt;(--"15:00"),'INformazioni per calcoli'!$AB$3&gt;(--"00:00")),0,IF($G361&lt;(--"18:30"),"+1",0)),""),"")</f>
        <v/>
      </c>
      <c r="K361" s="27"/>
      <c r="L361" s="25"/>
      <c r="M361" s="25" t="str">
        <f>IFERROR(_xlfn.XLOOKUP($Q361,'Elenco Casse'!$D:$D,'Elenco Casse'!$E:$E),"")</f>
        <v/>
      </c>
      <c r="N361" s="25" t="str">
        <f>IFERROR(_xlfn.XLOOKUP($Q361,'Elenco Casse'!$D:$D,'Elenco Casse'!$F:$F),"")</f>
        <v/>
      </c>
      <c r="O361" s="286"/>
      <c r="P361" s="295" t="str">
        <f>IFERROR(_xlfn.XLOOKUP($Q361,'Elenco Casse'!$D:$D,'Elenco Casse'!$G:$G),"")</f>
        <v/>
      </c>
      <c r="Q361" s="355"/>
      <c r="R361" s="23"/>
      <c r="S361" s="25"/>
      <c r="T361" s="25"/>
      <c r="U361" s="23" t="str">
        <f>IF(ISNUMBER(SEARCH("Parcel",$T361)),"X","")</f>
        <v/>
      </c>
      <c r="V361" s="23" t="str">
        <f>IF(ISNUMBER(SEARCH("Freight",$T361)),"X","")</f>
        <v/>
      </c>
      <c r="W361" s="26"/>
      <c r="X361" s="27"/>
      <c r="Y361" s="25" t="str">
        <f>IF(Out_Table[[#This Row],[DOC Del. hr. (RTH)]]&lt;&gt;"","XXX","")</f>
        <v/>
      </c>
      <c r="Z361" s="25"/>
      <c r="AA361" s="25"/>
      <c r="AB361" s="57"/>
      <c r="AC361" s="25"/>
      <c r="AD361" s="25"/>
      <c r="AE361" s="57"/>
      <c r="AF361" s="57"/>
      <c r="AG361" s="25"/>
      <c r="AH361" s="57"/>
      <c r="AI361" s="339"/>
      <c r="AJ361" s="339"/>
      <c r="AK361" s="297" t="str">
        <f>IF(X361&lt;&gt;"",CONCATENATE(IF(AA361&lt;&gt;"",CONCATENATE(Z361," ",AA361," ",BI361),""),IF(AD361&lt;&gt;"",CONCATENATE(","," ",AC361," ",AD361," ",BJ361),""),IF(AG361&lt;&gt;"",CONCATENATE(","," ",AF361," ",AG361," ",BK361),""),IF(AJ361&lt;&gt;"",CONCATENATE(","," ","DD"," ",BL361),"")," ",IF(AI361&lt;&gt;"",CONCATENATE(" - ",AI361," Bag"),"")),"")</f>
        <v/>
      </c>
      <c r="AL361" s="287"/>
      <c r="AM361" s="287"/>
      <c r="AN361" s="287"/>
      <c r="AO361" s="287"/>
      <c r="AP361" s="370" t="str">
        <f>IFERROR(VLOOKUP($E361,Outlist!$A$5:$V$120,20,FALSE),"")</f>
        <v/>
      </c>
      <c r="AQ361" s="288" t="str">
        <f>IFERROR(IF(VLOOKUP($A361,#REF!,8,FALSE)&lt;&gt;"",VLOOKUP($A361,#REF!,8,FALSE),""),"")</f>
        <v/>
      </c>
      <c r="AS361" s="24"/>
      <c r="AT361" s="24"/>
      <c r="AU361" s="27"/>
      <c r="AV361" s="27"/>
      <c r="AX361" s="20" t="str">
        <f>IFERROR(IF(Out_Table[[#This Row],[Cancellazione linea]]="Cancellata","yes",""),"")</f>
        <v/>
      </c>
      <c r="AY361" s="72" t="str">
        <f>IF(BA361="",BZ361,IF(AND(BA361&lt;(--"23:59:59"),BA361&gt;(--"15:00:00"),G361&lt;(--"14:00:00"),G361&gt;(--"00:00:01")),"",IF(BA361&gt;G361,BZ361,"")))</f>
        <v/>
      </c>
      <c r="AZ361" s="27"/>
      <c r="BA361" s="32"/>
      <c r="BB361" s="72"/>
      <c r="BC361" s="72" t="str">
        <f>IFERROR(VLOOKUP(Out_Table[[#This Row],[Aggiornamento STATUS]],'INformazioni per calcoli'!$Y$70:$AA$76,2,FALSE),"")</f>
        <v/>
      </c>
      <c r="BD361" s="289"/>
      <c r="BE361" s="289"/>
      <c r="BF361" s="47" t="str">
        <f>LEFT($E361,3)</f>
        <v/>
      </c>
      <c r="BG361" s="298" t="str">
        <f>IF(Out_Table[[#This Row],[Ora Uscita    (GH)]]&lt;&gt;"","x","")</f>
        <v/>
      </c>
      <c r="BH361" s="299" t="e">
        <f>VLOOKUP($O361,'INformazioni per calcoli'!$Y$20:$AA$23,3,FALSE)</f>
        <v>#N/A</v>
      </c>
      <c r="BI361" s="299" t="e">
        <f>MROUND(Out_Table[[#This Row],[Mtr. Trailer]]*AB361,0.5)</f>
        <v>#N/A</v>
      </c>
      <c r="BJ361" s="299" t="e">
        <f>MROUND(Out_Table[[#This Row],[Mtr. Trailer]]*AE361,0.5)</f>
        <v>#N/A</v>
      </c>
      <c r="BK361" s="299" t="e">
        <f>MROUND(Out_Table[[#This Row],[Mtr. Trailer]]*AH361,0.5)</f>
        <v>#N/A</v>
      </c>
      <c r="BL361" s="300">
        <f>Out_Table[[#This Row],[Double Deck trailer N° bumpers]]</f>
        <v>0</v>
      </c>
      <c r="BM361" s="301"/>
      <c r="BN361" s="299">
        <f>B361</f>
        <v>0</v>
      </c>
      <c r="BO361" s="299">
        <f>E361</f>
        <v>0</v>
      </c>
      <c r="BP361" s="302">
        <f>IF(AND(G361&gt;(--"00:00:01"),G361&lt;(--"15:00:00")),IF(AND(X361&gt;(--"00:00:01"),X361&lt;(--"15:00:00")),G361-X361,G361+1-X361),G361-X361)</f>
        <v>0</v>
      </c>
      <c r="BQ361" s="303">
        <f>AE361+AF361+AH361+AJ361</f>
        <v>0</v>
      </c>
      <c r="BR361" s="304" t="str">
        <f>IF(OR(BP361&lt;=(--"00:20:00"),BQ361&gt;=100%),"OK","Not OK")</f>
        <v>OK</v>
      </c>
      <c r="BS361" s="302">
        <f>IF(AND(G361&gt;(--"00:00:01"),G361&lt;(--"15:00:00")),IF(AND(AU361&gt;(--"00:00:01"),AU361&lt;(--"15:00:00")),G361-AU361,G361+1-AU361),G361-AU361)</f>
        <v>0</v>
      </c>
      <c r="BT361" s="302">
        <f>IF(AND(AZ361&gt;(--"00:00:01"),AZ361&lt;(--"15:00:00")),IF(AND(AU361&gt;(--"00:00:01"),AU361&lt;(--"15:00:00")),AZ361-AU361,AZ361+1-AU361),AZ361-AU361)</f>
        <v>0</v>
      </c>
      <c r="BU361" s="302">
        <f>IF(AND(BA361&gt;(--"00:00:01"),BA361&lt;(--"15:00:00")),IF(AND(AZ361&gt;(--"00:00:01"),AZ361&lt;(--"15:00:00")),BA361-AZ361,BA361+1-AZ361),BA361-AZ361)</f>
        <v>0</v>
      </c>
      <c r="BV361" s="299">
        <f>AV361</f>
        <v>0</v>
      </c>
      <c r="BW361" s="301"/>
      <c r="BX361" s="299" t="str">
        <f>IF(AV361="T Status",IF(AV361&lt;&gt;T361,"X",""),"")</f>
        <v/>
      </c>
      <c r="BY361" s="301"/>
      <c r="BZ361" s="299" t="str">
        <f>IF(X361&lt;&gt;"",IF(CC361="X","Driver Delay",IF(CA361="X","Paperwork Delay",IF(CB361="X","Late freight late sort",IF(CD361="X","Chiamare Control Room",IF(CE361="X","Chiamare Control Room",IF(CF361="X","Chiamare Control Room","")))))),"")</f>
        <v/>
      </c>
      <c r="CA361" s="302" t="str">
        <f>IF(K361="",IF(IF(AND(G361&gt;(--"00:00:01"),G361&lt;(--"15:00:00")),IF(AND(AT361&gt;(--"08:00:00"),AT361&lt;(--"23:59:59")),G361+1-AT361,G361-AT361),G361-AT361)&gt;(--"00:20:00"),"","X"),"")</f>
        <v>X</v>
      </c>
      <c r="CB361" s="299" t="str">
        <f>IF(K361="",IF(BP361&gt;=(--"00:20:00"),"","X"),"")</f>
        <v>X</v>
      </c>
      <c r="CC361" s="299" t="str">
        <f>IF(OR(AV361="Autista non presente",AV361="Dati driver non presenti"),"X","")</f>
        <v/>
      </c>
      <c r="CD361" s="299" t="str">
        <f>IF(K361="",IF(AND(CC361="",BS361&lt;(--"00:20:00")),"X",""),"")</f>
        <v>X</v>
      </c>
      <c r="CE361" s="299" t="str">
        <f>IF(K361="",IF(BT361&gt;(--"00:15:00"),"X",""),IF(AZ361&lt;&gt;"",IF(G361-AZ361&gt;(--"00:30:00"),"X",""),""))</f>
        <v/>
      </c>
      <c r="CF361" s="299" t="str">
        <f>IF(AND(CA361="",CB361="",CC361="",CD361="",CE361=""),"X","")</f>
        <v/>
      </c>
      <c r="CG361" s="301"/>
      <c r="CH361" s="299" t="str">
        <f>IF(BT361&gt;(--"00:15:00"),"X","")</f>
        <v/>
      </c>
      <c r="CI361" s="302" t="str">
        <f>AY361</f>
        <v/>
      </c>
      <c r="CJ361" s="299" t="str">
        <f>IF(AND(CH361&lt;&gt;"",CI361&lt;&gt;"",LEFT(B361,3)="ITD"),AP361,"")</f>
        <v/>
      </c>
      <c r="CK361" s="305" t="str">
        <f>IF(CJ361&lt;&gt;"",BT361,"")</f>
        <v/>
      </c>
      <c r="CL361" s="301"/>
      <c r="CM361" s="305" t="str">
        <f>IFERROR(VLOOKUP(Q361,'Elenco Casse'!$D$4:$F$292,3,FALSE),"")</f>
        <v/>
      </c>
      <c r="CN361" s="301"/>
      <c r="CO361" s="305" t="str">
        <f>IFERROR(VLOOKUP(S361,'Elenco Casse'!$D$4:$F$292,3,FALSE),"")</f>
        <v/>
      </c>
      <c r="CP361" s="305" t="str">
        <f>IFERROR(IF(VLOOKUP($E361,Outlist!$A$5:$S$120,19,FALSE)&lt;&gt;0,"Y",""),"")</f>
        <v/>
      </c>
      <c r="CQ361" s="301"/>
      <c r="CR361" s="305" t="str">
        <f>CONCATENATE($B361,$E361,$G361)</f>
        <v/>
      </c>
      <c r="CS361" s="301"/>
      <c r="CT361" s="305" t="e">
        <f>VLOOKUP(Out_Table[[#This Row],[Destination             ORANGE (From Planning)]],Outlist!$A$5:$W$120,22,FALSE)</f>
        <v>#N/A</v>
      </c>
    </row>
    <row r="362" spans="1:98" s="20" customFormat="1" ht="15">
      <c r="A362" s="305" t="str">
        <f>$CR362</f>
        <v/>
      </c>
      <c r="B362" s="284"/>
      <c r="C362" s="290">
        <f ca="1">IFERROR(IF(LEFT(B362,3)='STAT 77'!$X$2,_xlfn.XLOOKUP(B362,'STAT 77'!C:C,'STAT 77'!B:B),_xlfn.XLOOKUP(B362,'STAT 77'!B:B,'STAT 77'!C:C)),"NON TROVATO")</f>
        <v>0</v>
      </c>
      <c r="D362" s="25"/>
      <c r="E362" s="25"/>
      <c r="F362" s="290" t="str">
        <f>IFERROR(VLOOKUP(E362,'Cambio O2P'!C:E,2,FALSE),"")</f>
        <v/>
      </c>
      <c r="G362" s="285"/>
      <c r="H362" s="293" t="str">
        <f ca="1">IFERROR(IF(AND('INformazioni per calcoli'!$AB$3&lt;(--"14:30"),'INformazioni per calcoli'!$AB$3&gt;(--"10:00")),"",IF($B362="","",IF($X362&lt;&gt;"","Mezzo Chiuso",IF($W362="","Non al Carico",IF($G362-'INformazioni per calcoli'!$AB$5-'INformazioni per calcoli'!$AB$3+$J362&lt;0,"LFLS",IF($K362&lt;&gt;"","Safe Parking",IF($W362&lt;&gt;"",IF($E362="MXP",$G362-'INformazioni per calcoli'!$AB$6-'INformazioni per calcoli'!$AB$3+$J362,$G362-'INformazioni per calcoli'!$AB$5-'INformazioni per calcoli'!$AB$3+$J362),"Non al carico"))))))),"")</f>
        <v/>
      </c>
      <c r="I362" s="17" t="str">
        <f ca="1">IFERROR(IF($H362&lt;&gt;"",IF($H362="Safe Parking","",IF($W362&lt;&gt;"",IF(AND($U362="X",$V362="X"),$H362-(--"00:30"),""),IF($X362&lt;&gt;"","Mezzo Chiuso","Non al carico"))),""),"")</f>
        <v/>
      </c>
      <c r="J362" s="306" t="str">
        <f>IFERROR(IF($B362&lt;&gt;"",IF(AND('INformazioni per calcoli'!$AB$3&lt;(--"15:00"),'INformazioni per calcoli'!$AB$3&gt;(--"00:00")),0,IF($G362&lt;(--"18:30"),"+1",0)),""),"")</f>
        <v/>
      </c>
      <c r="K362" s="27"/>
      <c r="L362" s="25"/>
      <c r="M362" s="25" t="str">
        <f>IFERROR(_xlfn.XLOOKUP($Q362,'Elenco Casse'!$D:$D,'Elenco Casse'!$E:$E),"")</f>
        <v/>
      </c>
      <c r="N362" s="25" t="str">
        <f>IFERROR(_xlfn.XLOOKUP($Q362,'Elenco Casse'!$D:$D,'Elenco Casse'!$F:$F),"")</f>
        <v/>
      </c>
      <c r="O362" s="286"/>
      <c r="P362" s="295" t="str">
        <f>IFERROR(_xlfn.XLOOKUP($Q362,'Elenco Casse'!$D:$D,'Elenco Casse'!$G:$G),"")</f>
        <v/>
      </c>
      <c r="Q362" s="355"/>
      <c r="R362" s="23"/>
      <c r="S362" s="25"/>
      <c r="T362" s="25"/>
      <c r="U362" s="23" t="str">
        <f>IF(ISNUMBER(SEARCH("Parcel",$T362)),"X","")</f>
        <v/>
      </c>
      <c r="V362" s="23" t="str">
        <f>IF(ISNUMBER(SEARCH("Freight",$T362)),"X","")</f>
        <v/>
      </c>
      <c r="W362" s="26"/>
      <c r="X362" s="27"/>
      <c r="Y362" s="25" t="str">
        <f>IF(Out_Table[[#This Row],[DOC Del. hr. (RTH)]]&lt;&gt;"","XXX","")</f>
        <v/>
      </c>
      <c r="Z362" s="25"/>
      <c r="AA362" s="25"/>
      <c r="AB362" s="57"/>
      <c r="AC362" s="25"/>
      <c r="AD362" s="25"/>
      <c r="AE362" s="57"/>
      <c r="AF362" s="57"/>
      <c r="AG362" s="25"/>
      <c r="AH362" s="57"/>
      <c r="AI362" s="339"/>
      <c r="AJ362" s="339"/>
      <c r="AK362" s="297" t="str">
        <f>IF(X362&lt;&gt;"",CONCATENATE(IF(AA362&lt;&gt;"",CONCATENATE(Z362," ",AA362," ",BI362),""),IF(AD362&lt;&gt;"",CONCATENATE(","," ",AC362," ",AD362," ",BJ362),""),IF(AG362&lt;&gt;"",CONCATENATE(","," ",AF362," ",AG362," ",BK362),""),IF(AJ362&lt;&gt;"",CONCATENATE(","," ","DD"," ",BL362),"")," ",IF(AI362&lt;&gt;"",CONCATENATE(" - ",AI362," Bag"),"")),"")</f>
        <v/>
      </c>
      <c r="AL362" s="287"/>
      <c r="AM362" s="287"/>
      <c r="AN362" s="287"/>
      <c r="AO362" s="287"/>
      <c r="AP362" s="370" t="str">
        <f>IFERROR(VLOOKUP($E362,Outlist!$A$5:$V$120,20,FALSE),"")</f>
        <v/>
      </c>
      <c r="AQ362" s="288" t="str">
        <f>IFERROR(IF(VLOOKUP($A362,#REF!,8,FALSE)&lt;&gt;"",VLOOKUP($A362,#REF!,8,FALSE),""),"")</f>
        <v/>
      </c>
      <c r="AS362" s="24"/>
      <c r="AT362" s="24"/>
      <c r="AU362" s="27"/>
      <c r="AV362" s="27"/>
      <c r="AX362" s="20" t="str">
        <f>IFERROR(IF(Out_Table[[#This Row],[Cancellazione linea]]="Cancellata","yes",""),"")</f>
        <v/>
      </c>
      <c r="AY362" s="72" t="str">
        <f>IF(BA362="",BZ362,IF(AND(BA362&lt;(--"23:59:59"),BA362&gt;(--"15:00:00"),G362&lt;(--"14:00:00"),G362&gt;(--"00:00:01")),"",IF(BA362&gt;G362,BZ362,"")))</f>
        <v/>
      </c>
      <c r="AZ362" s="27"/>
      <c r="BA362" s="32"/>
      <c r="BB362" s="72"/>
      <c r="BC362" s="72" t="str">
        <f>IFERROR(VLOOKUP(Out_Table[[#This Row],[Aggiornamento STATUS]],'INformazioni per calcoli'!$Y$70:$AA$76,2,FALSE),"")</f>
        <v/>
      </c>
      <c r="BD362" s="289"/>
      <c r="BE362" s="289"/>
      <c r="BF362" s="47" t="str">
        <f>LEFT($E362,3)</f>
        <v/>
      </c>
      <c r="BG362" s="298" t="str">
        <f>IF(Out_Table[[#This Row],[Ora Uscita    (GH)]]&lt;&gt;"","x","")</f>
        <v/>
      </c>
      <c r="BH362" s="299" t="e">
        <f>VLOOKUP($O362,'INformazioni per calcoli'!$Y$20:$AA$23,3,FALSE)</f>
        <v>#N/A</v>
      </c>
      <c r="BI362" s="299" t="e">
        <f>MROUND(Out_Table[[#This Row],[Mtr. Trailer]]*AB362,0.5)</f>
        <v>#N/A</v>
      </c>
      <c r="BJ362" s="299" t="e">
        <f>MROUND(Out_Table[[#This Row],[Mtr. Trailer]]*AE362,0.5)</f>
        <v>#N/A</v>
      </c>
      <c r="BK362" s="299" t="e">
        <f>MROUND(Out_Table[[#This Row],[Mtr. Trailer]]*AH362,0.5)</f>
        <v>#N/A</v>
      </c>
      <c r="BL362" s="300">
        <f>Out_Table[[#This Row],[Double Deck trailer N° bumpers]]</f>
        <v>0</v>
      </c>
      <c r="BM362" s="301"/>
      <c r="BN362" s="299">
        <f>B362</f>
        <v>0</v>
      </c>
      <c r="BO362" s="299">
        <f>E362</f>
        <v>0</v>
      </c>
      <c r="BP362" s="302">
        <f>IF(AND(G362&gt;(--"00:00:01"),G362&lt;(--"15:00:00")),IF(AND(X362&gt;(--"00:00:01"),X362&lt;(--"15:00:00")),G362-X362,G362+1-X362),G362-X362)</f>
        <v>0</v>
      </c>
      <c r="BQ362" s="303">
        <f>AE362+AF362+AH362+AJ362</f>
        <v>0</v>
      </c>
      <c r="BR362" s="304" t="str">
        <f>IF(OR(BP362&lt;=(--"00:20:00"),BQ362&gt;=100%),"OK","Not OK")</f>
        <v>OK</v>
      </c>
      <c r="BS362" s="302">
        <f>IF(AND(G362&gt;(--"00:00:01"),G362&lt;(--"15:00:00")),IF(AND(AU362&gt;(--"00:00:01"),AU362&lt;(--"15:00:00")),G362-AU362,G362+1-AU362),G362-AU362)</f>
        <v>0</v>
      </c>
      <c r="BT362" s="302">
        <f>IF(AND(AZ362&gt;(--"00:00:01"),AZ362&lt;(--"15:00:00")),IF(AND(AU362&gt;(--"00:00:01"),AU362&lt;(--"15:00:00")),AZ362-AU362,AZ362+1-AU362),AZ362-AU362)</f>
        <v>0</v>
      </c>
      <c r="BU362" s="302">
        <f>IF(AND(BA362&gt;(--"00:00:01"),BA362&lt;(--"15:00:00")),IF(AND(AZ362&gt;(--"00:00:01"),AZ362&lt;(--"15:00:00")),BA362-AZ362,BA362+1-AZ362),BA362-AZ362)</f>
        <v>0</v>
      </c>
      <c r="BV362" s="299">
        <f>AV362</f>
        <v>0</v>
      </c>
      <c r="BW362" s="301"/>
      <c r="BX362" s="299" t="str">
        <f>IF(AV362="T Status",IF(AV362&lt;&gt;T362,"X",""),"")</f>
        <v/>
      </c>
      <c r="BY362" s="301"/>
      <c r="BZ362" s="299" t="str">
        <f>IF(X362&lt;&gt;"",IF(CC362="X","Driver Delay",IF(CA362="X","Paperwork Delay",IF(CB362="X","Late freight late sort",IF(CD362="X","Chiamare Control Room",IF(CE362="X","Chiamare Control Room",IF(CF362="X","Chiamare Control Room","")))))),"")</f>
        <v/>
      </c>
      <c r="CA362" s="302" t="str">
        <f>IF(K362="",IF(IF(AND(G362&gt;(--"00:00:01"),G362&lt;(--"15:00:00")),IF(AND(AT362&gt;(--"08:00:00"),AT362&lt;(--"23:59:59")),G362+1-AT362,G362-AT362),G362-AT362)&gt;(--"00:20:00"),"","X"),"")</f>
        <v>X</v>
      </c>
      <c r="CB362" s="299" t="str">
        <f>IF(K362="",IF(BP362&gt;=(--"00:20:00"),"","X"),"")</f>
        <v>X</v>
      </c>
      <c r="CC362" s="299" t="str">
        <f>IF(OR(AV362="Autista non presente",AV362="Dati driver non presenti"),"X","")</f>
        <v/>
      </c>
      <c r="CD362" s="299" t="str">
        <f>IF(K362="",IF(AND(CC362="",BS362&lt;(--"00:20:00")),"X",""),"")</f>
        <v>X</v>
      </c>
      <c r="CE362" s="299" t="str">
        <f>IF(K362="",IF(BT362&gt;(--"00:15:00"),"X",""),IF(AZ362&lt;&gt;"",IF(G362-AZ362&gt;(--"00:30:00"),"X",""),""))</f>
        <v/>
      </c>
      <c r="CF362" s="299" t="str">
        <f>IF(AND(CA362="",CB362="",CC362="",CD362="",CE362=""),"X","")</f>
        <v/>
      </c>
      <c r="CG362" s="301"/>
      <c r="CH362" s="299" t="str">
        <f>IF(BT362&gt;(--"00:15:00"),"X","")</f>
        <v/>
      </c>
      <c r="CI362" s="302" t="str">
        <f>AY362</f>
        <v/>
      </c>
      <c r="CJ362" s="299" t="str">
        <f>IF(AND(CH362&lt;&gt;"",CI362&lt;&gt;"",LEFT(B362,3)="ITD"),AP362,"")</f>
        <v/>
      </c>
      <c r="CK362" s="305" t="str">
        <f>IF(CJ362&lt;&gt;"",BT362,"")</f>
        <v/>
      </c>
      <c r="CL362" s="301"/>
      <c r="CM362" s="305" t="str">
        <f>IFERROR(VLOOKUP(Q362,'Elenco Casse'!$D$4:$F$292,3,FALSE),"")</f>
        <v/>
      </c>
      <c r="CN362" s="301"/>
      <c r="CO362" s="305" t="str">
        <f>IFERROR(VLOOKUP(S362,'Elenco Casse'!$D$4:$F$292,3,FALSE),"")</f>
        <v/>
      </c>
      <c r="CP362" s="305" t="str">
        <f>IFERROR(IF(VLOOKUP($E362,Outlist!$A$5:$S$120,19,FALSE)&lt;&gt;0,"Y",""),"")</f>
        <v/>
      </c>
      <c r="CQ362" s="301"/>
      <c r="CR362" s="305" t="str">
        <f>CONCATENATE($B362,$E362,$G362)</f>
        <v/>
      </c>
      <c r="CS362" s="301"/>
      <c r="CT362" s="305" t="e">
        <f>VLOOKUP(Out_Table[[#This Row],[Destination             ORANGE (From Planning)]],Outlist!$A$5:$W$120,22,FALSE)</f>
        <v>#N/A</v>
      </c>
    </row>
    <row r="363" spans="1:98" s="20" customFormat="1" ht="15">
      <c r="A363" s="305" t="str">
        <f>$CR363</f>
        <v/>
      </c>
      <c r="B363" s="284"/>
      <c r="C363" s="290">
        <f ca="1">IFERROR(IF(LEFT(B363,3)='STAT 77'!$X$2,_xlfn.XLOOKUP(B363,'STAT 77'!C:C,'STAT 77'!B:B),_xlfn.XLOOKUP(B363,'STAT 77'!B:B,'STAT 77'!C:C)),"NON TROVATO")</f>
        <v>0</v>
      </c>
      <c r="D363" s="25"/>
      <c r="E363" s="25"/>
      <c r="F363" s="290" t="str">
        <f>IFERROR(VLOOKUP(E363,'Cambio O2P'!C:E,2,FALSE),"")</f>
        <v/>
      </c>
      <c r="G363" s="285"/>
      <c r="H363" s="293" t="str">
        <f ca="1">IFERROR(IF(AND('INformazioni per calcoli'!$AB$3&lt;(--"14:30"),'INformazioni per calcoli'!$AB$3&gt;(--"10:00")),"",IF($B363="","",IF($X363&lt;&gt;"","Mezzo Chiuso",IF($W363="","Non al Carico",IF($G363-'INformazioni per calcoli'!$AB$5-'INformazioni per calcoli'!$AB$3+$J363&lt;0,"LFLS",IF($K363&lt;&gt;"","Safe Parking",IF($W363&lt;&gt;"",IF($E363="MXP",$G363-'INformazioni per calcoli'!$AB$6-'INformazioni per calcoli'!$AB$3+$J363,$G363-'INformazioni per calcoli'!$AB$5-'INformazioni per calcoli'!$AB$3+$J363),"Non al carico"))))))),"")</f>
        <v/>
      </c>
      <c r="I363" s="17" t="str">
        <f ca="1">IFERROR(IF($H363&lt;&gt;"",IF($H363="Safe Parking","",IF($W363&lt;&gt;"",IF(AND($U363="X",$V363="X"),$H363-(--"00:30"),""),IF($X363&lt;&gt;"","Mezzo Chiuso","Non al carico"))),""),"")</f>
        <v/>
      </c>
      <c r="J363" s="306" t="str">
        <f>IFERROR(IF($B363&lt;&gt;"",IF(AND('INformazioni per calcoli'!$AB$3&lt;(--"15:00"),'INformazioni per calcoli'!$AB$3&gt;(--"00:00")),0,IF($G363&lt;(--"18:30"),"+1",0)),""),"")</f>
        <v/>
      </c>
      <c r="K363" s="27"/>
      <c r="L363" s="25"/>
      <c r="M363" s="25" t="str">
        <f>IFERROR(_xlfn.XLOOKUP($Q363,'Elenco Casse'!$D:$D,'Elenco Casse'!$E:$E),"")</f>
        <v/>
      </c>
      <c r="N363" s="25" t="str">
        <f>IFERROR(_xlfn.XLOOKUP($Q363,'Elenco Casse'!$D:$D,'Elenco Casse'!$F:$F),"")</f>
        <v/>
      </c>
      <c r="O363" s="286"/>
      <c r="P363" s="295" t="str">
        <f>IFERROR(_xlfn.XLOOKUP($Q363,'Elenco Casse'!$D:$D,'Elenco Casse'!$G:$G),"")</f>
        <v/>
      </c>
      <c r="Q363" s="355"/>
      <c r="R363" s="23"/>
      <c r="S363" s="25"/>
      <c r="T363" s="25"/>
      <c r="U363" s="23" t="str">
        <f>IF(ISNUMBER(SEARCH("Parcel",$T363)),"X","")</f>
        <v/>
      </c>
      <c r="V363" s="23" t="str">
        <f>IF(ISNUMBER(SEARCH("Freight",$T363)),"X","")</f>
        <v/>
      </c>
      <c r="W363" s="26"/>
      <c r="X363" s="27"/>
      <c r="Y363" s="25" t="str">
        <f>IF(Out_Table[[#This Row],[DOC Del. hr. (RTH)]]&lt;&gt;"","XXX","")</f>
        <v/>
      </c>
      <c r="Z363" s="25"/>
      <c r="AA363" s="25"/>
      <c r="AB363" s="57"/>
      <c r="AC363" s="25"/>
      <c r="AD363" s="25"/>
      <c r="AE363" s="57"/>
      <c r="AF363" s="57"/>
      <c r="AG363" s="25"/>
      <c r="AH363" s="57"/>
      <c r="AI363" s="339"/>
      <c r="AJ363" s="339"/>
      <c r="AK363" s="297" t="str">
        <f>IF(X363&lt;&gt;"",CONCATENATE(IF(AA363&lt;&gt;"",CONCATENATE(Z363," ",AA363," ",BI363),""),IF(AD363&lt;&gt;"",CONCATENATE(","," ",AC363," ",AD363," ",BJ363),""),IF(AG363&lt;&gt;"",CONCATENATE(","," ",AF363," ",AG363," ",BK363),""),IF(AJ363&lt;&gt;"",CONCATENATE(","," ","DD"," ",BL363),"")," ",IF(AI363&lt;&gt;"",CONCATENATE(" - ",AI363," Bag"),"")),"")</f>
        <v/>
      </c>
      <c r="AL363" s="287"/>
      <c r="AM363" s="287"/>
      <c r="AN363" s="287"/>
      <c r="AO363" s="287"/>
      <c r="AP363" s="370" t="str">
        <f>IFERROR(VLOOKUP($E363,Outlist!$A$5:$V$120,20,FALSE),"")</f>
        <v/>
      </c>
      <c r="AQ363" s="288" t="str">
        <f>IFERROR(IF(VLOOKUP($A363,#REF!,8,FALSE)&lt;&gt;"",VLOOKUP($A363,#REF!,8,FALSE),""),"")</f>
        <v/>
      </c>
      <c r="AS363" s="24"/>
      <c r="AT363" s="24"/>
      <c r="AU363" s="27"/>
      <c r="AV363" s="27"/>
      <c r="AX363" s="20" t="str">
        <f>IFERROR(IF(Out_Table[[#This Row],[Cancellazione linea]]="Cancellata","yes",""),"")</f>
        <v/>
      </c>
      <c r="AY363" s="72" t="str">
        <f>IF(BA363="",BZ363,IF(AND(BA363&lt;(--"23:59:59"),BA363&gt;(--"15:00:00"),G363&lt;(--"14:00:00"),G363&gt;(--"00:00:01")),"",IF(BA363&gt;G363,BZ363,"")))</f>
        <v/>
      </c>
      <c r="AZ363" s="27"/>
      <c r="BA363" s="32"/>
      <c r="BB363" s="72"/>
      <c r="BC363" s="72" t="str">
        <f>IFERROR(VLOOKUP(Out_Table[[#This Row],[Aggiornamento STATUS]],'INformazioni per calcoli'!$Y$70:$AA$76,2,FALSE),"")</f>
        <v/>
      </c>
      <c r="BD363" s="289"/>
      <c r="BE363" s="289"/>
      <c r="BF363" s="47" t="str">
        <f>LEFT($E363,3)</f>
        <v/>
      </c>
      <c r="BG363" s="298" t="str">
        <f>IF(Out_Table[[#This Row],[Ora Uscita    (GH)]]&lt;&gt;"","x","")</f>
        <v/>
      </c>
      <c r="BH363" s="299" t="e">
        <f>VLOOKUP($O363,'INformazioni per calcoli'!$Y$20:$AA$23,3,FALSE)</f>
        <v>#N/A</v>
      </c>
      <c r="BI363" s="299" t="e">
        <f>MROUND(Out_Table[[#This Row],[Mtr. Trailer]]*AB363,0.5)</f>
        <v>#N/A</v>
      </c>
      <c r="BJ363" s="299" t="e">
        <f>MROUND(Out_Table[[#This Row],[Mtr. Trailer]]*AE363,0.5)</f>
        <v>#N/A</v>
      </c>
      <c r="BK363" s="299" t="e">
        <f>MROUND(Out_Table[[#This Row],[Mtr. Trailer]]*AH363,0.5)</f>
        <v>#N/A</v>
      </c>
      <c r="BL363" s="300">
        <f>Out_Table[[#This Row],[Double Deck trailer N° bumpers]]</f>
        <v>0</v>
      </c>
      <c r="BM363" s="301"/>
      <c r="BN363" s="299">
        <f>B363</f>
        <v>0</v>
      </c>
      <c r="BO363" s="299">
        <f>E363</f>
        <v>0</v>
      </c>
      <c r="BP363" s="302">
        <f>IF(AND(G363&gt;(--"00:00:01"),G363&lt;(--"15:00:00")),IF(AND(X363&gt;(--"00:00:01"),X363&lt;(--"15:00:00")),G363-X363,G363+1-X363),G363-X363)</f>
        <v>0</v>
      </c>
      <c r="BQ363" s="303">
        <f>AE363+AF363+AH363+AJ363</f>
        <v>0</v>
      </c>
      <c r="BR363" s="304" t="str">
        <f>IF(OR(BP363&lt;=(--"00:20:00"),BQ363&gt;=100%),"OK","Not OK")</f>
        <v>OK</v>
      </c>
      <c r="BS363" s="302">
        <f>IF(AND(G363&gt;(--"00:00:01"),G363&lt;(--"15:00:00")),IF(AND(AU363&gt;(--"00:00:01"),AU363&lt;(--"15:00:00")),G363-AU363,G363+1-AU363),G363-AU363)</f>
        <v>0</v>
      </c>
      <c r="BT363" s="302">
        <f>IF(AND(AZ363&gt;(--"00:00:01"),AZ363&lt;(--"15:00:00")),IF(AND(AU363&gt;(--"00:00:01"),AU363&lt;(--"15:00:00")),AZ363-AU363,AZ363+1-AU363),AZ363-AU363)</f>
        <v>0</v>
      </c>
      <c r="BU363" s="302">
        <f>IF(AND(BA363&gt;(--"00:00:01"),BA363&lt;(--"15:00:00")),IF(AND(AZ363&gt;(--"00:00:01"),AZ363&lt;(--"15:00:00")),BA363-AZ363,BA363+1-AZ363),BA363-AZ363)</f>
        <v>0</v>
      </c>
      <c r="BV363" s="299">
        <f>AV363</f>
        <v>0</v>
      </c>
      <c r="BW363" s="301"/>
      <c r="BX363" s="299" t="str">
        <f>IF(AV363="T Status",IF(AV363&lt;&gt;T363,"X",""),"")</f>
        <v/>
      </c>
      <c r="BY363" s="301"/>
      <c r="BZ363" s="299" t="str">
        <f>IF(X363&lt;&gt;"",IF(CC363="X","Driver Delay",IF(CA363="X","Paperwork Delay",IF(CB363="X","Late freight late sort",IF(CD363="X","Chiamare Control Room",IF(CE363="X","Chiamare Control Room",IF(CF363="X","Chiamare Control Room","")))))),"")</f>
        <v/>
      </c>
      <c r="CA363" s="302" t="str">
        <f>IF(K363="",IF(IF(AND(G363&gt;(--"00:00:01"),G363&lt;(--"15:00:00")),IF(AND(AT363&gt;(--"08:00:00"),AT363&lt;(--"23:59:59")),G363+1-AT363,G363-AT363),G363-AT363)&gt;(--"00:20:00"),"","X"),"")</f>
        <v>X</v>
      </c>
      <c r="CB363" s="299" t="str">
        <f>IF(K363="",IF(BP363&gt;=(--"00:20:00"),"","X"),"")</f>
        <v>X</v>
      </c>
      <c r="CC363" s="299" t="str">
        <f>IF(OR(AV363="Autista non presente",AV363="Dati driver non presenti"),"X","")</f>
        <v/>
      </c>
      <c r="CD363" s="299" t="str">
        <f>IF(K363="",IF(AND(CC363="",BS363&lt;(--"00:20:00")),"X",""),"")</f>
        <v>X</v>
      </c>
      <c r="CE363" s="299" t="str">
        <f>IF(K363="",IF(BT363&gt;(--"00:15:00"),"X",""),IF(AZ363&lt;&gt;"",IF(G363-AZ363&gt;(--"00:30:00"),"X",""),""))</f>
        <v/>
      </c>
      <c r="CF363" s="299" t="str">
        <f>IF(AND(CA363="",CB363="",CC363="",CD363="",CE363=""),"X","")</f>
        <v/>
      </c>
      <c r="CG363" s="301"/>
      <c r="CH363" s="299" t="str">
        <f>IF(BT363&gt;(--"00:15:00"),"X","")</f>
        <v/>
      </c>
      <c r="CI363" s="302" t="str">
        <f>AY363</f>
        <v/>
      </c>
      <c r="CJ363" s="299" t="str">
        <f>IF(AND(CH363&lt;&gt;"",CI363&lt;&gt;"",LEFT(B363,3)="ITD"),AP363,"")</f>
        <v/>
      </c>
      <c r="CK363" s="305" t="str">
        <f>IF(CJ363&lt;&gt;"",BT363,"")</f>
        <v/>
      </c>
      <c r="CL363" s="301"/>
      <c r="CM363" s="305" t="str">
        <f>IFERROR(VLOOKUP(Q363,'Elenco Casse'!$D$4:$F$292,3,FALSE),"")</f>
        <v/>
      </c>
      <c r="CN363" s="301"/>
      <c r="CO363" s="305" t="str">
        <f>IFERROR(VLOOKUP(S363,'Elenco Casse'!$D$4:$F$292,3,FALSE),"")</f>
        <v/>
      </c>
      <c r="CP363" s="305" t="str">
        <f>IFERROR(IF(VLOOKUP($E363,Outlist!$A$5:$S$120,19,FALSE)&lt;&gt;0,"Y",""),"")</f>
        <v/>
      </c>
      <c r="CQ363" s="301"/>
      <c r="CR363" s="305" t="str">
        <f>CONCATENATE($B363,$E363,$G363)</f>
        <v/>
      </c>
      <c r="CS363" s="301"/>
      <c r="CT363" s="305" t="e">
        <f>VLOOKUP(Out_Table[[#This Row],[Destination             ORANGE (From Planning)]],Outlist!$A$5:$W$120,22,FALSE)</f>
        <v>#N/A</v>
      </c>
    </row>
    <row r="364" spans="1:98" s="20" customFormat="1" ht="15">
      <c r="A364" s="305" t="str">
        <f>$CR364</f>
        <v/>
      </c>
      <c r="B364" s="284"/>
      <c r="C364" s="290" t="str">
        <f ca="1">IFERROR(IF(LEFT(B364,3)='STAT 77'!$X$2,_xlfn.XLOOKUP(B364,'STAT 77'!C:C,'STAT 77'!B:B),_xlfn.XLOOKUP(B364,'STAT 77'!B:B,'STAT 77'!C:C)),"NON TROVATO")</f>
        <v>NON TROVATO</v>
      </c>
      <c r="D364" s="25"/>
      <c r="E364" s="25"/>
      <c r="F364" s="290" t="str">
        <f>IFERROR(VLOOKUP(E364,'Cambio O2P'!C:E,2,FALSE),"")</f>
        <v/>
      </c>
      <c r="G364" s="285"/>
      <c r="H364" s="293" t="str">
        <f ca="1">IFERROR(IF(AND('INformazioni per calcoli'!$AB$3&lt;(--"14:30"),'INformazioni per calcoli'!$AB$3&gt;(--"10:00")),"",IF($B364="","",IF($X364&lt;&gt;"","Mezzo Chiuso",IF($W364="","Non al Carico",IF($G364-'INformazioni per calcoli'!$AB$5-'INformazioni per calcoli'!$AB$3+$J364&lt;0,"LFLS",IF($K364&lt;&gt;"","Safe Parking",IF($W364&lt;&gt;"",IF($E364="MXP",$G364-'INformazioni per calcoli'!$AB$6-'INformazioni per calcoli'!$AB$3+$J364,$G364-'INformazioni per calcoli'!$AB$5-'INformazioni per calcoli'!$AB$3+$J364),"Non al carico"))))))),"")</f>
        <v/>
      </c>
      <c r="I364" s="17" t="str">
        <f ca="1">IFERROR(IF($H364&lt;&gt;"",IF($H364="Safe Parking","",IF($W364&lt;&gt;"",IF(AND($U364="X",$V364="X"),$H364-(--"00:30"),""),IF($X364&lt;&gt;"","Mezzo Chiuso","Non al carico"))),""),"")</f>
        <v/>
      </c>
      <c r="J364" s="306" t="str">
        <f>IFERROR(IF($B364&lt;&gt;"",IF(AND('INformazioni per calcoli'!$AB$3&lt;(--"15:00"),'INformazioni per calcoli'!$AB$3&gt;(--"00:00")),0,IF($G364&lt;(--"18:30"),"+1",0)),""),"")</f>
        <v/>
      </c>
      <c r="K364" s="27"/>
      <c r="L364" s="25"/>
      <c r="M364" s="25" t="str">
        <f>IFERROR(_xlfn.XLOOKUP($Q364,'Elenco Casse'!$D:$D,'Elenco Casse'!$E:$E),"")</f>
        <v/>
      </c>
      <c r="N364" s="25" t="str">
        <f>IFERROR(_xlfn.XLOOKUP($Q364,'Elenco Casse'!$D:$D,'Elenco Casse'!$F:$F),"")</f>
        <v/>
      </c>
      <c r="O364" s="286"/>
      <c r="P364" s="295" t="str">
        <f>IFERROR(_xlfn.XLOOKUP($Q364,'Elenco Casse'!$D:$D,'Elenco Casse'!$G:$G),"")</f>
        <v/>
      </c>
      <c r="Q364" s="355"/>
      <c r="R364" s="23"/>
      <c r="S364" s="25"/>
      <c r="T364" s="25"/>
      <c r="U364" s="23" t="str">
        <f>IF(ISNUMBER(SEARCH("Parcel",$T364)),"X","")</f>
        <v/>
      </c>
      <c r="V364" s="23" t="str">
        <f>IF(ISNUMBER(SEARCH("Freight",$T364)),"X","")</f>
        <v/>
      </c>
      <c r="W364" s="26"/>
      <c r="X364" s="27"/>
      <c r="Y364" s="25" t="str">
        <f>IF(Out_Table[[#This Row],[DOC Del. hr. (RTH)]]&lt;&gt;"","XXX","")</f>
        <v/>
      </c>
      <c r="Z364" s="25"/>
      <c r="AA364" s="25"/>
      <c r="AB364" s="57"/>
      <c r="AC364" s="25"/>
      <c r="AD364" s="25"/>
      <c r="AE364" s="57"/>
      <c r="AF364" s="57"/>
      <c r="AG364" s="25"/>
      <c r="AH364" s="57"/>
      <c r="AI364" s="339"/>
      <c r="AJ364" s="339"/>
      <c r="AK364" s="297" t="str">
        <f>IF(X364&lt;&gt;"",CONCATENATE(IF(AA364&lt;&gt;"",CONCATENATE(Z364," ",AA364," ",BI364),""),IF(AD364&lt;&gt;"",CONCATENATE(","," ",AC364," ",AD364," ",BJ364),""),IF(AG364&lt;&gt;"",CONCATENATE(","," ",AF364," ",AG364," ",BK364),""),IF(AJ364&lt;&gt;"",CONCATENATE(","," ","DD"," ",BL364),"")," ",IF(AI364&lt;&gt;"",CONCATENATE(" - ",AI364," Bag"),"")),"")</f>
        <v/>
      </c>
      <c r="AL364" s="287"/>
      <c r="AM364" s="287"/>
      <c r="AN364" s="287"/>
      <c r="AO364" s="287"/>
      <c r="AP364" s="370" t="str">
        <f>IFERROR(VLOOKUP($E364,Outlist!$A$5:$V$120,20,FALSE),"")</f>
        <v/>
      </c>
      <c r="AQ364" s="288" t="str">
        <f>IFERROR(IF(VLOOKUP($A364,#REF!,8,FALSE)&lt;&gt;"",VLOOKUP($A364,#REF!,8,FALSE),""),"")</f>
        <v/>
      </c>
      <c r="AS364" s="24"/>
      <c r="AT364" s="24"/>
      <c r="AU364" s="27"/>
      <c r="AV364" s="27"/>
      <c r="AX364" s="20" t="str">
        <f>IFERROR(IF(Out_Table[[#This Row],[Cancellazione linea]]="Cancellata","yes",""),"")</f>
        <v/>
      </c>
      <c r="AY364" s="72" t="str">
        <f>IF(BA364="",BZ364,IF(AND(BA364&lt;(--"23:59:59"),BA364&gt;(--"15:00:00"),G364&lt;(--"14:00:00"),G364&gt;(--"00:00:01")),"",IF(BA364&gt;G364,BZ364,"")))</f>
        <v/>
      </c>
      <c r="AZ364" s="27"/>
      <c r="BA364" s="32"/>
      <c r="BB364" s="72"/>
      <c r="BC364" s="72" t="str">
        <f>IFERROR(VLOOKUP(Out_Table[[#This Row],[Aggiornamento STATUS]],'INformazioni per calcoli'!$Y$70:$AA$76,2,FALSE),"")</f>
        <v/>
      </c>
      <c r="BD364" s="289"/>
      <c r="BE364" s="289"/>
      <c r="BF364" s="47" t="str">
        <f>LEFT($E364,3)</f>
        <v/>
      </c>
      <c r="BG364" s="298" t="str">
        <f>IF(Out_Table[[#This Row],[Ora Uscita    (GH)]]&lt;&gt;"","x","")</f>
        <v/>
      </c>
      <c r="BH364" s="299" t="e">
        <f>VLOOKUP($O364,'INformazioni per calcoli'!$Y$20:$AA$23,3,FALSE)</f>
        <v>#N/A</v>
      </c>
      <c r="BI364" s="299" t="e">
        <f>MROUND(Out_Table[[#This Row],[Mtr. Trailer]]*AB364,0.5)</f>
        <v>#N/A</v>
      </c>
      <c r="BJ364" s="299" t="e">
        <f>MROUND(Out_Table[[#This Row],[Mtr. Trailer]]*AE364,0.5)</f>
        <v>#N/A</v>
      </c>
      <c r="BK364" s="299" t="e">
        <f>MROUND(Out_Table[[#This Row],[Mtr. Trailer]]*AH364,0.5)</f>
        <v>#N/A</v>
      </c>
      <c r="BL364" s="300">
        <f>Out_Table[[#This Row],[Double Deck trailer N° bumpers]]</f>
        <v>0</v>
      </c>
      <c r="BM364" s="301"/>
      <c r="BN364" s="299">
        <f>B364</f>
        <v>0</v>
      </c>
      <c r="BO364" s="299">
        <f>E364</f>
        <v>0</v>
      </c>
      <c r="BP364" s="302">
        <f>IF(AND(G364&gt;(--"00:00:01"),G364&lt;(--"15:00:00")),IF(AND(X364&gt;(--"00:00:01"),X364&lt;(--"15:00:00")),G364-X364,G364+1-X364),G364-X364)</f>
        <v>0</v>
      </c>
      <c r="BQ364" s="303">
        <f>AE364+AF364+AH364+AJ364</f>
        <v>0</v>
      </c>
      <c r="BR364" s="304" t="str">
        <f>IF(OR(BP364&lt;=(--"00:20:00"),BQ364&gt;=100%),"OK","Not OK")</f>
        <v>OK</v>
      </c>
      <c r="BS364" s="302">
        <f>IF(AND(G364&gt;(--"00:00:01"),G364&lt;(--"15:00:00")),IF(AND(AU364&gt;(--"00:00:01"),AU364&lt;(--"15:00:00")),G364-AU364,G364+1-AU364),G364-AU364)</f>
        <v>0</v>
      </c>
      <c r="BT364" s="302">
        <f>IF(AND(AZ364&gt;(--"00:00:01"),AZ364&lt;(--"15:00:00")),IF(AND(AU364&gt;(--"00:00:01"),AU364&lt;(--"15:00:00")),AZ364-AU364,AZ364+1-AU364),AZ364-AU364)</f>
        <v>0</v>
      </c>
      <c r="BU364" s="302">
        <f>IF(AND(BA364&gt;(--"00:00:01"),BA364&lt;(--"15:00:00")),IF(AND(AZ364&gt;(--"00:00:01"),AZ364&lt;(--"15:00:00")),BA364-AZ364,BA364+1-AZ364),BA364-AZ364)</f>
        <v>0</v>
      </c>
      <c r="BV364" s="299">
        <f>AV364</f>
        <v>0</v>
      </c>
      <c r="BW364" s="301"/>
      <c r="BX364" s="299" t="str">
        <f>IF(AV364="T Status",IF(AV364&lt;&gt;T364,"X",""),"")</f>
        <v/>
      </c>
      <c r="BY364" s="301"/>
      <c r="BZ364" s="299" t="str">
        <f>IF(X364&lt;&gt;"",IF(CC364="X","Driver Delay",IF(CA364="X","Paperwork Delay",IF(CB364="X","Late freight late sort",IF(CD364="X","Chiamare Control Room",IF(CE364="X","Chiamare Control Room",IF(CF364="X","Chiamare Control Room","")))))),"")</f>
        <v/>
      </c>
      <c r="CA364" s="302" t="str">
        <f>IF(K364="",IF(IF(AND(G364&gt;(--"00:00:01"),G364&lt;(--"15:00:00")),IF(AND(AT364&gt;(--"08:00:00"),AT364&lt;(--"23:59:59")),G364+1-AT364,G364-AT364),G364-AT364)&gt;(--"00:20:00"),"","X"),"")</f>
        <v>X</v>
      </c>
      <c r="CB364" s="299" t="str">
        <f>IF(K364="",IF(BP364&gt;=(--"00:20:00"),"","X"),"")</f>
        <v>X</v>
      </c>
      <c r="CC364" s="299" t="str">
        <f>IF(OR(AV364="Autista non presente",AV364="Dati driver non presenti"),"X","")</f>
        <v/>
      </c>
      <c r="CD364" s="299" t="str">
        <f>IF(K364="",IF(AND(CC364="",BS364&lt;(--"00:20:00")),"X",""),"")</f>
        <v>X</v>
      </c>
      <c r="CE364" s="299" t="str">
        <f>IF(K364="",IF(BT364&gt;(--"00:15:00"),"X",""),IF(AZ364&lt;&gt;"",IF(G364-AZ364&gt;(--"00:30:00"),"X",""),""))</f>
        <v/>
      </c>
      <c r="CF364" s="299" t="str">
        <f>IF(AND(CA364="",CB364="",CC364="",CD364="",CE364=""),"X","")</f>
        <v/>
      </c>
      <c r="CG364" s="301"/>
      <c r="CH364" s="299" t="str">
        <f>IF(BT364&gt;(--"00:15:00"),"X","")</f>
        <v/>
      </c>
      <c r="CI364" s="302" t="str">
        <f>AY364</f>
        <v/>
      </c>
      <c r="CJ364" s="299" t="str">
        <f>IF(AND(CH364&lt;&gt;"",CI364&lt;&gt;"",LEFT(B364,3)="ITD"),AP364,"")</f>
        <v/>
      </c>
      <c r="CK364" s="305" t="str">
        <f>IF(CJ364&lt;&gt;"",BT364,"")</f>
        <v/>
      </c>
      <c r="CL364" s="301"/>
      <c r="CM364" s="305" t="str">
        <f>IFERROR(VLOOKUP(Q364,'Elenco Casse'!$D$4:$F$292,3,FALSE),"")</f>
        <v/>
      </c>
      <c r="CN364" s="301"/>
      <c r="CO364" s="305" t="str">
        <f>IFERROR(VLOOKUP(S364,'Elenco Casse'!$D$4:$F$292,3,FALSE),"")</f>
        <v/>
      </c>
      <c r="CP364" s="305" t="str">
        <f>IFERROR(IF(VLOOKUP($E364,Outlist!$A$5:$S$120,19,FALSE)&lt;&gt;0,"Y",""),"")</f>
        <v/>
      </c>
      <c r="CQ364" s="301"/>
      <c r="CR364" s="305" t="str">
        <f>CONCATENATE($B364,$E364,$G364)</f>
        <v/>
      </c>
      <c r="CS364" s="301"/>
      <c r="CT364" s="305" t="e">
        <f>VLOOKUP(Out_Table[[#This Row],[Destination             ORANGE (From Planning)]],Outlist!$A$5:$W$120,22,FALSE)</f>
        <v>#N/A</v>
      </c>
    </row>
    <row r="365" spans="1:98" s="20" customFormat="1" ht="15">
      <c r="A365" s="305" t="str">
        <f>$CR365</f>
        <v/>
      </c>
      <c r="B365" s="284"/>
      <c r="C365" s="290">
        <f ca="1">IFERROR(IF(LEFT(B365,3)='STAT 77'!$X$2,_xlfn.XLOOKUP(B365,'STAT 77'!C:C,'STAT 77'!B:B),_xlfn.XLOOKUP(B365,'STAT 77'!B:B,'STAT 77'!C:C)),"NON TROVATO")</f>
        <v>0</v>
      </c>
      <c r="D365" s="25"/>
      <c r="E365" s="25"/>
      <c r="F365" s="290" t="str">
        <f>IFERROR(VLOOKUP(E365,'Cambio O2P'!C:E,2,FALSE),"")</f>
        <v/>
      </c>
      <c r="G365" s="285"/>
      <c r="H365" s="293" t="str">
        <f ca="1">IFERROR(IF(AND('INformazioni per calcoli'!$AB$3&lt;(--"14:30"),'INformazioni per calcoli'!$AB$3&gt;(--"10:00")),"",IF($B365="","",IF($X365&lt;&gt;"","Mezzo Chiuso",IF($W365="","Non al Carico",IF($G365-'INformazioni per calcoli'!$AB$5-'INformazioni per calcoli'!$AB$3+$J365&lt;0,"LFLS",IF($K365&lt;&gt;"","Safe Parking",IF($W365&lt;&gt;"",IF($E365="MXP",$G365-'INformazioni per calcoli'!$AB$6-'INformazioni per calcoli'!$AB$3+$J365,$G365-'INformazioni per calcoli'!$AB$5-'INformazioni per calcoli'!$AB$3+$J365),"Non al carico"))))))),"")</f>
        <v/>
      </c>
      <c r="I365" s="17" t="str">
        <f ca="1">IFERROR(IF($H365&lt;&gt;"",IF($H365="Safe Parking","",IF($W365&lt;&gt;"",IF(AND($U365="X",$V365="X"),$H365-(--"00:30"),""),IF($X365&lt;&gt;"","Mezzo Chiuso","Non al carico"))),""),"")</f>
        <v/>
      </c>
      <c r="J365" s="306" t="str">
        <f>IFERROR(IF($B365&lt;&gt;"",IF(AND('INformazioni per calcoli'!$AB$3&lt;(--"15:00"),'INformazioni per calcoli'!$AB$3&gt;(--"00:00")),0,IF($G365&lt;(--"18:30"),"+1",0)),""),"")</f>
        <v/>
      </c>
      <c r="K365" s="27"/>
      <c r="L365" s="25"/>
      <c r="M365" s="25" t="str">
        <f>IFERROR(_xlfn.XLOOKUP($Q365,'Elenco Casse'!$D:$D,'Elenco Casse'!$E:$E),"")</f>
        <v/>
      </c>
      <c r="N365" s="25" t="str">
        <f>IFERROR(_xlfn.XLOOKUP($Q365,'Elenco Casse'!$D:$D,'Elenco Casse'!$F:$F),"")</f>
        <v/>
      </c>
      <c r="O365" s="286"/>
      <c r="P365" s="295" t="str">
        <f>IFERROR(_xlfn.XLOOKUP($Q365,'Elenco Casse'!$D:$D,'Elenco Casse'!$G:$G),"")</f>
        <v/>
      </c>
      <c r="Q365" s="355"/>
      <c r="R365" s="23"/>
      <c r="S365" s="25"/>
      <c r="T365" s="25"/>
      <c r="U365" s="23" t="str">
        <f>IF(ISNUMBER(SEARCH("Parcel",$T365)),"X","")</f>
        <v/>
      </c>
      <c r="V365" s="23" t="str">
        <f>IF(ISNUMBER(SEARCH("Freight",$T365)),"X","")</f>
        <v/>
      </c>
      <c r="W365" s="26"/>
      <c r="X365" s="27"/>
      <c r="Y365" s="25" t="str">
        <f>IF(Out_Table[[#This Row],[DOC Del. hr. (RTH)]]&lt;&gt;"","XXX","")</f>
        <v/>
      </c>
      <c r="Z365" s="25"/>
      <c r="AA365" s="25"/>
      <c r="AB365" s="57"/>
      <c r="AC365" s="25"/>
      <c r="AD365" s="25"/>
      <c r="AE365" s="57"/>
      <c r="AF365" s="57"/>
      <c r="AG365" s="25"/>
      <c r="AH365" s="57"/>
      <c r="AI365" s="339"/>
      <c r="AJ365" s="339"/>
      <c r="AK365" s="297" t="str">
        <f>IF(X365&lt;&gt;"",CONCATENATE(IF(AA365&lt;&gt;"",CONCATENATE(Z365," ",AA365," ",BI365),""),IF(AD365&lt;&gt;"",CONCATENATE(","," ",AC365," ",AD365," ",BJ365),""),IF(AG365&lt;&gt;"",CONCATENATE(","," ",AF365," ",AG365," ",BK365),""),IF(AJ365&lt;&gt;"",CONCATENATE(","," ","DD"," ",BL365),"")," ",IF(AI365&lt;&gt;"",CONCATENATE(" - ",AI365," Bag"),"")),"")</f>
        <v/>
      </c>
      <c r="AL365" s="287"/>
      <c r="AM365" s="287"/>
      <c r="AN365" s="287"/>
      <c r="AO365" s="287"/>
      <c r="AP365" s="370" t="str">
        <f>IFERROR(VLOOKUP($E365,Outlist!$A$5:$V$120,20,FALSE),"")</f>
        <v/>
      </c>
      <c r="AQ365" s="288" t="str">
        <f>IFERROR(IF(VLOOKUP($A365,#REF!,8,FALSE)&lt;&gt;"",VLOOKUP($A365,#REF!,8,FALSE),""),"")</f>
        <v/>
      </c>
      <c r="AS365" s="24"/>
      <c r="AT365" s="24"/>
      <c r="AU365" s="27"/>
      <c r="AV365" s="27"/>
      <c r="AX365" s="20" t="str">
        <f>IFERROR(IF(Out_Table[[#This Row],[Cancellazione linea]]="Cancellata","yes",""),"")</f>
        <v/>
      </c>
      <c r="AY365" s="72" t="str">
        <f>IF(BA365="",BZ365,IF(AND(BA365&lt;(--"23:59:59"),BA365&gt;(--"15:00:00"),G365&lt;(--"14:00:00"),G365&gt;(--"00:00:01")),"",IF(BA365&gt;G365,BZ365,"")))</f>
        <v/>
      </c>
      <c r="AZ365" s="27"/>
      <c r="BA365" s="32"/>
      <c r="BB365" s="72"/>
      <c r="BC365" s="72" t="str">
        <f>IFERROR(VLOOKUP(Out_Table[[#This Row],[Aggiornamento STATUS]],'INformazioni per calcoli'!$Y$70:$AA$76,2,FALSE),"")</f>
        <v/>
      </c>
      <c r="BD365" s="289"/>
      <c r="BE365" s="289"/>
      <c r="BF365" s="47" t="str">
        <f>LEFT($E365,3)</f>
        <v/>
      </c>
      <c r="BG365" s="298" t="str">
        <f>IF(Out_Table[[#This Row],[Ora Uscita    (GH)]]&lt;&gt;"","x","")</f>
        <v/>
      </c>
      <c r="BH365" s="299" t="e">
        <f>VLOOKUP($O365,'INformazioni per calcoli'!$Y$20:$AA$23,3,FALSE)</f>
        <v>#N/A</v>
      </c>
      <c r="BI365" s="299" t="e">
        <f>MROUND(Out_Table[[#This Row],[Mtr. Trailer]]*AB365,0.5)</f>
        <v>#N/A</v>
      </c>
      <c r="BJ365" s="299" t="e">
        <f>MROUND(Out_Table[[#This Row],[Mtr. Trailer]]*AE365,0.5)</f>
        <v>#N/A</v>
      </c>
      <c r="BK365" s="299" t="e">
        <f>MROUND(Out_Table[[#This Row],[Mtr. Trailer]]*AH365,0.5)</f>
        <v>#N/A</v>
      </c>
      <c r="BL365" s="300">
        <f>Out_Table[[#This Row],[Double Deck trailer N° bumpers]]</f>
        <v>0</v>
      </c>
      <c r="BM365" s="301"/>
      <c r="BN365" s="299">
        <f>B365</f>
        <v>0</v>
      </c>
      <c r="BO365" s="299">
        <f>E365</f>
        <v>0</v>
      </c>
      <c r="BP365" s="302">
        <f>IF(AND(G365&gt;(--"00:00:01"),G365&lt;(--"15:00:00")),IF(AND(X365&gt;(--"00:00:01"),X365&lt;(--"15:00:00")),G365-X365,G365+1-X365),G365-X365)</f>
        <v>0</v>
      </c>
      <c r="BQ365" s="303">
        <f>AE365+AF365+AH365+AJ365</f>
        <v>0</v>
      </c>
      <c r="BR365" s="304" t="str">
        <f>IF(OR(BP365&lt;=(--"00:20:00"),BQ365&gt;=100%),"OK","Not OK")</f>
        <v>OK</v>
      </c>
      <c r="BS365" s="302">
        <f>IF(AND(G365&gt;(--"00:00:01"),G365&lt;(--"15:00:00")),IF(AND(AU365&gt;(--"00:00:01"),AU365&lt;(--"15:00:00")),G365-AU365,G365+1-AU365),G365-AU365)</f>
        <v>0</v>
      </c>
      <c r="BT365" s="302">
        <f>IF(AND(AZ365&gt;(--"00:00:01"),AZ365&lt;(--"15:00:00")),IF(AND(AU365&gt;(--"00:00:01"),AU365&lt;(--"15:00:00")),AZ365-AU365,AZ365+1-AU365),AZ365-AU365)</f>
        <v>0</v>
      </c>
      <c r="BU365" s="302">
        <f>IF(AND(BA365&gt;(--"00:00:01"),BA365&lt;(--"15:00:00")),IF(AND(AZ365&gt;(--"00:00:01"),AZ365&lt;(--"15:00:00")),BA365-AZ365,BA365+1-AZ365),BA365-AZ365)</f>
        <v>0</v>
      </c>
      <c r="BV365" s="299">
        <f>AV365</f>
        <v>0</v>
      </c>
      <c r="BW365" s="301"/>
      <c r="BX365" s="299" t="str">
        <f>IF(AV365="T Status",IF(AV365&lt;&gt;T365,"X",""),"")</f>
        <v/>
      </c>
      <c r="BY365" s="301"/>
      <c r="BZ365" s="299" t="str">
        <f>IF(X365&lt;&gt;"",IF(CC365="X","Driver Delay",IF(CA365="X","Paperwork Delay",IF(CB365="X","Late freight late sort",IF(CD365="X","Chiamare Control Room",IF(CE365="X","Chiamare Control Room",IF(CF365="X","Chiamare Control Room","")))))),"")</f>
        <v/>
      </c>
      <c r="CA365" s="302" t="str">
        <f>IF(K365="",IF(IF(AND(G365&gt;(--"00:00:01"),G365&lt;(--"15:00:00")),IF(AND(AT365&gt;(--"08:00:00"),AT365&lt;(--"23:59:59")),G365+1-AT365,G365-AT365),G365-AT365)&gt;(--"00:20:00"),"","X"),"")</f>
        <v>X</v>
      </c>
      <c r="CB365" s="299" t="str">
        <f>IF(K365="",IF(BP365&gt;=(--"00:20:00"),"","X"),"")</f>
        <v>X</v>
      </c>
      <c r="CC365" s="299" t="str">
        <f>IF(OR(AV365="Autista non presente",AV365="Dati driver non presenti"),"X","")</f>
        <v/>
      </c>
      <c r="CD365" s="299" t="str">
        <f>IF(K365="",IF(AND(CC365="",BS365&lt;(--"00:20:00")),"X",""),"")</f>
        <v>X</v>
      </c>
      <c r="CE365" s="299" t="str">
        <f>IF(K365="",IF(BT365&gt;(--"00:15:00"),"X",""),IF(AZ365&lt;&gt;"",IF(G365-AZ365&gt;(--"00:30:00"),"X",""),""))</f>
        <v/>
      </c>
      <c r="CF365" s="299" t="str">
        <f>IF(AND(CA365="",CB365="",CC365="",CD365="",CE365=""),"X","")</f>
        <v/>
      </c>
      <c r="CG365" s="301"/>
      <c r="CH365" s="299" t="str">
        <f>IF(BT365&gt;(--"00:15:00"),"X","")</f>
        <v/>
      </c>
      <c r="CI365" s="302" t="str">
        <f>AY365</f>
        <v/>
      </c>
      <c r="CJ365" s="299" t="str">
        <f>IF(AND(CH365&lt;&gt;"",CI365&lt;&gt;"",LEFT(B365,3)="ITD"),AP365,"")</f>
        <v/>
      </c>
      <c r="CK365" s="305" t="str">
        <f>IF(CJ365&lt;&gt;"",BT365,"")</f>
        <v/>
      </c>
      <c r="CL365" s="301"/>
      <c r="CM365" s="305" t="str">
        <f>IFERROR(VLOOKUP(Q365,'Elenco Casse'!$D$4:$F$292,3,FALSE),"")</f>
        <v/>
      </c>
      <c r="CN365" s="301"/>
      <c r="CO365" s="305" t="str">
        <f>IFERROR(VLOOKUP(S365,'Elenco Casse'!$D$4:$F$292,3,FALSE),"")</f>
        <v/>
      </c>
      <c r="CP365" s="305" t="str">
        <f>IFERROR(IF(VLOOKUP($E365,Outlist!$A$5:$S$120,19,FALSE)&lt;&gt;0,"Y",""),"")</f>
        <v/>
      </c>
      <c r="CQ365" s="301"/>
      <c r="CR365" s="305" t="str">
        <f>CONCATENATE($B365,$E365,$G365)</f>
        <v/>
      </c>
      <c r="CS365" s="301"/>
      <c r="CT365" s="305" t="e">
        <f>VLOOKUP(Out_Table[[#This Row],[Destination             ORANGE (From Planning)]],Outlist!$A$5:$W$120,22,FALSE)</f>
        <v>#N/A</v>
      </c>
    </row>
    <row r="366" spans="1:98" s="20" customFormat="1" ht="15">
      <c r="A366" s="305" t="str">
        <f>$CR366</f>
        <v/>
      </c>
      <c r="B366" s="284"/>
      <c r="C366" s="290">
        <f ca="1">IFERROR(IF(LEFT(B366,3)='STAT 77'!$X$2,_xlfn.XLOOKUP(B366,'STAT 77'!C:C,'STAT 77'!B:B),_xlfn.XLOOKUP(B366,'STAT 77'!B:B,'STAT 77'!C:C)),"NON TROVATO")</f>
        <v>0</v>
      </c>
      <c r="D366" s="25"/>
      <c r="E366" s="25"/>
      <c r="F366" s="290" t="str">
        <f>IFERROR(VLOOKUP(E366,'Cambio O2P'!C:E,2,FALSE),"")</f>
        <v/>
      </c>
      <c r="G366" s="285"/>
      <c r="H366" s="293" t="str">
        <f ca="1">IFERROR(IF(AND('INformazioni per calcoli'!$AB$3&lt;(--"14:30"),'INformazioni per calcoli'!$AB$3&gt;(--"10:00")),"",IF($B366="","",IF($X366&lt;&gt;"","Mezzo Chiuso",IF($W366="","Non al Carico",IF($G366-'INformazioni per calcoli'!$AB$5-'INformazioni per calcoli'!$AB$3+$J366&lt;0,"LFLS",IF($K366&lt;&gt;"","Safe Parking",IF($W366&lt;&gt;"",IF($E366="MXP",$G366-'INformazioni per calcoli'!$AB$6-'INformazioni per calcoli'!$AB$3+$J366,$G366-'INformazioni per calcoli'!$AB$5-'INformazioni per calcoli'!$AB$3+$J366),"Non al carico"))))))),"")</f>
        <v/>
      </c>
      <c r="I366" s="17" t="str">
        <f ca="1">IFERROR(IF($H366&lt;&gt;"",IF($H366="Safe Parking","",IF($W366&lt;&gt;"",IF(AND($U366="X",$V366="X"),$H366-(--"00:30"),""),IF($X366&lt;&gt;"","Mezzo Chiuso","Non al carico"))),""),"")</f>
        <v/>
      </c>
      <c r="J366" s="306" t="str">
        <f>IFERROR(IF($B366&lt;&gt;"",IF(AND('INformazioni per calcoli'!$AB$3&lt;(--"15:00"),'INformazioni per calcoli'!$AB$3&gt;(--"00:00")),0,IF($G366&lt;(--"18:30"),"+1",0)),""),"")</f>
        <v/>
      </c>
      <c r="K366" s="27"/>
      <c r="L366" s="25"/>
      <c r="M366" s="25" t="str">
        <f>IFERROR(_xlfn.XLOOKUP($Q366,'Elenco Casse'!$D:$D,'Elenco Casse'!$E:$E),"")</f>
        <v/>
      </c>
      <c r="N366" s="25" t="str">
        <f>IFERROR(_xlfn.XLOOKUP($Q366,'Elenco Casse'!$D:$D,'Elenco Casse'!$F:$F),"")</f>
        <v/>
      </c>
      <c r="O366" s="286"/>
      <c r="P366" s="295" t="str">
        <f>IFERROR(_xlfn.XLOOKUP($Q366,'Elenco Casse'!$D:$D,'Elenco Casse'!$G:$G),"")</f>
        <v/>
      </c>
      <c r="Q366" s="355"/>
      <c r="R366" s="23"/>
      <c r="S366" s="25"/>
      <c r="T366" s="25"/>
      <c r="U366" s="23" t="str">
        <f>IF(ISNUMBER(SEARCH("Parcel",$T366)),"X","")</f>
        <v/>
      </c>
      <c r="V366" s="23" t="str">
        <f>IF(ISNUMBER(SEARCH("Freight",$T366)),"X","")</f>
        <v/>
      </c>
      <c r="W366" s="26"/>
      <c r="X366" s="27"/>
      <c r="Y366" s="25" t="str">
        <f>IF(Out_Table[[#This Row],[DOC Del. hr. (RTH)]]&lt;&gt;"","XXX","")</f>
        <v/>
      </c>
      <c r="Z366" s="25"/>
      <c r="AA366" s="25"/>
      <c r="AB366" s="57"/>
      <c r="AC366" s="25"/>
      <c r="AD366" s="25"/>
      <c r="AE366" s="57"/>
      <c r="AF366" s="57"/>
      <c r="AG366" s="25"/>
      <c r="AH366" s="57"/>
      <c r="AI366" s="339"/>
      <c r="AJ366" s="339"/>
      <c r="AK366" s="297" t="str">
        <f>IF(X366&lt;&gt;"",CONCATENATE(IF(AA366&lt;&gt;"",CONCATENATE(Z366," ",AA366," ",BI366),""),IF(AD366&lt;&gt;"",CONCATENATE(","," ",AC366," ",AD366," ",BJ366),""),IF(AG366&lt;&gt;"",CONCATENATE(","," ",AF366," ",AG366," ",BK366),""),IF(AJ366&lt;&gt;"",CONCATENATE(","," ","DD"," ",BL366),"")," ",IF(AI366&lt;&gt;"",CONCATENATE(" - ",AI366," Bag"),"")),"")</f>
        <v/>
      </c>
      <c r="AL366" s="287"/>
      <c r="AM366" s="287"/>
      <c r="AN366" s="287"/>
      <c r="AO366" s="287"/>
      <c r="AP366" s="370" t="str">
        <f>IFERROR(VLOOKUP($E366,Outlist!$A$5:$V$120,20,FALSE),"")</f>
        <v/>
      </c>
      <c r="AQ366" s="288" t="str">
        <f>IFERROR(IF(VLOOKUP($A366,#REF!,8,FALSE)&lt;&gt;"",VLOOKUP($A366,#REF!,8,FALSE),""),"")</f>
        <v/>
      </c>
      <c r="AS366" s="24"/>
      <c r="AT366" s="24"/>
      <c r="AU366" s="27"/>
      <c r="AV366" s="27"/>
      <c r="AX366" s="20" t="str">
        <f>IFERROR(IF(Out_Table[[#This Row],[Cancellazione linea]]="Cancellata","yes",""),"")</f>
        <v/>
      </c>
      <c r="AY366" s="72" t="str">
        <f>IF(BA366="",BZ366,IF(AND(BA366&lt;(--"23:59:59"),BA366&gt;(--"15:00:00"),G366&lt;(--"14:00:00"),G366&gt;(--"00:00:01")),"",IF(BA366&gt;G366,BZ366,"")))</f>
        <v/>
      </c>
      <c r="AZ366" s="27"/>
      <c r="BA366" s="32"/>
      <c r="BB366" s="72"/>
      <c r="BC366" s="72" t="str">
        <f>IFERROR(VLOOKUP(Out_Table[[#This Row],[Aggiornamento STATUS]],'INformazioni per calcoli'!$Y$70:$AA$76,2,FALSE),"")</f>
        <v/>
      </c>
      <c r="BD366" s="289"/>
      <c r="BE366" s="289"/>
      <c r="BF366" s="47" t="str">
        <f>LEFT($E366,3)</f>
        <v/>
      </c>
      <c r="BG366" s="298" t="str">
        <f>IF(Out_Table[[#This Row],[Ora Uscita    (GH)]]&lt;&gt;"","x","")</f>
        <v/>
      </c>
      <c r="BH366" s="299" t="e">
        <f>VLOOKUP($O366,'INformazioni per calcoli'!$Y$20:$AA$23,3,FALSE)</f>
        <v>#N/A</v>
      </c>
      <c r="BI366" s="299" t="e">
        <f>MROUND(Out_Table[[#This Row],[Mtr. Trailer]]*AB366,0.5)</f>
        <v>#N/A</v>
      </c>
      <c r="BJ366" s="299" t="e">
        <f>MROUND(Out_Table[[#This Row],[Mtr. Trailer]]*AE366,0.5)</f>
        <v>#N/A</v>
      </c>
      <c r="BK366" s="299" t="e">
        <f>MROUND(Out_Table[[#This Row],[Mtr. Trailer]]*AH366,0.5)</f>
        <v>#N/A</v>
      </c>
      <c r="BL366" s="300">
        <f>Out_Table[[#This Row],[Double Deck trailer N° bumpers]]</f>
        <v>0</v>
      </c>
      <c r="BM366" s="301"/>
      <c r="BN366" s="299">
        <f>B366</f>
        <v>0</v>
      </c>
      <c r="BO366" s="299">
        <f>E366</f>
        <v>0</v>
      </c>
      <c r="BP366" s="302">
        <f>IF(AND(G366&gt;(--"00:00:01"),G366&lt;(--"15:00:00")),IF(AND(X366&gt;(--"00:00:01"),X366&lt;(--"15:00:00")),G366-X366,G366+1-X366),G366-X366)</f>
        <v>0</v>
      </c>
      <c r="BQ366" s="303">
        <f>AE366+AF366+AH366+AJ366</f>
        <v>0</v>
      </c>
      <c r="BR366" s="304" t="str">
        <f>IF(OR(BP366&lt;=(--"00:20:00"),BQ366&gt;=100%),"OK","Not OK")</f>
        <v>OK</v>
      </c>
      <c r="BS366" s="302">
        <f>IF(AND(G366&gt;(--"00:00:01"),G366&lt;(--"15:00:00")),IF(AND(AU366&gt;(--"00:00:01"),AU366&lt;(--"15:00:00")),G366-AU366,G366+1-AU366),G366-AU366)</f>
        <v>0</v>
      </c>
      <c r="BT366" s="302">
        <f>IF(AND(AZ366&gt;(--"00:00:01"),AZ366&lt;(--"15:00:00")),IF(AND(AU366&gt;(--"00:00:01"),AU366&lt;(--"15:00:00")),AZ366-AU366,AZ366+1-AU366),AZ366-AU366)</f>
        <v>0</v>
      </c>
      <c r="BU366" s="302">
        <f>IF(AND(BA366&gt;(--"00:00:01"),BA366&lt;(--"15:00:00")),IF(AND(AZ366&gt;(--"00:00:01"),AZ366&lt;(--"15:00:00")),BA366-AZ366,BA366+1-AZ366),BA366-AZ366)</f>
        <v>0</v>
      </c>
      <c r="BV366" s="299">
        <f>AV366</f>
        <v>0</v>
      </c>
      <c r="BW366" s="301"/>
      <c r="BX366" s="299" t="str">
        <f>IF(AV366="T Status",IF(AV366&lt;&gt;T366,"X",""),"")</f>
        <v/>
      </c>
      <c r="BY366" s="301"/>
      <c r="BZ366" s="299" t="str">
        <f>IF(X366&lt;&gt;"",IF(CC366="X","Driver Delay",IF(CA366="X","Paperwork Delay",IF(CB366="X","Late freight late sort",IF(CD366="X","Chiamare Control Room",IF(CE366="X","Chiamare Control Room",IF(CF366="X","Chiamare Control Room","")))))),"")</f>
        <v/>
      </c>
      <c r="CA366" s="302" t="str">
        <f>IF(K366="",IF(IF(AND(G366&gt;(--"00:00:01"),G366&lt;(--"15:00:00")),IF(AND(AT366&gt;(--"08:00:00"),AT366&lt;(--"23:59:59")),G366+1-AT366,G366-AT366),G366-AT366)&gt;(--"00:20:00"),"","X"),"")</f>
        <v>X</v>
      </c>
      <c r="CB366" s="299" t="str">
        <f>IF(K366="",IF(BP366&gt;=(--"00:20:00"),"","X"),"")</f>
        <v>X</v>
      </c>
      <c r="CC366" s="299" t="str">
        <f>IF(OR(AV366="Autista non presente",AV366="Dati driver non presenti"),"X","")</f>
        <v/>
      </c>
      <c r="CD366" s="299" t="str">
        <f>IF(K366="",IF(AND(CC366="",BS366&lt;(--"00:20:00")),"X",""),"")</f>
        <v>X</v>
      </c>
      <c r="CE366" s="299" t="str">
        <f>IF(K366="",IF(BT366&gt;(--"00:15:00"),"X",""),IF(AZ366&lt;&gt;"",IF(G366-AZ366&gt;(--"00:30:00"),"X",""),""))</f>
        <v/>
      </c>
      <c r="CF366" s="299" t="str">
        <f>IF(AND(CA366="",CB366="",CC366="",CD366="",CE366=""),"X","")</f>
        <v/>
      </c>
      <c r="CG366" s="301"/>
      <c r="CH366" s="299" t="str">
        <f>IF(BT366&gt;(--"00:15:00"),"X","")</f>
        <v/>
      </c>
      <c r="CI366" s="302" t="str">
        <f>AY366</f>
        <v/>
      </c>
      <c r="CJ366" s="299" t="str">
        <f>IF(AND(CH366&lt;&gt;"",CI366&lt;&gt;"",LEFT(B366,3)="ITD"),AP366,"")</f>
        <v/>
      </c>
      <c r="CK366" s="305" t="str">
        <f>IF(CJ366&lt;&gt;"",BT366,"")</f>
        <v/>
      </c>
      <c r="CL366" s="301"/>
      <c r="CM366" s="305" t="str">
        <f>IFERROR(VLOOKUP(Q366,'Elenco Casse'!$D$4:$F$292,3,FALSE),"")</f>
        <v/>
      </c>
      <c r="CN366" s="301"/>
      <c r="CO366" s="305" t="str">
        <f>IFERROR(VLOOKUP(S366,'Elenco Casse'!$D$4:$F$292,3,FALSE),"")</f>
        <v/>
      </c>
      <c r="CP366" s="305" t="str">
        <f>IFERROR(IF(VLOOKUP($E366,Outlist!$A$5:$S$120,19,FALSE)&lt;&gt;0,"Y",""),"")</f>
        <v/>
      </c>
      <c r="CQ366" s="301"/>
      <c r="CR366" s="305" t="str">
        <f>CONCATENATE($B366,$E366,$G366)</f>
        <v/>
      </c>
      <c r="CS366" s="301"/>
      <c r="CT366" s="305" t="e">
        <f>VLOOKUP(Out_Table[[#This Row],[Destination             ORANGE (From Planning)]],Outlist!$A$5:$W$120,22,FALSE)</f>
        <v>#N/A</v>
      </c>
    </row>
    <row r="367" spans="1:98" s="20" customFormat="1" ht="15">
      <c r="A367" s="305" t="str">
        <f>$CR367</f>
        <v/>
      </c>
      <c r="B367" s="284"/>
      <c r="C367" s="290" t="str">
        <f ca="1">IFERROR(IF(LEFT(B367,3)='STAT 77'!$X$2,_xlfn.XLOOKUP(B367,'STAT 77'!C:C,'STAT 77'!B:B),_xlfn.XLOOKUP(B367,'STAT 77'!B:B,'STAT 77'!C:C)),"NON TROVATO")</f>
        <v>NON TROVATO</v>
      </c>
      <c r="D367" s="25"/>
      <c r="E367" s="25"/>
      <c r="F367" s="290" t="str">
        <f>IFERROR(VLOOKUP(E367,'Cambio O2P'!C:E,2,FALSE),"")</f>
        <v/>
      </c>
      <c r="G367" s="285"/>
      <c r="H367" s="293" t="str">
        <f ca="1">IFERROR(IF(AND('INformazioni per calcoli'!$AB$3&lt;(--"14:30"),'INformazioni per calcoli'!$AB$3&gt;(--"10:00")),"",IF($B367="","",IF($X367&lt;&gt;"","Mezzo Chiuso",IF($W367="","Non al Carico",IF($G367-'INformazioni per calcoli'!$AB$5-'INformazioni per calcoli'!$AB$3+$J367&lt;0,"LFLS",IF($K367&lt;&gt;"","Safe Parking",IF($W367&lt;&gt;"",IF($E367="MXP",$G367-'INformazioni per calcoli'!$AB$6-'INformazioni per calcoli'!$AB$3+$J367,$G367-'INformazioni per calcoli'!$AB$5-'INformazioni per calcoli'!$AB$3+$J367),"Non al carico"))))))),"")</f>
        <v/>
      </c>
      <c r="I367" s="17" t="str">
        <f ca="1">IFERROR(IF($H367&lt;&gt;"",IF($H367="Safe Parking","",IF($W367&lt;&gt;"",IF(AND($U367="X",$V367="X"),$H367-(--"00:30"),""),IF($X367&lt;&gt;"","Mezzo Chiuso","Non al carico"))),""),"")</f>
        <v/>
      </c>
      <c r="J367" s="306" t="str">
        <f>IFERROR(IF($B367&lt;&gt;"",IF(AND('INformazioni per calcoli'!$AB$3&lt;(--"15:00"),'INformazioni per calcoli'!$AB$3&gt;(--"00:00")),0,IF($G367&lt;(--"18:30"),"+1",0)),""),"")</f>
        <v/>
      </c>
      <c r="K367" s="27"/>
      <c r="L367" s="25"/>
      <c r="M367" s="25" t="str">
        <f>IFERROR(_xlfn.XLOOKUP($Q367,'Elenco Casse'!$D:$D,'Elenco Casse'!$E:$E),"")</f>
        <v/>
      </c>
      <c r="N367" s="25" t="str">
        <f>IFERROR(_xlfn.XLOOKUP($Q367,'Elenco Casse'!$D:$D,'Elenco Casse'!$F:$F),"")</f>
        <v/>
      </c>
      <c r="O367" s="286"/>
      <c r="P367" s="295" t="str">
        <f>IFERROR(_xlfn.XLOOKUP($Q367,'Elenco Casse'!$D:$D,'Elenco Casse'!$G:$G),"")</f>
        <v/>
      </c>
      <c r="Q367" s="355"/>
      <c r="R367" s="23"/>
      <c r="S367" s="25"/>
      <c r="T367" s="25"/>
      <c r="U367" s="23" t="str">
        <f>IF(ISNUMBER(SEARCH("Parcel",$T367)),"X","")</f>
        <v/>
      </c>
      <c r="V367" s="23" t="str">
        <f>IF(ISNUMBER(SEARCH("Freight",$T367)),"X","")</f>
        <v/>
      </c>
      <c r="W367" s="26"/>
      <c r="X367" s="27"/>
      <c r="Y367" s="25" t="str">
        <f>IF(Out_Table[[#This Row],[DOC Del. hr. (RTH)]]&lt;&gt;"","XXX","")</f>
        <v/>
      </c>
      <c r="Z367" s="25"/>
      <c r="AA367" s="25"/>
      <c r="AB367" s="57"/>
      <c r="AC367" s="25"/>
      <c r="AD367" s="25"/>
      <c r="AE367" s="57"/>
      <c r="AF367" s="57"/>
      <c r="AG367" s="25"/>
      <c r="AH367" s="57"/>
      <c r="AI367" s="339"/>
      <c r="AJ367" s="339"/>
      <c r="AK367" s="297" t="str">
        <f>IF(X367&lt;&gt;"",CONCATENATE(IF(AA367&lt;&gt;"",CONCATENATE(Z367," ",AA367," ",BI367),""),IF(AD367&lt;&gt;"",CONCATENATE(","," ",AC367," ",AD367," ",BJ367),""),IF(AG367&lt;&gt;"",CONCATENATE(","," ",AF367," ",AG367," ",BK367),""),IF(AJ367&lt;&gt;"",CONCATENATE(","," ","DD"," ",BL367),"")," ",IF(AI367&lt;&gt;"",CONCATENATE(" - ",AI367," Bag"),"")),"")</f>
        <v/>
      </c>
      <c r="AL367" s="287"/>
      <c r="AM367" s="287"/>
      <c r="AN367" s="287"/>
      <c r="AO367" s="287"/>
      <c r="AP367" s="370" t="str">
        <f>IFERROR(VLOOKUP($E367,Outlist!$A$5:$V$120,20,FALSE),"")</f>
        <v/>
      </c>
      <c r="AQ367" s="288" t="str">
        <f>IFERROR(IF(VLOOKUP($A367,#REF!,8,FALSE)&lt;&gt;"",VLOOKUP($A367,#REF!,8,FALSE),""),"")</f>
        <v/>
      </c>
      <c r="AS367" s="24"/>
      <c r="AT367" s="24"/>
      <c r="AU367" s="27"/>
      <c r="AV367" s="27"/>
      <c r="AX367" s="20" t="str">
        <f>IFERROR(IF(Out_Table[[#This Row],[Cancellazione linea]]="Cancellata","yes",""),"")</f>
        <v/>
      </c>
      <c r="AY367" s="72" t="str">
        <f>IF(BA367="",BZ367,IF(AND(BA367&lt;(--"23:59:59"),BA367&gt;(--"15:00:00"),G367&lt;(--"14:00:00"),G367&gt;(--"00:00:01")),"",IF(BA367&gt;G367,BZ367,"")))</f>
        <v/>
      </c>
      <c r="AZ367" s="27"/>
      <c r="BA367" s="32"/>
      <c r="BB367" s="72"/>
      <c r="BC367" s="72" t="str">
        <f>IFERROR(VLOOKUP(Out_Table[[#This Row],[Aggiornamento STATUS]],'INformazioni per calcoli'!$Y$70:$AA$76,2,FALSE),"")</f>
        <v/>
      </c>
      <c r="BD367" s="289"/>
      <c r="BE367" s="289"/>
      <c r="BF367" s="47" t="str">
        <f>LEFT($E367,3)</f>
        <v/>
      </c>
      <c r="BG367" s="298" t="str">
        <f>IF(Out_Table[[#This Row],[Ora Uscita    (GH)]]&lt;&gt;"","x","")</f>
        <v/>
      </c>
      <c r="BH367" s="299" t="e">
        <f>VLOOKUP($O367,'INformazioni per calcoli'!$Y$20:$AA$23,3,FALSE)</f>
        <v>#N/A</v>
      </c>
      <c r="BI367" s="299" t="e">
        <f>MROUND(Out_Table[[#This Row],[Mtr. Trailer]]*AB367,0.5)</f>
        <v>#N/A</v>
      </c>
      <c r="BJ367" s="299" t="e">
        <f>MROUND(Out_Table[[#This Row],[Mtr. Trailer]]*AE367,0.5)</f>
        <v>#N/A</v>
      </c>
      <c r="BK367" s="299" t="e">
        <f>MROUND(Out_Table[[#This Row],[Mtr. Trailer]]*AH367,0.5)</f>
        <v>#N/A</v>
      </c>
      <c r="BL367" s="300">
        <f>Out_Table[[#This Row],[Double Deck trailer N° bumpers]]</f>
        <v>0</v>
      </c>
      <c r="BM367" s="301"/>
      <c r="BN367" s="299">
        <f>B367</f>
        <v>0</v>
      </c>
      <c r="BO367" s="299">
        <f>E367</f>
        <v>0</v>
      </c>
      <c r="BP367" s="302">
        <f>IF(AND(G367&gt;(--"00:00:01"),G367&lt;(--"15:00:00")),IF(AND(X367&gt;(--"00:00:01"),X367&lt;(--"15:00:00")),G367-X367,G367+1-X367),G367-X367)</f>
        <v>0</v>
      </c>
      <c r="BQ367" s="303">
        <f>AE367+AF367+AH367+AJ367</f>
        <v>0</v>
      </c>
      <c r="BR367" s="304" t="str">
        <f>IF(OR(BP367&lt;=(--"00:20:00"),BQ367&gt;=100%),"OK","Not OK")</f>
        <v>OK</v>
      </c>
      <c r="BS367" s="302">
        <f>IF(AND(G367&gt;(--"00:00:01"),G367&lt;(--"15:00:00")),IF(AND(AU367&gt;(--"00:00:01"),AU367&lt;(--"15:00:00")),G367-AU367,G367+1-AU367),G367-AU367)</f>
        <v>0</v>
      </c>
      <c r="BT367" s="302">
        <f>IF(AND(AZ367&gt;(--"00:00:01"),AZ367&lt;(--"15:00:00")),IF(AND(AU367&gt;(--"00:00:01"),AU367&lt;(--"15:00:00")),AZ367-AU367,AZ367+1-AU367),AZ367-AU367)</f>
        <v>0</v>
      </c>
      <c r="BU367" s="302">
        <f>IF(AND(BA367&gt;(--"00:00:01"),BA367&lt;(--"15:00:00")),IF(AND(AZ367&gt;(--"00:00:01"),AZ367&lt;(--"15:00:00")),BA367-AZ367,BA367+1-AZ367),BA367-AZ367)</f>
        <v>0</v>
      </c>
      <c r="BV367" s="299">
        <f>AV367</f>
        <v>0</v>
      </c>
      <c r="BW367" s="301"/>
      <c r="BX367" s="299" t="str">
        <f>IF(AV367="T Status",IF(AV367&lt;&gt;T367,"X",""),"")</f>
        <v/>
      </c>
      <c r="BY367" s="301"/>
      <c r="BZ367" s="299" t="str">
        <f>IF(X367&lt;&gt;"",IF(CC367="X","Driver Delay",IF(CA367="X","Paperwork Delay",IF(CB367="X","Late freight late sort",IF(CD367="X","Chiamare Control Room",IF(CE367="X","Chiamare Control Room",IF(CF367="X","Chiamare Control Room","")))))),"")</f>
        <v/>
      </c>
      <c r="CA367" s="302" t="str">
        <f>IF(K367="",IF(IF(AND(G367&gt;(--"00:00:01"),G367&lt;(--"15:00:00")),IF(AND(AT367&gt;(--"08:00:00"),AT367&lt;(--"23:59:59")),G367+1-AT367,G367-AT367),G367-AT367)&gt;(--"00:20:00"),"","X"),"")</f>
        <v>X</v>
      </c>
      <c r="CB367" s="299" t="str">
        <f>IF(K367="",IF(BP367&gt;=(--"00:20:00"),"","X"),"")</f>
        <v>X</v>
      </c>
      <c r="CC367" s="299" t="str">
        <f>IF(OR(AV367="Autista non presente",AV367="Dati driver non presenti"),"X","")</f>
        <v/>
      </c>
      <c r="CD367" s="299" t="str">
        <f>IF(K367="",IF(AND(CC367="",BS367&lt;(--"00:20:00")),"X",""),"")</f>
        <v>X</v>
      </c>
      <c r="CE367" s="299" t="str">
        <f>IF(K367="",IF(BT367&gt;(--"00:15:00"),"X",""),IF(AZ367&lt;&gt;"",IF(G367-AZ367&gt;(--"00:30:00"),"X",""),""))</f>
        <v/>
      </c>
      <c r="CF367" s="299" t="str">
        <f>IF(AND(CA367="",CB367="",CC367="",CD367="",CE367=""),"X","")</f>
        <v/>
      </c>
      <c r="CG367" s="301"/>
      <c r="CH367" s="299" t="str">
        <f>IF(BT367&gt;(--"00:15:00"),"X","")</f>
        <v/>
      </c>
      <c r="CI367" s="302" t="str">
        <f>AY367</f>
        <v/>
      </c>
      <c r="CJ367" s="299" t="str">
        <f>IF(AND(CH367&lt;&gt;"",CI367&lt;&gt;"",LEFT(B367,3)="ITD"),AP367,"")</f>
        <v/>
      </c>
      <c r="CK367" s="305" t="str">
        <f>IF(CJ367&lt;&gt;"",BT367,"")</f>
        <v/>
      </c>
      <c r="CL367" s="301"/>
      <c r="CM367" s="305" t="str">
        <f>IFERROR(VLOOKUP(Q367,'Elenco Casse'!$D$4:$F$292,3,FALSE),"")</f>
        <v/>
      </c>
      <c r="CN367" s="301"/>
      <c r="CO367" s="305" t="str">
        <f>IFERROR(VLOOKUP(S367,'Elenco Casse'!$D$4:$F$292,3,FALSE),"")</f>
        <v/>
      </c>
      <c r="CP367" s="305" t="str">
        <f>IFERROR(IF(VLOOKUP($E367,Outlist!$A$5:$S$120,19,FALSE)&lt;&gt;0,"Y",""),"")</f>
        <v/>
      </c>
      <c r="CQ367" s="301"/>
      <c r="CR367" s="305" t="str">
        <f>CONCATENATE($B367,$E367,$G367)</f>
        <v/>
      </c>
      <c r="CS367" s="301"/>
      <c r="CT367" s="305" t="e">
        <f>VLOOKUP(Out_Table[[#This Row],[Destination             ORANGE (From Planning)]],Outlist!$A$5:$W$120,22,FALSE)</f>
        <v>#N/A</v>
      </c>
    </row>
    <row r="368" spans="1:98" s="20" customFormat="1" ht="30.75">
      <c r="A368" s="305" t="str">
        <f>$CR368</f>
        <v>ITD12267BO20.00694444444444444</v>
      </c>
      <c r="B368" s="284" t="s">
        <v>1201</v>
      </c>
      <c r="C368" s="290" t="str">
        <f>IFERROR(IF(LEFT(B368,3)='STAT 77'!$X$2,_xlfn.XLOOKUP(B368,'STAT 77'!C:C,'STAT 77'!B:B),_xlfn.XLOOKUP(B368,'STAT 77'!B:B,'STAT 77'!C:C)),"NON TROVATO")</f>
        <v>ITD31249</v>
      </c>
      <c r="D368" s="25" t="s">
        <v>1202</v>
      </c>
      <c r="E368" s="290" t="s">
        <v>126</v>
      </c>
      <c r="F368" s="290" t="str">
        <f>IFERROR(VLOOKUP(E368,'Cambio O2P'!C:E,2,FALSE),"")</f>
        <v>BLQP</v>
      </c>
      <c r="G368" s="285">
        <v>6.9444444444444441E-3</v>
      </c>
      <c r="H368" s="293" t="str">
        <f ca="1">IFERROR(IF(AND('INformazioni per calcoli'!$AB$3&lt;(--"14:30"),'INformazioni per calcoli'!$AB$3&gt;(--"10:00")),"",IF($B368="","",IF($X368&lt;&gt;"","Mezzo Chiuso",IF($W368="","Non al Carico",IF($G368-'INformazioni per calcoli'!$AB$5-'INformazioni per calcoli'!$AB$3+$J368&lt;0,"LFLS",IF($K368&lt;&gt;"","Safe Parking",IF($W368&lt;&gt;"",IF($E368="MXP",$G368-'INformazioni per calcoli'!$AB$6-'INformazioni per calcoli'!$AB$3+$J368,$G368-'INformazioni per calcoli'!$AB$5-'INformazioni per calcoli'!$AB$3+$J368),"Non al carico"))))))),"")</f>
        <v>Mezzo Chiuso</v>
      </c>
      <c r="I368" s="17" t="str">
        <f ca="1">IFERROR(IF($H368&lt;&gt;"",IF($H368="Safe Parking","",IF($W368&lt;&gt;"",IF(AND($U368="X",$V368="X"),$H368-(--"00:30"),""),IF($X368&lt;&gt;"","Mezzo Chiuso","Non al carico"))),""),"")</f>
        <v>Mezzo Chiuso</v>
      </c>
      <c r="J368" s="306">
        <f ca="1">IFERROR(IF($B368&lt;&gt;"",IF(AND('INformazioni per calcoli'!$AB$3&lt;(--"15:00"),'INformazioni per calcoli'!$AB$3&gt;(--"00:00")),0,IF($G368&lt;(--"18:30"),"+1",0)),""),"")</f>
        <v>0</v>
      </c>
      <c r="K368" s="17"/>
      <c r="L368" s="25" t="s">
        <v>52</v>
      </c>
      <c r="M368" s="25" t="str">
        <f>IFERROR(_xlfn.XLOOKUP($Q368,'Elenco Casse'!$D:$D,'Elenco Casse'!$E:$E),"")</f>
        <v/>
      </c>
      <c r="N368" s="25" t="str">
        <f>IFERROR(_xlfn.XLOOKUP($Q368,'Elenco Casse'!$D:$D,'Elenco Casse'!$F:$F),"")</f>
        <v/>
      </c>
      <c r="O368" s="286" t="s">
        <v>418</v>
      </c>
      <c r="P368" s="295" t="str">
        <f>IFERROR(_xlfn.XLOOKUP($Q368,'Elenco Casse'!$D:$D,'Elenco Casse'!$G:$G),"")</f>
        <v/>
      </c>
      <c r="Q368" s="355" t="s">
        <v>1203</v>
      </c>
      <c r="R368" s="23" t="s">
        <v>420</v>
      </c>
      <c r="S368" s="25" t="s">
        <v>421</v>
      </c>
      <c r="T368" s="25" t="s">
        <v>726</v>
      </c>
      <c r="U368" s="23" t="str">
        <f>IF(ISNUMBER(SEARCH("Parcel",$T368)),"X","")</f>
        <v/>
      </c>
      <c r="V368" s="23" t="str">
        <f>IF(ISNUMBER(SEARCH("Freight",$T368)),"X","")</f>
        <v>X</v>
      </c>
      <c r="W368" s="26"/>
      <c r="X368" s="27" t="s">
        <v>1204</v>
      </c>
      <c r="Y368" s="25" t="s">
        <v>1205</v>
      </c>
      <c r="Z368" s="25"/>
      <c r="AA368" s="25"/>
      <c r="AB368" s="57"/>
      <c r="AC368" s="25"/>
      <c r="AD368" s="25"/>
      <c r="AE368" s="57"/>
      <c r="AF368" s="57"/>
      <c r="AG368" s="25"/>
      <c r="AH368" s="57"/>
      <c r="AI368" s="339"/>
      <c r="AJ368" s="339"/>
      <c r="AK368" s="297" t="str">
        <f>IF(X368&lt;&gt;"",CONCATENATE(IF(AA368&lt;&gt;"",CONCATENATE(Z368," ",AA368," ",BI368),""),IF(AD368&lt;&gt;"",CONCATENATE(","," ",AC368," ",AD368," ",BJ368),""),IF(AG368&lt;&gt;"",CONCATENATE(","," ",AF368," ",AG368," ",BK368),""),IF(AJ368&lt;&gt;"",CONCATENATE(","," ","DD"," ",BL368),"")," ",IF(AI368&lt;&gt;"",CONCATENATE(" - ",AI368," Bag"),"")),"")</f>
        <v xml:space="preserve"> </v>
      </c>
      <c r="AL368" s="287" t="s">
        <v>421</v>
      </c>
      <c r="AM368" s="287"/>
      <c r="AN368" s="287"/>
      <c r="AO368" s="287"/>
      <c r="AP368" s="370" t="str">
        <f>IFERROR(VLOOKUP(#REF!,Outlist!$A$5:$V$120,20,FALSE),"")</f>
        <v/>
      </c>
      <c r="AQ368" s="288" t="s">
        <v>1206</v>
      </c>
      <c r="AS368" s="24"/>
      <c r="AT368" s="24">
        <v>0.98333333333333328</v>
      </c>
      <c r="AU368" s="27">
        <v>0.98333333333333328</v>
      </c>
      <c r="AV368" s="27"/>
      <c r="AW368" s="20" t="s">
        <v>443</v>
      </c>
      <c r="AX368" s="20" t="str">
        <f>IFERROR(IF(Out_Table[[#This Row],[Cancellazione linea]]="Cancellata","yes",""),"")</f>
        <v/>
      </c>
      <c r="AY368" s="72" t="str">
        <f>IF(BA368="",BZ368,IF(AND(BA368&lt;(--"23:59:59"),BA368&gt;(--"15:00:00"),G368&lt;(--"14:00:00"),G368&gt;(--"00:00:01")),"",IF(BA368&gt;G368,BZ368,"")))</f>
        <v/>
      </c>
      <c r="AZ368" s="27"/>
      <c r="BA368" s="32">
        <v>0.99583333333333335</v>
      </c>
      <c r="BB368" s="72"/>
      <c r="BC368" s="72" t="str">
        <f>IFERROR(VLOOKUP(Out_Table[[#This Row],[Aggiornamento STATUS]],'INformazioni per calcoli'!$Y$70:$AA$76,2,FALSE),"")</f>
        <v/>
      </c>
      <c r="BD368" s="289"/>
      <c r="BE368" s="289"/>
      <c r="BF368" s="47" t="str">
        <f>LEFT($E368,3)</f>
        <v>BO2</v>
      </c>
      <c r="BG368" s="298" t="str">
        <f>IF(Out_Table[[#This Row],[Ora Uscita    (GH)]]&lt;&gt;"","x","")</f>
        <v>x</v>
      </c>
      <c r="BH368" s="299">
        <f>VLOOKUP($O368,'INformazioni per calcoli'!$Y$20:$AA$23,3,FALSE)</f>
        <v>14</v>
      </c>
      <c r="BI368" s="299">
        <f>MROUND(Out_Table[[#This Row],[Mtr. Trailer]]*AB368,0.5)</f>
        <v>0</v>
      </c>
      <c r="BJ368" s="299">
        <f>MROUND(Out_Table[[#This Row],[Mtr. Trailer]]*AE368,0.5)</f>
        <v>0</v>
      </c>
      <c r="BK368" s="299">
        <f>MROUND(Out_Table[[#This Row],[Mtr. Trailer]]*AH368,0.5)</f>
        <v>0</v>
      </c>
      <c r="BL368" s="300">
        <f>Out_Table[[#This Row],[Double Deck trailer N° bumpers]]</f>
        <v>0</v>
      </c>
      <c r="BM368" s="301"/>
      <c r="BN368" s="299" t="str">
        <f>B368</f>
        <v>ITD12267</v>
      </c>
      <c r="BO368" s="299" t="str">
        <f>E368</f>
        <v>BO2</v>
      </c>
      <c r="BP368" s="302" t="e">
        <f>IF(AND(G368&gt;(--"00:00:01"),G368&lt;(--"15:00:00")),IF(AND(X368&gt;(--"00:00:01"),X368&lt;(--"15:00:00")),G368-X368,G368+1-X368),G368-X368)</f>
        <v>#VALUE!</v>
      </c>
      <c r="BQ368" s="303">
        <f>AE368+AF368+AH368+AJ368</f>
        <v>0</v>
      </c>
      <c r="BR368" s="304" t="e">
        <f>IF(OR(BP368&lt;=(--"00:20:00"),BQ368&gt;=100%),"OK","Not OK")</f>
        <v>#VALUE!</v>
      </c>
      <c r="BS368" s="302">
        <f>IF(AND(G368&gt;(--"00:00:01"),G368&lt;(--"15:00:00")),IF(AND(AU368&gt;(--"00:00:01"),AU368&lt;(--"15:00:00")),G368-AU368,G368+1-AU368),G368-AU368)</f>
        <v>2.3611111111111138E-2</v>
      </c>
      <c r="BT368" s="302">
        <f>IF(AND(AZ368&gt;(--"00:00:01"),AZ368&lt;(--"15:00:00")),IF(AND(AU368&gt;(--"00:00:01"),AU368&lt;(--"15:00:00")),AZ368-AU368,AZ368+1-AU368),AZ368-AU368)</f>
        <v>-0.98333333333333328</v>
      </c>
      <c r="BU368" s="302">
        <f>IF(AND(BA368&gt;(--"00:00:01"),BA368&lt;(--"15:00:00")),IF(AND(AZ368&gt;(--"00:00:01"),AZ368&lt;(--"15:00:00")),BA368-AZ368,BA368+1-AZ368),BA368-AZ368)</f>
        <v>0.99583333333333335</v>
      </c>
      <c r="BV368" s="299">
        <f>AV368</f>
        <v>0</v>
      </c>
      <c r="BW368" s="301"/>
      <c r="BX368" s="299" t="str">
        <f>IF(AV368="T Status",IF(AV368&lt;&gt;T368,"X",""),"")</f>
        <v/>
      </c>
      <c r="BY368" s="301"/>
      <c r="BZ368" s="299" t="e">
        <f>IF(X368&lt;&gt;"",IF(CC368="X","Driver Delay",IF(CA368="X","Paperwork Delay",IF(CB368="X","Late freight late sort",IF(CD368="X","Chiamare Control Room",IF(CE368="X","Chiamare Control Room",IF(CF368="X","Chiamare Control Room","")))))),"")</f>
        <v>#VALUE!</v>
      </c>
      <c r="CA368" s="302" t="str">
        <f>IF(K368="",IF(IF(AND(G368&gt;(--"00:00:01"),G368&lt;(--"15:00:00")),IF(AND(AT368&gt;(--"08:00:00"),AT368&lt;(--"23:59:59")),G368+1-AT368,G368-AT368),G368-AT368)&gt;(--"00:20:00"),"","X"),"")</f>
        <v/>
      </c>
      <c r="CB368" s="299" t="e">
        <f>IF(K368="",IF(BP368&gt;=(--"00:20:00"),"","X"),"")</f>
        <v>#VALUE!</v>
      </c>
      <c r="CC368" s="299" t="str">
        <f>IF(OR(AV368="Autista non presente",AV368="Dati driver non presenti"),"X","")</f>
        <v/>
      </c>
      <c r="CD368" s="299" t="str">
        <f>IF(K368="",IF(AND(CC368="",BS368&lt;(--"00:20:00")),"X",""),"")</f>
        <v/>
      </c>
      <c r="CE368" s="299" t="str">
        <f>IF(K368="",IF(BT368&gt;(--"00:15:00"),"X",""),IF(AZ368&lt;&gt;"",IF(G368-AZ368&gt;(--"00:30:00"),"X",""),""))</f>
        <v/>
      </c>
      <c r="CF368" s="299" t="e">
        <f>IF(AND(CA368="",CB368="",CC368="",CD368="",CE368=""),"X","")</f>
        <v>#VALUE!</v>
      </c>
      <c r="CG368" s="301"/>
      <c r="CH368" s="299" t="str">
        <f>IF(BT368&gt;(--"00:15:00"),"X","")</f>
        <v/>
      </c>
      <c r="CI368" s="302" t="str">
        <f>AY368</f>
        <v/>
      </c>
      <c r="CJ368" s="299" t="str">
        <f>IF(AND(CH368&lt;&gt;"",CI368&lt;&gt;"",LEFT(B368,3)="ITD"),AP368,"")</f>
        <v/>
      </c>
      <c r="CK368" s="305" t="str">
        <f>IF(CJ368&lt;&gt;"",BT368,"")</f>
        <v/>
      </c>
      <c r="CL368" s="301"/>
      <c r="CM368" s="305" t="str">
        <f>IFERROR(VLOOKUP(Q368,'Elenco Casse'!$D$4:$F$292,3,FALSE),"")</f>
        <v/>
      </c>
      <c r="CN368" s="301"/>
      <c r="CO368" s="305" t="str">
        <f>IFERROR(VLOOKUP(S368,'Elenco Casse'!$D$4:$F$292,3,FALSE),"")</f>
        <v/>
      </c>
      <c r="CP368" s="305" t="str">
        <f>IFERROR(IF(VLOOKUP($E368,Outlist!$A$5:$S$120,19,FALSE)&lt;&gt;0,"Y",""),"")</f>
        <v/>
      </c>
      <c r="CQ368" s="301"/>
      <c r="CR368" s="305" t="str">
        <f>CONCATENATE($B368,$E368,$G368)</f>
        <v>ITD12267BO20.00694444444444444</v>
      </c>
      <c r="CS368" s="301"/>
      <c r="CT368" s="305" t="e">
        <f>VLOOKUP(Out_Table[[#This Row],[Destination             ORANGE (From Planning)]],Outlist!$A$5:$W$120,22,FALSE)</f>
        <v>#N/A</v>
      </c>
    </row>
    <row r="369" spans="1:98" s="20" customFormat="1" ht="30.75">
      <c r="A369" s="305" t="str">
        <f>$CR369</f>
        <v>ITD12075MM10.375</v>
      </c>
      <c r="B369" s="284" t="s">
        <v>1207</v>
      </c>
      <c r="C369" s="290" t="str">
        <f>IFERROR(IF(LEFT(B369,3)='STAT 77'!$X$2,_xlfn.XLOOKUP(B369,'STAT 77'!C:C,'STAT 77'!B:B),_xlfn.XLOOKUP(B369,'STAT 77'!B:B,'STAT 77'!C:C)),"NON TROVATO")</f>
        <v>ITD32602</v>
      </c>
      <c r="D369" s="25" t="s">
        <v>1208</v>
      </c>
      <c r="E369" s="290" t="s">
        <v>456</v>
      </c>
      <c r="F369" s="290" t="str">
        <f>IFERROR(VLOOKUP(E369,'Cambio O2P'!C:E,2,FALSE),"")</f>
        <v>QRGA</v>
      </c>
      <c r="G369" s="285">
        <v>0.375</v>
      </c>
      <c r="H369" s="293" t="str">
        <f ca="1">IFERROR(IF(AND('INformazioni per calcoli'!$AB$3&lt;(--"14:30"),'INformazioni per calcoli'!$AB$3&gt;(--"10:00")),"",IF($B369="","",IF($X369&lt;&gt;"","Mezzo Chiuso",IF($W369="","Non al Carico",IF($G369-'INformazioni per calcoli'!$AB$5-'INformazioni per calcoli'!$AB$3+$J369&lt;0,"LFLS",IF($K369&lt;&gt;"","Safe Parking",IF($W369&lt;&gt;"",IF($E369="MXP",$G369-'INformazioni per calcoli'!$AB$6-'INformazioni per calcoli'!$AB$3+$J369,$G369-'INformazioni per calcoli'!$AB$5-'INformazioni per calcoli'!$AB$3+$J369),"Non al carico"))))))),"")</f>
        <v>Mezzo Chiuso</v>
      </c>
      <c r="I369" s="17" t="str">
        <f ca="1">IFERROR(IF($H369&lt;&gt;"",IF($H369="Safe Parking","",IF($W369&lt;&gt;"",IF(AND($U369="X",$V369="X"),$H369-(--"00:30"),""),IF($X369&lt;&gt;"","Mezzo Chiuso","Non al carico"))),""),"")</f>
        <v>Mezzo Chiuso</v>
      </c>
      <c r="J369" s="306">
        <f ca="1">IFERROR(IF($B369&lt;&gt;"",IF(AND('INformazioni per calcoli'!$AB$3&lt;(--"15:00"),'INformazioni per calcoli'!$AB$3&gt;(--"00:00")),0,IF($G369&lt;(--"18:30"),"+1",0)),""),"")</f>
        <v>0</v>
      </c>
      <c r="K369" s="17"/>
      <c r="L369" s="25" t="s">
        <v>791</v>
      </c>
      <c r="M369" s="25" t="str">
        <f>IFERROR(_xlfn.XLOOKUP($Q369,'Elenco Casse'!$D:$D,'Elenco Casse'!$E:$E),"")</f>
        <v>Cds Trasp. E Logistica Srl</v>
      </c>
      <c r="N369" s="25">
        <f>IFERROR(_xlfn.XLOOKUP($Q369,'Elenco Casse'!$D:$D,'Elenco Casse'!$F:$F),"")</f>
        <v>0</v>
      </c>
      <c r="O369" s="286" t="s">
        <v>418</v>
      </c>
      <c r="P369" s="295" t="str">
        <f>IFERROR(_xlfn.XLOOKUP($Q369,'Elenco Casse'!$D:$D,'Elenco Casse'!$G:$G),"")</f>
        <v>trailer 80 m3 2/3 axes</v>
      </c>
      <c r="Q369" s="355" t="s">
        <v>1209</v>
      </c>
      <c r="R369" s="23" t="s">
        <v>420</v>
      </c>
      <c r="S369" s="25" t="s">
        <v>421</v>
      </c>
      <c r="T369" s="25" t="s">
        <v>1210</v>
      </c>
      <c r="U369" s="23" t="str">
        <f>IF(ISNUMBER(SEARCH("Parcel",$T369)),"X","")</f>
        <v/>
      </c>
      <c r="V369" s="23" t="str">
        <f>IF(ISNUMBER(SEARCH("Freight",$T369)),"X","")</f>
        <v/>
      </c>
      <c r="W369" s="26"/>
      <c r="X369" s="27" t="s">
        <v>1211</v>
      </c>
      <c r="Y369" s="25" t="str">
        <f>IF(Out_Table[[#This Row],[DOC Del. hr. (RTH)]]&lt;&gt;"","XXX","")</f>
        <v>XXX</v>
      </c>
      <c r="Z369" s="25"/>
      <c r="AA369" s="25"/>
      <c r="AB369" s="57"/>
      <c r="AC369" s="25"/>
      <c r="AD369" s="25"/>
      <c r="AE369" s="57"/>
      <c r="AF369" s="57"/>
      <c r="AG369" s="25"/>
      <c r="AH369" s="57"/>
      <c r="AI369" s="339"/>
      <c r="AJ369" s="339"/>
      <c r="AK369" s="297" t="s">
        <v>1212</v>
      </c>
      <c r="AL369" s="287" t="s">
        <v>421</v>
      </c>
      <c r="AM369" s="287"/>
      <c r="AN369" s="287"/>
      <c r="AO369" s="287"/>
      <c r="AP369" s="370" t="str">
        <f>IFERROR(VLOOKUP($E251,Outlist!$A$5:$V$120,20,FALSE),"")</f>
        <v/>
      </c>
      <c r="AQ369" s="288" t="s">
        <v>1212</v>
      </c>
      <c r="AS369" s="24"/>
      <c r="AT369" s="24">
        <v>0.77013888888888893</v>
      </c>
      <c r="AU369" s="27">
        <v>0.77013888888888893</v>
      </c>
      <c r="AV369" s="27"/>
      <c r="AW369" s="20" t="s">
        <v>1212</v>
      </c>
      <c r="AX369" s="20" t="str">
        <f>IFERROR(IF(Out_Table[[#This Row],[Cancellazione linea]]="Cancellata","yes",""),"")</f>
        <v/>
      </c>
      <c r="AY369" s="72" t="str">
        <f>IF(BA369="",BZ369,IF(AND(BA369&lt;(--"23:59:59"),BA369&gt;(--"15:00:00"),G369&lt;(--"14:00:00"),G369&gt;(--"00:00:01")),"",IF(BA369&gt;G369,BZ369,"")))</f>
        <v/>
      </c>
      <c r="AZ369" s="27">
        <v>0.78194444444444444</v>
      </c>
      <c r="BA369" s="32">
        <v>0.78888888888888886</v>
      </c>
      <c r="BB369" s="72"/>
      <c r="BC369" s="72" t="str">
        <f>IFERROR(VLOOKUP(Out_Table[[#This Row],[Aggiornamento STATUS]],'INformazioni per calcoli'!$Y$70:$AA$76,2,FALSE),"")</f>
        <v/>
      </c>
      <c r="BD369" s="289"/>
      <c r="BE369" s="289"/>
      <c r="BF369" s="47" t="str">
        <f>LEFT($E369,3)</f>
        <v>MM1</v>
      </c>
      <c r="BG369" s="298" t="str">
        <f>IF(Out_Table[[#This Row],[Ora Uscita    (GH)]]&lt;&gt;"","x","")</f>
        <v>x</v>
      </c>
      <c r="BH369" s="299">
        <f>VLOOKUP($O369,'INformazioni per calcoli'!$Y$20:$AA$23,3,FALSE)</f>
        <v>14</v>
      </c>
      <c r="BI369" s="299">
        <f>MROUND(Out_Table[[#This Row],[Mtr. Trailer]]*AB369,0.5)</f>
        <v>0</v>
      </c>
      <c r="BJ369" s="299">
        <f>MROUND(Out_Table[[#This Row],[Mtr. Trailer]]*AE369,0.5)</f>
        <v>0</v>
      </c>
      <c r="BK369" s="299">
        <f>MROUND(Out_Table[[#This Row],[Mtr. Trailer]]*AH369,0.5)</f>
        <v>0</v>
      </c>
      <c r="BL369" s="300">
        <f>Out_Table[[#This Row],[Double Deck trailer N° bumpers]]</f>
        <v>0</v>
      </c>
      <c r="BM369" s="301"/>
      <c r="BN369" s="299" t="str">
        <f>B369</f>
        <v>ITD12075</v>
      </c>
      <c r="BO369" s="299" t="str">
        <f>E369</f>
        <v>MM1</v>
      </c>
      <c r="BP369" s="302" t="e">
        <f>IF(AND(G369&gt;(--"00:00:01"),G369&lt;(--"15:00:00")),IF(AND(X369&gt;(--"00:00:01"),X369&lt;(--"15:00:00")),G369-X369,G369+1-X369),G369-X369)</f>
        <v>#VALUE!</v>
      </c>
      <c r="BQ369" s="303">
        <f>AE369+AF369+AH369+AJ369</f>
        <v>0</v>
      </c>
      <c r="BR369" s="304" t="e">
        <f>IF(OR(BP369&lt;=(--"00:20:00"),BQ369&gt;=100%),"OK","Not OK")</f>
        <v>#VALUE!</v>
      </c>
      <c r="BS369" s="302">
        <f>IF(AND(G369&gt;(--"00:00:01"),G369&lt;(--"15:00:00")),IF(AND(AU369&gt;(--"00:00:01"),AU369&lt;(--"15:00:00")),G369-AU369,G369+1-AU369),G369-AU369)</f>
        <v>0.60486111111111107</v>
      </c>
      <c r="BT369" s="302">
        <f>IF(AND(AZ369&gt;(--"00:00:01"),AZ369&lt;(--"15:00:00")),IF(AND(AU369&gt;(--"00:00:01"),AU369&lt;(--"15:00:00")),AZ369-AU369,AZ369+1-AU369),AZ369-AU369)</f>
        <v>1.1805555555555514E-2</v>
      </c>
      <c r="BU369" s="302">
        <f>IF(AND(BA369&gt;(--"00:00:01"),BA369&lt;(--"15:00:00")),IF(AND(AZ369&gt;(--"00:00:01"),AZ369&lt;(--"15:00:00")),BA369-AZ369,BA369+1-AZ369),BA369-AZ369)</f>
        <v>6.9444444444444198E-3</v>
      </c>
      <c r="BV369" s="299">
        <f>AV369</f>
        <v>0</v>
      </c>
      <c r="BW369" s="301"/>
      <c r="BX369" s="299" t="str">
        <f>IF(AV369="T Status",IF(AV369&lt;&gt;T369,"X",""),"")</f>
        <v/>
      </c>
      <c r="BY369" s="301"/>
      <c r="BZ369" s="299" t="e">
        <f>IF(X369&lt;&gt;"",IF(CC369="X","Driver Delay",IF(CA369="X","Paperwork Delay",IF(CB369="X","Late freight late sort",IF(CD369="X","Chiamare Control Room",IF(CE369="X","Chiamare Control Room",IF(CF369="X","Chiamare Control Room","")))))),"")</f>
        <v>#VALUE!</v>
      </c>
      <c r="CA369" s="302" t="str">
        <f>IF(K369="",IF(IF(AND(G369&gt;(--"00:00:01"),G369&lt;(--"15:00:00")),IF(AND(AT369&gt;(--"08:00:00"),AT369&lt;(--"23:59:59")),G369+1-AT369,G369-AT369),G369-AT369)&gt;(--"00:20:00"),"","X"),"")</f>
        <v/>
      </c>
      <c r="CB369" s="299" t="e">
        <f>IF(K369="",IF(BP369&gt;=(--"00:20:00"),"","X"),"")</f>
        <v>#VALUE!</v>
      </c>
      <c r="CC369" s="299" t="str">
        <f>IF(OR(AV369="Autista non presente",AV369="Dati driver non presenti"),"X","")</f>
        <v/>
      </c>
      <c r="CD369" s="299" t="str">
        <f>IF(K369="",IF(AND(CC369="",BS369&lt;(--"00:20:00")),"X",""),"")</f>
        <v/>
      </c>
      <c r="CE369" s="299" t="str">
        <f>IF(K369="",IF(BT369&gt;(--"00:15:00"),"X",""),IF(AZ369&lt;&gt;"",IF(G369-AZ369&gt;(--"00:30:00"),"X",""),""))</f>
        <v>X</v>
      </c>
      <c r="CF369" s="299" t="e">
        <f>IF(AND(CA369="",CB369="",CC369="",CD369="",CE369=""),"X","")</f>
        <v>#VALUE!</v>
      </c>
      <c r="CG369" s="301"/>
      <c r="CH369" s="299" t="str">
        <f>IF(BT369&gt;(--"00:15:00"),"X","")</f>
        <v>X</v>
      </c>
      <c r="CI369" s="302" t="str">
        <f>AY369</f>
        <v/>
      </c>
      <c r="CJ369" s="299" t="str">
        <f>IF(AND(CH369&lt;&gt;"",CI369&lt;&gt;"",LEFT(B369,3)="ITD"),AP369,"")</f>
        <v/>
      </c>
      <c r="CK369" s="305" t="str">
        <f>IF(CJ369&lt;&gt;"",BT369,"")</f>
        <v/>
      </c>
      <c r="CL369" s="301"/>
      <c r="CM369" s="305" t="str">
        <f>IFERROR(VLOOKUP(Q369,'Elenco Casse'!$D$4:$F$292,3,FALSE),"")</f>
        <v/>
      </c>
      <c r="CN369" s="301"/>
      <c r="CO369" s="305" t="str">
        <f>IFERROR(VLOOKUP(S369,'Elenco Casse'!$D$4:$F$292,3,FALSE),"")</f>
        <v/>
      </c>
      <c r="CP369" s="305" t="str">
        <f>IFERROR(IF(VLOOKUP($E369,Outlist!$A$5:$S$120,19,FALSE)&lt;&gt;0,"Y",""),"")</f>
        <v/>
      </c>
      <c r="CQ369" s="301"/>
      <c r="CR369" s="305" t="str">
        <f>CONCATENATE($B369,$E369,$G369)</f>
        <v>ITD12075MM10.375</v>
      </c>
      <c r="CS369" s="301"/>
      <c r="CT369" s="305" t="e">
        <f>VLOOKUP(Out_Table[[#This Row],[Destination             ORANGE (From Planning)]],Outlist!$A$5:$W$120,22,FALSE)</f>
        <v>#N/A</v>
      </c>
    </row>
    <row r="370" spans="1:98" s="20" customFormat="1" ht="30.75">
      <c r="A370" s="305" t="str">
        <f>$CR370</f>
        <v>ITD12281TV10.0416666666666667</v>
      </c>
      <c r="B370" s="284" t="s">
        <v>1213</v>
      </c>
      <c r="C370" s="290" t="str">
        <f>IFERROR(IF(LEFT(B370,3)='STAT 77'!$X$2,_xlfn.XLOOKUP(B370,'STAT 77'!C:C,'STAT 77'!B:B),_xlfn.XLOOKUP(B370,'STAT 77'!B:B,'STAT 77'!C:C)),"NON TROVATO")</f>
        <v>ITD31286</v>
      </c>
      <c r="D370" s="25" t="s">
        <v>1214</v>
      </c>
      <c r="E370" s="290" t="s">
        <v>850</v>
      </c>
      <c r="F370" s="290" t="str">
        <f>IFERROR(VLOOKUP(E370,'Cambio O2P'!C:E,2,FALSE),"")</f>
        <v>XNCA</v>
      </c>
      <c r="G370" s="285">
        <v>4.1666666666666664E-2</v>
      </c>
      <c r="H370" s="293" t="str">
        <f ca="1">IFERROR(IF(AND('INformazioni per calcoli'!$AB$3&lt;(--"14:30"),'INformazioni per calcoli'!$AB$3&gt;(--"10:00")),"",IF($B370="","",IF($X370&lt;&gt;"","Mezzo Chiuso",IF($W370="","Non al Carico",IF($G370-'INformazioni per calcoli'!$AB$5-'INformazioni per calcoli'!$AB$3+$J370&lt;0,"LFLS",IF($K370&lt;&gt;"","Safe Parking",IF($W370&lt;&gt;"",IF($E370="MXP",$G370-'INformazioni per calcoli'!$AB$6-'INformazioni per calcoli'!$AB$3+$J370,$G370-'INformazioni per calcoli'!$AB$5-'INformazioni per calcoli'!$AB$3+$J370),"Non al carico"))))))),"")</f>
        <v>Mezzo Chiuso</v>
      </c>
      <c r="I370" s="17" t="str">
        <f ca="1">IFERROR(IF($H370&lt;&gt;"",IF($H370="Safe Parking","",IF($W370&lt;&gt;"",IF(AND($U370="X",$V370="X"),$H370-(--"00:30"),""),IF($X370&lt;&gt;"","Mezzo Chiuso","Non al carico"))),""),"")</f>
        <v>Mezzo Chiuso</v>
      </c>
      <c r="J370" s="306">
        <f ca="1">IFERROR(IF($B370&lt;&gt;"",IF(AND('INformazioni per calcoli'!$AB$3&lt;(--"15:00"),'INformazioni per calcoli'!$AB$3&gt;(--"00:00")),0,IF($G370&lt;(--"18:30"),"+1",0)),""),"")</f>
        <v>0</v>
      </c>
      <c r="K370" s="17"/>
      <c r="L370" s="25" t="s">
        <v>52</v>
      </c>
      <c r="M370" s="25" t="str">
        <f>IFERROR(_xlfn.XLOOKUP($Q370,'Elenco Casse'!$D:$D,'Elenco Casse'!$E:$E),"")</f>
        <v>Matelda Srl</v>
      </c>
      <c r="N370" s="25">
        <f>IFERROR(_xlfn.XLOOKUP($Q370,'Elenco Casse'!$D:$D,'Elenco Casse'!$F:$F),"")</f>
        <v>0</v>
      </c>
      <c r="O370" s="286" t="s">
        <v>418</v>
      </c>
      <c r="P370" s="295" t="str">
        <f>IFERROR(_xlfn.XLOOKUP($Q370,'Elenco Casse'!$D:$D,'Elenco Casse'!$G:$G),"")</f>
        <v>trailer 80 m3 2/3 axes</v>
      </c>
      <c r="Q370" s="355" t="s">
        <v>1215</v>
      </c>
      <c r="R370" s="23" t="s">
        <v>420</v>
      </c>
      <c r="S370" s="25" t="s">
        <v>421</v>
      </c>
      <c r="T370" s="25" t="s">
        <v>432</v>
      </c>
      <c r="U370" s="23" t="str">
        <f>IF(ISNUMBER(SEARCH("Parcel",$T370)),"X","")</f>
        <v>X</v>
      </c>
      <c r="V370" s="23" t="str">
        <f>IF(ISNUMBER(SEARCH("Freight",$T370)),"X","")</f>
        <v/>
      </c>
      <c r="W370" s="26"/>
      <c r="X370" s="27" t="s">
        <v>1212</v>
      </c>
      <c r="Y370" s="25" t="s">
        <v>1216</v>
      </c>
      <c r="Z370" s="25"/>
      <c r="AA370" s="25"/>
      <c r="AB370" s="57"/>
      <c r="AC370" s="25"/>
      <c r="AD370" s="25"/>
      <c r="AE370" s="57"/>
      <c r="AF370" s="57"/>
      <c r="AG370" s="25"/>
      <c r="AH370" s="57"/>
      <c r="AI370" s="339"/>
      <c r="AJ370" s="339"/>
      <c r="AK370" s="297" t="str">
        <f>IF(X370&lt;&gt;"",CONCATENATE(IF(AA370&lt;&gt;"",CONCATENATE(Z370," ",AA370," ",BI370),""),IF(AD370&lt;&gt;"",CONCATENATE(","," ",AC370," ",AD370," ",BJ370),""),IF(AG370&lt;&gt;"",CONCATENATE(","," ",AF370," ",AG370," ",BK370),""),IF(AJ370&lt;&gt;"",CONCATENATE(","," ","DD"," ",BL370),"")," ",IF(AI370&lt;&gt;"",CONCATENATE(" - ",AI370," Bag"),"")),"")</f>
        <v xml:space="preserve"> </v>
      </c>
      <c r="AL370" s="287" t="s">
        <v>421</v>
      </c>
      <c r="AM370" s="287"/>
      <c r="AN370" s="287"/>
      <c r="AO370" s="287"/>
      <c r="AP370" s="370" t="str">
        <f>IFERROR(VLOOKUP($E367,Outlist!$A$5:$V$120,20,FALSE),"")</f>
        <v/>
      </c>
      <c r="AQ370" s="288" t="s">
        <v>1217</v>
      </c>
      <c r="AS370" s="24"/>
      <c r="AT370" s="24">
        <v>6.9444444444444447E-4</v>
      </c>
      <c r="AU370" s="27">
        <v>1.5972222222222221E-2</v>
      </c>
      <c r="AV370" s="27"/>
      <c r="AW370" s="20" t="s">
        <v>443</v>
      </c>
      <c r="AX370" s="20" t="str">
        <f>IFERROR(IF(Out_Table[[#This Row],[Cancellazione linea]]="Cancellata","yes",""),"")</f>
        <v/>
      </c>
      <c r="AY370" s="72" t="str">
        <f>IF(BA370="",BZ370,IF(AND(BA370&lt;(--"23:59:59"),BA370&gt;(--"15:00:00"),G370&lt;(--"14:00:00"),G370&gt;(--"00:00:01")),"",IF(BA370&gt;G370,BZ370,"")))</f>
        <v/>
      </c>
      <c r="AZ370" s="27"/>
      <c r="BA370" s="32">
        <v>2.7083333333333334E-2</v>
      </c>
      <c r="BB370" s="72"/>
      <c r="BC370" s="72" t="str">
        <f>IFERROR(VLOOKUP(Out_Table[[#This Row],[Aggiornamento STATUS]],'INformazioni per calcoli'!$Y$70:$AA$76,2,FALSE),"")</f>
        <v/>
      </c>
      <c r="BD370" s="289"/>
      <c r="BE370" s="289"/>
      <c r="BF370" s="47" t="str">
        <f>LEFT($E370,3)</f>
        <v>TV1</v>
      </c>
      <c r="BG370" s="298" t="str">
        <f>IF(Out_Table[[#This Row],[Ora Uscita    (GH)]]&lt;&gt;"","x","")</f>
        <v>x</v>
      </c>
      <c r="BH370" s="299">
        <f>VLOOKUP($O370,'INformazioni per calcoli'!$Y$20:$AA$23,3,FALSE)</f>
        <v>14</v>
      </c>
      <c r="BI370" s="299">
        <f>MROUND(Out_Table[[#This Row],[Mtr. Trailer]]*AB370,0.5)</f>
        <v>0</v>
      </c>
      <c r="BJ370" s="299">
        <f>MROUND(Out_Table[[#This Row],[Mtr. Trailer]]*AE370,0.5)</f>
        <v>0</v>
      </c>
      <c r="BK370" s="299">
        <f>MROUND(Out_Table[[#This Row],[Mtr. Trailer]]*AH370,0.5)</f>
        <v>0</v>
      </c>
      <c r="BL370" s="300">
        <f>Out_Table[[#This Row],[Double Deck trailer N° bumpers]]</f>
        <v>0</v>
      </c>
      <c r="BM370" s="301"/>
      <c r="BN370" s="299" t="str">
        <f>B370</f>
        <v>ITD12281</v>
      </c>
      <c r="BO370" s="299" t="str">
        <f>E370</f>
        <v>TV1</v>
      </c>
      <c r="BP370" s="302" t="e">
        <f>IF(AND(G370&gt;(--"00:00:01"),G370&lt;(--"15:00:00")),IF(AND(X370&gt;(--"00:00:01"),X370&lt;(--"15:00:00")),G370-X370,G370+1-X370),G370-X370)</f>
        <v>#VALUE!</v>
      </c>
      <c r="BQ370" s="303">
        <f>AE370+AF370+AH370+AJ370</f>
        <v>0</v>
      </c>
      <c r="BR370" s="304" t="e">
        <f>IF(OR(BP370&lt;=(--"00:20:00"),BQ370&gt;=100%),"OK","Not OK")</f>
        <v>#VALUE!</v>
      </c>
      <c r="BS370" s="302">
        <f>IF(AND(G370&gt;(--"00:00:01"),G370&lt;(--"15:00:00")),IF(AND(AU370&gt;(--"00:00:01"),AU370&lt;(--"15:00:00")),G370-AU370,G370+1-AU370),G370-AU370)</f>
        <v>2.5694444444444443E-2</v>
      </c>
      <c r="BT370" s="302">
        <f>IF(AND(AZ370&gt;(--"00:00:01"),AZ370&lt;(--"15:00:00")),IF(AND(AU370&gt;(--"00:00:01"),AU370&lt;(--"15:00:00")),AZ370-AU370,AZ370+1-AU370),AZ370-AU370)</f>
        <v>-1.5972222222222221E-2</v>
      </c>
      <c r="BU370" s="302">
        <f>IF(AND(BA370&gt;(--"00:00:01"),BA370&lt;(--"15:00:00")),IF(AND(AZ370&gt;(--"00:00:01"),AZ370&lt;(--"15:00:00")),BA370-AZ370,BA370+1-AZ370),BA370-AZ370)</f>
        <v>1.0270833333333333</v>
      </c>
      <c r="BV370" s="299">
        <f>AV370</f>
        <v>0</v>
      </c>
      <c r="BW370" s="301"/>
      <c r="BX370" s="299" t="str">
        <f>IF(AV370="T Status",IF(AV370&lt;&gt;T370,"X",""),"")</f>
        <v/>
      </c>
      <c r="BY370" s="301"/>
      <c r="BZ370" s="299" t="e">
        <f>IF(X370&lt;&gt;"",IF(CC370="X","Driver Delay",IF(CA370="X","Paperwork Delay",IF(CB370="X","Late freight late sort",IF(CD370="X","Chiamare Control Room",IF(CE370="X","Chiamare Control Room",IF(CF370="X","Chiamare Control Room","")))))),"")</f>
        <v>#VALUE!</v>
      </c>
      <c r="CA370" s="302" t="str">
        <f>IF(K370="",IF(IF(AND(G370&gt;(--"00:00:01"),G370&lt;(--"15:00:00")),IF(AND(AT370&gt;(--"08:00:00"),AT370&lt;(--"23:59:59")),G370+1-AT370,G370-AT370),G370-AT370)&gt;(--"00:20:00"),"","X"),"")</f>
        <v/>
      </c>
      <c r="CB370" s="299" t="e">
        <f>IF(K370="",IF(BP370&gt;=(--"00:20:00"),"","X"),"")</f>
        <v>#VALUE!</v>
      </c>
      <c r="CC370" s="299" t="str">
        <f>IF(OR(AV370="Autista non presente",AV370="Dati driver non presenti"),"X","")</f>
        <v/>
      </c>
      <c r="CD370" s="299" t="str">
        <f>IF(K370="",IF(AND(CC370="",BS370&lt;(--"00:20:00")),"X",""),"")</f>
        <v/>
      </c>
      <c r="CE370" s="299" t="str">
        <f>IF(K370="",IF(BT370&gt;(--"00:15:00"),"X",""),IF(AZ370&lt;&gt;"",IF(G370-AZ370&gt;(--"00:30:00"),"X",""),""))</f>
        <v/>
      </c>
      <c r="CF370" s="299" t="e">
        <f>IF(AND(CA370="",CB370="",CC370="",CD370="",CE370=""),"X","")</f>
        <v>#VALUE!</v>
      </c>
      <c r="CG370" s="301"/>
      <c r="CH370" s="299" t="str">
        <f>IF(BT370&gt;(--"00:15:00"),"X","")</f>
        <v/>
      </c>
      <c r="CI370" s="302" t="str">
        <f>AY370</f>
        <v/>
      </c>
      <c r="CJ370" s="299" t="str">
        <f>IF(AND(CH370&lt;&gt;"",CI370&lt;&gt;"",LEFT(B370,3)="ITD"),AP370,"")</f>
        <v/>
      </c>
      <c r="CK370" s="305" t="str">
        <f>IF(CJ370&lt;&gt;"",BT370,"")</f>
        <v/>
      </c>
      <c r="CL370" s="301"/>
      <c r="CM370" s="305" t="str">
        <f>IFERROR(VLOOKUP(Q370,'Elenco Casse'!$D$4:$F$292,3,FALSE),"")</f>
        <v/>
      </c>
      <c r="CN370" s="301"/>
      <c r="CO370" s="305" t="str">
        <f>IFERROR(VLOOKUP(S370,'Elenco Casse'!$D$4:$F$292,3,FALSE),"")</f>
        <v/>
      </c>
      <c r="CP370" s="305" t="str">
        <f>IFERROR(IF(VLOOKUP($E370,Outlist!$A$5:$S$120,19,FALSE)&lt;&gt;0,"Y",""),"")</f>
        <v/>
      </c>
      <c r="CQ370" s="301"/>
      <c r="CR370" s="305" t="str">
        <f>CONCATENATE($B370,$E370,$G370)</f>
        <v>ITD12281TV10.0416666666666667</v>
      </c>
      <c r="CS370" s="301"/>
      <c r="CT370" s="305" t="e">
        <f>VLOOKUP(Out_Table[[#This Row],[Destination             ORANGE (From Planning)]],Outlist!$A$5:$W$120,22,FALSE)</f>
        <v>#N/A</v>
      </c>
    </row>
    <row r="371" spans="1:98" s="20" customFormat="1" ht="30.75">
      <c r="A371" s="305" t="str">
        <f>$CR371</f>
        <v>ITD12340VRN0.190972222222222</v>
      </c>
      <c r="B371" s="284" t="s">
        <v>1218</v>
      </c>
      <c r="C371" s="290" t="str">
        <f>IFERROR(IF(LEFT(B371,3)='STAT 77'!$X$2,_xlfn.XLOOKUP(B371,'STAT 77'!C:C,'STAT 77'!B:B),_xlfn.XLOOKUP(B371,'STAT 77'!B:B,'STAT 77'!C:C)),"NON TROVATO")</f>
        <v>ITD31432</v>
      </c>
      <c r="D371" s="25" t="s">
        <v>470</v>
      </c>
      <c r="E371" s="290" t="s">
        <v>471</v>
      </c>
      <c r="F371" s="290" t="str">
        <f>IFERROR(VLOOKUP(E371,'Cambio O2P'!C:E,2,FALSE),"")</f>
        <v>VRNT8</v>
      </c>
      <c r="G371" s="285">
        <v>0.19097222222222221</v>
      </c>
      <c r="H371" s="293" t="str">
        <f ca="1">IFERROR(IF(AND('INformazioni per calcoli'!$AB$3&lt;(--"14:30"),'INformazioni per calcoli'!$AB$3&gt;(--"10:00")),"",IF($B371="","",IF($X371&lt;&gt;"","Mezzo Chiuso",IF($W371="","Non al Carico",IF($G371-'INformazioni per calcoli'!$AB$5-'INformazioni per calcoli'!$AB$3+$J371&lt;0,"LFLS",IF($K371&lt;&gt;"","Safe Parking",IF($W371&lt;&gt;"",IF($E371="MXP",$G371-'INformazioni per calcoli'!$AB$6-'INformazioni per calcoli'!$AB$3+$J371,$G371-'INformazioni per calcoli'!$AB$5-'INformazioni per calcoli'!$AB$3+$J371),"Non al carico"))))))),"")</f>
        <v>Mezzo Chiuso</v>
      </c>
      <c r="I371" s="17" t="str">
        <f ca="1">IFERROR(IF($H371&lt;&gt;"",IF($H371="Safe Parking","",IF($W371&lt;&gt;"",IF(AND($U371="X",$V371="X"),$H371-(--"00:30"),""),IF($X371&lt;&gt;"","Mezzo Chiuso","Non al carico"))),""),"")</f>
        <v>Mezzo Chiuso</v>
      </c>
      <c r="J371" s="306">
        <f ca="1">IFERROR(IF($B371&lt;&gt;"",IF(AND('INformazioni per calcoli'!$AB$3&lt;(--"15:00"),'INformazioni per calcoli'!$AB$3&gt;(--"00:00")),0,IF($G371&lt;(--"18:30"),"+1",0)),""),"")</f>
        <v>0</v>
      </c>
      <c r="K371" s="17"/>
      <c r="L371" s="25" t="s">
        <v>417</v>
      </c>
      <c r="M371" s="25" t="str">
        <f>IFERROR(_xlfn.XLOOKUP($Q371,'Elenco Casse'!$D:$D,'Elenco Casse'!$E:$E),"")</f>
        <v/>
      </c>
      <c r="N371" s="25" t="str">
        <f>IFERROR(_xlfn.XLOOKUP($Q371,'Elenco Casse'!$D:$D,'Elenco Casse'!$F:$F),"")</f>
        <v/>
      </c>
      <c r="O371" s="286" t="s">
        <v>418</v>
      </c>
      <c r="P371" s="295" t="str">
        <f>IFERROR(_xlfn.XLOOKUP($Q371,'Elenco Casse'!$D:$D,'Elenco Casse'!$G:$G),"")</f>
        <v/>
      </c>
      <c r="Q371" s="355"/>
      <c r="R371" s="23"/>
      <c r="S371" s="25" t="s">
        <v>421</v>
      </c>
      <c r="T371" s="25" t="s">
        <v>422</v>
      </c>
      <c r="U371" s="23" t="str">
        <f>IF(ISNUMBER(SEARCH("Parcel",$T371)),"X","")</f>
        <v>X</v>
      </c>
      <c r="V371" s="23" t="str">
        <f>IF(ISNUMBER(SEARCH("Freight",$T371)),"X","")</f>
        <v/>
      </c>
      <c r="W371" s="26"/>
      <c r="X371" s="27" t="s">
        <v>1204</v>
      </c>
      <c r="Y371" s="25" t="s">
        <v>624</v>
      </c>
      <c r="Z371" s="25"/>
      <c r="AA371" s="25" t="s">
        <v>40</v>
      </c>
      <c r="AB371" s="57"/>
      <c r="AC371" s="25"/>
      <c r="AD371" s="25"/>
      <c r="AE371" s="57"/>
      <c r="AF371" s="57"/>
      <c r="AG371" s="25"/>
      <c r="AH371" s="57"/>
      <c r="AI371" s="339"/>
      <c r="AJ371" s="339"/>
      <c r="AK371" s="297" t="str">
        <f>IF(X371&lt;&gt;"",CONCATENATE(IF(AA371&lt;&gt;"",CONCATENATE(Z371," ",AA371," ",BI371),""),IF(AD371&lt;&gt;"",CONCATENATE(","," ",AC371," ",AD371," ",BJ371),""),IF(AG371&lt;&gt;"",CONCATENATE(","," ",AF371," ",AG371," ",BK371),""),IF(AJ371&lt;&gt;"",CONCATENATE(","," ","DD"," ",BL371),"")," ",IF(AI371&lt;&gt;"",CONCATENATE(" - ",AI371," Bag"),"")),"")</f>
        <v xml:space="preserve"> LL 0 </v>
      </c>
      <c r="AL371" s="287"/>
      <c r="AM371" s="287"/>
      <c r="AN371" s="287"/>
      <c r="AO371" s="287"/>
      <c r="AP371" s="370" t="str">
        <f>IFERROR(VLOOKUP($E368,Outlist!$A$5:$V$120,20,FALSE),"")</f>
        <v/>
      </c>
      <c r="AQ371" s="288" t="str">
        <f>IFERROR(IF(VLOOKUP($A371,#REF!,8,FALSE)&lt;&gt;"",VLOOKUP($A371,#REF!,8,FALSE),""),"")</f>
        <v/>
      </c>
      <c r="AS371" s="24"/>
      <c r="AT371" s="24"/>
      <c r="AU371" s="27"/>
      <c r="AV371" s="27"/>
      <c r="AX371" s="20" t="str">
        <f>IFERROR(IF(Out_Table[[#This Row],[Cancellazione linea]]="Cancellata","yes",""),"")</f>
        <v/>
      </c>
      <c r="AY371" s="72" t="e">
        <f>IF(BA371="",BZ371,IF(AND(BA371&lt;(--"23:59:59"),BA371&gt;(--"15:00:00"),G371&lt;(--"14:00:00"),G371&gt;(--"00:00:01")),"",IF(BA371&gt;G371,BZ371,"")))</f>
        <v>#VALUE!</v>
      </c>
      <c r="AZ371" s="27"/>
      <c r="BA371" s="32"/>
      <c r="BB371" s="72"/>
      <c r="BC371" s="72" t="str">
        <f>IFERROR(VLOOKUP(Out_Table[[#This Row],[Aggiornamento STATUS]],'INformazioni per calcoli'!$Y$70:$AA$76,2,FALSE),"")</f>
        <v/>
      </c>
      <c r="BD371" s="289"/>
      <c r="BE371" s="289"/>
      <c r="BF371" s="47" t="str">
        <f>LEFT($E371,3)</f>
        <v>VRN</v>
      </c>
      <c r="BG371" s="298" t="str">
        <f>IF(Out_Table[[#This Row],[Ora Uscita    (GH)]]&lt;&gt;"","x","")</f>
        <v/>
      </c>
      <c r="BH371" s="299">
        <f>VLOOKUP($O371,'INformazioni per calcoli'!$Y$20:$AA$23,3,FALSE)</f>
        <v>14</v>
      </c>
      <c r="BI371" s="299">
        <f>MROUND(Out_Table[[#This Row],[Mtr. Trailer]]*AB371,0.5)</f>
        <v>0</v>
      </c>
      <c r="BJ371" s="299">
        <f>MROUND(Out_Table[[#This Row],[Mtr. Trailer]]*AE371,0.5)</f>
        <v>0</v>
      </c>
      <c r="BK371" s="299">
        <f>MROUND(Out_Table[[#This Row],[Mtr. Trailer]]*AH371,0.5)</f>
        <v>0</v>
      </c>
      <c r="BL371" s="300">
        <f>Out_Table[[#This Row],[Double Deck trailer N° bumpers]]</f>
        <v>0</v>
      </c>
      <c r="BM371" s="301"/>
      <c r="BN371" s="299" t="str">
        <f>B371</f>
        <v>ITD12340</v>
      </c>
      <c r="BO371" s="299" t="str">
        <f>E371</f>
        <v>VRN</v>
      </c>
      <c r="BP371" s="302" t="e">
        <f>IF(AND(G371&gt;(--"00:00:01"),G371&lt;(--"15:00:00")),IF(AND(X371&gt;(--"00:00:01"),X371&lt;(--"15:00:00")),G371-X371,G371+1-X371),G371-X371)</f>
        <v>#VALUE!</v>
      </c>
      <c r="BQ371" s="303">
        <f>AE371+AF371+AH371+AJ371</f>
        <v>0</v>
      </c>
      <c r="BR371" s="304" t="e">
        <f>IF(OR(BP371&lt;=(--"00:20:00"),BQ371&gt;=100%),"OK","Not OK")</f>
        <v>#VALUE!</v>
      </c>
      <c r="BS371" s="302">
        <f>IF(AND(G371&gt;(--"00:00:01"),G371&lt;(--"15:00:00")),IF(AND(AU371&gt;(--"00:00:01"),AU371&lt;(--"15:00:00")),G371-AU371,G371+1-AU371),G371-AU371)</f>
        <v>1.1909722222222223</v>
      </c>
      <c r="BT371" s="302">
        <f>IF(AND(AZ371&gt;(--"00:00:01"),AZ371&lt;(--"15:00:00")),IF(AND(AU371&gt;(--"00:00:01"),AU371&lt;(--"15:00:00")),AZ371-AU371,AZ371+1-AU371),AZ371-AU371)</f>
        <v>0</v>
      </c>
      <c r="BU371" s="302">
        <f>IF(AND(BA371&gt;(--"00:00:01"),BA371&lt;(--"15:00:00")),IF(AND(AZ371&gt;(--"00:00:01"),AZ371&lt;(--"15:00:00")),BA371-AZ371,BA371+1-AZ371),BA371-AZ371)</f>
        <v>0</v>
      </c>
      <c r="BV371" s="299">
        <f>AV371</f>
        <v>0</v>
      </c>
      <c r="BW371" s="301"/>
      <c r="BX371" s="299" t="str">
        <f>IF(AV371="T Status",IF(AV371&lt;&gt;T371,"X",""),"")</f>
        <v/>
      </c>
      <c r="BY371" s="301"/>
      <c r="BZ371" s="299" t="e">
        <f>IF(X371&lt;&gt;"",IF(CC371="X","Driver Delay",IF(CA371="X","Paperwork Delay",IF(CB371="X","Late freight late sort",IF(CD371="X","Chiamare Control Room",IF(CE371="X","Chiamare Control Room",IF(CF371="X","Chiamare Control Room","")))))),"")</f>
        <v>#VALUE!</v>
      </c>
      <c r="CA371" s="302" t="str">
        <f>IF(K371="",IF(IF(AND(G371&gt;(--"00:00:01"),G371&lt;(--"15:00:00")),IF(AND(AT371&gt;(--"08:00:00"),AT371&lt;(--"23:59:59")),G371+1-AT371,G371-AT371),G371-AT371)&gt;(--"00:20:00"),"","X"),"")</f>
        <v/>
      </c>
      <c r="CB371" s="299" t="e">
        <f>IF(K371="",IF(BP371&gt;=(--"00:20:00"),"","X"),"")</f>
        <v>#VALUE!</v>
      </c>
      <c r="CC371" s="299" t="str">
        <f>IF(OR(AV371="Autista non presente",AV371="Dati driver non presenti"),"X","")</f>
        <v/>
      </c>
      <c r="CD371" s="299" t="str">
        <f>IF(K371="",IF(AND(CC371="",BS371&lt;(--"00:20:00")),"X",""),"")</f>
        <v/>
      </c>
      <c r="CE371" s="299" t="str">
        <f>IF(K371="",IF(BT371&gt;(--"00:15:00"),"X",""),IF(AZ371&lt;&gt;"",IF(G371-AZ371&gt;(--"00:30:00"),"X",""),""))</f>
        <v/>
      </c>
      <c r="CF371" s="299" t="e">
        <f>IF(AND(CA371="",CB371="",CC371="",CD371="",CE371=""),"X","")</f>
        <v>#VALUE!</v>
      </c>
      <c r="CG371" s="301"/>
      <c r="CH371" s="299" t="str">
        <f>IF(BT371&gt;(--"00:15:00"),"X","")</f>
        <v/>
      </c>
      <c r="CI371" s="302" t="e">
        <f>AY371</f>
        <v>#VALUE!</v>
      </c>
      <c r="CJ371" s="299" t="e">
        <f>IF(AND(CH371&lt;&gt;"",CI371&lt;&gt;"",LEFT(B371,3)="ITD"),AP371,"")</f>
        <v>#VALUE!</v>
      </c>
      <c r="CK371" s="305" t="e">
        <f>IF(CJ371&lt;&gt;"",BT371,"")</f>
        <v>#VALUE!</v>
      </c>
      <c r="CL371" s="301"/>
      <c r="CM371" s="305" t="str">
        <f>IFERROR(VLOOKUP(Q371,'Elenco Casse'!$D$4:$F$292,3,FALSE),"")</f>
        <v/>
      </c>
      <c r="CN371" s="301"/>
      <c r="CO371" s="305" t="str">
        <f>IFERROR(VLOOKUP(S371,'Elenco Casse'!$D$4:$F$292,3,FALSE),"")</f>
        <v/>
      </c>
      <c r="CP371" s="305" t="str">
        <f>IFERROR(IF(VLOOKUP($E371,Outlist!$A$5:$S$120,19,FALSE)&lt;&gt;0,"Y",""),"")</f>
        <v/>
      </c>
      <c r="CQ371" s="301"/>
      <c r="CR371" s="305" t="str">
        <f>CONCATENATE($B371,$E371,$G371)</f>
        <v>ITD12340VRN0.190972222222222</v>
      </c>
      <c r="CS371" s="301"/>
      <c r="CT371" s="305" t="e">
        <f>VLOOKUP(Out_Table[[#This Row],[Destination             ORANGE (From Planning)]],Outlist!$A$5:$W$120,22,FALSE)</f>
        <v>#N/A</v>
      </c>
    </row>
    <row r="372" spans="1:98" s="20" customFormat="1" ht="30.75">
      <c r="A372" s="305" t="str">
        <f>$CR372</f>
        <v>ITD12360MM10.25</v>
      </c>
      <c r="B372" s="284" t="s">
        <v>1219</v>
      </c>
      <c r="C372" s="290" t="str">
        <f>IFERROR(IF(LEFT(B372,3)='STAT 77'!$X$2,_xlfn.XLOOKUP(B372,'STAT 77'!C:C,'STAT 77'!B:B),_xlfn.XLOOKUP(B372,'STAT 77'!B:B,'STAT 77'!C:C)),"NON TROVATO")</f>
        <v>ITD31476</v>
      </c>
      <c r="D372" s="25" t="s">
        <v>455</v>
      </c>
      <c r="E372" s="290" t="s">
        <v>456</v>
      </c>
      <c r="F372" s="290" t="str">
        <f>IFERROR(VLOOKUP(E372,'Cambio O2P'!C:E,2,FALSE),"")</f>
        <v>QRGA</v>
      </c>
      <c r="G372" s="285">
        <v>0.25</v>
      </c>
      <c r="H372" s="293" t="str">
        <f ca="1">IFERROR(IF(AND('INformazioni per calcoli'!$AB$3&lt;(--"14:30"),'INformazioni per calcoli'!$AB$3&gt;(--"10:00")),"",IF($B372="","",IF($X372&lt;&gt;"","Mezzo Chiuso",IF($W372="","Non al Carico",IF($G372-'INformazioni per calcoli'!$AB$5-'INformazioni per calcoli'!$AB$3+$J372&lt;0,"LFLS",IF($K372&lt;&gt;"","Safe Parking",IF($W372&lt;&gt;"",IF($E372="MXP",$G372-'INformazioni per calcoli'!$AB$6-'INformazioni per calcoli'!$AB$3+$J372,$G372-'INformazioni per calcoli'!$AB$5-'INformazioni per calcoli'!$AB$3+$J372),"Non al carico"))))))),"")</f>
        <v>Non al Carico</v>
      </c>
      <c r="I372" s="17" t="str">
        <f ca="1">IFERROR(IF($H372&lt;&gt;"",IF($H372="Safe Parking","",IF($W372&lt;&gt;"",IF(AND($U372="X",$V372="X"),$H372-(--"00:30"),""),IF($X372&lt;&gt;"","Mezzo Chiuso","Non al carico"))),""),"")</f>
        <v>Non al carico</v>
      </c>
      <c r="J372" s="306">
        <f ca="1">IFERROR(IF($B372&lt;&gt;"",IF(AND('INformazioni per calcoli'!$AB$3&lt;(--"15:00"),'INformazioni per calcoli'!$AB$3&gt;(--"00:00")),0,IF($G372&lt;(--"18:30"),"+1",0)),""),"")</f>
        <v>0</v>
      </c>
      <c r="K372" s="17"/>
      <c r="L372" s="25" t="s">
        <v>430</v>
      </c>
      <c r="M372" s="25" t="str">
        <f>IFERROR(_xlfn.XLOOKUP($Q372,'Elenco Casse'!$D:$D,'Elenco Casse'!$E:$E),"")</f>
        <v/>
      </c>
      <c r="N372" s="25" t="str">
        <f>IFERROR(_xlfn.XLOOKUP($Q372,'Elenco Casse'!$D:$D,'Elenco Casse'!$F:$F),"")</f>
        <v/>
      </c>
      <c r="O372" s="286" t="s">
        <v>418</v>
      </c>
      <c r="P372" s="295" t="str">
        <f>IFERROR(_xlfn.XLOOKUP($Q372,'Elenco Casse'!$D:$D,'Elenco Casse'!$G:$G),"")</f>
        <v/>
      </c>
      <c r="Q372" s="355"/>
      <c r="R372" s="23"/>
      <c r="S372" s="25" t="s">
        <v>421</v>
      </c>
      <c r="T372" s="25" t="s">
        <v>432</v>
      </c>
      <c r="U372" s="23" t="str">
        <f>IF(ISNUMBER(SEARCH("Parcel",$T372)),"X","")</f>
        <v>X</v>
      </c>
      <c r="V372" s="23" t="str">
        <f>IF(ISNUMBER(SEARCH("Freight",$T372)),"X","")</f>
        <v/>
      </c>
      <c r="W372" s="26"/>
      <c r="X372" s="27"/>
      <c r="Y372" s="25"/>
      <c r="Z372" s="25"/>
      <c r="AA372" s="25" t="s">
        <v>40</v>
      </c>
      <c r="AB372" s="57"/>
      <c r="AC372" s="25"/>
      <c r="AD372" s="25"/>
      <c r="AE372" s="57"/>
      <c r="AF372" s="57"/>
      <c r="AG372" s="25"/>
      <c r="AH372" s="57"/>
      <c r="AI372" s="339"/>
      <c r="AJ372" s="339"/>
      <c r="AK372" s="297" t="str">
        <f>IF(X372&lt;&gt;"",CONCATENATE(IF(AA372&lt;&gt;"",CONCATENATE(Z372," ",AA372," ",BI372),""),IF(AD372&lt;&gt;"",CONCATENATE(","," ",AC372," ",AD372," ",BJ372),""),IF(AG372&lt;&gt;"",CONCATENATE(","," ",AF372," ",AG372," ",BK372),""),IF(AJ372&lt;&gt;"",CONCATENATE(","," ","DD"," ",BL372),"")," ",IF(AI372&lt;&gt;"",CONCATENATE(" - ",AI372," Bag"),"")),"")</f>
        <v/>
      </c>
      <c r="AL372" s="287"/>
      <c r="AM372" s="287"/>
      <c r="AN372" s="287"/>
      <c r="AO372" s="287"/>
      <c r="AP372" s="370" t="str">
        <f>IFERROR(VLOOKUP(#REF!,Outlist!$A$5:$V$120,20,FALSE),"")</f>
        <v/>
      </c>
      <c r="AQ372" s="288" t="str">
        <f>IFERROR(IF(VLOOKUP($A372,#REF!,8,FALSE)&lt;&gt;"",VLOOKUP($A372,#REF!,8,FALSE),""),"")</f>
        <v/>
      </c>
      <c r="AS372" s="24"/>
      <c r="AT372" s="24"/>
      <c r="AU372" s="27"/>
      <c r="AV372" s="27"/>
      <c r="AX372" s="20" t="str">
        <f>IFERROR(IF(Out_Table[[#This Row],[Cancellazione linea]]="Cancellata","yes",""),"")</f>
        <v/>
      </c>
      <c r="AY372" s="72" t="str">
        <f>IF(BA372="",BZ372,IF(AND(BA372&lt;(--"23:59:59"),BA372&gt;(--"15:00:00"),G372&lt;(--"14:00:00"),G372&gt;(--"00:00:01")),"",IF(BA372&gt;G372,BZ372,"")))</f>
        <v/>
      </c>
      <c r="AZ372" s="27"/>
      <c r="BA372" s="32"/>
      <c r="BB372" s="72"/>
      <c r="BC372" s="72" t="str">
        <f>IFERROR(VLOOKUP(Out_Table[[#This Row],[Aggiornamento STATUS]],'INformazioni per calcoli'!$Y$70:$AA$76,2,FALSE),"")</f>
        <v/>
      </c>
      <c r="BD372" s="289"/>
      <c r="BE372" s="289"/>
      <c r="BF372" s="47" t="str">
        <f>LEFT($E372,3)</f>
        <v>MM1</v>
      </c>
      <c r="BG372" s="298" t="str">
        <f>IF(Out_Table[[#This Row],[Ora Uscita    (GH)]]&lt;&gt;"","x","")</f>
        <v/>
      </c>
      <c r="BH372" s="299">
        <f>VLOOKUP($O372,'INformazioni per calcoli'!$Y$20:$AA$23,3,FALSE)</f>
        <v>14</v>
      </c>
      <c r="BI372" s="299">
        <f>MROUND(Out_Table[[#This Row],[Mtr. Trailer]]*AB372,0.5)</f>
        <v>0</v>
      </c>
      <c r="BJ372" s="299">
        <f>MROUND(Out_Table[[#This Row],[Mtr. Trailer]]*AE372,0.5)</f>
        <v>0</v>
      </c>
      <c r="BK372" s="299">
        <f>MROUND(Out_Table[[#This Row],[Mtr. Trailer]]*AH372,0.5)</f>
        <v>0</v>
      </c>
      <c r="BL372" s="300">
        <f>Out_Table[[#This Row],[Double Deck trailer N° bumpers]]</f>
        <v>0</v>
      </c>
      <c r="BM372" s="301"/>
      <c r="BN372" s="299" t="str">
        <f>B372</f>
        <v>ITD12360</v>
      </c>
      <c r="BO372" s="299" t="str">
        <f>E372</f>
        <v>MM1</v>
      </c>
      <c r="BP372" s="302">
        <f>IF(AND(G372&gt;(--"00:00:01"),G372&lt;(--"15:00:00")),IF(AND(X372&gt;(--"00:00:01"),X372&lt;(--"15:00:00")),G372-X372,G372+1-X372),G372-X372)</f>
        <v>1.25</v>
      </c>
      <c r="BQ372" s="303">
        <f>AE372+AF372+AH372+AJ372</f>
        <v>0</v>
      </c>
      <c r="BR372" s="304" t="str">
        <f>IF(OR(BP372&lt;=(--"00:20:00"),BQ372&gt;=100%),"OK","Not OK")</f>
        <v>Not OK</v>
      </c>
      <c r="BS372" s="302">
        <f>IF(AND(G372&gt;(--"00:00:01"),G372&lt;(--"15:00:00")),IF(AND(AU372&gt;(--"00:00:01"),AU372&lt;(--"15:00:00")),G372-AU372,G372+1-AU372),G372-AU372)</f>
        <v>1.25</v>
      </c>
      <c r="BT372" s="302">
        <f>IF(AND(AZ372&gt;(--"00:00:01"),AZ372&lt;(--"15:00:00")),IF(AND(AU372&gt;(--"00:00:01"),AU372&lt;(--"15:00:00")),AZ372-AU372,AZ372+1-AU372),AZ372-AU372)</f>
        <v>0</v>
      </c>
      <c r="BU372" s="302">
        <f>IF(AND(BA372&gt;(--"00:00:01"),BA372&lt;(--"15:00:00")),IF(AND(AZ372&gt;(--"00:00:01"),AZ372&lt;(--"15:00:00")),BA372-AZ372,BA372+1-AZ372),BA372-AZ372)</f>
        <v>0</v>
      </c>
      <c r="BV372" s="299">
        <f>AV372</f>
        <v>0</v>
      </c>
      <c r="BW372" s="301"/>
      <c r="BX372" s="299" t="str">
        <f>IF(AV372="T Status",IF(AV372&lt;&gt;T372,"X",""),"")</f>
        <v/>
      </c>
      <c r="BY372" s="301"/>
      <c r="BZ372" s="299" t="str">
        <f>IF(X372&lt;&gt;"",IF(CC372="X","Driver Delay",IF(CA372="X","Paperwork Delay",IF(CB372="X","Late freight late sort",IF(CD372="X","Chiamare Control Room",IF(CE372="X","Chiamare Control Room",IF(CF372="X","Chiamare Control Room","")))))),"")</f>
        <v/>
      </c>
      <c r="CA372" s="302" t="str">
        <f>IF(K372="",IF(IF(AND(G372&gt;(--"00:00:01"),G372&lt;(--"15:00:00")),IF(AND(AT372&gt;(--"08:00:00"),AT372&lt;(--"23:59:59")),G372+1-AT372,G372-AT372),G372-AT372)&gt;(--"00:20:00"),"","X"),"")</f>
        <v/>
      </c>
      <c r="CB372" s="299" t="str">
        <f>IF(K372="",IF(BP372&gt;=(--"00:20:00"),"","X"),"")</f>
        <v/>
      </c>
      <c r="CC372" s="299" t="str">
        <f>IF(OR(AV372="Autista non presente",AV372="Dati driver non presenti"),"X","")</f>
        <v/>
      </c>
      <c r="CD372" s="299" t="str">
        <f>IF(K372="",IF(AND(CC372="",BS372&lt;(--"00:20:00")),"X",""),"")</f>
        <v/>
      </c>
      <c r="CE372" s="299" t="str">
        <f>IF(K372="",IF(BT372&gt;(--"00:15:00"),"X",""),IF(AZ372&lt;&gt;"",IF(G372-AZ372&gt;(--"00:30:00"),"X",""),""))</f>
        <v/>
      </c>
      <c r="CF372" s="299" t="str">
        <f>IF(AND(CA372="",CB372="",CC372="",CD372="",CE372=""),"X","")</f>
        <v>X</v>
      </c>
      <c r="CG372" s="301"/>
      <c r="CH372" s="299" t="str">
        <f>IF(BT372&gt;(--"00:15:00"),"X","")</f>
        <v/>
      </c>
      <c r="CI372" s="302" t="str">
        <f>AY372</f>
        <v/>
      </c>
      <c r="CJ372" s="299" t="str">
        <f>IF(AND(CH372&lt;&gt;"",CI372&lt;&gt;"",LEFT(B372,3)="ITD"),AP372,"")</f>
        <v/>
      </c>
      <c r="CK372" s="305" t="str">
        <f>IF(CJ372&lt;&gt;"",BT372,"")</f>
        <v/>
      </c>
      <c r="CL372" s="301"/>
      <c r="CM372" s="305" t="str">
        <f>IFERROR(VLOOKUP(Q372,'Elenco Casse'!$D$4:$F$292,3,FALSE),"")</f>
        <v/>
      </c>
      <c r="CN372" s="301"/>
      <c r="CO372" s="305" t="str">
        <f>IFERROR(VLOOKUP(S372,'Elenco Casse'!$D$4:$F$292,3,FALSE),"")</f>
        <v/>
      </c>
      <c r="CP372" s="305" t="str">
        <f>IFERROR(IF(VLOOKUP($E372,Outlist!$A$5:$S$120,19,FALSE)&lt;&gt;0,"Y",""),"")</f>
        <v/>
      </c>
      <c r="CQ372" s="301"/>
      <c r="CR372" s="305" t="str">
        <f>CONCATENATE($B372,$E372,$G372)</f>
        <v>ITD12360MM10.25</v>
      </c>
      <c r="CS372" s="301"/>
      <c r="CT372" s="305" t="e">
        <f>VLOOKUP(Out_Table[[#This Row],[Destination             ORANGE (From Planning)]],Outlist!$A$5:$W$120,22,FALSE)</f>
        <v>#N/A</v>
      </c>
    </row>
    <row r="373" spans="1:98" s="20" customFormat="1" ht="15">
      <c r="A373" s="305" t="str">
        <f>$CR373</f>
        <v>ITD12278BRG0.25</v>
      </c>
      <c r="B373" s="284" t="s">
        <v>1220</v>
      </c>
      <c r="C373" s="290" t="str">
        <f>IFERROR(IF(LEFT(B373,3)='STAT 77'!$X$2,_xlfn.XLOOKUP(B373,'STAT 77'!C:C,'STAT 77'!B:B),_xlfn.XLOOKUP(B373,'STAT 77'!B:B,'STAT 77'!C:C)),"NON TROVATO")</f>
        <v>ITD31280</v>
      </c>
      <c r="D373" s="25" t="s">
        <v>1221</v>
      </c>
      <c r="E373" s="290" t="s">
        <v>435</v>
      </c>
      <c r="F373" s="290" t="str">
        <f>IFERROR(VLOOKUP(E373,'Cambio O2P'!C:E,2,FALSE),"")</f>
        <v>BAUA</v>
      </c>
      <c r="G373" s="285">
        <v>0.25</v>
      </c>
      <c r="H373" s="293">
        <f ca="1">IFERROR(IF(AND('INformazioni per calcoli'!$AB$3&lt;(--"14:30"),'INformazioni per calcoli'!$AB$3&gt;(--"10:00")),"",IF($B373="","",IF($X373&lt;&gt;"","Mezzo Chiuso",IF($W373="","Non al Carico",IF($G373-'INformazioni per calcoli'!$AB$5-'INformazioni per calcoli'!$AB$3+$J373&lt;0,"LFLS",IF($K373&lt;&gt;"","Safe Parking",IF($W373&lt;&gt;"",IF($E373="MXP",$G373-'INformazioni per calcoli'!$AB$6-'INformazioni per calcoli'!$AB$3+$J373,$G373-'INformazioni per calcoli'!$AB$5-'INformazioni per calcoli'!$AB$3+$J373),"Non al carico"))))))),"")</f>
        <v>9.0648148148148144E-2</v>
      </c>
      <c r="I373" s="17" t="str">
        <f ca="1">IFERROR(IF($H373&lt;&gt;"",IF($H373="Safe Parking","",IF($W373&lt;&gt;"",IF(AND($U373="X",$V373="X"),$H373-(--"00:30"),""),IF($X373&lt;&gt;"","Mezzo Chiuso","Non al carico"))),""),"")</f>
        <v/>
      </c>
      <c r="J373" s="306">
        <f ca="1">IFERROR(IF($B373&lt;&gt;"",IF(AND('INformazioni per calcoli'!$AB$3&lt;(--"15:00"),'INformazioni per calcoli'!$AB$3&gt;(--"00:00")),0,IF($G373&lt;(--"18:30"),"+1",0)),""),"")</f>
        <v>0</v>
      </c>
      <c r="K373" s="17"/>
      <c r="L373" s="25" t="s">
        <v>436</v>
      </c>
      <c r="M373" s="25" t="str">
        <f>IFERROR(_xlfn.XLOOKUP($Q373,'Elenco Casse'!$D:$D,'Elenco Casse'!$E:$E),"")</f>
        <v>Cornali Autotrasporti Srl</v>
      </c>
      <c r="N373" s="25">
        <f>IFERROR(_xlfn.XLOOKUP($Q373,'Elenco Casse'!$D:$D,'Elenco Casse'!$F:$F),"")</f>
        <v>0</v>
      </c>
      <c r="O373" s="286" t="s">
        <v>418</v>
      </c>
      <c r="P373" s="295" t="str">
        <f>IFERROR(_xlfn.XLOOKUP($Q373,'Elenco Casse'!$D:$D,'Elenco Casse'!$G:$G),"")</f>
        <v>trailer 80 m3 2/3 axes</v>
      </c>
      <c r="Q373" s="355" t="s">
        <v>1222</v>
      </c>
      <c r="R373" s="23" t="s">
        <v>420</v>
      </c>
      <c r="S373" s="25" t="s">
        <v>421</v>
      </c>
      <c r="T373" s="25" t="s">
        <v>1223</v>
      </c>
      <c r="U373" s="23"/>
      <c r="V373" s="23" t="s">
        <v>61</v>
      </c>
      <c r="W373" s="26">
        <v>708</v>
      </c>
      <c r="X373" s="27"/>
      <c r="Y373" s="25"/>
      <c r="Z373" s="25"/>
      <c r="AA373" s="25" t="s">
        <v>487</v>
      </c>
      <c r="AB373" s="57"/>
      <c r="AC373" s="25"/>
      <c r="AD373" s="25"/>
      <c r="AE373" s="57"/>
      <c r="AF373" s="57"/>
      <c r="AG373" s="25" t="s">
        <v>488</v>
      </c>
      <c r="AH373" s="57"/>
      <c r="AI373" s="339"/>
      <c r="AJ373" s="339"/>
      <c r="AK373" s="297" t="str">
        <f>IF(X373&lt;&gt;"",CONCATENATE(IF(AA373&lt;&gt;"",CONCATENATE(Z373," ",AA373," ",BI373),""),IF(AD373&lt;&gt;"",CONCATENATE(","," ",AC373," ",AD373," ",BJ373),""),IF(AG373&lt;&gt;"",CONCATENATE(","," ",AF373," ",AG373," ",BK373),""),IF(AJ373&lt;&gt;"",CONCATENATE(","," ","DD"," ",BL373),"")," ",IF(AI373&lt;&gt;"",CONCATENATE(" - ",AI373," Bag"),"")),"")</f>
        <v/>
      </c>
      <c r="AL373" s="287"/>
      <c r="AM373" s="287"/>
      <c r="AN373" s="287"/>
      <c r="AO373" s="287"/>
      <c r="AP373" s="370" t="str">
        <f>IFERROR(VLOOKUP(#REF!,Outlist!$A$5:$V$120,20,FALSE),"")</f>
        <v/>
      </c>
      <c r="AQ373" s="288" t="str">
        <f>IFERROR(IF(VLOOKUP($A373,#REF!,8,FALSE)&lt;&gt;"",VLOOKUP($A373,#REF!,8,FALSE),""),"")</f>
        <v/>
      </c>
      <c r="AS373" s="24"/>
      <c r="AT373" s="24">
        <v>0.10138888888888889</v>
      </c>
      <c r="AU373" s="27"/>
      <c r="AV373" s="27"/>
      <c r="AX373" s="20" t="str">
        <f>IFERROR(IF(Out_Table[[#This Row],[Cancellazione linea]]="Cancellata","yes",""),"")</f>
        <v/>
      </c>
      <c r="AY373" s="72" t="str">
        <f>IF(BA373="",BZ373,IF(AND(BA373&lt;(--"23:59:59"),BA373&gt;(--"15:00:00"),G373&lt;(--"14:00:00"),G373&gt;(--"00:00:01")),"",IF(BA373&gt;G373,BZ373,"")))</f>
        <v/>
      </c>
      <c r="AZ373" s="27"/>
      <c r="BA373" s="32"/>
      <c r="BB373" s="72"/>
      <c r="BC373" s="72" t="str">
        <f>IFERROR(VLOOKUP(Out_Table[[#This Row],[Aggiornamento STATUS]],'INformazioni per calcoli'!$Y$70:$AA$76,2,FALSE),"")</f>
        <v/>
      </c>
      <c r="BD373" s="289"/>
      <c r="BE373" s="289"/>
      <c r="BF373" s="47" t="str">
        <f>LEFT($E373,3)</f>
        <v>BRG</v>
      </c>
      <c r="BG373" s="298" t="str">
        <f>IF(Out_Table[[#This Row],[Ora Uscita    (GH)]]&lt;&gt;"","x","")</f>
        <v/>
      </c>
      <c r="BH373" s="299">
        <f>VLOOKUP($O373,'INformazioni per calcoli'!$Y$20:$AA$23,3,FALSE)</f>
        <v>14</v>
      </c>
      <c r="BI373" s="299">
        <f>MROUND(Out_Table[[#This Row],[Mtr. Trailer]]*AB373,0.5)</f>
        <v>0</v>
      </c>
      <c r="BJ373" s="299">
        <f>MROUND(Out_Table[[#This Row],[Mtr. Trailer]]*AE373,0.5)</f>
        <v>0</v>
      </c>
      <c r="BK373" s="299">
        <f>MROUND(Out_Table[[#This Row],[Mtr. Trailer]]*AH373,0.5)</f>
        <v>0</v>
      </c>
      <c r="BL373" s="300">
        <f>Out_Table[[#This Row],[Double Deck trailer N° bumpers]]</f>
        <v>0</v>
      </c>
      <c r="BM373" s="301"/>
      <c r="BN373" s="299" t="str">
        <f>B373</f>
        <v>ITD12278</v>
      </c>
      <c r="BO373" s="299" t="str">
        <f>E373</f>
        <v>BRG</v>
      </c>
      <c r="BP373" s="302">
        <f>IF(AND(G373&gt;(--"00:00:01"),G373&lt;(--"15:00:00")),IF(AND(X373&gt;(--"00:00:01"),X373&lt;(--"15:00:00")),G373-X373,G373+1-X373),G373-X373)</f>
        <v>1.25</v>
      </c>
      <c r="BQ373" s="303">
        <f>AE373+AF373+AH373+AJ373</f>
        <v>0</v>
      </c>
      <c r="BR373" s="304" t="str">
        <f>IF(OR(BP373&lt;=(--"00:20:00"),BQ373&gt;=100%),"OK","Not OK")</f>
        <v>Not OK</v>
      </c>
      <c r="BS373" s="302">
        <f>IF(AND(G373&gt;(--"00:00:01"),G373&lt;(--"15:00:00")),IF(AND(AU373&gt;(--"00:00:01"),AU373&lt;(--"15:00:00")),G373-AU373,G373+1-AU373),G373-AU373)</f>
        <v>1.25</v>
      </c>
      <c r="BT373" s="302">
        <f>IF(AND(AZ373&gt;(--"00:00:01"),AZ373&lt;(--"15:00:00")),IF(AND(AU373&gt;(--"00:00:01"),AU373&lt;(--"15:00:00")),AZ373-AU373,AZ373+1-AU373),AZ373-AU373)</f>
        <v>0</v>
      </c>
      <c r="BU373" s="302">
        <f>IF(AND(BA373&gt;(--"00:00:01"),BA373&lt;(--"15:00:00")),IF(AND(AZ373&gt;(--"00:00:01"),AZ373&lt;(--"15:00:00")),BA373-AZ373,BA373+1-AZ373),BA373-AZ373)</f>
        <v>0</v>
      </c>
      <c r="BV373" s="299">
        <f>AV373</f>
        <v>0</v>
      </c>
      <c r="BW373" s="301"/>
      <c r="BX373" s="299" t="str">
        <f>IF(AV373="T Status",IF(AV373&lt;&gt;T373,"X",""),"")</f>
        <v/>
      </c>
      <c r="BY373" s="301"/>
      <c r="BZ373" s="299" t="str">
        <f>IF(X373&lt;&gt;"",IF(CC373="X","Driver Delay",IF(CA373="X","Paperwork Delay",IF(CB373="X","Late freight late sort",IF(CD373="X","Chiamare Control Room",IF(CE373="X","Chiamare Control Room",IF(CF373="X","Chiamare Control Room","")))))),"")</f>
        <v/>
      </c>
      <c r="CA373" s="302" t="str">
        <f>IF(K373="",IF(IF(AND(G373&gt;(--"00:00:01"),G373&lt;(--"15:00:00")),IF(AND(AT373&gt;(--"08:00:00"),AT373&lt;(--"23:59:59")),G373+1-AT373,G373-AT373),G373-AT373)&gt;(--"00:20:00"),"","X"),"")</f>
        <v/>
      </c>
      <c r="CB373" s="299" t="str">
        <f>IF(K373="",IF(BP373&gt;=(--"00:20:00"),"","X"),"")</f>
        <v/>
      </c>
      <c r="CC373" s="299" t="str">
        <f>IF(OR(AV373="Autista non presente",AV373="Dati driver non presenti"),"X","")</f>
        <v/>
      </c>
      <c r="CD373" s="299" t="str">
        <f>IF(K373="",IF(AND(CC373="",BS373&lt;(--"00:20:00")),"X",""),"")</f>
        <v/>
      </c>
      <c r="CE373" s="299" t="str">
        <f>IF(K373="",IF(BT373&gt;(--"00:15:00"),"X",""),IF(AZ373&lt;&gt;"",IF(G373-AZ373&gt;(--"00:30:00"),"X",""),""))</f>
        <v/>
      </c>
      <c r="CF373" s="299" t="str">
        <f>IF(AND(CA373="",CB373="",CC373="",CD373="",CE373=""),"X","")</f>
        <v>X</v>
      </c>
      <c r="CG373" s="301"/>
      <c r="CH373" s="299" t="str">
        <f>IF(BT373&gt;(--"00:15:00"),"X","")</f>
        <v/>
      </c>
      <c r="CI373" s="302" t="str">
        <f>AY373</f>
        <v/>
      </c>
      <c r="CJ373" s="299" t="str">
        <f>IF(AND(CH373&lt;&gt;"",CI373&lt;&gt;"",LEFT(B373,3)="ITD"),AP373,"")</f>
        <v/>
      </c>
      <c r="CK373" s="305" t="str">
        <f>IF(CJ373&lt;&gt;"",BT373,"")</f>
        <v/>
      </c>
      <c r="CL373" s="301"/>
      <c r="CM373" s="305" t="str">
        <f>IFERROR(VLOOKUP(Q373,'Elenco Casse'!$D$4:$F$292,3,FALSE),"")</f>
        <v/>
      </c>
      <c r="CN373" s="301"/>
      <c r="CO373" s="305" t="str">
        <f>IFERROR(VLOOKUP(S373,'Elenco Casse'!$D$4:$F$292,3,FALSE),"")</f>
        <v/>
      </c>
      <c r="CP373" s="305" t="str">
        <f>IFERROR(IF(VLOOKUP($E373,Outlist!$A$5:$S$120,19,FALSE)&lt;&gt;0,"Y",""),"")</f>
        <v/>
      </c>
      <c r="CQ373" s="301"/>
      <c r="CR373" s="305" t="str">
        <f>CONCATENATE($B373,$E373,$G373)</f>
        <v>ITD12278BRG0.25</v>
      </c>
      <c r="CS373" s="301"/>
      <c r="CT373" s="305" t="e">
        <f>VLOOKUP(Out_Table[[#This Row],[Destination             ORANGE (From Planning)]],Outlist!$A$5:$W$120,22,FALSE)</f>
        <v>#N/A</v>
      </c>
    </row>
    <row r="374" spans="1:98" s="20" customFormat="1" ht="15">
      <c r="A374" s="305" t="str">
        <f>$CR374</f>
        <v>ITD12096ICM0.25</v>
      </c>
      <c r="B374" s="284" t="s">
        <v>1224</v>
      </c>
      <c r="C374" s="290" t="str">
        <f>IFERROR(IF(LEFT(B374,3)='STAT 77'!$X$2,_xlfn.XLOOKUP(B374,'STAT 77'!C:C,'STAT 77'!B:B),_xlfn.XLOOKUP(B374,'STAT 77'!B:B,'STAT 77'!C:C)),"NON TROVATO")</f>
        <v>ITD30854</v>
      </c>
      <c r="D374" s="25" t="s">
        <v>1225</v>
      </c>
      <c r="E374" s="290" t="s">
        <v>867</v>
      </c>
      <c r="F374" s="290" t="str">
        <f>IFERROR(VLOOKUP(E374,'Cambio O2P'!C:E,2,FALSE),"")</f>
        <v>FIRA</v>
      </c>
      <c r="G374" s="285">
        <v>0.25</v>
      </c>
      <c r="H374" s="293">
        <f ca="1">IFERROR(IF(AND('INformazioni per calcoli'!$AB$3&lt;(--"14:30"),'INformazioni per calcoli'!$AB$3&gt;(--"10:00")),"",IF($B374="","",IF($X374&lt;&gt;"","Mezzo Chiuso",IF($W374="","Non al Carico",IF($G374-'INformazioni per calcoli'!$AB$5-'INformazioni per calcoli'!$AB$3+$J374&lt;0,"LFLS",IF($K374&lt;&gt;"","Safe Parking",IF($W374&lt;&gt;"",IF($E374="MXP",$G374-'INformazioni per calcoli'!$AB$6-'INformazioni per calcoli'!$AB$3+$J374,$G374-'INformazioni per calcoli'!$AB$5-'INformazioni per calcoli'!$AB$3+$J374),"Non al carico"))))))),"")</f>
        <v>9.0648148148148144E-2</v>
      </c>
      <c r="I374" s="17" t="str">
        <f ca="1">IFERROR(IF($H374&lt;&gt;"",IF($H374="Safe Parking","",IF($W374&lt;&gt;"",IF(AND($U374="X",$V374="X"),$H374-(--"00:30"),""),IF($X374&lt;&gt;"","Mezzo Chiuso","Non al carico"))),""),"")</f>
        <v/>
      </c>
      <c r="J374" s="306">
        <f ca="1">IFERROR(IF($B374&lt;&gt;"",IF(AND('INformazioni per calcoli'!$AB$3&lt;(--"15:00"),'INformazioni per calcoli'!$AB$3&gt;(--"00:00")),0,IF($G374&lt;(--"18:30"),"+1",0)),""),"")</f>
        <v>0</v>
      </c>
      <c r="K374" s="17"/>
      <c r="L374" s="25" t="s">
        <v>692</v>
      </c>
      <c r="M374" s="25" t="str">
        <f>IFERROR(_xlfn.XLOOKUP($Q374,'Elenco Casse'!$D:$D,'Elenco Casse'!$E:$E),"")</f>
        <v>Canguro S.P.A.</v>
      </c>
      <c r="N374" s="25">
        <f>IFERROR(_xlfn.XLOOKUP($Q374,'Elenco Casse'!$D:$D,'Elenco Casse'!$F:$F),"")</f>
        <v>0</v>
      </c>
      <c r="O374" s="286" t="s">
        <v>418</v>
      </c>
      <c r="P374" s="295" t="str">
        <f>IFERROR(_xlfn.XLOOKUP($Q374,'Elenco Casse'!$D:$D,'Elenco Casse'!$G:$G),"")</f>
        <v>trailer 80 m3 2/3 axles</v>
      </c>
      <c r="Q374" s="355" t="s">
        <v>1226</v>
      </c>
      <c r="R374" s="23" t="s">
        <v>420</v>
      </c>
      <c r="S374" s="25" t="s">
        <v>421</v>
      </c>
      <c r="T374" s="25" t="s">
        <v>432</v>
      </c>
      <c r="U374" s="23" t="str">
        <f>IF(ISNUMBER(SEARCH("Parcel",$T374)),"X","")</f>
        <v>X</v>
      </c>
      <c r="V374" s="23" t="str">
        <f>IF(ISNUMBER(SEARCH("Freight",$T374)),"X","")</f>
        <v/>
      </c>
      <c r="W374" s="26">
        <v>450</v>
      </c>
      <c r="X374" s="27"/>
      <c r="Y374" s="25"/>
      <c r="Z374" s="25"/>
      <c r="AA374" s="25" t="s">
        <v>40</v>
      </c>
      <c r="AB374" s="57"/>
      <c r="AC374" s="25"/>
      <c r="AD374" s="25"/>
      <c r="AE374" s="57"/>
      <c r="AF374" s="57"/>
      <c r="AG374" s="25"/>
      <c r="AH374" s="57"/>
      <c r="AI374" s="339"/>
      <c r="AJ374" s="339"/>
      <c r="AK374" s="297" t="str">
        <f>IF(X374&lt;&gt;"",CONCATENATE(IF(AA374&lt;&gt;"",CONCATENATE(Z374," ",AA374," ",BI374),""),IF(AD374&lt;&gt;"",CONCATENATE(","," ",AC374," ",AD374," ",BJ374),""),IF(AG374&lt;&gt;"",CONCATENATE(","," ",AF374," ",AG374," ",BK374),""),IF(AJ374&lt;&gt;"",CONCATENATE(","," ","DD"," ",BL374),"")," ",IF(AI374&lt;&gt;"",CONCATENATE(" - ",AI374," Bag"),"")),"")</f>
        <v/>
      </c>
      <c r="AL374" s="287"/>
      <c r="AM374" s="287"/>
      <c r="AN374" s="287"/>
      <c r="AO374" s="287"/>
      <c r="AP374" s="370" t="str">
        <f>IFERROR(VLOOKUP(#REF!,Outlist!$A$5:$V$120,20,FALSE),"")</f>
        <v/>
      </c>
      <c r="AQ374" s="288" t="str">
        <f>IFERROR(IF(VLOOKUP($A374,#REF!,8,FALSE)&lt;&gt;"",VLOOKUP($A374,#REF!,8,FALSE),""),"")</f>
        <v/>
      </c>
      <c r="AS374" s="24"/>
      <c r="AT374" s="24">
        <v>0.10138888888888889</v>
      </c>
      <c r="AU374" s="27"/>
      <c r="AV374" s="27"/>
      <c r="AX374" s="20" t="str">
        <f>IFERROR(IF(Out_Table[[#This Row],[Cancellazione linea]]="Cancellata","yes",""),"")</f>
        <v/>
      </c>
      <c r="AY374" s="72" t="str">
        <f>IF(BA374="",BZ374,IF(AND(BA374&lt;(--"23:59:59"),BA374&gt;(--"15:00:00"),G374&lt;(--"14:00:00"),G374&gt;(--"00:00:01")),"",IF(BA374&gt;G374,BZ374,"")))</f>
        <v/>
      </c>
      <c r="AZ374" s="27"/>
      <c r="BA374" s="32"/>
      <c r="BB374" s="72"/>
      <c r="BC374" s="72" t="str">
        <f>IFERROR(VLOOKUP(Out_Table[[#This Row],[Aggiornamento STATUS]],'INformazioni per calcoli'!$Y$70:$AA$76,2,FALSE),"")</f>
        <v/>
      </c>
      <c r="BD374" s="289"/>
      <c r="BE374" s="289"/>
      <c r="BF374" s="47" t="str">
        <f>LEFT($E374,3)</f>
        <v>ICM</v>
      </c>
      <c r="BG374" s="298" t="str">
        <f>IF(Out_Table[[#This Row],[Ora Uscita    (GH)]]&lt;&gt;"","x","")</f>
        <v/>
      </c>
      <c r="BH374" s="299">
        <f>VLOOKUP($O374,'INformazioni per calcoli'!$Y$20:$AA$23,3,FALSE)</f>
        <v>14</v>
      </c>
      <c r="BI374" s="299">
        <f>MROUND(Out_Table[[#This Row],[Mtr. Trailer]]*AB374,0.5)</f>
        <v>0</v>
      </c>
      <c r="BJ374" s="299">
        <f>MROUND(Out_Table[[#This Row],[Mtr. Trailer]]*AE374,0.5)</f>
        <v>0</v>
      </c>
      <c r="BK374" s="299">
        <f>MROUND(Out_Table[[#This Row],[Mtr. Trailer]]*AH374,0.5)</f>
        <v>0</v>
      </c>
      <c r="BL374" s="300">
        <f>Out_Table[[#This Row],[Double Deck trailer N° bumpers]]</f>
        <v>0</v>
      </c>
      <c r="BM374" s="301"/>
      <c r="BN374" s="299" t="str">
        <f>B374</f>
        <v>ITD12096</v>
      </c>
      <c r="BO374" s="299" t="str">
        <f>E374</f>
        <v>ICM</v>
      </c>
      <c r="BP374" s="302">
        <f>IF(AND(G374&gt;(--"00:00:01"),G374&lt;(--"15:00:00")),IF(AND(X374&gt;(--"00:00:01"),X374&lt;(--"15:00:00")),G374-X374,G374+1-X374),G374-X374)</f>
        <v>1.25</v>
      </c>
      <c r="BQ374" s="303">
        <f>AE374+AF374+AH374+AJ374</f>
        <v>0</v>
      </c>
      <c r="BR374" s="304" t="str">
        <f>IF(OR(BP374&lt;=(--"00:20:00"),BQ374&gt;=100%),"OK","Not OK")</f>
        <v>Not OK</v>
      </c>
      <c r="BS374" s="302">
        <f>IF(AND(G374&gt;(--"00:00:01"),G374&lt;(--"15:00:00")),IF(AND(AU374&gt;(--"00:00:01"),AU374&lt;(--"15:00:00")),G374-AU374,G374+1-AU374),G374-AU374)</f>
        <v>1.25</v>
      </c>
      <c r="BT374" s="302">
        <f>IF(AND(AZ374&gt;(--"00:00:01"),AZ374&lt;(--"15:00:00")),IF(AND(AU374&gt;(--"00:00:01"),AU374&lt;(--"15:00:00")),AZ374-AU374,AZ374+1-AU374),AZ374-AU374)</f>
        <v>0</v>
      </c>
      <c r="BU374" s="302">
        <f>IF(AND(BA374&gt;(--"00:00:01"),BA374&lt;(--"15:00:00")),IF(AND(AZ374&gt;(--"00:00:01"),AZ374&lt;(--"15:00:00")),BA374-AZ374,BA374+1-AZ374),BA374-AZ374)</f>
        <v>0</v>
      </c>
      <c r="BV374" s="299">
        <f>AV374</f>
        <v>0</v>
      </c>
      <c r="BW374" s="301"/>
      <c r="BX374" s="299" t="str">
        <f>IF(AV374="T Status",IF(AV374&lt;&gt;T374,"X",""),"")</f>
        <v/>
      </c>
      <c r="BY374" s="301"/>
      <c r="BZ374" s="299" t="str">
        <f>IF(X374&lt;&gt;"",IF(CC374="X","Driver Delay",IF(CA374="X","Paperwork Delay",IF(CB374="X","Late freight late sort",IF(CD374="X","Chiamare Control Room",IF(CE374="X","Chiamare Control Room",IF(CF374="X","Chiamare Control Room","")))))),"")</f>
        <v/>
      </c>
      <c r="CA374" s="302" t="str">
        <f>IF(K374="",IF(IF(AND(G374&gt;(--"00:00:01"),G374&lt;(--"15:00:00")),IF(AND(AT374&gt;(--"08:00:00"),AT374&lt;(--"23:59:59")),G374+1-AT374,G374-AT374),G374-AT374)&gt;(--"00:20:00"),"","X"),"")</f>
        <v/>
      </c>
      <c r="CB374" s="299" t="str">
        <f>IF(K374="",IF(BP374&gt;=(--"00:20:00"),"","X"),"")</f>
        <v/>
      </c>
      <c r="CC374" s="299" t="str">
        <f>IF(OR(AV374="Autista non presente",AV374="Dati driver non presenti"),"X","")</f>
        <v/>
      </c>
      <c r="CD374" s="299" t="str">
        <f>IF(K374="",IF(AND(CC374="",BS374&lt;(--"00:20:00")),"X",""),"")</f>
        <v/>
      </c>
      <c r="CE374" s="299" t="str">
        <f>IF(K374="",IF(BT374&gt;(--"00:15:00"),"X",""),IF(AZ374&lt;&gt;"",IF(G374-AZ374&gt;(--"00:30:00"),"X",""),""))</f>
        <v/>
      </c>
      <c r="CF374" s="299" t="str">
        <f>IF(AND(CA374="",CB374="",CC374="",CD374="",CE374=""),"X","")</f>
        <v>X</v>
      </c>
      <c r="CG374" s="301"/>
      <c r="CH374" s="299" t="str">
        <f>IF(BT374&gt;(--"00:15:00"),"X","")</f>
        <v/>
      </c>
      <c r="CI374" s="302" t="str">
        <f>AY374</f>
        <v/>
      </c>
      <c r="CJ374" s="299" t="str">
        <f>IF(AND(CH374&lt;&gt;"",CI374&lt;&gt;"",LEFT(B374,3)="ITD"),AP374,"")</f>
        <v/>
      </c>
      <c r="CK374" s="305" t="str">
        <f>IF(CJ374&lt;&gt;"",BT374,"")</f>
        <v/>
      </c>
      <c r="CL374" s="301"/>
      <c r="CM374" s="305" t="str">
        <f>IFERROR(VLOOKUP(Q374,'Elenco Casse'!$D$4:$F$292,3,FALSE),"")</f>
        <v/>
      </c>
      <c r="CN374" s="301"/>
      <c r="CO374" s="305" t="str">
        <f>IFERROR(VLOOKUP(S374,'Elenco Casse'!$D$4:$F$292,3,FALSE),"")</f>
        <v/>
      </c>
      <c r="CP374" s="305" t="str">
        <f>IFERROR(IF(VLOOKUP($E374,Outlist!$A$5:$S$120,19,FALSE)&lt;&gt;0,"Y",""),"")</f>
        <v/>
      </c>
      <c r="CQ374" s="301"/>
      <c r="CR374" s="305" t="str">
        <f>CONCATENATE($B374,$E374,$G374)</f>
        <v>ITD12096ICM0.25</v>
      </c>
      <c r="CS374" s="301"/>
      <c r="CT374" s="305" t="e">
        <f>VLOOKUP(Out_Table[[#This Row],[Destination             ORANGE (From Planning)]],Outlist!$A$5:$W$120,22,FALSE)</f>
        <v>#N/A</v>
      </c>
    </row>
    <row r="375" spans="1:98" s="20" customFormat="1" ht="30.75">
      <c r="A375" s="305" t="str">
        <f>$CR375</f>
        <v>ITD12665MIL0.25</v>
      </c>
      <c r="B375" s="284" t="s">
        <v>1227</v>
      </c>
      <c r="C375" s="290" t="str">
        <f>IFERROR(IF(LEFT(B375,3)='STAT 77'!$X$2,_xlfn.XLOOKUP(B375,'STAT 77'!C:C,'STAT 77'!B:B),_xlfn.XLOOKUP(B375,'STAT 77'!B:B,'STAT 77'!C:C)),"NON TROVATO")</f>
        <v>ITD32079</v>
      </c>
      <c r="D375" s="25" t="s">
        <v>997</v>
      </c>
      <c r="E375" s="290" t="s">
        <v>671</v>
      </c>
      <c r="F375" s="290" t="str">
        <f>IFERROR(VLOOKUP(E375,'Cambio O2P'!C:E,2,FALSE),"")</f>
        <v>MILA</v>
      </c>
      <c r="G375" s="285">
        <v>0.25</v>
      </c>
      <c r="H375" s="293" t="str">
        <f ca="1">IFERROR(IF(AND('INformazioni per calcoli'!$AB$3&lt;(--"14:30"),'INformazioni per calcoli'!$AB$3&gt;(--"10:00")),"",IF($B375="","",IF($X375&lt;&gt;"","Mezzo Chiuso",IF($W375="","Non al Carico",IF($G375-'INformazioni per calcoli'!$AB$5-'INformazioni per calcoli'!$AB$3+$J375&lt;0,"LFLS",IF($K375&lt;&gt;"","Safe Parking",IF($W375&lt;&gt;"",IF($E375="MXP",$G375-'INformazioni per calcoli'!$AB$6-'INformazioni per calcoli'!$AB$3+$J375,$G375-'INformazioni per calcoli'!$AB$5-'INformazioni per calcoli'!$AB$3+$J375),"Non al carico"))))))),"")</f>
        <v>Non al Carico</v>
      </c>
      <c r="I375" s="17" t="str">
        <f ca="1">IFERROR(IF($H375&lt;&gt;"",IF($H375="Safe Parking","",IF($W375&lt;&gt;"",IF(AND($U375="X",$V375="X"),$H375-(--"00:30"),""),IF($X375&lt;&gt;"","Mezzo Chiuso","Non al carico"))),""),"")</f>
        <v>Non al carico</v>
      </c>
      <c r="J375" s="306">
        <f ca="1">IFERROR(IF($B375&lt;&gt;"",IF(AND('INformazioni per calcoli'!$AB$3&lt;(--"15:00"),'INformazioni per calcoli'!$AB$3&gt;(--"00:00")),0,IF($G375&lt;(--"18:30"),"+1",0)),""),"")</f>
        <v>0</v>
      </c>
      <c r="K375" s="17"/>
      <c r="L375" s="25" t="s">
        <v>436</v>
      </c>
      <c r="M375" s="25" t="str">
        <f>IFERROR(_xlfn.XLOOKUP($Q375,'Elenco Casse'!$D:$D,'Elenco Casse'!$E:$E),"")</f>
        <v/>
      </c>
      <c r="N375" s="25" t="str">
        <f>IFERROR(_xlfn.XLOOKUP($Q375,'Elenco Casse'!$D:$D,'Elenco Casse'!$F:$F),"")</f>
        <v/>
      </c>
      <c r="O375" s="286" t="s">
        <v>418</v>
      </c>
      <c r="P375" s="295" t="str">
        <f>IFERROR(_xlfn.XLOOKUP($Q375,'Elenco Casse'!$D:$D,'Elenco Casse'!$G:$G),"")</f>
        <v/>
      </c>
      <c r="Q375" s="355"/>
      <c r="R375" s="23"/>
      <c r="S375" s="25" t="s">
        <v>421</v>
      </c>
      <c r="T375" s="25" t="s">
        <v>999</v>
      </c>
      <c r="U375" s="23" t="str">
        <f>IF(ISNUMBER(SEARCH("Parcel",$T375)),"X","")</f>
        <v/>
      </c>
      <c r="V375" s="23" t="str">
        <f>IF(ISNUMBER(SEARCH("Freight",$T375)),"X","")</f>
        <v>X</v>
      </c>
      <c r="W375" s="26"/>
      <c r="X375" s="27"/>
      <c r="Y375" s="25"/>
      <c r="Z375" s="25"/>
      <c r="AA375" s="25" t="s">
        <v>487</v>
      </c>
      <c r="AB375" s="57"/>
      <c r="AC375" s="25"/>
      <c r="AD375" s="25"/>
      <c r="AE375" s="57"/>
      <c r="AF375" s="57"/>
      <c r="AG375" s="25"/>
      <c r="AH375" s="57"/>
      <c r="AI375" s="339"/>
      <c r="AJ375" s="339"/>
      <c r="AK375" s="297" t="str">
        <f>IF(X375&lt;&gt;"",CONCATENATE(IF(AA375&lt;&gt;"",CONCATENATE(Z375," ",AA375," ",BI375),""),IF(AD375&lt;&gt;"",CONCATENATE(","," ",AC375," ",AD375," ",BJ375),""),IF(AG375&lt;&gt;"",CONCATENATE(","," ",AF375," ",AG375," ",BK375),""),IF(AJ375&lt;&gt;"",CONCATENATE(","," ","DD"," ",BL375),"")," ",IF(AI375&lt;&gt;"",CONCATENATE(" - ",AI375," Bag"),"")),"")</f>
        <v/>
      </c>
      <c r="AL375" s="287"/>
      <c r="AM375" s="287"/>
      <c r="AN375" s="287"/>
      <c r="AO375" s="287"/>
      <c r="AP375" s="370" t="str">
        <f>IFERROR(VLOOKUP(#REF!,Outlist!$A$5:$V$120,20,FALSE),"")</f>
        <v/>
      </c>
      <c r="AQ375" s="288" t="str">
        <f>IFERROR(IF(VLOOKUP($A375,#REF!,8,FALSE)&lt;&gt;"",VLOOKUP($A375,#REF!,8,FALSE),""),"")</f>
        <v/>
      </c>
      <c r="AS375" s="24"/>
      <c r="AT375" s="24"/>
      <c r="AU375" s="27"/>
      <c r="AV375" s="27"/>
      <c r="AX375" s="20" t="str">
        <f>IFERROR(IF(Out_Table[[#This Row],[Cancellazione linea]]="Cancellata","yes",""),"")</f>
        <v/>
      </c>
      <c r="AY375" s="72" t="str">
        <f>IF(BA375="",BZ375,IF(AND(BA375&lt;(--"23:59:59"),BA375&gt;(--"15:00:00"),G375&lt;(--"14:00:00"),G375&gt;(--"00:00:01")),"",IF(BA375&gt;G375,BZ375,"")))</f>
        <v/>
      </c>
      <c r="AZ375" s="27"/>
      <c r="BA375" s="32"/>
      <c r="BB375" s="72"/>
      <c r="BC375" s="72" t="str">
        <f>IFERROR(VLOOKUP(Out_Table[[#This Row],[Aggiornamento STATUS]],'INformazioni per calcoli'!$Y$70:$AA$76,2,FALSE),"")</f>
        <v/>
      </c>
      <c r="BD375" s="289"/>
      <c r="BE375" s="289"/>
      <c r="BF375" s="47" t="str">
        <f>LEFT($E375,3)</f>
        <v>MIL</v>
      </c>
      <c r="BG375" s="298" t="str">
        <f>IF(Out_Table[[#This Row],[Ora Uscita    (GH)]]&lt;&gt;"","x","")</f>
        <v/>
      </c>
      <c r="BH375" s="299">
        <f>VLOOKUP($O375,'INformazioni per calcoli'!$Y$20:$AA$23,3,FALSE)</f>
        <v>14</v>
      </c>
      <c r="BI375" s="299">
        <f>MROUND(Out_Table[[#This Row],[Mtr. Trailer]]*AB375,0.5)</f>
        <v>0</v>
      </c>
      <c r="BJ375" s="299">
        <f>MROUND(Out_Table[[#This Row],[Mtr. Trailer]]*AE375,0.5)</f>
        <v>0</v>
      </c>
      <c r="BK375" s="299">
        <f>MROUND(Out_Table[[#This Row],[Mtr. Trailer]]*AH375,0.5)</f>
        <v>0</v>
      </c>
      <c r="BL375" s="300">
        <f>Out_Table[[#This Row],[Double Deck trailer N° bumpers]]</f>
        <v>0</v>
      </c>
      <c r="BM375" s="301"/>
      <c r="BN375" s="299" t="str">
        <f>B375</f>
        <v>ITD12665</v>
      </c>
      <c r="BO375" s="299" t="str">
        <f>E375</f>
        <v>MIL</v>
      </c>
      <c r="BP375" s="302">
        <f>IF(AND(G375&gt;(--"00:00:01"),G375&lt;(--"15:00:00")),IF(AND(X375&gt;(--"00:00:01"),X375&lt;(--"15:00:00")),G375-X375,G375+1-X375),G375-X375)</f>
        <v>1.25</v>
      </c>
      <c r="BQ375" s="303">
        <f>AE375+AF375+AH375+AJ375</f>
        <v>0</v>
      </c>
      <c r="BR375" s="304" t="str">
        <f>IF(OR(BP375&lt;=(--"00:20:00"),BQ375&gt;=100%),"OK","Not OK")</f>
        <v>Not OK</v>
      </c>
      <c r="BS375" s="302">
        <f>IF(AND(G375&gt;(--"00:00:01"),G375&lt;(--"15:00:00")),IF(AND(AU375&gt;(--"00:00:01"),AU375&lt;(--"15:00:00")),G375-AU375,G375+1-AU375),G375-AU375)</f>
        <v>1.25</v>
      </c>
      <c r="BT375" s="302">
        <f>IF(AND(AZ375&gt;(--"00:00:01"),AZ375&lt;(--"15:00:00")),IF(AND(AU375&gt;(--"00:00:01"),AU375&lt;(--"15:00:00")),AZ375-AU375,AZ375+1-AU375),AZ375-AU375)</f>
        <v>0</v>
      </c>
      <c r="BU375" s="302">
        <f>IF(AND(BA375&gt;(--"00:00:01"),BA375&lt;(--"15:00:00")),IF(AND(AZ375&gt;(--"00:00:01"),AZ375&lt;(--"15:00:00")),BA375-AZ375,BA375+1-AZ375),BA375-AZ375)</f>
        <v>0</v>
      </c>
      <c r="BV375" s="299">
        <f>AV375</f>
        <v>0</v>
      </c>
      <c r="BW375" s="301"/>
      <c r="BX375" s="299" t="str">
        <f>IF(AV375="T Status",IF(AV375&lt;&gt;T375,"X",""),"")</f>
        <v/>
      </c>
      <c r="BY375" s="301"/>
      <c r="BZ375" s="299" t="str">
        <f>IF(X375&lt;&gt;"",IF(CC375="X","Driver Delay",IF(CA375="X","Paperwork Delay",IF(CB375="X","Late freight late sort",IF(CD375="X","Chiamare Control Room",IF(CE375="X","Chiamare Control Room",IF(CF375="X","Chiamare Control Room","")))))),"")</f>
        <v/>
      </c>
      <c r="CA375" s="302" t="str">
        <f>IF(K375="",IF(IF(AND(G375&gt;(--"00:00:01"),G375&lt;(--"15:00:00")),IF(AND(AT375&gt;(--"08:00:00"),AT375&lt;(--"23:59:59")),G375+1-AT375,G375-AT375),G375-AT375)&gt;(--"00:20:00"),"","X"),"")</f>
        <v/>
      </c>
      <c r="CB375" s="299" t="str">
        <f>IF(K375="",IF(BP375&gt;=(--"00:20:00"),"","X"),"")</f>
        <v/>
      </c>
      <c r="CC375" s="299" t="str">
        <f>IF(OR(AV375="Autista non presente",AV375="Dati driver non presenti"),"X","")</f>
        <v/>
      </c>
      <c r="CD375" s="299" t="str">
        <f>IF(K375="",IF(AND(CC375="",BS375&lt;(--"00:20:00")),"X",""),"")</f>
        <v/>
      </c>
      <c r="CE375" s="299" t="str">
        <f>IF(K375="",IF(BT375&gt;(--"00:15:00"),"X",""),IF(AZ375&lt;&gt;"",IF(G375-AZ375&gt;(--"00:30:00"),"X",""),""))</f>
        <v/>
      </c>
      <c r="CF375" s="299" t="str">
        <f>IF(AND(CA375="",CB375="",CC375="",CD375="",CE375=""),"X","")</f>
        <v>X</v>
      </c>
      <c r="CG375" s="301"/>
      <c r="CH375" s="299" t="str">
        <f>IF(BT375&gt;(--"00:15:00"),"X","")</f>
        <v/>
      </c>
      <c r="CI375" s="302" t="str">
        <f>AY375</f>
        <v/>
      </c>
      <c r="CJ375" s="299" t="str">
        <f>IF(AND(CH375&lt;&gt;"",CI375&lt;&gt;"",LEFT(B375,3)="ITD"),AP375,"")</f>
        <v/>
      </c>
      <c r="CK375" s="305" t="str">
        <f>IF(CJ375&lt;&gt;"",BT375,"")</f>
        <v/>
      </c>
      <c r="CL375" s="301"/>
      <c r="CM375" s="305" t="str">
        <f>IFERROR(VLOOKUP(Q375,'Elenco Casse'!$D$4:$F$292,3,FALSE),"")</f>
        <v/>
      </c>
      <c r="CN375" s="301"/>
      <c r="CO375" s="305" t="str">
        <f>IFERROR(VLOOKUP(S375,'Elenco Casse'!$D$4:$F$292,3,FALSE),"")</f>
        <v/>
      </c>
      <c r="CP375" s="305" t="str">
        <f>IFERROR(IF(VLOOKUP($E375,Outlist!$A$5:$S$120,19,FALSE)&lt;&gt;0,"Y",""),"")</f>
        <v/>
      </c>
      <c r="CQ375" s="301"/>
      <c r="CR375" s="305" t="str">
        <f>CONCATENATE($B375,$E375,$G375)</f>
        <v>ITD12665MIL0.25</v>
      </c>
      <c r="CS375" s="301"/>
      <c r="CT375" s="305" t="e">
        <f>VLOOKUP(Out_Table[[#This Row],[Destination             ORANGE (From Planning)]],Outlist!$A$5:$W$120,22,FALSE)</f>
        <v>#N/A</v>
      </c>
    </row>
    <row r="376" spans="1:98" s="20" customFormat="1" ht="15">
      <c r="A376" s="305" t="str">
        <f>$CR376</f>
        <v>ITD12752QAL0.260416666666667</v>
      </c>
      <c r="B376" s="284" t="s">
        <v>1228</v>
      </c>
      <c r="C376" s="290" t="str">
        <f>IFERROR(IF(LEFT(B376,3)='STAT 77'!$X$2,_xlfn.XLOOKUP(B376,'STAT 77'!C:C,'STAT 77'!B:B),_xlfn.XLOOKUP(B376,'STAT 77'!B:B,'STAT 77'!C:C)),"NON TROVATO")</f>
        <v>ITD32219</v>
      </c>
      <c r="D376" s="25" t="s">
        <v>1229</v>
      </c>
      <c r="E376" s="290" t="s">
        <v>450</v>
      </c>
      <c r="F376" s="290" t="str">
        <f>IFERROR(VLOOKUP(E376,'Cambio O2P'!C:E,2,FALSE),"")</f>
        <v>QALT8</v>
      </c>
      <c r="G376" s="285">
        <v>0.26041666666666669</v>
      </c>
      <c r="H376" s="293">
        <f ca="1">IFERROR(IF(AND('INformazioni per calcoli'!$AB$3&lt;(--"14:30"),'INformazioni per calcoli'!$AB$3&gt;(--"10:00")),"",IF($B376="","",IF($X376&lt;&gt;"","Mezzo Chiuso",IF($W376="","Non al Carico",IF($G376-'INformazioni per calcoli'!$AB$5-'INformazioni per calcoli'!$AB$3+$J376&lt;0,"LFLS",IF($K376&lt;&gt;"","Safe Parking",IF($W376&lt;&gt;"",IF($E376="MXP",$G376-'INformazioni per calcoli'!$AB$6-'INformazioni per calcoli'!$AB$3+$J376,$G376-'INformazioni per calcoli'!$AB$5-'INformazioni per calcoli'!$AB$3+$J376),"Non al carico"))))))),"")</f>
        <v>0.10106481481481483</v>
      </c>
      <c r="I376" s="17">
        <f ca="1">IFERROR(IF($H376&lt;&gt;"",IF($H376="Safe Parking","",IF($W376&lt;&gt;"",IF(AND($U376="X",$V376="X"),$H376-(--"00:30"),""),IF($X376&lt;&gt;"","Mezzo Chiuso","Non al carico"))),""),"")</f>
        <v>8.0231481481481501E-2</v>
      </c>
      <c r="J376" s="306">
        <f ca="1">IFERROR(IF($B376&lt;&gt;"",IF(AND('INformazioni per calcoli'!$AB$3&lt;(--"15:00"),'INformazioni per calcoli'!$AB$3&gt;(--"00:00")),0,IF($G376&lt;(--"18:30"),"+1",0)),""),"")</f>
        <v>0</v>
      </c>
      <c r="K376" s="27"/>
      <c r="L376" s="25" t="s">
        <v>417</v>
      </c>
      <c r="M376" s="25" t="str">
        <f>IFERROR(_xlfn.XLOOKUP($Q376,'Elenco Casse'!$D:$D,'Elenco Casse'!$E:$E),"")</f>
        <v>Fenix Trasporti S.R.L.</v>
      </c>
      <c r="N376" s="25">
        <f>IFERROR(_xlfn.XLOOKUP($Q376,'Elenco Casse'!$D:$D,'Elenco Casse'!$F:$F),"")</f>
        <v>0</v>
      </c>
      <c r="O376" s="286" t="s">
        <v>418</v>
      </c>
      <c r="P376" s="295" t="str">
        <f>IFERROR(_xlfn.XLOOKUP($Q376,'Elenco Casse'!$D:$D,'Elenco Casse'!$G:$G),"")</f>
        <v>trailer 80 m3 2/3 axles</v>
      </c>
      <c r="Q376" s="355" t="s">
        <v>1230</v>
      </c>
      <c r="R376" s="23" t="s">
        <v>420</v>
      </c>
      <c r="S376" s="25" t="s">
        <v>421</v>
      </c>
      <c r="T376" s="25" t="s">
        <v>702</v>
      </c>
      <c r="U376" s="23" t="str">
        <f>IF(ISNUMBER(SEARCH("Parcel",$T376)),"X","")</f>
        <v>X</v>
      </c>
      <c r="V376" s="23" t="str">
        <f>IF(ISNUMBER(SEARCH("Freight",$T376)),"X","")</f>
        <v>X</v>
      </c>
      <c r="W376" s="26">
        <v>306</v>
      </c>
      <c r="X376" s="27"/>
      <c r="Y376" s="25"/>
      <c r="Z376" s="25"/>
      <c r="AA376" s="25" t="s">
        <v>40</v>
      </c>
      <c r="AB376" s="57"/>
      <c r="AC376" s="25"/>
      <c r="AD376" s="25" t="s">
        <v>487</v>
      </c>
      <c r="AE376" s="57"/>
      <c r="AF376" s="57"/>
      <c r="AG376" s="25"/>
      <c r="AH376" s="57"/>
      <c r="AI376" s="339"/>
      <c r="AJ376" s="339"/>
      <c r="AK376" s="297" t="str">
        <f>IF(X376&lt;&gt;"",CONCATENATE(IF(AA376&lt;&gt;"",CONCATENATE(Z376," ",AA376," ",BI376),""),IF(AD376&lt;&gt;"",CONCATENATE(","," ",AC376," ",AD376," ",BJ376),""),IF(AG376&lt;&gt;"",CONCATENATE(","," ",AF376," ",AG376," ",BK376),""),IF(AJ376&lt;&gt;"",CONCATENATE(","," ","DD"," ",BL376),"")," ",IF(AI376&lt;&gt;"",CONCATENATE(" - ",AI376," Bag"),"")),"")</f>
        <v/>
      </c>
      <c r="AL376" s="287"/>
      <c r="AM376" s="287"/>
      <c r="AN376" s="287"/>
      <c r="AO376" s="287"/>
      <c r="AP376" s="370" t="str">
        <f>IFERROR(VLOOKUP($E373,Outlist!$A$5:$V$120,20,FALSE),"")</f>
        <v/>
      </c>
      <c r="AQ376" s="288" t="str">
        <f>IFERROR(IF(VLOOKUP($A376,#REF!,8,FALSE)&lt;&gt;"",VLOOKUP($A376,#REF!,8,FALSE),""),"")</f>
        <v/>
      </c>
      <c r="AS376" s="24"/>
      <c r="AT376" s="24">
        <v>0.10208333333333333</v>
      </c>
      <c r="AU376" s="27"/>
      <c r="AV376" s="27"/>
      <c r="AX376" s="20" t="str">
        <f>IFERROR(IF(Out_Table[[#This Row],[Cancellazione linea]]="Cancellata","yes",""),"")</f>
        <v/>
      </c>
      <c r="AY376" s="72" t="str">
        <f>IF(BA376="",BZ376,IF(AND(BA376&lt;(--"23:59:59"),BA376&gt;(--"15:00:00"),G376&lt;(--"14:00:00"),G376&gt;(--"00:00:01")),"",IF(BA376&gt;G376,BZ376,"")))</f>
        <v/>
      </c>
      <c r="AZ376" s="27"/>
      <c r="BA376" s="32"/>
      <c r="BB376" s="72"/>
      <c r="BC376" s="72" t="str">
        <f>IFERROR(VLOOKUP(Out_Table[[#This Row],[Aggiornamento STATUS]],'INformazioni per calcoli'!$Y$70:$AA$76,2,FALSE),"")</f>
        <v/>
      </c>
      <c r="BD376" s="289"/>
      <c r="BE376" s="289"/>
      <c r="BF376" s="47" t="str">
        <f>LEFT($E376,3)</f>
        <v>QAL</v>
      </c>
      <c r="BG376" s="298" t="str">
        <f>IF(Out_Table[[#This Row],[Ora Uscita    (GH)]]&lt;&gt;"","x","")</f>
        <v/>
      </c>
      <c r="BH376" s="299">
        <f>VLOOKUP($O376,'INformazioni per calcoli'!$Y$20:$AA$23,3,FALSE)</f>
        <v>14</v>
      </c>
      <c r="BI376" s="299">
        <f>MROUND(Out_Table[[#This Row],[Mtr. Trailer]]*AB376,0.5)</f>
        <v>0</v>
      </c>
      <c r="BJ376" s="299">
        <f>MROUND(Out_Table[[#This Row],[Mtr. Trailer]]*AE376,0.5)</f>
        <v>0</v>
      </c>
      <c r="BK376" s="299">
        <f>MROUND(Out_Table[[#This Row],[Mtr. Trailer]]*AH376,0.5)</f>
        <v>0</v>
      </c>
      <c r="BL376" s="300">
        <f>Out_Table[[#This Row],[Double Deck trailer N° bumpers]]</f>
        <v>0</v>
      </c>
      <c r="BM376" s="301"/>
      <c r="BN376" s="299" t="str">
        <f>B376</f>
        <v>ITD12752</v>
      </c>
      <c r="BO376" s="299" t="str">
        <f>E376</f>
        <v>QAL</v>
      </c>
      <c r="BP376" s="302">
        <f>IF(AND(G376&gt;(--"00:00:01"),G376&lt;(--"15:00:00")),IF(AND(X376&gt;(--"00:00:01"),X376&lt;(--"15:00:00")),G376-X376,G376+1-X376),G376-X376)</f>
        <v>1.2604166666666667</v>
      </c>
      <c r="BQ376" s="303">
        <f>AE376+AF376+AH376+AJ376</f>
        <v>0</v>
      </c>
      <c r="BR376" s="304" t="str">
        <f>IF(OR(BP376&lt;=(--"00:20:00"),BQ376&gt;=100%),"OK","Not OK")</f>
        <v>Not OK</v>
      </c>
      <c r="BS376" s="302">
        <f>IF(AND(G376&gt;(--"00:00:01"),G376&lt;(--"15:00:00")),IF(AND(AU376&gt;(--"00:00:01"),AU376&lt;(--"15:00:00")),G376-AU376,G376+1-AU376),G376-AU376)</f>
        <v>1.2604166666666667</v>
      </c>
      <c r="BT376" s="302">
        <f>IF(AND(AZ376&gt;(--"00:00:01"),AZ376&lt;(--"15:00:00")),IF(AND(AU376&gt;(--"00:00:01"),AU376&lt;(--"15:00:00")),AZ376-AU376,AZ376+1-AU376),AZ376-AU376)</f>
        <v>0</v>
      </c>
      <c r="BU376" s="302">
        <f>IF(AND(BA376&gt;(--"00:00:01"),BA376&lt;(--"15:00:00")),IF(AND(AZ376&gt;(--"00:00:01"),AZ376&lt;(--"15:00:00")),BA376-AZ376,BA376+1-AZ376),BA376-AZ376)</f>
        <v>0</v>
      </c>
      <c r="BV376" s="299">
        <f>AV376</f>
        <v>0</v>
      </c>
      <c r="BW376" s="301"/>
      <c r="BX376" s="299" t="str">
        <f>IF(AV376="T Status",IF(AV376&lt;&gt;T376,"X",""),"")</f>
        <v/>
      </c>
      <c r="BY376" s="301"/>
      <c r="BZ376" s="299" t="str">
        <f>IF(X376&lt;&gt;"",IF(CC376="X","Driver Delay",IF(CA376="X","Paperwork Delay",IF(CB376="X","Late freight late sort",IF(CD376="X","Chiamare Control Room",IF(CE376="X","Chiamare Control Room",IF(CF376="X","Chiamare Control Room","")))))),"")</f>
        <v/>
      </c>
      <c r="CA376" s="302" t="str">
        <f>IF(K376="",IF(IF(AND(G376&gt;(--"00:00:01"),G376&lt;(--"15:00:00")),IF(AND(AT376&gt;(--"08:00:00"),AT376&lt;(--"23:59:59")),G376+1-AT376,G376-AT376),G376-AT376)&gt;(--"00:20:00"),"","X"),"")</f>
        <v/>
      </c>
      <c r="CB376" s="299" t="str">
        <f>IF(K376="",IF(BP376&gt;=(--"00:20:00"),"","X"),"")</f>
        <v/>
      </c>
      <c r="CC376" s="299" t="str">
        <f>IF(OR(AV376="Autista non presente",AV376="Dati driver non presenti"),"X","")</f>
        <v/>
      </c>
      <c r="CD376" s="299" t="str">
        <f>IF(K376="",IF(AND(CC376="",BS376&lt;(--"00:20:00")),"X",""),"")</f>
        <v/>
      </c>
      <c r="CE376" s="299" t="str">
        <f>IF(K376="",IF(BT376&gt;(--"00:15:00"),"X",""),IF(AZ376&lt;&gt;"",IF(G376-AZ376&gt;(--"00:30:00"),"X",""),""))</f>
        <v/>
      </c>
      <c r="CF376" s="299" t="str">
        <f>IF(AND(CA376="",CB376="",CC376="",CD376="",CE376=""),"X","")</f>
        <v>X</v>
      </c>
      <c r="CG376" s="301"/>
      <c r="CH376" s="299" t="str">
        <f>IF(BT376&gt;(--"00:15:00"),"X","")</f>
        <v/>
      </c>
      <c r="CI376" s="302" t="str">
        <f>AY376</f>
        <v/>
      </c>
      <c r="CJ376" s="299" t="str">
        <f>IF(AND(CH376&lt;&gt;"",CI376&lt;&gt;"",LEFT(B376,3)="ITD"),AP376,"")</f>
        <v/>
      </c>
      <c r="CK376" s="305" t="str">
        <f>IF(CJ376&lt;&gt;"",BT376,"")</f>
        <v/>
      </c>
      <c r="CL376" s="301"/>
      <c r="CM376" s="305" t="str">
        <f>IFERROR(VLOOKUP(Q376,'Elenco Casse'!$D$4:$F$292,3,FALSE),"")</f>
        <v/>
      </c>
      <c r="CN376" s="301"/>
      <c r="CO376" s="305" t="str">
        <f>IFERROR(VLOOKUP(S376,'Elenco Casse'!$D$4:$F$292,3,FALSE),"")</f>
        <v/>
      </c>
      <c r="CP376" s="305" t="str">
        <f>IFERROR(IF(VLOOKUP($E376,Outlist!$A$5:$S$120,19,FALSE)&lt;&gt;0,"Y",""),"")</f>
        <v/>
      </c>
      <c r="CQ376" s="301"/>
      <c r="CR376" s="305" t="str">
        <f>CONCATENATE($B376,$E376,$G376)</f>
        <v>ITD12752QAL0.260416666666667</v>
      </c>
      <c r="CS376" s="301"/>
      <c r="CT376" s="305" t="e">
        <f>VLOOKUP(Out_Table[[#This Row],[Destination             ORANGE (From Planning)]],Outlist!$A$5:$W$120,22,FALSE)</f>
        <v>#N/A</v>
      </c>
    </row>
    <row r="377" spans="1:98" s="20" customFormat="1" ht="15">
      <c r="A377" s="305" t="str">
        <f>$CR377</f>
        <v>ITD12365TO10.302083333333333</v>
      </c>
      <c r="B377" s="284" t="s">
        <v>1231</v>
      </c>
      <c r="C377" s="290" t="str">
        <f>IFERROR(IF(LEFT(B377,3)='STAT 77'!$X$2,_xlfn.XLOOKUP(B377,'STAT 77'!C:C,'STAT 77'!B:B),_xlfn.XLOOKUP(B377,'STAT 77'!B:B,'STAT 77'!C:C)),"NON TROVATO")</f>
        <v>ITD31486</v>
      </c>
      <c r="D377" s="25" t="s">
        <v>628</v>
      </c>
      <c r="E377" s="290" t="s">
        <v>629</v>
      </c>
      <c r="F377" s="290" t="str">
        <f>IFERROR(VLOOKUP(E377,'Cambio O2P'!C:E,2,FALSE),"")</f>
        <v>XIKA</v>
      </c>
      <c r="G377" s="285">
        <v>0.30208333333333331</v>
      </c>
      <c r="H377" s="293">
        <f ca="1">IFERROR(IF(AND('INformazioni per calcoli'!$AB$3&lt;(--"14:30"),'INformazioni per calcoli'!$AB$3&gt;(--"10:00")),"",IF($B377="","",IF($X377&lt;&gt;"","Mezzo Chiuso",IF($W377="","Non al Carico",IF($G377-'INformazioni per calcoli'!$AB$5-'INformazioni per calcoli'!$AB$3+$J377&lt;0,"LFLS",IF($K377&lt;&gt;"","Safe Parking",IF($W377&lt;&gt;"",IF($E377="MXP",$G377-'INformazioni per calcoli'!$AB$6-'INformazioni per calcoli'!$AB$3+$J377,$G377-'INformazioni per calcoli'!$AB$5-'INformazioni per calcoli'!$AB$3+$J377),"Non al carico"))))))),"")</f>
        <v>0.14273148148148146</v>
      </c>
      <c r="I377" s="17">
        <f ca="1">IFERROR(IF($H377&lt;&gt;"",IF($H377="Safe Parking","",IF($W377&lt;&gt;"",IF(AND($U377="X",$V377="X"),$H377-(--"00:30"),""),IF($X377&lt;&gt;"","Mezzo Chiuso","Non al carico"))),""),"")</f>
        <v>0.12189814814814813</v>
      </c>
      <c r="J377" s="306">
        <f ca="1">IFERROR(IF($B377&lt;&gt;"",IF(AND('INformazioni per calcoli'!$AB$3&lt;(--"15:00"),'INformazioni per calcoli'!$AB$3&gt;(--"00:00")),0,IF($G377&lt;(--"18:30"),"+1",0)),""),"")</f>
        <v>0</v>
      </c>
      <c r="K377" s="17"/>
      <c r="L377" s="25" t="s">
        <v>430</v>
      </c>
      <c r="M377" s="25" t="str">
        <f>IFERROR(_xlfn.XLOOKUP($Q377,'Elenco Casse'!$D:$D,'Elenco Casse'!$E:$E),"")</f>
        <v>Trans Speedy S.R.L</v>
      </c>
      <c r="N377" s="25">
        <f>IFERROR(_xlfn.XLOOKUP($Q377,'Elenco Casse'!$D:$D,'Elenco Casse'!$F:$F),"")</f>
        <v>0</v>
      </c>
      <c r="O377" s="286" t="s">
        <v>418</v>
      </c>
      <c r="P377" s="295" t="str">
        <f>IFERROR(_xlfn.XLOOKUP($Q377,'Elenco Casse'!$D:$D,'Elenco Casse'!$G:$G),"")</f>
        <v>trailer 80 m3 2/3 axles</v>
      </c>
      <c r="Q377" s="355" t="s">
        <v>1232</v>
      </c>
      <c r="R377" s="23" t="s">
        <v>420</v>
      </c>
      <c r="S377" s="25" t="s">
        <v>421</v>
      </c>
      <c r="T377" s="25" t="s">
        <v>432</v>
      </c>
      <c r="U377" s="23" t="str">
        <f>IF(ISNUMBER(SEARCH("Parcel",$T377)),"X","")</f>
        <v>X</v>
      </c>
      <c r="V377" s="23" t="s">
        <v>61</v>
      </c>
      <c r="W377" s="26">
        <v>404</v>
      </c>
      <c r="X377" s="27"/>
      <c r="Y377" s="25"/>
      <c r="Z377" s="25"/>
      <c r="AA377" s="25" t="s">
        <v>40</v>
      </c>
      <c r="AB377" s="57"/>
      <c r="AC377" s="25"/>
      <c r="AD377" s="25" t="s">
        <v>487</v>
      </c>
      <c r="AE377" s="57"/>
      <c r="AF377" s="57"/>
      <c r="AG377" s="25"/>
      <c r="AH377" s="57"/>
      <c r="AI377" s="339"/>
      <c r="AJ377" s="339"/>
      <c r="AK377" s="297" t="str">
        <f>IF(X377&lt;&gt;"",CONCATENATE(IF(AA377&lt;&gt;"",CONCATENATE(Z377," ",AA377," ",BI377),""),IF(AD377&lt;&gt;"",CONCATENATE(","," ",AC377," ",AD377," ",BJ377),""),IF(AG377&lt;&gt;"",CONCATENATE(","," ",AF377," ",AG377," ",BK377),""),IF(AJ377&lt;&gt;"",CONCATENATE(","," ","DD"," ",BL377),"")," ",IF(AI377&lt;&gt;"",CONCATENATE(" - ",AI377," Bag"),"")),"")</f>
        <v/>
      </c>
      <c r="AL377" s="287"/>
      <c r="AM377" s="287"/>
      <c r="AN377" s="287"/>
      <c r="AO377" s="287"/>
      <c r="AP377" s="370" t="str">
        <f>IFERROR(VLOOKUP($E374,Outlist!$A$5:$V$120,20,FALSE),"")</f>
        <v/>
      </c>
      <c r="AQ377" s="288" t="str">
        <f>IFERROR(IF(VLOOKUP($A377,#REF!,8,FALSE)&lt;&gt;"",VLOOKUP($A377,#REF!,8,FALSE),""),"")</f>
        <v/>
      </c>
      <c r="AS377" s="24"/>
      <c r="AT377" s="24">
        <v>0.10277777777777777</v>
      </c>
      <c r="AU377" s="27"/>
      <c r="AV377" s="27"/>
      <c r="AX377" s="20" t="str">
        <f>IFERROR(IF(Out_Table[[#This Row],[Cancellazione linea]]="Cancellata","yes",""),"")</f>
        <v/>
      </c>
      <c r="AY377" s="72" t="str">
        <f>IF(BA377="",BZ377,IF(AND(BA377&lt;(--"23:59:59"),BA377&gt;(--"15:00:00"),G377&lt;(--"14:00:00"),G377&gt;(--"00:00:01")),"",IF(BA377&gt;G377,BZ377,"")))</f>
        <v/>
      </c>
      <c r="AZ377" s="27"/>
      <c r="BA377" s="32"/>
      <c r="BB377" s="72"/>
      <c r="BC377" s="72" t="str">
        <f>IFERROR(VLOOKUP(Out_Table[[#This Row],[Aggiornamento STATUS]],'INformazioni per calcoli'!$Y$70:$AA$76,2,FALSE),"")</f>
        <v/>
      </c>
      <c r="BD377" s="289"/>
      <c r="BE377" s="289"/>
      <c r="BF377" s="47" t="str">
        <f>LEFT($E377,3)</f>
        <v>TO1</v>
      </c>
      <c r="BG377" s="298" t="str">
        <f>IF(Out_Table[[#This Row],[Ora Uscita    (GH)]]&lt;&gt;"","x","")</f>
        <v/>
      </c>
      <c r="BH377" s="299">
        <f>VLOOKUP($O377,'INformazioni per calcoli'!$Y$20:$AA$23,3,FALSE)</f>
        <v>14</v>
      </c>
      <c r="BI377" s="299">
        <f>MROUND(Out_Table[[#This Row],[Mtr. Trailer]]*AB377,0.5)</f>
        <v>0</v>
      </c>
      <c r="BJ377" s="299">
        <f>MROUND(Out_Table[[#This Row],[Mtr. Trailer]]*AE377,0.5)</f>
        <v>0</v>
      </c>
      <c r="BK377" s="299">
        <f>MROUND(Out_Table[[#This Row],[Mtr. Trailer]]*AH377,0.5)</f>
        <v>0</v>
      </c>
      <c r="BL377" s="300">
        <f>Out_Table[[#This Row],[Double Deck trailer N° bumpers]]</f>
        <v>0</v>
      </c>
      <c r="BM377" s="301"/>
      <c r="BN377" s="299" t="str">
        <f>B377</f>
        <v>ITD12365</v>
      </c>
      <c r="BO377" s="299" t="str">
        <f>E377</f>
        <v>TO1</v>
      </c>
      <c r="BP377" s="302">
        <f>IF(AND(G377&gt;(--"00:00:01"),G377&lt;(--"15:00:00")),IF(AND(X377&gt;(--"00:00:01"),X377&lt;(--"15:00:00")),G377-X377,G377+1-X377),G377-X377)</f>
        <v>1.3020833333333333</v>
      </c>
      <c r="BQ377" s="303">
        <f>AE377+AF377+AH377+AJ377</f>
        <v>0</v>
      </c>
      <c r="BR377" s="304" t="str">
        <f>IF(OR(BP377&lt;=(--"00:20:00"),BQ377&gt;=100%),"OK","Not OK")</f>
        <v>Not OK</v>
      </c>
      <c r="BS377" s="302">
        <f>IF(AND(G377&gt;(--"00:00:01"),G377&lt;(--"15:00:00")),IF(AND(AU377&gt;(--"00:00:01"),AU377&lt;(--"15:00:00")),G377-AU377,G377+1-AU377),G377-AU377)</f>
        <v>1.3020833333333333</v>
      </c>
      <c r="BT377" s="302">
        <f>IF(AND(AZ377&gt;(--"00:00:01"),AZ377&lt;(--"15:00:00")),IF(AND(AU377&gt;(--"00:00:01"),AU377&lt;(--"15:00:00")),AZ377-AU377,AZ377+1-AU377),AZ377-AU377)</f>
        <v>0</v>
      </c>
      <c r="BU377" s="302">
        <f>IF(AND(BA377&gt;(--"00:00:01"),BA377&lt;(--"15:00:00")),IF(AND(AZ377&gt;(--"00:00:01"),AZ377&lt;(--"15:00:00")),BA377-AZ377,BA377+1-AZ377),BA377-AZ377)</f>
        <v>0</v>
      </c>
      <c r="BV377" s="299">
        <f>AV377</f>
        <v>0</v>
      </c>
      <c r="BW377" s="301"/>
      <c r="BX377" s="299" t="str">
        <f>IF(AV377="T Status",IF(AV377&lt;&gt;T377,"X",""),"")</f>
        <v/>
      </c>
      <c r="BY377" s="301"/>
      <c r="BZ377" s="299" t="str">
        <f>IF(X377&lt;&gt;"",IF(CC377="X","Driver Delay",IF(CA377="X","Paperwork Delay",IF(CB377="X","Late freight late sort",IF(CD377="X","Chiamare Control Room",IF(CE377="X","Chiamare Control Room",IF(CF377="X","Chiamare Control Room","")))))),"")</f>
        <v/>
      </c>
      <c r="CA377" s="302" t="str">
        <f>IF(K377="",IF(IF(AND(G377&gt;(--"00:00:01"),G377&lt;(--"15:00:00")),IF(AND(AT377&gt;(--"08:00:00"),AT377&lt;(--"23:59:59")),G377+1-AT377,G377-AT377),G377-AT377)&gt;(--"00:20:00"),"","X"),"")</f>
        <v/>
      </c>
      <c r="CB377" s="299" t="str">
        <f>IF(K377="",IF(BP377&gt;=(--"00:20:00"),"","X"),"")</f>
        <v/>
      </c>
      <c r="CC377" s="299" t="str">
        <f>IF(OR(AV377="Autista non presente",AV377="Dati driver non presenti"),"X","")</f>
        <v/>
      </c>
      <c r="CD377" s="299" t="str">
        <f>IF(K377="",IF(AND(CC377="",BS377&lt;(--"00:20:00")),"X",""),"")</f>
        <v/>
      </c>
      <c r="CE377" s="299" t="str">
        <f>IF(K377="",IF(BT377&gt;(--"00:15:00"),"X",""),IF(AZ377&lt;&gt;"",IF(G377-AZ377&gt;(--"00:30:00"),"X",""),""))</f>
        <v/>
      </c>
      <c r="CF377" s="299" t="str">
        <f>IF(AND(CA377="",CB377="",CC377="",CD377="",CE377=""),"X","")</f>
        <v>X</v>
      </c>
      <c r="CG377" s="301"/>
      <c r="CH377" s="299" t="str">
        <f>IF(BT377&gt;(--"00:15:00"),"X","")</f>
        <v/>
      </c>
      <c r="CI377" s="302" t="str">
        <f>AY377</f>
        <v/>
      </c>
      <c r="CJ377" s="299" t="str">
        <f>IF(AND(CH377&lt;&gt;"",CI377&lt;&gt;"",LEFT(B377,3)="ITD"),AP377,"")</f>
        <v/>
      </c>
      <c r="CK377" s="305" t="str">
        <f>IF(CJ377&lt;&gt;"",BT377,"")</f>
        <v/>
      </c>
      <c r="CL377" s="301"/>
      <c r="CM377" s="305" t="str">
        <f>IFERROR(VLOOKUP(Q377,'Elenco Casse'!$D$4:$F$292,3,FALSE),"")</f>
        <v/>
      </c>
      <c r="CN377" s="301"/>
      <c r="CO377" s="305" t="str">
        <f>IFERROR(VLOOKUP(S377,'Elenco Casse'!$D$4:$F$292,3,FALSE),"")</f>
        <v/>
      </c>
      <c r="CP377" s="305" t="str">
        <f>IFERROR(IF(VLOOKUP($E377,Outlist!$A$5:$S$120,19,FALSE)&lt;&gt;0,"Y",""),"")</f>
        <v/>
      </c>
      <c r="CQ377" s="301"/>
      <c r="CR377" s="305" t="str">
        <f>CONCATENATE($B377,$E377,$G377)</f>
        <v>ITD12365TO10.302083333333333</v>
      </c>
      <c r="CS377" s="301"/>
      <c r="CT377" s="305" t="e">
        <f>VLOOKUP(Out_Table[[#This Row],[Destination             ORANGE (From Planning)]],Outlist!$A$5:$W$120,22,FALSE)</f>
        <v>#N/A</v>
      </c>
    </row>
    <row r="378" spans="1:98" s="20" customFormat="1" ht="30.75">
      <c r="A378" s="305" t="str">
        <f>$CR378</f>
        <v>ITD12006MM10.486111111111111</v>
      </c>
      <c r="B378" s="284" t="s">
        <v>1233</v>
      </c>
      <c r="C378" s="290" t="str">
        <f>IFERROR(IF(LEFT(B378,3)='STAT 77'!$X$2,_xlfn.XLOOKUP(B378,'STAT 77'!C:C,'STAT 77'!B:B),_xlfn.XLOOKUP(B378,'STAT 77'!B:B,'STAT 77'!C:C)),"NON TROVATO")</f>
        <v>ITD32698</v>
      </c>
      <c r="D378" s="25" t="s">
        <v>1234</v>
      </c>
      <c r="E378" s="290" t="s">
        <v>456</v>
      </c>
      <c r="F378" s="290" t="str">
        <f>IFERROR(VLOOKUP(E378,'Cambio O2P'!C:E,2,FALSE),"")</f>
        <v>QRGA</v>
      </c>
      <c r="G378" s="285">
        <v>0.4861111111111111</v>
      </c>
      <c r="H378" s="293" t="str">
        <f ca="1">IFERROR(IF(AND('INformazioni per calcoli'!$AB$3&lt;(--"14:30"),'INformazioni per calcoli'!$AB$3&gt;(--"10:00")),"",IF($B378="","",IF($X378&lt;&gt;"","Mezzo Chiuso",IF($W378="","Non al Carico",IF($G378-'INformazioni per calcoli'!$AB$5-'INformazioni per calcoli'!$AB$3+$J378&lt;0,"LFLS",IF($K378&lt;&gt;"","Safe Parking",IF($W378&lt;&gt;"",IF($E378="MXP",$G378-'INformazioni per calcoli'!$AB$6-'INformazioni per calcoli'!$AB$3+$J378,$G378-'INformazioni per calcoli'!$AB$5-'INformazioni per calcoli'!$AB$3+$J378),"Non al carico"))))))),"")</f>
        <v>Non al Carico</v>
      </c>
      <c r="I378" s="17" t="str">
        <f ca="1">IFERROR(IF($H378&lt;&gt;"",IF($H378="Safe Parking","",IF($W378&lt;&gt;"",IF(AND($U378="X",$V378="X"),$H378-(--"00:30"),""),IF($X378&lt;&gt;"","Mezzo Chiuso","Non al carico"))),""),"")</f>
        <v>Non al carico</v>
      </c>
      <c r="J378" s="306">
        <f ca="1">IFERROR(IF($B378&lt;&gt;"",IF(AND('INformazioni per calcoli'!$AB$3&lt;(--"15:00"),'INformazioni per calcoli'!$AB$3&gt;(--"00:00")),0,IF($G378&lt;(--"18:30"),"+1",0)),""),"")</f>
        <v>0</v>
      </c>
      <c r="K378" s="17"/>
      <c r="L378" s="25" t="s">
        <v>812</v>
      </c>
      <c r="M378" s="25" t="str">
        <f>IFERROR(_xlfn.XLOOKUP($Q378,'Elenco Casse'!$D:$D,'Elenco Casse'!$E:$E),"")</f>
        <v/>
      </c>
      <c r="N378" s="25" t="str">
        <f>IFERROR(_xlfn.XLOOKUP($Q378,'Elenco Casse'!$D:$D,'Elenco Casse'!$F:$F),"")</f>
        <v/>
      </c>
      <c r="O378" s="286" t="s">
        <v>418</v>
      </c>
      <c r="P378" s="295" t="str">
        <f>IFERROR(_xlfn.XLOOKUP($Q378,'Elenco Casse'!$D:$D,'Elenco Casse'!$G:$G),"")</f>
        <v/>
      </c>
      <c r="Q378" s="355"/>
      <c r="R378" s="23"/>
      <c r="S378" s="25" t="s">
        <v>421</v>
      </c>
      <c r="T378" s="25" t="s">
        <v>1210</v>
      </c>
      <c r="U378" s="23" t="str">
        <f>IF(ISNUMBER(SEARCH("Parcel",$T378)),"X","")</f>
        <v/>
      </c>
      <c r="V378" s="23" t="str">
        <f>IF(ISNUMBER(SEARCH("Freight",$T378)),"X","")</f>
        <v/>
      </c>
      <c r="W378" s="26"/>
      <c r="X378" s="27"/>
      <c r="Y378" s="25" t="s">
        <v>624</v>
      </c>
      <c r="Z378" s="25"/>
      <c r="AA378" s="25"/>
      <c r="AB378" s="57"/>
      <c r="AC378" s="25"/>
      <c r="AD378" s="25"/>
      <c r="AE378" s="57"/>
      <c r="AF378" s="57"/>
      <c r="AG378" s="25"/>
      <c r="AH378" s="57"/>
      <c r="AI378" s="339"/>
      <c r="AJ378" s="339"/>
      <c r="AK378" s="297" t="str">
        <f>IF(X378&lt;&gt;"",CONCATENATE(IF(AA378&lt;&gt;"",CONCATENATE(Z378," ",AA378," ",BI378),""),IF(AD378&lt;&gt;"",CONCATENATE(","," ",AC378," ",AD378," ",BJ378),""),IF(AG378&lt;&gt;"",CONCATENATE(","," ",AF378," ",AG378," ",BK378),""),IF(AJ378&lt;&gt;"",CONCATENATE(","," ","DD"," ",BL378),"")," ",IF(AI378&lt;&gt;"",CONCATENATE(" - ",AI378," Bag"),"")),"")</f>
        <v/>
      </c>
      <c r="AL378" s="287"/>
      <c r="AM378" s="287"/>
      <c r="AN378" s="287"/>
      <c r="AO378" s="287"/>
      <c r="AP378" s="370" t="str">
        <f>IFERROR(VLOOKUP($E260,Outlist!$A$5:$V$120,20,FALSE),"")</f>
        <v/>
      </c>
      <c r="AQ378" s="288" t="str">
        <f>IFERROR(IF(VLOOKUP($A378,#REF!,8,FALSE)&lt;&gt;"",VLOOKUP($A378,#REF!,8,FALSE),""),"")</f>
        <v/>
      </c>
      <c r="AS378" s="24"/>
      <c r="AT378" s="24"/>
      <c r="AU378" s="27"/>
      <c r="AV378" s="27"/>
      <c r="AX378" s="20" t="str">
        <f>IFERROR(IF(Out_Table[[#This Row],[Cancellazione linea]]="Cancellata","yes",""),"")</f>
        <v/>
      </c>
      <c r="AY378" s="72" t="str">
        <f>IF(BA378="",BZ378,IF(AND(BA378&lt;(--"23:59:59"),BA378&gt;(--"15:00:00"),G378&lt;(--"14:00:00"),G378&gt;(--"00:00:01")),"",IF(BA378&gt;G378,BZ378,"")))</f>
        <v/>
      </c>
      <c r="AZ378" s="27"/>
      <c r="BA378" s="32"/>
      <c r="BB378" s="72"/>
      <c r="BC378" s="72" t="str">
        <f>IFERROR(VLOOKUP(Out_Table[[#This Row],[Aggiornamento STATUS]],'INformazioni per calcoli'!$Y$70:$AA$76,2,FALSE),"")</f>
        <v/>
      </c>
      <c r="BD378" s="289"/>
      <c r="BE378" s="289"/>
      <c r="BF378" s="47" t="str">
        <f>LEFT($E378,3)</f>
        <v>MM1</v>
      </c>
      <c r="BG378" s="298" t="str">
        <f>IF(Out_Table[[#This Row],[Ora Uscita    (GH)]]&lt;&gt;"","x","")</f>
        <v/>
      </c>
      <c r="BH378" s="299">
        <f>VLOOKUP($O378,'INformazioni per calcoli'!$Y$20:$AA$23,3,FALSE)</f>
        <v>14</v>
      </c>
      <c r="BI378" s="299">
        <f>MROUND(Out_Table[[#This Row],[Mtr. Trailer]]*AB378,0.5)</f>
        <v>0</v>
      </c>
      <c r="BJ378" s="299">
        <f>MROUND(Out_Table[[#This Row],[Mtr. Trailer]]*AE378,0.5)</f>
        <v>0</v>
      </c>
      <c r="BK378" s="299">
        <f>MROUND(Out_Table[[#This Row],[Mtr. Trailer]]*AH378,0.5)</f>
        <v>0</v>
      </c>
      <c r="BL378" s="300">
        <f>Out_Table[[#This Row],[Double Deck trailer N° bumpers]]</f>
        <v>0</v>
      </c>
      <c r="BM378" s="301"/>
      <c r="BN378" s="299" t="str">
        <f>B378</f>
        <v>ITD12006</v>
      </c>
      <c r="BO378" s="299" t="str">
        <f>E378</f>
        <v>MM1</v>
      </c>
      <c r="BP378" s="302">
        <f>IF(AND(G378&gt;(--"00:00:01"),G378&lt;(--"15:00:00")),IF(AND(X378&gt;(--"00:00:01"),X378&lt;(--"15:00:00")),G378-X378,G378+1-X378),G378-X378)</f>
        <v>1.4861111111111112</v>
      </c>
      <c r="BQ378" s="303">
        <f>AE378+AF378+AH378+AJ378</f>
        <v>0</v>
      </c>
      <c r="BR378" s="304" t="str">
        <f>IF(OR(BP378&lt;=(--"00:20:00"),BQ378&gt;=100%),"OK","Not OK")</f>
        <v>Not OK</v>
      </c>
      <c r="BS378" s="302">
        <f>IF(AND(G378&gt;(--"00:00:01"),G378&lt;(--"15:00:00")),IF(AND(AU378&gt;(--"00:00:01"),AU378&lt;(--"15:00:00")),G378-AU378,G378+1-AU378),G378-AU378)</f>
        <v>1.4861111111111112</v>
      </c>
      <c r="BT378" s="302">
        <f>IF(AND(AZ378&gt;(--"00:00:01"),AZ378&lt;(--"15:00:00")),IF(AND(AU378&gt;(--"00:00:01"),AU378&lt;(--"15:00:00")),AZ378-AU378,AZ378+1-AU378),AZ378-AU378)</f>
        <v>0</v>
      </c>
      <c r="BU378" s="302">
        <f>IF(AND(BA378&gt;(--"00:00:01"),BA378&lt;(--"15:00:00")),IF(AND(AZ378&gt;(--"00:00:01"),AZ378&lt;(--"15:00:00")),BA378-AZ378,BA378+1-AZ378),BA378-AZ378)</f>
        <v>0</v>
      </c>
      <c r="BV378" s="299">
        <f>AV378</f>
        <v>0</v>
      </c>
      <c r="BW378" s="301"/>
      <c r="BX378" s="299" t="str">
        <f>IF(AV378="T Status",IF(AV378&lt;&gt;T378,"X",""),"")</f>
        <v/>
      </c>
      <c r="BY378" s="301"/>
      <c r="BZ378" s="299" t="str">
        <f>IF(X378&lt;&gt;"",IF(CC378="X","Driver Delay",IF(CA378="X","Paperwork Delay",IF(CB378="X","Late freight late sort",IF(CD378="X","Chiamare Control Room",IF(CE378="X","Chiamare Control Room",IF(CF378="X","Chiamare Control Room","")))))),"")</f>
        <v/>
      </c>
      <c r="CA378" s="302" t="str">
        <f>IF(K378="",IF(IF(AND(G378&gt;(--"00:00:01"),G378&lt;(--"15:00:00")),IF(AND(AT378&gt;(--"08:00:00"),AT378&lt;(--"23:59:59")),G378+1-AT378,G378-AT378),G378-AT378)&gt;(--"00:20:00"),"","X"),"")</f>
        <v/>
      </c>
      <c r="CB378" s="299" t="str">
        <f>IF(K378="",IF(BP378&gt;=(--"00:20:00"),"","X"),"")</f>
        <v/>
      </c>
      <c r="CC378" s="299" t="str">
        <f>IF(OR(AV378="Autista non presente",AV378="Dati driver non presenti"),"X","")</f>
        <v/>
      </c>
      <c r="CD378" s="299" t="str">
        <f>IF(K378="",IF(AND(CC378="",BS378&lt;(--"00:20:00")),"X",""),"")</f>
        <v/>
      </c>
      <c r="CE378" s="299" t="str">
        <f>IF(K378="",IF(BT378&gt;(--"00:15:00"),"X",""),IF(AZ378&lt;&gt;"",IF(G378-AZ378&gt;(--"00:30:00"),"X",""),""))</f>
        <v/>
      </c>
      <c r="CF378" s="299" t="str">
        <f>IF(AND(CA378="",CB378="",CC378="",CD378="",CE378=""),"X","")</f>
        <v>X</v>
      </c>
      <c r="CG378" s="301"/>
      <c r="CH378" s="299" t="str">
        <f>IF(BT378&gt;(--"00:15:00"),"X","")</f>
        <v/>
      </c>
      <c r="CI378" s="302" t="str">
        <f>AY378</f>
        <v/>
      </c>
      <c r="CJ378" s="299" t="str">
        <f>IF(AND(CH378&lt;&gt;"",CI378&lt;&gt;"",LEFT(B378,3)="ITD"),AP378,"")</f>
        <v/>
      </c>
      <c r="CK378" s="305" t="str">
        <f>IF(CJ378&lt;&gt;"",BT378,"")</f>
        <v/>
      </c>
      <c r="CL378" s="301"/>
      <c r="CM378" s="305" t="str">
        <f>IFERROR(VLOOKUP(Q378,'Elenco Casse'!$D$4:$F$292,3,FALSE),"")</f>
        <v/>
      </c>
      <c r="CN378" s="301"/>
      <c r="CO378" s="305" t="str">
        <f>IFERROR(VLOOKUP(S378,'Elenco Casse'!$D$4:$F$292,3,FALSE),"")</f>
        <v/>
      </c>
      <c r="CP378" s="305" t="str">
        <f>IFERROR(IF(VLOOKUP($E378,Outlist!$A$5:$S$120,19,FALSE)&lt;&gt;0,"Y",""),"")</f>
        <v/>
      </c>
      <c r="CQ378" s="301"/>
      <c r="CR378" s="305" t="str">
        <f>CONCATENATE($B378,$E378,$G378)</f>
        <v>ITD12006MM10.486111111111111</v>
      </c>
      <c r="CS378" s="301"/>
      <c r="CT378" s="305" t="e">
        <f>VLOOKUP(Out_Table[[#This Row],[Destination             ORANGE (From Planning)]],Outlist!$A$5:$W$120,22,FALSE)</f>
        <v>#N/A</v>
      </c>
    </row>
    <row r="379" spans="1:98" s="20" customFormat="1" ht="30.75">
      <c r="A379" s="305" t="str">
        <f>$CR379</f>
        <v>ITD12257ZRO0.9375</v>
      </c>
      <c r="B379" s="284" t="s">
        <v>1235</v>
      </c>
      <c r="C379" s="290" t="str">
        <f>IFERROR(IF(LEFT(B379,3)='STAT 77'!$X$2,_xlfn.XLOOKUP(B379,'STAT 77'!C:C,'STAT 77'!B:B),_xlfn.XLOOKUP(B379,'STAT 77'!B:B,'STAT 77'!C:C)),"NON TROVATO")</f>
        <v>ITD31219</v>
      </c>
      <c r="D379" s="25" t="s">
        <v>1236</v>
      </c>
      <c r="E379" s="290" t="s">
        <v>1237</v>
      </c>
      <c r="F379" s="290" t="str">
        <f>IFERROR(VLOOKUP(E379,'Cambio O2P'!C:E,2,FALSE),"")</f>
        <v/>
      </c>
      <c r="G379" s="285">
        <v>0.9375</v>
      </c>
      <c r="H379" s="293" t="str">
        <f ca="1">IFERROR(IF(AND('INformazioni per calcoli'!$AB$3&lt;(--"14:30"),'INformazioni per calcoli'!$AB$3&gt;(--"10:00")),"",IF($B379="","",IF($X379&lt;&gt;"","Mezzo Chiuso",IF($W379="","Non al Carico",IF($G379-'INformazioni per calcoli'!$AB$5-'INformazioni per calcoli'!$AB$3+$J379&lt;0,"LFLS",IF($K379&lt;&gt;"","Safe Parking",IF($W379&lt;&gt;"",IF($E379="MXP",$G379-'INformazioni per calcoli'!$AB$6-'INformazioni per calcoli'!$AB$3+$J379,$G379-'INformazioni per calcoli'!$AB$5-'INformazioni per calcoli'!$AB$3+$J379),"Non al carico"))))))),"")</f>
        <v>Non al Carico</v>
      </c>
      <c r="I379" s="17" t="str">
        <f ca="1">IFERROR(IF($H379&lt;&gt;"",IF($H379="Safe Parking","",IF($W379&lt;&gt;"",IF(AND($U379="X",$V379="X"),$H379-(--"00:30"),""),IF($X379&lt;&gt;"","Mezzo Chiuso","Non al carico"))),""),"")</f>
        <v>Non al carico</v>
      </c>
      <c r="J379" s="306">
        <f ca="1">IFERROR(IF($B379&lt;&gt;"",IF(AND('INformazioni per calcoli'!$AB$3&lt;(--"15:00"),'INformazioni per calcoli'!$AB$3&gt;(--"00:00")),0,IF($G379&lt;(--"18:30"),"+1",0)),""),"")</f>
        <v>0</v>
      </c>
      <c r="K379" s="27"/>
      <c r="L379" s="25" t="s">
        <v>436</v>
      </c>
      <c r="M379" s="25" t="str">
        <f>IFERROR(_xlfn.XLOOKUP($Q379,'Elenco Casse'!$D:$D,'Elenco Casse'!$E:$E),"")</f>
        <v>Cornali Autotrasporti Srl</v>
      </c>
      <c r="N379" s="25" t="str">
        <f>IFERROR(_xlfn.XLOOKUP($Q379,'Elenco Casse'!$D:$D,'Elenco Casse'!$F:$F),"")</f>
        <v>OK INTERNAZIONALE</v>
      </c>
      <c r="O379" s="286" t="s">
        <v>418</v>
      </c>
      <c r="P379" s="295" t="str">
        <f>IFERROR(_xlfn.XLOOKUP($Q379,'Elenco Casse'!$D:$D,'Elenco Casse'!$G:$G),"")</f>
        <v>trailer 80 m3 2/3 axles</v>
      </c>
      <c r="Q379" s="355" t="s">
        <v>1238</v>
      </c>
      <c r="R379" s="23" t="s">
        <v>420</v>
      </c>
      <c r="S379" s="25" t="s">
        <v>421</v>
      </c>
      <c r="T379" s="25" t="s">
        <v>1210</v>
      </c>
      <c r="U379" s="23" t="str">
        <f>IF(ISNUMBER(SEARCH("Parcel",$T379)),"X","")</f>
        <v/>
      </c>
      <c r="V379" s="23" t="str">
        <f>IF(ISNUMBER(SEARCH("Freight",$T379)),"X","")</f>
        <v/>
      </c>
      <c r="W379" s="26"/>
      <c r="X379" s="27"/>
      <c r="Y379" s="25" t="s">
        <v>1205</v>
      </c>
      <c r="Z379" s="25"/>
      <c r="AA379" s="25"/>
      <c r="AB379" s="57"/>
      <c r="AC379" s="25"/>
      <c r="AD379" s="25"/>
      <c r="AE379" s="57"/>
      <c r="AF379" s="57"/>
      <c r="AG379" s="25"/>
      <c r="AH379" s="57"/>
      <c r="AI379" s="339"/>
      <c r="AJ379" s="339"/>
      <c r="AK379" s="297" t="s">
        <v>1212</v>
      </c>
      <c r="AL379" s="287" t="s">
        <v>421</v>
      </c>
      <c r="AM379" s="287"/>
      <c r="AN379" s="287"/>
      <c r="AO379" s="287"/>
      <c r="AP379" s="370" t="str">
        <f>IFERROR(VLOOKUP($E376,Outlist!$A$5:$V$120,20,FALSE),"")</f>
        <v/>
      </c>
      <c r="AQ379" s="288" t="s">
        <v>1206</v>
      </c>
      <c r="AS379" s="24"/>
      <c r="AT379" s="24">
        <v>0.90138888888888891</v>
      </c>
      <c r="AU379" s="27">
        <v>0.90138888888888891</v>
      </c>
      <c r="AV379" s="27"/>
      <c r="AW379" s="20" t="s">
        <v>1239</v>
      </c>
      <c r="AX379" s="20" t="str">
        <f>IFERROR(IF(Out_Table[[#This Row],[Cancellazione linea]]="Cancellata","yes",""),"")</f>
        <v/>
      </c>
      <c r="AY379" s="72" t="str">
        <f>IF(BA379="",BZ379,IF(AND(BA379&lt;(--"23:59:59"),BA379&gt;(--"15:00:00"),G379&lt;(--"14:00:00"),G379&gt;(--"00:00:01")),"",IF(BA379&gt;G379,BZ379,"")))</f>
        <v/>
      </c>
      <c r="AZ379" s="27">
        <v>0.90833333333333333</v>
      </c>
      <c r="BA379" s="32">
        <v>0.92152777777777772</v>
      </c>
      <c r="BB379" s="72"/>
      <c r="BC379" s="72" t="str">
        <f>IFERROR(VLOOKUP(Out_Table[[#This Row],[Aggiornamento STATUS]],'INformazioni per calcoli'!$Y$70:$AA$76,2,FALSE),"")</f>
        <v/>
      </c>
      <c r="BD379" s="289"/>
      <c r="BE379" s="289"/>
      <c r="BF379" s="47" t="str">
        <f>LEFT($E379,3)</f>
        <v>ZRO</v>
      </c>
      <c r="BG379" s="298" t="str">
        <f>IF(Out_Table[[#This Row],[Ora Uscita    (GH)]]&lt;&gt;"","x","")</f>
        <v>x</v>
      </c>
      <c r="BH379" s="299">
        <f>VLOOKUP($O379,'INformazioni per calcoli'!$Y$20:$AA$23,3,FALSE)</f>
        <v>14</v>
      </c>
      <c r="BI379" s="299">
        <f>MROUND(Out_Table[[#This Row],[Mtr. Trailer]]*AB379,0.5)</f>
        <v>0</v>
      </c>
      <c r="BJ379" s="299">
        <f>MROUND(Out_Table[[#This Row],[Mtr. Trailer]]*AE379,0.5)</f>
        <v>0</v>
      </c>
      <c r="BK379" s="299">
        <f>MROUND(Out_Table[[#This Row],[Mtr. Trailer]]*AH379,0.5)</f>
        <v>0</v>
      </c>
      <c r="BL379" s="300">
        <f>Out_Table[[#This Row],[Double Deck trailer N° bumpers]]</f>
        <v>0</v>
      </c>
      <c r="BM379" s="301"/>
      <c r="BN379" s="299" t="str">
        <f>B379</f>
        <v>ITD12257</v>
      </c>
      <c r="BO379" s="299" t="str">
        <f>E379</f>
        <v>ZRO</v>
      </c>
      <c r="BP379" s="302">
        <f>IF(AND(G379&gt;(--"00:00:01"),G379&lt;(--"15:00:00")),IF(AND(X379&gt;(--"00:00:01"),X379&lt;(--"15:00:00")),G379-X379,G379+1-X379),G379-X379)</f>
        <v>0.9375</v>
      </c>
      <c r="BQ379" s="303">
        <f>AE379+AF379+AH379+AJ379</f>
        <v>0</v>
      </c>
      <c r="BR379" s="304" t="str">
        <f>IF(OR(BP379&lt;=(--"00:20:00"),BQ379&gt;=100%),"OK","Not OK")</f>
        <v>Not OK</v>
      </c>
      <c r="BS379" s="302">
        <f>IF(AND(G379&gt;(--"00:00:01"),G379&lt;(--"15:00:00")),IF(AND(AU379&gt;(--"00:00:01"),AU379&lt;(--"15:00:00")),G379-AU379,G379+1-AU379),G379-AU379)</f>
        <v>3.6111111111111094E-2</v>
      </c>
      <c r="BT379" s="302">
        <f>IF(AND(AZ379&gt;(--"00:00:01"),AZ379&lt;(--"15:00:00")),IF(AND(AU379&gt;(--"00:00:01"),AU379&lt;(--"15:00:00")),AZ379-AU379,AZ379+1-AU379),AZ379-AU379)</f>
        <v>6.9444444444444198E-3</v>
      </c>
      <c r="BU379" s="302">
        <f>IF(AND(BA379&gt;(--"00:00:01"),BA379&lt;(--"15:00:00")),IF(AND(AZ379&gt;(--"00:00:01"),AZ379&lt;(--"15:00:00")),BA379-AZ379,BA379+1-AZ379),BA379-AZ379)</f>
        <v>1.3194444444444398E-2</v>
      </c>
      <c r="BV379" s="299">
        <f>AV379</f>
        <v>0</v>
      </c>
      <c r="BW379" s="301"/>
      <c r="BX379" s="299" t="str">
        <f>IF(AV379="T Status",IF(AV379&lt;&gt;T379,"X",""),"")</f>
        <v/>
      </c>
      <c r="BY379" s="301"/>
      <c r="BZ379" s="299" t="str">
        <f>IF(X379&lt;&gt;"",IF(CC379="X","Driver Delay",IF(CA379="X","Paperwork Delay",IF(CB379="X","Late freight late sort",IF(CD379="X","Chiamare Control Room",IF(CE379="X","Chiamare Control Room",IF(CF379="X","Chiamare Control Room","")))))),"")</f>
        <v/>
      </c>
      <c r="CA379" s="302" t="str">
        <f>IF(K379="",IF(IF(AND(G379&gt;(--"00:00:01"),G379&lt;(--"15:00:00")),IF(AND(AT379&gt;(--"08:00:00"),AT379&lt;(--"23:59:59")),G379+1-AT379,G379-AT379),G379-AT379)&gt;(--"00:20:00"),"","X"),"")</f>
        <v/>
      </c>
      <c r="CB379" s="299" t="str">
        <f>IF(K379="",IF(BP379&gt;=(--"00:20:00"),"","X"),"")</f>
        <v/>
      </c>
      <c r="CC379" s="299" t="str">
        <f>IF(OR(AV379="Autista non presente",AV379="Dati driver non presenti"),"X","")</f>
        <v/>
      </c>
      <c r="CD379" s="299" t="str">
        <f>IF(K379="",IF(AND(CC379="",BS379&lt;(--"00:20:00")),"X",""),"")</f>
        <v/>
      </c>
      <c r="CE379" s="299" t="str">
        <f>IF(K379="",IF(BT379&gt;(--"00:15:00"),"X",""),IF(AZ379&lt;&gt;"",IF(G379-AZ379&gt;(--"00:30:00"),"X",""),""))</f>
        <v/>
      </c>
      <c r="CF379" s="299" t="str">
        <f>IF(AND(CA379="",CB379="",CC379="",CD379="",CE379=""),"X","")</f>
        <v>X</v>
      </c>
      <c r="CG379" s="301"/>
      <c r="CH379" s="299" t="str">
        <f>IF(BT379&gt;(--"00:15:00"),"X","")</f>
        <v/>
      </c>
      <c r="CI379" s="302" t="str">
        <f>AY379</f>
        <v/>
      </c>
      <c r="CJ379" s="299" t="str">
        <f>IF(AND(CH379&lt;&gt;"",CI379&lt;&gt;"",LEFT(B379,3)="ITD"),AP379,"")</f>
        <v/>
      </c>
      <c r="CK379" s="305" t="str">
        <f>IF(CJ379&lt;&gt;"",BT379,"")</f>
        <v/>
      </c>
      <c r="CL379" s="301"/>
      <c r="CM379" s="305" t="str">
        <f>IFERROR(VLOOKUP(Q379,'Elenco Casse'!$D$4:$F$292,3,FALSE),"")</f>
        <v/>
      </c>
      <c r="CN379" s="301"/>
      <c r="CO379" s="305" t="str">
        <f>IFERROR(VLOOKUP(S379,'Elenco Casse'!$D$4:$F$292,3,FALSE),"")</f>
        <v/>
      </c>
      <c r="CP379" s="305" t="str">
        <f>IFERROR(IF(VLOOKUP($E379,Outlist!$A$5:$S$120,19,FALSE)&lt;&gt;0,"Y",""),"")</f>
        <v/>
      </c>
      <c r="CQ379" s="301"/>
      <c r="CR379" s="305" t="str">
        <f>CONCATENATE($B379,$E379,$G379)</f>
        <v>ITD12257ZRO0.9375</v>
      </c>
      <c r="CS379" s="301"/>
      <c r="CT379" s="305" t="e">
        <f>VLOOKUP(Out_Table[[#This Row],[Destination             ORANGE (From Planning)]],Outlist!$A$5:$W$120,22,FALSE)</f>
        <v>#N/A</v>
      </c>
    </row>
    <row r="380" spans="1:98" s="20" customFormat="1" ht="30.75">
      <c r="A380" s="305" t="str">
        <f>$CR380</f>
        <v>ERN92518DNG 60.104166666664241</v>
      </c>
      <c r="B380" s="351" t="str">
        <f>IFERROR(VLOOKUP(E380,Outlist!$A$5:$AC$120,2,FALSE),"")</f>
        <v>ERN92518</v>
      </c>
      <c r="C380" s="352" t="str">
        <f ca="1">IFERROR(IF(LEFT(B380,3)='STAT 77'!$X$2,_xlfn.XLOOKUP(B380,'STAT 77'!C:C,'STAT 77'!B:B),_xlfn.XLOOKUP(B380,'STAT 77'!B:B,'STAT 77'!C:C)),"NON TROVATO")</f>
        <v>NON TROVATO</v>
      </c>
      <c r="D380" s="4"/>
      <c r="E380" s="352" t="str">
        <f>IFERROR(IF(Outlist!$A10&lt;&gt;"",Outlist!$A10,""),"")</f>
        <v>DNG 6</v>
      </c>
      <c r="F380" s="352" t="str">
        <f>IFERROR(VLOOKUP(E380,'Cambio O2P'!C:E,2,FALSE),"")</f>
        <v/>
      </c>
      <c r="G380" s="353">
        <f>IFERROR(VLOOKUP(E380,Outlist!$A$5:$AC$120,5,FALSE)-INT(VLOOKUP(E380,Outlist!$A$5:$AC$120,5,FALSE)),"")</f>
        <v>0.10416666666424135</v>
      </c>
      <c r="H380" s="294" t="str">
        <f ca="1">IFERROR(IF(AND('INformazioni per calcoli'!$AB$3&lt;(--"14:30"),'INformazioni per calcoli'!$AB$3&gt;(--"10:00")),"",IF($B380="","",IF($X380&lt;&gt;"","Mezzo Chiuso",IF($W380="","Non al Carico",IF($K380="Safe Parking","Safe Parking", IF(OR($BF380='INformazioni per calcoli'!$AF$8,$BF380='INformazioni per calcoli'!$AC$8,$BF380='INformazioni per calcoli'!$AD$8,$BF380='INformazioni per calcoli'!$AE$8,$BF380='INformazioni per calcoli'!$AG$8,$BF380='INformazioni per calcoli'!$AH$8,$BF380='INformazioni per calcoli'!$AI$8,$BF380='INformazioni per calcoli'!$AJ$8),IF($G380-'INformazioni per calcoli'!$AB$6-'INformazioni per calcoli'!$AB$3+$J380&lt;0,"LFLS",$G380-'INformazioni per calcoli'!$AB$6-'INformazioni per calcoli'!$AB$3+$J380), IF(OR($BF380='INformazioni per calcoli'!$AF$6,$BF380='INformazioni per calcoli'!$AD$6,$BF380='INformazioni per calcoli'!$AE$6,$BF380='INformazioni per calcoli'!$AG$6),IF($G380-'INformazioni per calcoli'!$AB$8-'INformazioni per calcoli'!$AB$3+$J380&lt;0,"LFLS",$G380-'INformazioni per calcoli'!$AB$8-'INformazioni per calcoli'!$AB$3+$J380), IF($G380-'INformazioni per calcoli'!$AB$7-'INformazioni per calcoli'!$AB$3+$J380&lt;0,"LFLS",$G380-'INformazioni per calcoli'!$AB$7-'INformazioni per calcoli'!$AB$3+$J380)))))))),"")</f>
        <v>Mezzo Chiuso</v>
      </c>
      <c r="I380" s="17" t="str">
        <f ca="1">IFERROR(IF($H380&lt;&gt;"",IF($H380="Safe Parking","",IF($W380&lt;&gt;"",IF(AND($U380="X",$V380="X"),$H380-(--"00:30"),""),IF($X380&lt;&gt;"","Mezzo Chiuso","Non al carico"))),""),"")</f>
        <v>Mezzo Chiuso</v>
      </c>
      <c r="J380" s="306">
        <f ca="1">IFERROR(IF($B380&lt;&gt;"",IF(AND('INformazioni per calcoli'!$AB$3&lt;(--"15:00"),'INformazioni per calcoli'!$AB$3&gt;(--"00:00")),0,IF($G380&lt;(--"18:30"),"+1",0)),""),"")</f>
        <v>0</v>
      </c>
      <c r="K380" s="27">
        <f>IF(E380&lt;&gt;"",IFERROR(VLOOKUP(E380,Outlist!$A$5:$AC$120,22,FALSE),""),"")</f>
        <v>0</v>
      </c>
      <c r="L380" s="352" t="str">
        <f>IF(E380&lt;&gt;"",IFERROR(VLOOKUP(E380,Outlist!$A$5:$AC$120,3,FALSE),""),"")</f>
        <v>MARACANA</v>
      </c>
      <c r="M380" s="4" t="str">
        <f>IFERROR(_xlfn.XLOOKUP($Q380,'Elenco Casse'!$D:$D,'Elenco Casse'!$E:$E),"")</f>
        <v/>
      </c>
      <c r="N380" s="4" t="str">
        <f>IFERROR(_xlfn.XLOOKUP($Q380,'Elenco Casse'!$D:$D,'Elenco Casse'!$F:$F),"")</f>
        <v/>
      </c>
      <c r="O380" s="4" t="str">
        <f>IF($L380&lt;&gt;"","TT-2/3","")</f>
        <v>TT-2/3</v>
      </c>
      <c r="P380" s="296" t="str">
        <f>IFERROR(IF(VLOOKUP(E380,Outlist!$A$5:$AC$120,21,FALSE)="YES","Linea Variata",""),"")</f>
        <v/>
      </c>
      <c r="Q380" s="355" t="s">
        <v>1240</v>
      </c>
      <c r="R380" s="23" t="s">
        <v>420</v>
      </c>
      <c r="S380" s="25" t="str">
        <f>IFERROR(IF(VLOOKUP(E380,Outlist!$A$5:$AC$120,7,FALSE)="X","SUBCO",""),"")</f>
        <v/>
      </c>
      <c r="T380" s="25"/>
      <c r="U380" s="23"/>
      <c r="V380" s="23"/>
      <c r="W380" s="26"/>
      <c r="X380" s="27" t="s">
        <v>1206</v>
      </c>
      <c r="Y380" s="25" t="s">
        <v>1241</v>
      </c>
      <c r="Z380" s="25"/>
      <c r="AA380" s="25"/>
      <c r="AB380" s="57"/>
      <c r="AC380" s="25"/>
      <c r="AD380" s="25"/>
      <c r="AE380" s="57"/>
      <c r="AF380" s="57"/>
      <c r="AG380" s="25"/>
      <c r="AH380" s="57"/>
      <c r="AI380" s="339"/>
      <c r="AJ380" s="339"/>
      <c r="AK380" s="297" t="str">
        <f>IF(X380&lt;&gt;"",CONCATENATE(IF(AA380&lt;&gt;"",CONCATENATE(Z380," ",AA380," ",BI380),""),IF(AD380&lt;&gt;"",CONCATENATE(","," ",AC380," ",AD380," ",BJ380),""),IF(AG380&lt;&gt;"",CONCATENATE(","," ",AF380," ",AG380," ",BK380),""),IF(AJ380&lt;&gt;"",CONCATENATE(","," ","DD"," ",BL380),"")," ",IF(AI380&lt;&gt;"",CONCATENATE(" - ",AI380," Bag"),"")),"")</f>
        <v xml:space="preserve"> </v>
      </c>
      <c r="AL380" s="287" t="s">
        <v>421</v>
      </c>
      <c r="AM380" s="287"/>
      <c r="AN380" s="287"/>
      <c r="AO380" s="287"/>
      <c r="AP380" s="370" t="str">
        <f>IFERROR(VLOOKUP($E380,Outlist!$A$5:$V$120,20,FALSE),"")</f>
        <v>OBBLIGATORIO</v>
      </c>
      <c r="AQ380" s="288" t="s">
        <v>1206</v>
      </c>
      <c r="AR380" s="20" t="s">
        <v>61</v>
      </c>
      <c r="AS380" s="24" t="s">
        <v>61</v>
      </c>
      <c r="AT380" s="24">
        <v>7.0833333333333331E-2</v>
      </c>
      <c r="AU380" s="27"/>
      <c r="AV380" s="27"/>
      <c r="AX380" s="20" t="str">
        <f>IFERROR(IF(Out_Table[[#This Row],[Cancellazione linea]]="Cancellata","yes",""),"")</f>
        <v/>
      </c>
      <c r="AY380" s="72"/>
      <c r="AZ380" s="27"/>
      <c r="BA380" s="32">
        <v>8.5416666666666669E-2</v>
      </c>
      <c r="BB380" s="72"/>
      <c r="BC380" s="72" t="str">
        <f>IFERROR(VLOOKUP(Out_Table[[#This Row],[Aggiornamento STATUS]],'INformazioni per calcoli'!$Y$70:$AA$76,2,FALSE),"")</f>
        <v/>
      </c>
      <c r="BD380" s="289"/>
      <c r="BE380" s="289"/>
      <c r="BF380" s="47" t="str">
        <f>LEFT($E380,3)</f>
        <v>DNG</v>
      </c>
      <c r="BG380" s="298" t="str">
        <f>IF(Out_Table[[#This Row],[Ora Uscita    (GH)]]&lt;&gt;"","x","")</f>
        <v>x</v>
      </c>
      <c r="BH380" s="299">
        <f>VLOOKUP($O380,'INformazioni per calcoli'!$Y$20:$AA$23,3,FALSE)</f>
        <v>14</v>
      </c>
      <c r="BI380" s="299">
        <f>MROUND(Out_Table[[#This Row],[Mtr. Trailer]]*AB380,0.5)</f>
        <v>0</v>
      </c>
      <c r="BJ380" s="299">
        <f>MROUND(Out_Table[[#This Row],[Mtr. Trailer]]*AE380,0.5)</f>
        <v>0</v>
      </c>
      <c r="BK380" s="299">
        <f>MROUND(Out_Table[[#This Row],[Mtr. Trailer]]*AH380,0.5)</f>
        <v>0</v>
      </c>
      <c r="BL380" s="300">
        <f>Out_Table[[#This Row],[Double Deck trailer N° bumpers]]</f>
        <v>0</v>
      </c>
      <c r="BM380" s="301"/>
      <c r="BN380" s="299" t="str">
        <f>B380</f>
        <v>ERN92518</v>
      </c>
      <c r="BO380" s="299" t="str">
        <f>E380</f>
        <v>DNG 6</v>
      </c>
      <c r="BP380" s="302" t="e">
        <f>IF(AND(G380&gt;(--"00:00:01"),G380&lt;(--"15:00:00")),IF(AND(X380&gt;(--"00:00:01"),X380&lt;(--"15:00:00")),G380-X380,G380+1-X380),G380-X380)</f>
        <v>#VALUE!</v>
      </c>
      <c r="BQ380" s="303">
        <f>AE380+AF380+AH380+AJ380</f>
        <v>0</v>
      </c>
      <c r="BR380" s="304" t="e">
        <f>IF(OR(BP380&lt;=(--"00:20:00"),BQ380&gt;=100%),"OK","Not OK")</f>
        <v>#VALUE!</v>
      </c>
      <c r="BS380" s="302">
        <f>IF(AND(G380&gt;(--"00:00:01"),G380&lt;(--"15:00:00")),IF(AND(AU380&gt;(--"00:00:01"),AU380&lt;(--"15:00:00")),G380-AU380,G380+1-AU380),G380-AU380)</f>
        <v>1.1041666666642413</v>
      </c>
      <c r="BT380" s="302">
        <f>IF(AND(AZ380&gt;(--"00:00:01"),AZ380&lt;(--"15:00:00")),IF(AND(AU380&gt;(--"00:00:01"),AU380&lt;(--"15:00:00")),AZ380-AU380,AZ380+1-AU380),AZ380-AU380)</f>
        <v>0</v>
      </c>
      <c r="BU380" s="302">
        <f>IF(AND(BA380&gt;(--"00:00:01"),BA380&lt;(--"15:00:00")),IF(AND(AZ380&gt;(--"00:00:01"),AZ380&lt;(--"15:00:00")),BA380-AZ380,BA380+1-AZ380),BA380-AZ380)</f>
        <v>1.0854166666666667</v>
      </c>
      <c r="BV380" s="299">
        <f>AV380</f>
        <v>0</v>
      </c>
      <c r="BW380" s="301"/>
      <c r="BX380" s="299" t="str">
        <f>IF(AV380="T Status",IF(AV380&lt;&gt;T380,"X",""),"")</f>
        <v/>
      </c>
      <c r="BY380" s="301"/>
      <c r="BZ380" s="299" t="str">
        <f>IF(X380&lt;&gt;"",IF(CC380="X","Driver Delay",IF(CA380="X","Paperwork Delay",IF(CB380="X","Late freight late sort",IF(CD380="X","Chiamare Control Room",IF(CE380="X","Chiamare Control Room",IF(CF380="X","Chiamare Control Room","")))))),"")</f>
        <v>Chiamare Control Room</v>
      </c>
      <c r="CA380" s="302" t="str">
        <f>IF(K380="",IF(IF(AND(G380&gt;(--"00:00:01"),G380&lt;(--"15:00:00")),IF(AND(AT380&gt;(--"08:00:00"),AT380&lt;(--"23:59:59")),G380+1-AT380,G380-AT380),G380-AT380)&gt;(--"00:20:00"),"","X"),"")</f>
        <v/>
      </c>
      <c r="CB380" s="299" t="str">
        <f>IF(K380="",IF(BP380&gt;=(--"00:20:00"),"","X"),"")</f>
        <v/>
      </c>
      <c r="CC380" s="299" t="str">
        <f>IF(OR(AV380="Autista non presente",AV380="Dati driver non presenti"),"X","")</f>
        <v/>
      </c>
      <c r="CD380" s="299" t="str">
        <f>IF(K380="",IF(AND(CC380="",BS380&lt;(--"00:20:00")),"X",""),"")</f>
        <v/>
      </c>
      <c r="CE380" s="299" t="str">
        <f>IF(K380="",IF(BT380&gt;(--"00:15:00"),"X",""),IF(AZ380&lt;&gt;"",IF(G380-AZ380&gt;(--"00:30:00"),"X",""),""))</f>
        <v/>
      </c>
      <c r="CF380" s="299" t="str">
        <f>IF(AND(CA380="",CB380="",CC380="",CD380="",CE380=""),"X","")</f>
        <v>X</v>
      </c>
      <c r="CG380" s="301"/>
      <c r="CH380" s="299" t="str">
        <f>IF(BT380&gt;(--"00:15:00"),"X","")</f>
        <v/>
      </c>
      <c r="CI380" s="302">
        <f>AY380</f>
        <v>0</v>
      </c>
      <c r="CJ380" s="299" t="str">
        <f>IF(AND(CH380&lt;&gt;"",CI380&lt;&gt;"",LEFT(B380,3)="ITD"),AP380,"")</f>
        <v/>
      </c>
      <c r="CK380" s="305" t="str">
        <f>IF(CJ380&lt;&gt;"",BT380,"")</f>
        <v/>
      </c>
      <c r="CL380" s="301"/>
      <c r="CM380" s="305" t="str">
        <f>IFERROR(VLOOKUP(Q380,'Elenco Casse'!$D$4:$F$292,3,FALSE),"")</f>
        <v/>
      </c>
      <c r="CN380" s="301"/>
      <c r="CO380" s="305" t="str">
        <f>IFERROR(VLOOKUP(E380,Outlist!$A$5:$H$120,8,FALSE),"")</f>
        <v>RENT603</v>
      </c>
      <c r="CP380" s="305" t="str">
        <f>IFERROR(IF(VLOOKUP($E380,Outlist!$A$5:$S$120,19,FALSE)&lt;&gt;0,"Y",""),"")</f>
        <v>Y</v>
      </c>
      <c r="CQ380" s="301"/>
      <c r="CR380" s="305" t="str">
        <f>CONCATENATE($B380,$E380,$G380)</f>
        <v>ERN92518DNG 60.104166666664241</v>
      </c>
      <c r="CS380" s="301"/>
      <c r="CT380" s="305">
        <f>VLOOKUP(Out_Table[[#This Row],[Destination             ORANGE (From Planning)]],Outlist!$A$5:$W$120,22,FALSE)</f>
        <v>0</v>
      </c>
    </row>
    <row r="381" spans="1:98" s="20" customFormat="1" ht="15">
      <c r="A381" s="305" t="str">
        <f>$CR381</f>
        <v>ERN10067DNG 80.416666666664241</v>
      </c>
      <c r="B381" s="351" t="str">
        <f>IFERROR(VLOOKUP(E381,Outlist!$A$5:$AC$120,2,FALSE),"")</f>
        <v>ERN10067</v>
      </c>
      <c r="C381" s="352" t="str">
        <f>IFERROR(IF(LEFT(B381,3)='STAT 77'!$X$2,_xlfn.XLOOKUP(B381,'STAT 77'!C:C,'STAT 77'!B:B),_xlfn.XLOOKUP(B381,'STAT 77'!B:B,'STAT 77'!C:C)),"NON TROVATO")</f>
        <v>ERN04843</v>
      </c>
      <c r="D381" s="4"/>
      <c r="E381" s="352" t="str">
        <f>IFERROR(IF(Outlist!$A12&lt;&gt;"",Outlist!$A12,""),"")</f>
        <v>DNG 8</v>
      </c>
      <c r="F381" s="352" t="str">
        <f>IFERROR(VLOOKUP(E381,'Cambio O2P'!C:E,2,FALSE),"")</f>
        <v/>
      </c>
      <c r="G381" s="353">
        <f>IFERROR(VLOOKUP(E381,Outlist!$A$5:$AC$120,5,FALSE)-INT(VLOOKUP(E381,Outlist!$A$5:$AC$120,5,FALSE)),"")</f>
        <v>0.41666666666424135</v>
      </c>
      <c r="H381" s="294">
        <f ca="1">IFERROR(IF(AND('INformazioni per calcoli'!$AB$3&lt;(--"14:30"),'INformazioni per calcoli'!$AB$3&gt;(--"10:00")),"",IF($B381="","",IF($X381&lt;&gt;"","Mezzo Chiuso",IF($W381="","Non al Carico",IF($K381="Safe Parking","Safe Parking", IF(OR($BF381='INformazioni per calcoli'!$AF$8,$BF381='INformazioni per calcoli'!$AC$8,$BF381='INformazioni per calcoli'!$AD$8,$BF381='INformazioni per calcoli'!$AE$8,$BF381='INformazioni per calcoli'!$AG$8,$BF381='INformazioni per calcoli'!$AH$8,$BF381='INformazioni per calcoli'!$AI$8,$BF381='INformazioni per calcoli'!$AJ$8),IF($G381-'INformazioni per calcoli'!$AB$6-'INformazioni per calcoli'!$AB$3+$J381&lt;0,"LFLS",$G381-'INformazioni per calcoli'!$AB$6-'INformazioni per calcoli'!$AB$3+$J381), IF(OR($BF381='INformazioni per calcoli'!$AF$6,$BF381='INformazioni per calcoli'!$AD$6,$BF381='INformazioni per calcoli'!$AE$6,$BF381='INformazioni per calcoli'!$AG$6),IF($G381-'INformazioni per calcoli'!$AB$8-'INformazioni per calcoli'!$AB$3+$J381&lt;0,"LFLS",$G381-'INformazioni per calcoli'!$AB$8-'INformazioni per calcoli'!$AB$3+$J381), IF($G381-'INformazioni per calcoli'!$AB$7-'INformazioni per calcoli'!$AB$3+$J381&lt;0,"LFLS",$G381-'INformazioni per calcoli'!$AB$7-'INformazioni per calcoli'!$AB$3+$J381)))))))),"")</f>
        <v>0.2295370370346117</v>
      </c>
      <c r="I381" s="17" t="str">
        <f ca="1">IFERROR(IF($H381&lt;&gt;"",IF($H381="Safe Parking","",IF($W381&lt;&gt;"",IF(AND($U381="X",$V381="X"),$H381-(--"00:30"),""),IF($X381&lt;&gt;"","Mezzo Chiuso","Non al carico"))),""),"")</f>
        <v/>
      </c>
      <c r="J381" s="306">
        <f ca="1">IFERROR(IF($B381&lt;&gt;"",IF(AND('INformazioni per calcoli'!$AB$3&lt;(--"15:00"),'INformazioni per calcoli'!$AB$3&gt;(--"00:00")),0,IF($G381&lt;(--"18:30"),"+1",0)),""),"")</f>
        <v>0</v>
      </c>
      <c r="K381" s="27">
        <f>IF(E381&lt;&gt;"",IFERROR(VLOOKUP(E381,Outlist!$A$5:$AC$120,22,FALSE),""),"")</f>
        <v>0</v>
      </c>
      <c r="L381" s="352" t="str">
        <f>IF(E381&lt;&gt;"",IFERROR(VLOOKUP(E381,Outlist!$A$5:$AC$120,3,FALSE),""),"")</f>
        <v>Lsc Sp Z O O</v>
      </c>
      <c r="M381" s="4" t="str">
        <f>IFERROR(_xlfn.XLOOKUP($Q381,'Elenco Casse'!$D:$D,'Elenco Casse'!$E:$E),"")</f>
        <v/>
      </c>
      <c r="N381" s="4" t="str">
        <f>IFERROR(_xlfn.XLOOKUP($Q381,'Elenco Casse'!$D:$D,'Elenco Casse'!$F:$F),"")</f>
        <v/>
      </c>
      <c r="O381" s="4" t="str">
        <f>IF($L381&lt;&gt;"","TT-2/3","")</f>
        <v>TT-2/3</v>
      </c>
      <c r="P381" s="296" t="str">
        <f>IFERROR(IF(VLOOKUP(E381,Outlist!$A$5:$AC$120,21,FALSE)="YES","Linea Variata",""),"")</f>
        <v/>
      </c>
      <c r="Q381" s="355" t="s">
        <v>1242</v>
      </c>
      <c r="R381" s="23" t="s">
        <v>420</v>
      </c>
      <c r="S381" s="25" t="str">
        <f>IFERROR(IF(VLOOKUP(E381,Outlist!$A$5:$AC$120,7,FALSE)="X","SUBCO",""),"")</f>
        <v/>
      </c>
      <c r="T381" s="25"/>
      <c r="U381" s="23"/>
      <c r="V381" s="23" t="s">
        <v>61</v>
      </c>
      <c r="W381" s="26">
        <v>809</v>
      </c>
      <c r="X381" s="27"/>
      <c r="Y381" s="25"/>
      <c r="Z381" s="25"/>
      <c r="AA381" s="25" t="s">
        <v>487</v>
      </c>
      <c r="AB381" s="57"/>
      <c r="AC381" s="25"/>
      <c r="AD381" s="25"/>
      <c r="AE381" s="57"/>
      <c r="AF381" s="57"/>
      <c r="AG381" s="25"/>
      <c r="AH381" s="57"/>
      <c r="AI381" s="339"/>
      <c r="AJ381" s="339"/>
      <c r="AK381" s="297" t="str">
        <f>IF(X381&lt;&gt;"",CONCATENATE(IF(AA381&lt;&gt;"",CONCATENATE(Z381," ",AA381," ",BI381),""),IF(AD381&lt;&gt;"",CONCATENATE(","," ",AC381," ",AD381," ",BJ381),""),IF(AG381&lt;&gt;"",CONCATENATE(","," ",AF381," ",AG381," ",BK381),""),IF(AJ381&lt;&gt;"",CONCATENATE(","," ","DD"," ",BL381),"")," ",IF(AI381&lt;&gt;"",CONCATENATE(" - ",AI381," Bag"),"")),"")</f>
        <v/>
      </c>
      <c r="AL381" s="287"/>
      <c r="AM381" s="287"/>
      <c r="AN381" s="287"/>
      <c r="AO381" s="287"/>
      <c r="AP381" s="370">
        <f>IFERROR(VLOOKUP($E381,Outlist!$A$5:$V$120,20,FALSE),"")</f>
        <v>0</v>
      </c>
      <c r="AQ381" s="288" t="str">
        <f>IFERROR(IF(VLOOKUP($A381,#REF!,8,FALSE)&lt;&gt;"",VLOOKUP($A381,#REF!,8,FALSE),""),"")</f>
        <v/>
      </c>
      <c r="AS381" s="24"/>
      <c r="AT381" s="24"/>
      <c r="AU381" s="27"/>
      <c r="AV381" s="27"/>
      <c r="AX381" s="20" t="str">
        <f>IFERROR(IF(Out_Table[[#This Row],[Cancellazione linea]]="Cancellata","yes",""),"")</f>
        <v/>
      </c>
      <c r="AY381" s="72"/>
      <c r="AZ381" s="27"/>
      <c r="BA381" s="32"/>
      <c r="BB381" s="72"/>
      <c r="BC381" s="72" t="str">
        <f>IFERROR(VLOOKUP(Out_Table[[#This Row],[Aggiornamento STATUS]],'INformazioni per calcoli'!$Y$70:$AA$76,2,FALSE),"")</f>
        <v/>
      </c>
      <c r="BD381" s="289"/>
      <c r="BE381" s="289"/>
      <c r="BF381" s="47" t="str">
        <f>LEFT($E381,3)</f>
        <v>DNG</v>
      </c>
      <c r="BG381" s="298" t="str">
        <f>IF(Out_Table[[#This Row],[Ora Uscita    (GH)]]&lt;&gt;"","x","")</f>
        <v/>
      </c>
      <c r="BH381" s="299">
        <f>VLOOKUP($O381,'INformazioni per calcoli'!$Y$20:$AA$23,3,FALSE)</f>
        <v>14</v>
      </c>
      <c r="BI381" s="299">
        <f>MROUND(Out_Table[[#This Row],[Mtr. Trailer]]*AB381,0.5)</f>
        <v>0</v>
      </c>
      <c r="BJ381" s="299">
        <f>MROUND(Out_Table[[#This Row],[Mtr. Trailer]]*AE381,0.5)</f>
        <v>0</v>
      </c>
      <c r="BK381" s="299">
        <f>MROUND(Out_Table[[#This Row],[Mtr. Trailer]]*AH381,0.5)</f>
        <v>0</v>
      </c>
      <c r="BL381" s="300">
        <f>Out_Table[[#This Row],[Double Deck trailer N° bumpers]]</f>
        <v>0</v>
      </c>
      <c r="BM381" s="301"/>
      <c r="BN381" s="299" t="str">
        <f>B381</f>
        <v>ERN10067</v>
      </c>
      <c r="BO381" s="299" t="str">
        <f>E381</f>
        <v>DNG 8</v>
      </c>
      <c r="BP381" s="302">
        <f>IF(AND(G381&gt;(--"00:00:01"),G381&lt;(--"15:00:00")),IF(AND(X381&gt;(--"00:00:01"),X381&lt;(--"15:00:00")),G381-X381,G381+1-X381),G381-X381)</f>
        <v>1.4166666666642413</v>
      </c>
      <c r="BQ381" s="303">
        <f>AE381+AF381+AH381+AJ381</f>
        <v>0</v>
      </c>
      <c r="BR381" s="304" t="str">
        <f>IF(OR(BP381&lt;=(--"00:20:00"),BQ381&gt;=100%),"OK","Not OK")</f>
        <v>Not OK</v>
      </c>
      <c r="BS381" s="302">
        <f>IF(AND(G381&gt;(--"00:00:01"),G381&lt;(--"15:00:00")),IF(AND(AU381&gt;(--"00:00:01"),AU381&lt;(--"15:00:00")),G381-AU381,G381+1-AU381),G381-AU381)</f>
        <v>1.4166666666642413</v>
      </c>
      <c r="BT381" s="302">
        <f>IF(AND(AZ381&gt;(--"00:00:01"),AZ381&lt;(--"15:00:00")),IF(AND(AU381&gt;(--"00:00:01"),AU381&lt;(--"15:00:00")),AZ381-AU381,AZ381+1-AU381),AZ381-AU381)</f>
        <v>0</v>
      </c>
      <c r="BU381" s="302">
        <f>IF(AND(BA381&gt;(--"00:00:01"),BA381&lt;(--"15:00:00")),IF(AND(AZ381&gt;(--"00:00:01"),AZ381&lt;(--"15:00:00")),BA381-AZ381,BA381+1-AZ381),BA381-AZ381)</f>
        <v>0</v>
      </c>
      <c r="BV381" s="299">
        <f>AV381</f>
        <v>0</v>
      </c>
      <c r="BW381" s="301"/>
      <c r="BX381" s="299" t="str">
        <f>IF(AV381="T Status",IF(AV381&lt;&gt;T381,"X",""),"")</f>
        <v/>
      </c>
      <c r="BY381" s="301"/>
      <c r="BZ381" s="299" t="str">
        <f>IF(X381&lt;&gt;"",IF(CC381="X","Driver Delay",IF(CA381="X","Paperwork Delay",IF(CB381="X","Late freight late sort",IF(CD381="X","Chiamare Control Room",IF(CE381="X","Chiamare Control Room",IF(CF381="X","Chiamare Control Room","")))))),"")</f>
        <v/>
      </c>
      <c r="CA381" s="302" t="str">
        <f>IF(K381="",IF(IF(AND(G381&gt;(--"00:00:01"),G381&lt;(--"15:00:00")),IF(AND(AT381&gt;(--"08:00:00"),AT381&lt;(--"23:59:59")),G381+1-AT381,G381-AT381),G381-AT381)&gt;(--"00:20:00"),"","X"),"")</f>
        <v/>
      </c>
      <c r="CB381" s="299" t="str">
        <f>IF(K381="",IF(BP381&gt;=(--"00:20:00"),"","X"),"")</f>
        <v/>
      </c>
      <c r="CC381" s="299" t="str">
        <f>IF(OR(AV381="Autista non presente",AV381="Dati driver non presenti"),"X","")</f>
        <v/>
      </c>
      <c r="CD381" s="299" t="str">
        <f>IF(K381="",IF(AND(CC381="",BS381&lt;(--"00:20:00")),"X",""),"")</f>
        <v/>
      </c>
      <c r="CE381" s="299" t="str">
        <f>IF(K381="",IF(BT381&gt;(--"00:15:00"),"X",""),IF(AZ381&lt;&gt;"",IF(G381-AZ381&gt;(--"00:30:00"),"X",""),""))</f>
        <v/>
      </c>
      <c r="CF381" s="299" t="str">
        <f>IF(AND(CA381="",CB381="",CC381="",CD381="",CE381=""),"X","")</f>
        <v>X</v>
      </c>
      <c r="CG381" s="301"/>
      <c r="CH381" s="299" t="str">
        <f>IF(BT381&gt;(--"00:15:00"),"X","")</f>
        <v/>
      </c>
      <c r="CI381" s="302">
        <f>AY381</f>
        <v>0</v>
      </c>
      <c r="CJ381" s="299" t="str">
        <f>IF(AND(CH381&lt;&gt;"",CI381&lt;&gt;"",LEFT(B381,3)="ITD"),AP381,"")</f>
        <v/>
      </c>
      <c r="CK381" s="305" t="str">
        <f>IF(CJ381&lt;&gt;"",BT381,"")</f>
        <v/>
      </c>
      <c r="CL381" s="301"/>
      <c r="CM381" s="305" t="str">
        <f>IFERROR(VLOOKUP(Q381,'Elenco Casse'!$D$4:$F$292,3,FALSE),"")</f>
        <v/>
      </c>
      <c r="CN381" s="301"/>
      <c r="CO381" s="305" t="str">
        <f>IFERROR(VLOOKUP(E381,Outlist!$A$5:$H$120,8,FALSE),"")</f>
        <v>ENBD20350</v>
      </c>
      <c r="CP381" s="305" t="str">
        <f>IFERROR(IF(VLOOKUP($E381,Outlist!$A$5:$S$120,19,FALSE)&lt;&gt;0,"Y",""),"")</f>
        <v/>
      </c>
      <c r="CQ381" s="301"/>
      <c r="CR381" s="305" t="str">
        <f>CONCATENATE($B381,$E381,$G381)</f>
        <v>ERN10067DNG 80.416666666664241</v>
      </c>
      <c r="CS381" s="301"/>
      <c r="CT381" s="305">
        <f>VLOOKUP(Out_Table[[#This Row],[Destination             ORANGE (From Planning)]],Outlist!$A$5:$W$120,22,FALSE)</f>
        <v>0</v>
      </c>
    </row>
    <row r="382" spans="1:98" s="20" customFormat="1" ht="30.75">
      <c r="A382" s="305" t="str">
        <f>$CR382</f>
        <v>ERN18033DFT 20.416666666664241</v>
      </c>
      <c r="B382" s="351" t="str">
        <f>IFERROR(VLOOKUP(E382,Outlist!$A$5:$AC$120,2,FALSE),"")</f>
        <v>ERN18033</v>
      </c>
      <c r="C382" s="352" t="str">
        <f>IFERROR(IF(LEFT(B382,3)='STAT 77'!$X$2,_xlfn.XLOOKUP(B382,'STAT 77'!C:C,'STAT 77'!B:B),_xlfn.XLOOKUP(B382,'STAT 77'!B:B,'STAT 77'!C:C)),"NON TROVATO")</f>
        <v>ERN04689</v>
      </c>
      <c r="D382" s="4"/>
      <c r="E382" s="352" t="str">
        <f>IFERROR(IF(Outlist!$A14&lt;&gt;"",Outlist!$A14,""),"")</f>
        <v>DFT 2</v>
      </c>
      <c r="F382" s="352" t="str">
        <f>IFERROR(VLOOKUP(E382,'Cambio O2P'!C:E,2,FALSE),"")</f>
        <v/>
      </c>
      <c r="G382" s="353">
        <f>IFERROR(VLOOKUP(E382,Outlist!$A$5:$AC$120,5,FALSE)-INT(VLOOKUP(E382,Outlist!$A$5:$AC$120,5,FALSE)),"")</f>
        <v>0.41666666666424135</v>
      </c>
      <c r="H382" s="294" t="str">
        <f ca="1">IFERROR(IF(AND('INformazioni per calcoli'!$AB$3&lt;(--"14:30"),'INformazioni per calcoli'!$AB$3&gt;(--"10:00")),"",IF($B382="","",IF($X382&lt;&gt;"","Mezzo Chiuso",IF($W382="","Non al Carico",IF($K382="Safe Parking","Safe Parking", IF(OR($BF382='INformazioni per calcoli'!$AF$8,$BF382='INformazioni per calcoli'!$AC$8,$BF382='INformazioni per calcoli'!$AD$8,$BF382='INformazioni per calcoli'!$AE$8,$BF382='INformazioni per calcoli'!$AG$8,$BF382='INformazioni per calcoli'!$AH$8,$BF382='INformazioni per calcoli'!$AI$8,$BF382='INformazioni per calcoli'!$AJ$8),IF($G382-'INformazioni per calcoli'!$AB$6-'INformazioni per calcoli'!$AB$3+$J382&lt;0,"LFLS",$G382-'INformazioni per calcoli'!$AB$6-'INformazioni per calcoli'!$AB$3+$J382), IF(OR($BF382='INformazioni per calcoli'!$AF$6,$BF382='INformazioni per calcoli'!$AD$6,$BF382='INformazioni per calcoli'!$AE$6,$BF382='INformazioni per calcoli'!$AG$6),IF($G382-'INformazioni per calcoli'!$AB$8-'INformazioni per calcoli'!$AB$3+$J382&lt;0,"LFLS",$G382-'INformazioni per calcoli'!$AB$8-'INformazioni per calcoli'!$AB$3+$J382), IF($G382-'INformazioni per calcoli'!$AB$7-'INformazioni per calcoli'!$AB$3+$J382&lt;0,"LFLS",$G382-'INformazioni per calcoli'!$AB$7-'INformazioni per calcoli'!$AB$3+$J382)))))))),"")</f>
        <v>Non al Carico</v>
      </c>
      <c r="I382" s="17" t="str">
        <f ca="1">IFERROR(IF($H382&lt;&gt;"",IF($H382="Safe Parking","",IF($W382&lt;&gt;"",IF(AND($U382="X",$V382="X"),$H382-(--"00:30"),""),IF($X382&lt;&gt;"","Mezzo Chiuso","Non al carico"))),""),"")</f>
        <v>Non al carico</v>
      </c>
      <c r="J382" s="306">
        <f ca="1">IFERROR(IF($B382&lt;&gt;"",IF(AND('INformazioni per calcoli'!$AB$3&lt;(--"15:00"),'INformazioni per calcoli'!$AB$3&gt;(--"00:00")),0,IF($G382&lt;(--"18:30"),"+1",0)),""),"")</f>
        <v>0</v>
      </c>
      <c r="K382" s="27">
        <f>IF(E382&lt;&gt;"",IFERROR(VLOOKUP(E382,Outlist!$A$5:$AC$120,22,FALSE),""),"")</f>
        <v>0</v>
      </c>
      <c r="L382" s="352" t="str">
        <f>IF(E382&lt;&gt;"",IFERROR(VLOOKUP(E382,Outlist!$A$5:$AC$120,3,FALSE),""),"")</f>
        <v>Matelda Srl</v>
      </c>
      <c r="M382" s="4" t="str">
        <f>IFERROR(_xlfn.XLOOKUP($Q382,'Elenco Casse'!$D:$D,'Elenco Casse'!$E:$E),"")</f>
        <v/>
      </c>
      <c r="N382" s="4" t="str">
        <f>IFERROR(_xlfn.XLOOKUP($Q382,'Elenco Casse'!$D:$D,'Elenco Casse'!$F:$F),"")</f>
        <v/>
      </c>
      <c r="O382" s="4" t="str">
        <f>IF($L382&lt;&gt;"","TT-2/3","")</f>
        <v>TT-2/3</v>
      </c>
      <c r="P382" s="296" t="str">
        <f>IFERROR(IF(VLOOKUP(E382,Outlist!$A$5:$AC$120,21,FALSE)="YES","Linea Variata",""),"")</f>
        <v/>
      </c>
      <c r="Q382" s="355">
        <f>IFERROR(VLOOKUP(E382,Outlist!$AK$4:$BH$139,13,FALSE),"")</f>
        <v>0</v>
      </c>
      <c r="R382" s="23"/>
      <c r="S382" s="25" t="str">
        <f>IFERROR(IF(VLOOKUP(E382,Outlist!$A$5:$AC$120,7,FALSE)="X","SUBCO",""),"")</f>
        <v/>
      </c>
      <c r="T382" s="25"/>
      <c r="U382" s="23"/>
      <c r="V382" s="23"/>
      <c r="W382" s="26"/>
      <c r="X382" s="27"/>
      <c r="Y382" s="25"/>
      <c r="Z382" s="25"/>
      <c r="AA382" s="25"/>
      <c r="AB382" s="57"/>
      <c r="AC382" s="25"/>
      <c r="AD382" s="25"/>
      <c r="AE382" s="57"/>
      <c r="AF382" s="57"/>
      <c r="AG382" s="25"/>
      <c r="AH382" s="57"/>
      <c r="AI382" s="339"/>
      <c r="AJ382" s="339"/>
      <c r="AK382" s="297" t="str">
        <f>IF(X382&lt;&gt;"",CONCATENATE(IF(AA382&lt;&gt;"",CONCATENATE(Z382," ",AA382," ",BI382),""),IF(AD382&lt;&gt;"",CONCATENATE(","," ",AC382," ",AD382," ",BJ382),""),IF(AG382&lt;&gt;"",CONCATENATE(","," ",AF382," ",AG382," ",BK382),""),IF(AJ382&lt;&gt;"",CONCATENATE(","," ","DD"," ",BL382),"")," ",IF(AI382&lt;&gt;"",CONCATENATE(" - ",AI382," Bag"),"")),"")</f>
        <v/>
      </c>
      <c r="AL382" s="287"/>
      <c r="AM382" s="287"/>
      <c r="AN382" s="287"/>
      <c r="AO382" s="287"/>
      <c r="AP382" s="370">
        <f>IFERROR(VLOOKUP($E382,Outlist!$A$5:$V$120,20,FALSE),"")</f>
        <v>0</v>
      </c>
      <c r="AQ382" s="288" t="str">
        <f>IFERROR(IF(VLOOKUP($A382,#REF!,8,FALSE)&lt;&gt;"",VLOOKUP($A382,#REF!,8,FALSE),""),"")</f>
        <v/>
      </c>
      <c r="AS382" s="24"/>
      <c r="AT382" s="24"/>
      <c r="AU382" s="27"/>
      <c r="AV382" s="27"/>
      <c r="AX382" s="20" t="str">
        <f>IFERROR(IF(Out_Table[[#This Row],[Cancellazione linea]]="Cancellata","yes",""),"")</f>
        <v/>
      </c>
      <c r="AY382" s="72"/>
      <c r="AZ382" s="27"/>
      <c r="BA382" s="32"/>
      <c r="BB382" s="72"/>
      <c r="BC382" s="72" t="str">
        <f>IFERROR(VLOOKUP(Out_Table[[#This Row],[Aggiornamento STATUS]],'INformazioni per calcoli'!$Y$70:$AA$76,2,FALSE),"")</f>
        <v/>
      </c>
      <c r="BD382" s="289"/>
      <c r="BE382" s="289"/>
      <c r="BF382" s="47" t="str">
        <f>LEFT($E382,3)</f>
        <v>DFT</v>
      </c>
      <c r="BG382" s="298" t="str">
        <f>IF(Out_Table[[#This Row],[Ora Uscita    (GH)]]&lt;&gt;"","x","")</f>
        <v/>
      </c>
      <c r="BH382" s="299">
        <f>VLOOKUP($O382,'INformazioni per calcoli'!$Y$20:$AA$23,3,FALSE)</f>
        <v>14</v>
      </c>
      <c r="BI382" s="299">
        <f>MROUND(Out_Table[[#This Row],[Mtr. Trailer]]*AB382,0.5)</f>
        <v>0</v>
      </c>
      <c r="BJ382" s="299">
        <f>MROUND(Out_Table[[#This Row],[Mtr. Trailer]]*AE382,0.5)</f>
        <v>0</v>
      </c>
      <c r="BK382" s="299">
        <f>MROUND(Out_Table[[#This Row],[Mtr. Trailer]]*AH382,0.5)</f>
        <v>0</v>
      </c>
      <c r="BL382" s="300">
        <f>Out_Table[[#This Row],[Double Deck trailer N° bumpers]]</f>
        <v>0</v>
      </c>
      <c r="BM382" s="301"/>
      <c r="BN382" s="299" t="str">
        <f>B382</f>
        <v>ERN18033</v>
      </c>
      <c r="BO382" s="299" t="str">
        <f>E382</f>
        <v>DFT 2</v>
      </c>
      <c r="BP382" s="302">
        <f>IF(AND(G382&gt;(--"00:00:01"),G382&lt;(--"15:00:00")),IF(AND(X382&gt;(--"00:00:01"),X382&lt;(--"15:00:00")),G382-X382,G382+1-X382),G382-X382)</f>
        <v>1.4166666666642413</v>
      </c>
      <c r="BQ382" s="303">
        <f>AE382+AF382+AH382+AJ382</f>
        <v>0</v>
      </c>
      <c r="BR382" s="304" t="str">
        <f>IF(OR(BP382&lt;=(--"00:20:00"),BQ382&gt;=100%),"OK","Not OK")</f>
        <v>Not OK</v>
      </c>
      <c r="BS382" s="302">
        <f>IF(AND(G382&gt;(--"00:00:01"),G382&lt;(--"15:00:00")),IF(AND(AU382&gt;(--"00:00:01"),AU382&lt;(--"15:00:00")),G382-AU382,G382+1-AU382),G382-AU382)</f>
        <v>1.4166666666642413</v>
      </c>
      <c r="BT382" s="302">
        <f>IF(AND(AZ382&gt;(--"00:00:01"),AZ382&lt;(--"15:00:00")),IF(AND(AU382&gt;(--"00:00:01"),AU382&lt;(--"15:00:00")),AZ382-AU382,AZ382+1-AU382),AZ382-AU382)</f>
        <v>0</v>
      </c>
      <c r="BU382" s="302">
        <f>IF(AND(BA382&gt;(--"00:00:01"),BA382&lt;(--"15:00:00")),IF(AND(AZ382&gt;(--"00:00:01"),AZ382&lt;(--"15:00:00")),BA382-AZ382,BA382+1-AZ382),BA382-AZ382)</f>
        <v>0</v>
      </c>
      <c r="BV382" s="299">
        <f>AV382</f>
        <v>0</v>
      </c>
      <c r="BW382" s="301"/>
      <c r="BX382" s="299" t="str">
        <f>IF(AV382="T Status",IF(AV382&lt;&gt;T382,"X",""),"")</f>
        <v/>
      </c>
      <c r="BY382" s="301"/>
      <c r="BZ382" s="299" t="str">
        <f>IF(X382&lt;&gt;"",IF(CC382="X","Driver Delay",IF(CA382="X","Paperwork Delay",IF(CB382="X","Late freight late sort",IF(CD382="X","Chiamare Control Room",IF(CE382="X","Chiamare Control Room",IF(CF382="X","Chiamare Control Room","")))))),"")</f>
        <v/>
      </c>
      <c r="CA382" s="302" t="str">
        <f>IF(K382="",IF(IF(AND(G382&gt;(--"00:00:01"),G382&lt;(--"15:00:00")),IF(AND(AT382&gt;(--"08:00:00"),AT382&lt;(--"23:59:59")),G382+1-AT382,G382-AT382),G382-AT382)&gt;(--"00:20:00"),"","X"),"")</f>
        <v/>
      </c>
      <c r="CB382" s="299" t="str">
        <f>IF(K382="",IF(BP382&gt;=(--"00:20:00"),"","X"),"")</f>
        <v/>
      </c>
      <c r="CC382" s="299" t="str">
        <f>IF(OR(AV382="Autista non presente",AV382="Dati driver non presenti"),"X","")</f>
        <v/>
      </c>
      <c r="CD382" s="299" t="str">
        <f>IF(K382="",IF(AND(CC382="",BS382&lt;(--"00:20:00")),"X",""),"")</f>
        <v/>
      </c>
      <c r="CE382" s="299" t="str">
        <f>IF(K382="",IF(BT382&gt;(--"00:15:00"),"X",""),IF(AZ382&lt;&gt;"",IF(G382-AZ382&gt;(--"00:30:00"),"X",""),""))</f>
        <v/>
      </c>
      <c r="CF382" s="299" t="str">
        <f>IF(AND(CA382="",CB382="",CC382="",CD382="",CE382=""),"X","")</f>
        <v>X</v>
      </c>
      <c r="CG382" s="301"/>
      <c r="CH382" s="299" t="str">
        <f>IF(BT382&gt;(--"00:15:00"),"X","")</f>
        <v/>
      </c>
      <c r="CI382" s="302">
        <f>AY382</f>
        <v>0</v>
      </c>
      <c r="CJ382" s="299" t="str">
        <f>IF(AND(CH382&lt;&gt;"",CI382&lt;&gt;"",LEFT(B382,3)="ITD"),AP382,"")</f>
        <v/>
      </c>
      <c r="CK382" s="305" t="str">
        <f>IF(CJ382&lt;&gt;"",BT382,"")</f>
        <v/>
      </c>
      <c r="CL382" s="301"/>
      <c r="CM382" s="305" t="str">
        <f>IFERROR(VLOOKUP(Q382,'Elenco Casse'!$D$4:$F$292,3,FALSE),"")</f>
        <v/>
      </c>
      <c r="CN382" s="301"/>
      <c r="CO382" s="305">
        <f>IFERROR(VLOOKUP(E382,Outlist!$A$5:$H$120,8,FALSE),"")</f>
        <v>0</v>
      </c>
      <c r="CP382" s="305" t="str">
        <f>IFERROR(IF(VLOOKUP($E382,Outlist!$A$5:$S$120,19,FALSE)&lt;&gt;0,"Y",""),"")</f>
        <v/>
      </c>
      <c r="CQ382" s="301"/>
      <c r="CR382" s="305" t="str">
        <f>CONCATENATE($B382,$E382,$G382)</f>
        <v>ERN18033DFT 20.416666666664241</v>
      </c>
      <c r="CS382" s="301"/>
      <c r="CT382" s="305">
        <f>VLOOKUP(Out_Table[[#This Row],[Destination             ORANGE (From Planning)]],Outlist!$A$5:$W$120,22,FALSE)</f>
        <v>0</v>
      </c>
    </row>
    <row r="383" spans="1:98" s="20" customFormat="1" ht="30.75">
      <c r="A383" s="305" t="str">
        <f>$CR383</f>
        <v>ERN18370DFT 30.416666666664241</v>
      </c>
      <c r="B383" s="351" t="str">
        <f>IFERROR(VLOOKUP(E383,Outlist!$A$5:$AC$120,2,FALSE),"")</f>
        <v>ERN18370</v>
      </c>
      <c r="C383" s="352" t="str">
        <f>IFERROR(IF(LEFT(B383,3)='STAT 77'!$X$2,_xlfn.XLOOKUP(B383,'STAT 77'!C:C,'STAT 77'!B:B),_xlfn.XLOOKUP(B383,'STAT 77'!B:B,'STAT 77'!C:C)),"NON TROVATO")</f>
        <v>ERN09324</v>
      </c>
      <c r="D383" s="4"/>
      <c r="E383" s="352" t="str">
        <f>IFERROR(IF(Outlist!$A15&lt;&gt;"",Outlist!$A15,""),"")</f>
        <v>DFT 3</v>
      </c>
      <c r="F383" s="352" t="str">
        <f>IFERROR(VLOOKUP(E383,'Cambio O2P'!C:E,2,FALSE),"")</f>
        <v/>
      </c>
      <c r="G383" s="353">
        <f>IFERROR(VLOOKUP(E383,Outlist!$A$5:$AC$120,5,FALSE)-INT(VLOOKUP(E383,Outlist!$A$5:$AC$120,5,FALSE)),"")</f>
        <v>0.41666666666424135</v>
      </c>
      <c r="H383" s="294" t="str">
        <f ca="1">IFERROR(IF(AND('INformazioni per calcoli'!$AB$3&lt;(--"14:30"),'INformazioni per calcoli'!$AB$3&gt;(--"10:00")),"",IF($B383="","",IF($X383&lt;&gt;"","Mezzo Chiuso",IF($W383="","Non al Carico",IF($K383="Safe Parking","Safe Parking", IF(OR($BF383='INformazioni per calcoli'!$AF$8,$BF383='INformazioni per calcoli'!$AC$8,$BF383='INformazioni per calcoli'!$AD$8,$BF383='INformazioni per calcoli'!$AE$8,$BF383='INformazioni per calcoli'!$AG$8,$BF383='INformazioni per calcoli'!$AH$8,$BF383='INformazioni per calcoli'!$AI$8,$BF383='INformazioni per calcoli'!$AJ$8),IF($G383-'INformazioni per calcoli'!$AB$6-'INformazioni per calcoli'!$AB$3+$J383&lt;0,"LFLS",$G383-'INformazioni per calcoli'!$AB$6-'INformazioni per calcoli'!$AB$3+$J383), IF(OR($BF383='INformazioni per calcoli'!$AF$6,$BF383='INformazioni per calcoli'!$AD$6,$BF383='INformazioni per calcoli'!$AE$6,$BF383='INformazioni per calcoli'!$AG$6),IF($G383-'INformazioni per calcoli'!$AB$8-'INformazioni per calcoli'!$AB$3+$J383&lt;0,"LFLS",$G383-'INformazioni per calcoli'!$AB$8-'INformazioni per calcoli'!$AB$3+$J383), IF($G383-'INformazioni per calcoli'!$AB$7-'INformazioni per calcoli'!$AB$3+$J383&lt;0,"LFLS",$G383-'INformazioni per calcoli'!$AB$7-'INformazioni per calcoli'!$AB$3+$J383)))))))),"")</f>
        <v>Non al Carico</v>
      </c>
      <c r="I383" s="17" t="str">
        <f ca="1">IFERROR(IF($H383&lt;&gt;"",IF($H383="Safe Parking","",IF($W383&lt;&gt;"",IF(AND($U383="X",$V383="X"),$H383-(--"00:30"),""),IF($X383&lt;&gt;"","Mezzo Chiuso","Non al carico"))),""),"")</f>
        <v>Non al carico</v>
      </c>
      <c r="J383" s="306">
        <f ca="1">IFERROR(IF($B383&lt;&gt;"",IF(AND('INformazioni per calcoli'!$AB$3&lt;(--"15:00"),'INformazioni per calcoli'!$AB$3&gt;(--"00:00")),0,IF($G383&lt;(--"18:30"),"+1",0)),""),"")</f>
        <v>0</v>
      </c>
      <c r="K383" s="27">
        <f>IF(E383&lt;&gt;"",IFERROR(VLOOKUP(E383,Outlist!$A$5:$AC$120,22,FALSE),""),"")</f>
        <v>0</v>
      </c>
      <c r="L383" s="352" t="str">
        <f>IF(E383&lt;&gt;"",IFERROR(VLOOKUP(E383,Outlist!$A$5:$AC$120,3,FALSE),""),"")</f>
        <v>Transimeksa Uab</v>
      </c>
      <c r="M383" s="4" t="str">
        <f>IFERROR(_xlfn.XLOOKUP($Q383,'Elenco Casse'!$D:$D,'Elenco Casse'!$E:$E),"")</f>
        <v/>
      </c>
      <c r="N383" s="4" t="str">
        <f>IFERROR(_xlfn.XLOOKUP($Q383,'Elenco Casse'!$D:$D,'Elenco Casse'!$F:$F),"")</f>
        <v/>
      </c>
      <c r="O383" s="4" t="str">
        <f>IF($L383&lt;&gt;"","TT-2/3","")</f>
        <v>TT-2/3</v>
      </c>
      <c r="P383" s="296" t="str">
        <f>IFERROR(IF(VLOOKUP(E383,Outlist!$A$5:$AC$120,21,FALSE)="YES","Linea Variata",""),"")</f>
        <v/>
      </c>
      <c r="Q383" s="355">
        <f>IFERROR(VLOOKUP(E383,Outlist!$AK$4:$BH$139,13,FALSE),"")</f>
        <v>0</v>
      </c>
      <c r="R383" s="23"/>
      <c r="S383" s="25" t="str">
        <f>IFERROR(IF(VLOOKUP(E383,Outlist!$A$5:$AC$120,7,FALSE)="X","SUBCO",""),"")</f>
        <v/>
      </c>
      <c r="T383" s="25"/>
      <c r="U383" s="23"/>
      <c r="V383" s="23"/>
      <c r="W383" s="26"/>
      <c r="X383" s="27"/>
      <c r="Y383" s="25"/>
      <c r="Z383" s="25"/>
      <c r="AA383" s="25"/>
      <c r="AB383" s="57"/>
      <c r="AC383" s="25"/>
      <c r="AD383" s="25"/>
      <c r="AE383" s="57"/>
      <c r="AF383" s="57"/>
      <c r="AG383" s="25"/>
      <c r="AH383" s="57"/>
      <c r="AI383" s="339"/>
      <c r="AJ383" s="339"/>
      <c r="AK383" s="297" t="str">
        <f>IF(X383&lt;&gt;"",CONCATENATE(IF(AA383&lt;&gt;"",CONCATENATE(Z383," ",AA383," ",BI383),""),IF(AD383&lt;&gt;"",CONCATENATE(","," ",AC383," ",AD383," ",BJ383),""),IF(AG383&lt;&gt;"",CONCATENATE(","," ",AF383," ",AG383," ",BK383),""),IF(AJ383&lt;&gt;"",CONCATENATE(","," ","DD"," ",BL383),"")," ",IF(AI383&lt;&gt;"",CONCATENATE(" - ",AI383," Bag"),"")),"")</f>
        <v/>
      </c>
      <c r="AL383" s="287"/>
      <c r="AM383" s="287"/>
      <c r="AN383" s="287"/>
      <c r="AO383" s="287"/>
      <c r="AP383" s="370" t="str">
        <f>IFERROR(VLOOKUP($E383,Outlist!$A$5:$V$120,20,FALSE),"")</f>
        <v>OBBLIGATORIO</v>
      </c>
      <c r="AQ383" s="288" t="str">
        <f>IFERROR(IF(VLOOKUP($A383,#REF!,8,FALSE)&lt;&gt;"",VLOOKUP($A383,#REF!,8,FALSE),""),"")</f>
        <v/>
      </c>
      <c r="AS383" s="24"/>
      <c r="AT383" s="24"/>
      <c r="AU383" s="27"/>
      <c r="AV383" s="27"/>
      <c r="AX383" s="20" t="str">
        <f>IFERROR(IF(Out_Table[[#This Row],[Cancellazione linea]]="Cancellata","yes",""),"")</f>
        <v/>
      </c>
      <c r="AY383" s="72"/>
      <c r="AZ383" s="27"/>
      <c r="BA383" s="32"/>
      <c r="BB383" s="72"/>
      <c r="BC383" s="72" t="str">
        <f>IFERROR(VLOOKUP(Out_Table[[#This Row],[Aggiornamento STATUS]],'INformazioni per calcoli'!$Y$70:$AA$76,2,FALSE),"")</f>
        <v/>
      </c>
      <c r="BD383" s="289"/>
      <c r="BE383" s="289"/>
      <c r="BF383" s="47" t="str">
        <f>LEFT($E383,3)</f>
        <v>DFT</v>
      </c>
      <c r="BG383" s="298" t="str">
        <f>IF(Out_Table[[#This Row],[Ora Uscita    (GH)]]&lt;&gt;"","x","")</f>
        <v/>
      </c>
      <c r="BH383" s="299">
        <f>VLOOKUP($O383,'INformazioni per calcoli'!$Y$20:$AA$23,3,FALSE)</f>
        <v>14</v>
      </c>
      <c r="BI383" s="299">
        <f>MROUND(Out_Table[[#This Row],[Mtr. Trailer]]*AB383,0.5)</f>
        <v>0</v>
      </c>
      <c r="BJ383" s="299">
        <f>MROUND(Out_Table[[#This Row],[Mtr. Trailer]]*AE383,0.5)</f>
        <v>0</v>
      </c>
      <c r="BK383" s="299">
        <f>MROUND(Out_Table[[#This Row],[Mtr. Trailer]]*AH383,0.5)</f>
        <v>0</v>
      </c>
      <c r="BL383" s="300">
        <f>Out_Table[[#This Row],[Double Deck trailer N° bumpers]]</f>
        <v>0</v>
      </c>
      <c r="BM383" s="301"/>
      <c r="BN383" s="299" t="str">
        <f>B383</f>
        <v>ERN18370</v>
      </c>
      <c r="BO383" s="299" t="str">
        <f>E383</f>
        <v>DFT 3</v>
      </c>
      <c r="BP383" s="302">
        <f>IF(AND(G383&gt;(--"00:00:01"),G383&lt;(--"15:00:00")),IF(AND(X383&gt;(--"00:00:01"),X383&lt;(--"15:00:00")),G383-X383,G383+1-X383),G383-X383)</f>
        <v>1.4166666666642413</v>
      </c>
      <c r="BQ383" s="303">
        <f>AE383+AF383+AH383+AJ383</f>
        <v>0</v>
      </c>
      <c r="BR383" s="304" t="str">
        <f>IF(OR(BP383&lt;=(--"00:20:00"),BQ383&gt;=100%),"OK","Not OK")</f>
        <v>Not OK</v>
      </c>
      <c r="BS383" s="302">
        <f>IF(AND(G383&gt;(--"00:00:01"),G383&lt;(--"15:00:00")),IF(AND(AU383&gt;(--"00:00:01"),AU383&lt;(--"15:00:00")),G383-AU383,G383+1-AU383),G383-AU383)</f>
        <v>1.4166666666642413</v>
      </c>
      <c r="BT383" s="302">
        <f>IF(AND(AZ383&gt;(--"00:00:01"),AZ383&lt;(--"15:00:00")),IF(AND(AU383&gt;(--"00:00:01"),AU383&lt;(--"15:00:00")),AZ383-AU383,AZ383+1-AU383),AZ383-AU383)</f>
        <v>0</v>
      </c>
      <c r="BU383" s="302">
        <f>IF(AND(BA383&gt;(--"00:00:01"),BA383&lt;(--"15:00:00")),IF(AND(AZ383&gt;(--"00:00:01"),AZ383&lt;(--"15:00:00")),BA383-AZ383,BA383+1-AZ383),BA383-AZ383)</f>
        <v>0</v>
      </c>
      <c r="BV383" s="299">
        <f>AV383</f>
        <v>0</v>
      </c>
      <c r="BW383" s="301"/>
      <c r="BX383" s="299" t="str">
        <f>IF(AV383="T Status",IF(AV383&lt;&gt;T383,"X",""),"")</f>
        <v/>
      </c>
      <c r="BY383" s="301"/>
      <c r="BZ383" s="299" t="str">
        <f>IF(X383&lt;&gt;"",IF(CC383="X","Driver Delay",IF(CA383="X","Paperwork Delay",IF(CB383="X","Late freight late sort",IF(CD383="X","Chiamare Control Room",IF(CE383="X","Chiamare Control Room",IF(CF383="X","Chiamare Control Room","")))))),"")</f>
        <v/>
      </c>
      <c r="CA383" s="302" t="str">
        <f>IF(K383="",IF(IF(AND(G383&gt;(--"00:00:01"),G383&lt;(--"15:00:00")),IF(AND(AT383&gt;(--"08:00:00"),AT383&lt;(--"23:59:59")),G383+1-AT383,G383-AT383),G383-AT383)&gt;(--"00:20:00"),"","X"),"")</f>
        <v/>
      </c>
      <c r="CB383" s="299" t="str">
        <f>IF(K383="",IF(BP383&gt;=(--"00:20:00"),"","X"),"")</f>
        <v/>
      </c>
      <c r="CC383" s="299" t="str">
        <f>IF(OR(AV383="Autista non presente",AV383="Dati driver non presenti"),"X","")</f>
        <v/>
      </c>
      <c r="CD383" s="299" t="str">
        <f>IF(K383="",IF(AND(CC383="",BS383&lt;(--"00:20:00")),"X",""),"")</f>
        <v/>
      </c>
      <c r="CE383" s="299" t="str">
        <f>IF(K383="",IF(BT383&gt;(--"00:15:00"),"X",""),IF(AZ383&lt;&gt;"",IF(G383-AZ383&gt;(--"00:30:00"),"X",""),""))</f>
        <v/>
      </c>
      <c r="CF383" s="299" t="str">
        <f>IF(AND(CA383="",CB383="",CC383="",CD383="",CE383=""),"X","")</f>
        <v>X</v>
      </c>
      <c r="CG383" s="301"/>
      <c r="CH383" s="299" t="str">
        <f>IF(BT383&gt;(--"00:15:00"),"X","")</f>
        <v/>
      </c>
      <c r="CI383" s="302">
        <f>AY383</f>
        <v>0</v>
      </c>
      <c r="CJ383" s="299" t="str">
        <f>IF(AND(CH383&lt;&gt;"",CI383&lt;&gt;"",LEFT(B383,3)="ITD"),AP383,"")</f>
        <v/>
      </c>
      <c r="CK383" s="305" t="str">
        <f>IF(CJ383&lt;&gt;"",BT383,"")</f>
        <v/>
      </c>
      <c r="CL383" s="301"/>
      <c r="CM383" s="305" t="str">
        <f>IFERROR(VLOOKUP(Q383,'Elenco Casse'!$D$4:$F$292,3,FALSE),"")</f>
        <v/>
      </c>
      <c r="CN383" s="301"/>
      <c r="CO383" s="305">
        <f>IFERROR(VLOOKUP(E383,Outlist!$A$5:$H$120,8,FALSE),"")</f>
        <v>0</v>
      </c>
      <c r="CP383" s="305" t="str">
        <f>IFERROR(IF(VLOOKUP($E383,Outlist!$A$5:$S$120,19,FALSE)&lt;&gt;0,"Y",""),"")</f>
        <v/>
      </c>
      <c r="CQ383" s="301"/>
      <c r="CR383" s="305" t="str">
        <f>CONCATENATE($B383,$E383,$G383)</f>
        <v>ERN18370DFT 30.416666666664241</v>
      </c>
      <c r="CS383" s="301"/>
      <c r="CT383" s="305">
        <f>VLOOKUP(Out_Table[[#This Row],[Destination             ORANGE (From Planning)]],Outlist!$A$5:$W$120,22,FALSE)</f>
        <v>0</v>
      </c>
    </row>
    <row r="384" spans="1:98" s="20" customFormat="1" ht="30.75">
      <c r="A384" s="305" t="str">
        <f>$CR384</f>
        <v>ERN92354QAR 60.416666666664241</v>
      </c>
      <c r="B384" s="351" t="str">
        <f>IFERROR(VLOOKUP(E384,Outlist!$A$5:$AC$120,2,FALSE),"")</f>
        <v>ERN92354</v>
      </c>
      <c r="C384" s="352" t="str">
        <f>IFERROR(IF(LEFT(B384,3)='STAT 77'!$X$2,_xlfn.XLOOKUP(B384,'STAT 77'!C:C,'STAT 77'!B:B),_xlfn.XLOOKUP(B384,'STAT 77'!B:B,'STAT 77'!C:C)),"NON TROVATO")</f>
        <v>ERN91162</v>
      </c>
      <c r="D384" s="4"/>
      <c r="E384" s="352" t="str">
        <f>IFERROR(IF(Outlist!$A26&lt;&gt;"",Outlist!$A26,""),"")</f>
        <v>QAR 6</v>
      </c>
      <c r="F384" s="352" t="str">
        <f>IFERROR(VLOOKUP(E384,'Cambio O2P'!C:E,2,FALSE),"")</f>
        <v/>
      </c>
      <c r="G384" s="353">
        <f>IFERROR(VLOOKUP(E384,Outlist!$A$5:$AC$120,5,FALSE)-INT(VLOOKUP(E384,Outlist!$A$5:$AC$120,5,FALSE)),"")</f>
        <v>0.41666666666424135</v>
      </c>
      <c r="H384" s="294" t="str">
        <f ca="1">IFERROR(IF(AND('INformazioni per calcoli'!$AB$3&lt;(--"14:30"),'INformazioni per calcoli'!$AB$3&gt;(--"10:00")),"",IF($B384="","",IF($X384&lt;&gt;"","Mezzo Chiuso",IF($W384="","Non al Carico",IF($K384="Safe Parking","Safe Parking", IF(OR($BF384='INformazioni per calcoli'!$AF$8,$BF384='INformazioni per calcoli'!$AC$8,$BF384='INformazioni per calcoli'!$AD$8,$BF384='INformazioni per calcoli'!$AE$8,$BF384='INformazioni per calcoli'!$AG$8,$BF384='INformazioni per calcoli'!$AH$8,$BF384='INformazioni per calcoli'!$AI$8,$BF384='INformazioni per calcoli'!$AJ$8),IF($G384-'INformazioni per calcoli'!$AB$6-'INformazioni per calcoli'!$AB$3+$J384&lt;0,"LFLS",$G384-'INformazioni per calcoli'!$AB$6-'INformazioni per calcoli'!$AB$3+$J384), IF(OR($BF384='INformazioni per calcoli'!$AF$6,$BF384='INformazioni per calcoli'!$AD$6,$BF384='INformazioni per calcoli'!$AE$6,$BF384='INformazioni per calcoli'!$AG$6),IF($G384-'INformazioni per calcoli'!$AB$8-'INformazioni per calcoli'!$AB$3+$J384&lt;0,"LFLS",$G384-'INformazioni per calcoli'!$AB$8-'INformazioni per calcoli'!$AB$3+$J384), IF($G384-'INformazioni per calcoli'!$AB$7-'INformazioni per calcoli'!$AB$3+$J384&lt;0,"LFLS",$G384-'INformazioni per calcoli'!$AB$7-'INformazioni per calcoli'!$AB$3+$J384)))))))),"")</f>
        <v>Non al Carico</v>
      </c>
      <c r="I384" s="17" t="str">
        <f ca="1">IFERROR(IF($H384&lt;&gt;"",IF($H384="Safe Parking","",IF($W384&lt;&gt;"",IF(AND($U384="X",$V384="X"),$H384-(--"00:30"),""),IF($X384&lt;&gt;"","Mezzo Chiuso","Non al carico"))),""),"")</f>
        <v>Non al carico</v>
      </c>
      <c r="J384" s="306">
        <f ca="1">IFERROR(IF($B384&lt;&gt;"",IF(AND('INformazioni per calcoli'!$AB$3&lt;(--"15:00"),'INformazioni per calcoli'!$AB$3&gt;(--"00:00")),0,IF($G384&lt;(--"18:30"),"+1",0)),""),"")</f>
        <v>0</v>
      </c>
      <c r="K384" s="27">
        <f>IF(E384&lt;&gt;"",IFERROR(VLOOKUP(E384,Outlist!$A$5:$AC$120,22,FALSE),""),"")</f>
        <v>0</v>
      </c>
      <c r="L384" s="352" t="str">
        <f>IF(E384&lt;&gt;"",IFERROR(VLOOKUP(E384,Outlist!$A$5:$AC$120,3,FALSE),""),"")</f>
        <v>Etb Freight International Kft.</v>
      </c>
      <c r="M384" s="4" t="str">
        <f>IFERROR(_xlfn.XLOOKUP($Q384,'Elenco Casse'!$D:$D,'Elenco Casse'!$E:$E),"")</f>
        <v/>
      </c>
      <c r="N384" s="4" t="str">
        <f>IFERROR(_xlfn.XLOOKUP($Q384,'Elenco Casse'!$D:$D,'Elenco Casse'!$F:$F),"")</f>
        <v/>
      </c>
      <c r="O384" s="4" t="str">
        <f>IF($L384&lt;&gt;"","TT-2/3","")</f>
        <v>TT-2/3</v>
      </c>
      <c r="P384" s="296" t="str">
        <f>IFERROR(IF(VLOOKUP(E384,Outlist!$A$5:$AC$120,21,FALSE)="YES","Linea Variata",""),"")</f>
        <v/>
      </c>
      <c r="Q384" s="355">
        <f>IFERROR(VLOOKUP(E384,Outlist!$AK$4:$BH$139,13,FALSE),"")</f>
        <v>0</v>
      </c>
      <c r="R384" s="23"/>
      <c r="S384" s="25" t="str">
        <f>IFERROR(IF(VLOOKUP(E384,Outlist!$A$5:$AC$120,7,FALSE)="X","SUBCO",""),"")</f>
        <v/>
      </c>
      <c r="T384" s="25"/>
      <c r="U384" s="23"/>
      <c r="V384" s="23"/>
      <c r="W384" s="26"/>
      <c r="X384" s="27"/>
      <c r="Y384" s="25"/>
      <c r="Z384" s="25"/>
      <c r="AA384" s="25"/>
      <c r="AB384" s="57"/>
      <c r="AC384" s="25"/>
      <c r="AD384" s="25"/>
      <c r="AE384" s="57"/>
      <c r="AF384" s="57"/>
      <c r="AG384" s="25"/>
      <c r="AH384" s="57"/>
      <c r="AI384" s="339"/>
      <c r="AJ384" s="339"/>
      <c r="AK384" s="297" t="str">
        <f>IF(X384&lt;&gt;"",CONCATENATE(IF(AA384&lt;&gt;"",CONCATENATE(Z384," ",AA384," ",BI384),""),IF(AD384&lt;&gt;"",CONCATENATE(","," ",AC384," ",AD384," ",BJ384),""),IF(AG384&lt;&gt;"",CONCATENATE(","," ",AF384," ",AG384," ",BK384),""),IF(AJ384&lt;&gt;"",CONCATENATE(","," ","DD"," ",BL384),"")," ",IF(AI384&lt;&gt;"",CONCATENATE(" - ",AI384," Bag"),"")),"")</f>
        <v/>
      </c>
      <c r="AL384" s="287"/>
      <c r="AM384" s="287"/>
      <c r="AN384" s="287"/>
      <c r="AO384" s="287"/>
      <c r="AP384" s="370">
        <f>IFERROR(VLOOKUP($E384,Outlist!$A$5:$V$120,20,FALSE),"")</f>
        <v>0</v>
      </c>
      <c r="AQ384" s="288" t="str">
        <f>IFERROR(IF(VLOOKUP($A384,#REF!,8,FALSE)&lt;&gt;"",VLOOKUP($A384,#REF!,8,FALSE),""),"")</f>
        <v/>
      </c>
      <c r="AS384" s="24"/>
      <c r="AT384" s="24"/>
      <c r="AU384" s="27"/>
      <c r="AV384" s="27"/>
      <c r="AX384" s="20" t="str">
        <f>IFERROR(IF(Out_Table[[#This Row],[Cancellazione linea]]="Cancellata","yes",""),"")</f>
        <v/>
      </c>
      <c r="AY384" s="72"/>
      <c r="AZ384" s="27"/>
      <c r="BA384" s="32"/>
      <c r="BB384" s="72"/>
      <c r="BC384" s="72" t="str">
        <f>IFERROR(VLOOKUP(Out_Table[[#This Row],[Aggiornamento STATUS]],'INformazioni per calcoli'!$Y$70:$AA$76,2,FALSE),"")</f>
        <v/>
      </c>
      <c r="BD384" s="289"/>
      <c r="BE384" s="289"/>
      <c r="BF384" s="47" t="str">
        <f>LEFT($E384,3)</f>
        <v>QAR</v>
      </c>
      <c r="BG384" s="298" t="str">
        <f>IF(Out_Table[[#This Row],[Ora Uscita    (GH)]]&lt;&gt;"","x","")</f>
        <v/>
      </c>
      <c r="BH384" s="299">
        <f>VLOOKUP($O384,'INformazioni per calcoli'!$Y$20:$AA$23,3,FALSE)</f>
        <v>14</v>
      </c>
      <c r="BI384" s="299">
        <f>MROUND(Out_Table[[#This Row],[Mtr. Trailer]]*AB384,0.5)</f>
        <v>0</v>
      </c>
      <c r="BJ384" s="299">
        <f>MROUND(Out_Table[[#This Row],[Mtr. Trailer]]*AE384,0.5)</f>
        <v>0</v>
      </c>
      <c r="BK384" s="299">
        <f>MROUND(Out_Table[[#This Row],[Mtr. Trailer]]*AH384,0.5)</f>
        <v>0</v>
      </c>
      <c r="BL384" s="300">
        <f>Out_Table[[#This Row],[Double Deck trailer N° bumpers]]</f>
        <v>0</v>
      </c>
      <c r="BM384" s="301"/>
      <c r="BN384" s="299" t="str">
        <f>B384</f>
        <v>ERN92354</v>
      </c>
      <c r="BO384" s="299" t="str">
        <f>E384</f>
        <v>QAR 6</v>
      </c>
      <c r="BP384" s="302">
        <f>IF(AND(G384&gt;(--"00:00:01"),G384&lt;(--"15:00:00")),IF(AND(X384&gt;(--"00:00:01"),X384&lt;(--"15:00:00")),G384-X384,G384+1-X384),G384-X384)</f>
        <v>1.4166666666642413</v>
      </c>
      <c r="BQ384" s="303">
        <f>AE384+AF384+AH384+AJ384</f>
        <v>0</v>
      </c>
      <c r="BR384" s="304" t="str">
        <f>IF(OR(BP384&lt;=(--"00:20:00"),BQ384&gt;=100%),"OK","Not OK")</f>
        <v>Not OK</v>
      </c>
      <c r="BS384" s="302">
        <f>IF(AND(G384&gt;(--"00:00:01"),G384&lt;(--"15:00:00")),IF(AND(AU384&gt;(--"00:00:01"),AU384&lt;(--"15:00:00")),G384-AU384,G384+1-AU384),G384-AU384)</f>
        <v>1.4166666666642413</v>
      </c>
      <c r="BT384" s="302">
        <f>IF(AND(AZ384&gt;(--"00:00:01"),AZ384&lt;(--"15:00:00")),IF(AND(AU384&gt;(--"00:00:01"),AU384&lt;(--"15:00:00")),AZ384-AU384,AZ384+1-AU384),AZ384-AU384)</f>
        <v>0</v>
      </c>
      <c r="BU384" s="302">
        <f>IF(AND(BA384&gt;(--"00:00:01"),BA384&lt;(--"15:00:00")),IF(AND(AZ384&gt;(--"00:00:01"),AZ384&lt;(--"15:00:00")),BA384-AZ384,BA384+1-AZ384),BA384-AZ384)</f>
        <v>0</v>
      </c>
      <c r="BV384" s="299">
        <f>AV384</f>
        <v>0</v>
      </c>
      <c r="BW384" s="301"/>
      <c r="BX384" s="299" t="str">
        <f>IF(AV384="T Status",IF(AV384&lt;&gt;T384,"X",""),"")</f>
        <v/>
      </c>
      <c r="BY384" s="301"/>
      <c r="BZ384" s="299" t="str">
        <f>IF(X384&lt;&gt;"",IF(CC384="X","Driver Delay",IF(CA384="X","Paperwork Delay",IF(CB384="X","Late freight late sort",IF(CD384="X","Chiamare Control Room",IF(CE384="X","Chiamare Control Room",IF(CF384="X","Chiamare Control Room","")))))),"")</f>
        <v/>
      </c>
      <c r="CA384" s="302" t="str">
        <f>IF(K384="",IF(IF(AND(G384&gt;(--"00:00:01"),G384&lt;(--"15:00:00")),IF(AND(AT384&gt;(--"08:00:00"),AT384&lt;(--"23:59:59")),G384+1-AT384,G384-AT384),G384-AT384)&gt;(--"00:20:00"),"","X"),"")</f>
        <v/>
      </c>
      <c r="CB384" s="299" t="str">
        <f>IF(K384="",IF(BP384&gt;=(--"00:20:00"),"","X"),"")</f>
        <v/>
      </c>
      <c r="CC384" s="299" t="str">
        <f>IF(OR(AV384="Autista non presente",AV384="Dati driver non presenti"),"X","")</f>
        <v/>
      </c>
      <c r="CD384" s="299" t="str">
        <f>IF(K384="",IF(AND(CC384="",BS384&lt;(--"00:20:00")),"X",""),"")</f>
        <v/>
      </c>
      <c r="CE384" s="299" t="str">
        <f>IF(K384="",IF(BT384&gt;(--"00:15:00"),"X",""),IF(AZ384&lt;&gt;"",IF(G384-AZ384&gt;(--"00:30:00"),"X",""),""))</f>
        <v/>
      </c>
      <c r="CF384" s="299" t="str">
        <f>IF(AND(CA384="",CB384="",CC384="",CD384="",CE384=""),"X","")</f>
        <v>X</v>
      </c>
      <c r="CG384" s="301"/>
      <c r="CH384" s="299" t="str">
        <f>IF(BT384&gt;(--"00:15:00"),"X","")</f>
        <v/>
      </c>
      <c r="CI384" s="302">
        <f>AY384</f>
        <v>0</v>
      </c>
      <c r="CJ384" s="299" t="str">
        <f>IF(AND(CH384&lt;&gt;"",CI384&lt;&gt;"",LEFT(B384,3)="ITD"),AP384,"")</f>
        <v/>
      </c>
      <c r="CK384" s="305" t="str">
        <f>IF(CJ384&lt;&gt;"",BT384,"")</f>
        <v/>
      </c>
      <c r="CL384" s="301"/>
      <c r="CM384" s="305" t="str">
        <f>IFERROR(VLOOKUP(Q384,'Elenco Casse'!$D$4:$F$292,3,FALSE),"")</f>
        <v/>
      </c>
      <c r="CN384" s="301"/>
      <c r="CO384" s="305">
        <f>IFERROR(VLOOKUP(E384,Outlist!$A$5:$H$120,8,FALSE),"")</f>
        <v>0</v>
      </c>
      <c r="CP384" s="305" t="str">
        <f>IFERROR(IF(VLOOKUP($E384,Outlist!$A$5:$S$120,19,FALSE)&lt;&gt;0,"Y",""),"")</f>
        <v/>
      </c>
      <c r="CQ384" s="301"/>
      <c r="CR384" s="305" t="str">
        <f>CONCATENATE($B384,$E384,$G384)</f>
        <v>ERN92354QAR 60.416666666664241</v>
      </c>
      <c r="CS384" s="301"/>
      <c r="CT384" s="305">
        <f>VLOOKUP(Out_Table[[#This Row],[Destination             ORANGE (From Planning)]],Outlist!$A$5:$W$120,22,FALSE)</f>
        <v>0</v>
      </c>
    </row>
    <row r="385" spans="1:98" s="20" customFormat="1" ht="30.75">
      <c r="A385" s="305" t="str">
        <f>$CR385</f>
        <v>ERN92355QAR 70.416666666664241</v>
      </c>
      <c r="B385" s="351" t="str">
        <f>IFERROR(VLOOKUP(E385,Outlist!$A$5:$AC$120,2,FALSE),"")</f>
        <v>ERN92355</v>
      </c>
      <c r="C385" s="352" t="str">
        <f>IFERROR(IF(LEFT(B385,3)='STAT 77'!$X$2,_xlfn.XLOOKUP(B385,'STAT 77'!C:C,'STAT 77'!B:B),_xlfn.XLOOKUP(B385,'STAT 77'!B:B,'STAT 77'!C:C)),"NON TROVATO")</f>
        <v>ERN91163</v>
      </c>
      <c r="D385" s="4"/>
      <c r="E385" s="352" t="str">
        <f>IFERROR(IF(Outlist!$A27&lt;&gt;"",Outlist!$A27,""),"")</f>
        <v>QAR 7</v>
      </c>
      <c r="F385" s="352" t="str">
        <f>IFERROR(VLOOKUP(E385,'Cambio O2P'!C:E,2,FALSE),"")</f>
        <v/>
      </c>
      <c r="G385" s="353">
        <f>IFERROR(VLOOKUP(E385,Outlist!$A$5:$AC$120,5,FALSE)-INT(VLOOKUP(E385,Outlist!$A$5:$AC$120,5,FALSE)),"")</f>
        <v>0.41666666666424135</v>
      </c>
      <c r="H385" s="294" t="str">
        <f ca="1">IFERROR(IF(AND('INformazioni per calcoli'!$AB$3&lt;(--"14:30"),'INformazioni per calcoli'!$AB$3&gt;(--"10:00")),"",IF($B385="","",IF($X385&lt;&gt;"","Mezzo Chiuso",IF($W385="","Non al Carico",IF($K385="Safe Parking","Safe Parking", IF(OR($BF385='INformazioni per calcoli'!$AF$8,$BF385='INformazioni per calcoli'!$AC$8,$BF385='INformazioni per calcoli'!$AD$8,$BF385='INformazioni per calcoli'!$AE$8,$BF385='INformazioni per calcoli'!$AG$8,$BF385='INformazioni per calcoli'!$AH$8,$BF385='INformazioni per calcoli'!$AI$8,$BF385='INformazioni per calcoli'!$AJ$8),IF($G385-'INformazioni per calcoli'!$AB$6-'INformazioni per calcoli'!$AB$3+$J385&lt;0,"LFLS",$G385-'INformazioni per calcoli'!$AB$6-'INformazioni per calcoli'!$AB$3+$J385), IF(OR($BF385='INformazioni per calcoli'!$AF$6,$BF385='INformazioni per calcoli'!$AD$6,$BF385='INformazioni per calcoli'!$AE$6,$BF385='INformazioni per calcoli'!$AG$6),IF($G385-'INformazioni per calcoli'!$AB$8-'INformazioni per calcoli'!$AB$3+$J385&lt;0,"LFLS",$G385-'INformazioni per calcoli'!$AB$8-'INformazioni per calcoli'!$AB$3+$J385), IF($G385-'INformazioni per calcoli'!$AB$7-'INformazioni per calcoli'!$AB$3+$J385&lt;0,"LFLS",$G385-'INformazioni per calcoli'!$AB$7-'INformazioni per calcoli'!$AB$3+$J385)))))))),"")</f>
        <v>Non al Carico</v>
      </c>
      <c r="I385" s="17" t="str">
        <f ca="1">IFERROR(IF($H385&lt;&gt;"",IF($H385="Safe Parking","",IF($W385&lt;&gt;"",IF(AND($U385="X",$V385="X"),$H385-(--"00:30"),""),IF($X385&lt;&gt;"","Mezzo Chiuso","Non al carico"))),""),"")</f>
        <v>Non al carico</v>
      </c>
      <c r="J385" s="306">
        <f ca="1">IFERROR(IF($B385&lt;&gt;"",IF(AND('INformazioni per calcoli'!$AB$3&lt;(--"15:00"),'INformazioni per calcoli'!$AB$3&gt;(--"00:00")),0,IF($G385&lt;(--"18:30"),"+1",0)),""),"")</f>
        <v>0</v>
      </c>
      <c r="K385" s="27">
        <f>IF(E385&lt;&gt;"",IFERROR(VLOOKUP(E385,Outlist!$A$5:$AC$120,22,FALSE),""),"")</f>
        <v>0</v>
      </c>
      <c r="L385" s="352" t="str">
        <f>IF(E385&lt;&gt;"",IFERROR(VLOOKUP(E385,Outlist!$A$5:$AC$120,3,FALSE),""),"")</f>
        <v>T Service Spa</v>
      </c>
      <c r="M385" s="4" t="str">
        <f>IFERROR(_xlfn.XLOOKUP($Q385,'Elenco Casse'!$D:$D,'Elenco Casse'!$E:$E),"")</f>
        <v/>
      </c>
      <c r="N385" s="4" t="str">
        <f>IFERROR(_xlfn.XLOOKUP($Q385,'Elenco Casse'!$D:$D,'Elenco Casse'!$F:$F),"")</f>
        <v/>
      </c>
      <c r="O385" s="4" t="str">
        <f>IF($L385&lt;&gt;"","TT-2/3","")</f>
        <v>TT-2/3</v>
      </c>
      <c r="P385" s="296" t="str">
        <f>IFERROR(IF(VLOOKUP(E385,Outlist!$A$5:$AC$120,21,FALSE)="YES","Linea Variata",""),"")</f>
        <v/>
      </c>
      <c r="Q385" s="355">
        <f>IFERROR(VLOOKUP(E385,Outlist!$AK$4:$BH$139,13,FALSE),"")</f>
        <v>0</v>
      </c>
      <c r="R385" s="23"/>
      <c r="S385" s="25" t="str">
        <f>IFERROR(IF(VLOOKUP(E385,Outlist!$A$5:$AC$120,7,FALSE)="X","SUBCO",""),"")</f>
        <v/>
      </c>
      <c r="T385" s="25"/>
      <c r="U385" s="23"/>
      <c r="V385" s="23"/>
      <c r="W385" s="26"/>
      <c r="X385" s="27"/>
      <c r="Y385" s="25"/>
      <c r="Z385" s="25"/>
      <c r="AA385" s="25"/>
      <c r="AB385" s="57"/>
      <c r="AC385" s="25"/>
      <c r="AD385" s="25"/>
      <c r="AE385" s="57"/>
      <c r="AF385" s="57"/>
      <c r="AG385" s="25"/>
      <c r="AH385" s="57"/>
      <c r="AI385" s="339"/>
      <c r="AJ385" s="339"/>
      <c r="AK385" s="297" t="str">
        <f>IF(X385&lt;&gt;"",CONCATENATE(IF(AA385&lt;&gt;"",CONCATENATE(Z385," ",AA385," ",BI385),""),IF(AD385&lt;&gt;"",CONCATENATE(","," ",AC385," ",AD385," ",BJ385),""),IF(AG385&lt;&gt;"",CONCATENATE(","," ",AF385," ",AG385," ",BK385),""),IF(AJ385&lt;&gt;"",CONCATENATE(","," ","DD"," ",BL385),"")," ",IF(AI385&lt;&gt;"",CONCATENATE(" - ",AI385," Bag"),"")),"")</f>
        <v/>
      </c>
      <c r="AL385" s="287"/>
      <c r="AM385" s="287"/>
      <c r="AN385" s="287"/>
      <c r="AO385" s="287"/>
      <c r="AP385" s="370">
        <f>IFERROR(VLOOKUP($E385,Outlist!$A$5:$V$120,20,FALSE),"")</f>
        <v>0</v>
      </c>
      <c r="AQ385" s="288" t="str">
        <f>IFERROR(IF(VLOOKUP($A385,#REF!,8,FALSE)&lt;&gt;"",VLOOKUP($A385,#REF!,8,FALSE),""),"")</f>
        <v/>
      </c>
      <c r="AS385" s="24"/>
      <c r="AT385" s="24"/>
      <c r="AU385" s="27"/>
      <c r="AV385" s="27"/>
      <c r="AX385" s="20" t="str">
        <f>IFERROR(IF(Out_Table[[#This Row],[Cancellazione linea]]="Cancellata","yes",""),"")</f>
        <v/>
      </c>
      <c r="AY385" s="72"/>
      <c r="AZ385" s="27"/>
      <c r="BA385" s="32"/>
      <c r="BB385" s="72"/>
      <c r="BC385" s="72" t="str">
        <f>IFERROR(VLOOKUP(Out_Table[[#This Row],[Aggiornamento STATUS]],'INformazioni per calcoli'!$Y$70:$AA$76,2,FALSE),"")</f>
        <v/>
      </c>
      <c r="BD385" s="289"/>
      <c r="BE385" s="289"/>
      <c r="BF385" s="47" t="str">
        <f>LEFT($E385,3)</f>
        <v>QAR</v>
      </c>
      <c r="BG385" s="298" t="str">
        <f>IF(Out_Table[[#This Row],[Ora Uscita    (GH)]]&lt;&gt;"","x","")</f>
        <v/>
      </c>
      <c r="BH385" s="299">
        <f>VLOOKUP($O385,'INformazioni per calcoli'!$Y$20:$AA$23,3,FALSE)</f>
        <v>14</v>
      </c>
      <c r="BI385" s="299">
        <f>MROUND(Out_Table[[#This Row],[Mtr. Trailer]]*AB385,0.5)</f>
        <v>0</v>
      </c>
      <c r="BJ385" s="299">
        <f>MROUND(Out_Table[[#This Row],[Mtr. Trailer]]*AE385,0.5)</f>
        <v>0</v>
      </c>
      <c r="BK385" s="299">
        <f>MROUND(Out_Table[[#This Row],[Mtr. Trailer]]*AH385,0.5)</f>
        <v>0</v>
      </c>
      <c r="BL385" s="300">
        <f>Out_Table[[#This Row],[Double Deck trailer N° bumpers]]</f>
        <v>0</v>
      </c>
      <c r="BM385" s="301"/>
      <c r="BN385" s="299" t="str">
        <f>B385</f>
        <v>ERN92355</v>
      </c>
      <c r="BO385" s="299" t="str">
        <f>E385</f>
        <v>QAR 7</v>
      </c>
      <c r="BP385" s="302">
        <f>IF(AND(G385&gt;(--"00:00:01"),G385&lt;(--"15:00:00")),IF(AND(X385&gt;(--"00:00:01"),X385&lt;(--"15:00:00")),G385-X385,G385+1-X385),G385-X385)</f>
        <v>1.4166666666642413</v>
      </c>
      <c r="BQ385" s="303">
        <f>AE385+AF385+AH385+AJ385</f>
        <v>0</v>
      </c>
      <c r="BR385" s="304" t="str">
        <f>IF(OR(BP385&lt;=(--"00:20:00"),BQ385&gt;=100%),"OK","Not OK")</f>
        <v>Not OK</v>
      </c>
      <c r="BS385" s="302">
        <f>IF(AND(G385&gt;(--"00:00:01"),G385&lt;(--"15:00:00")),IF(AND(AU385&gt;(--"00:00:01"),AU385&lt;(--"15:00:00")),G385-AU385,G385+1-AU385),G385-AU385)</f>
        <v>1.4166666666642413</v>
      </c>
      <c r="BT385" s="302">
        <f>IF(AND(AZ385&gt;(--"00:00:01"),AZ385&lt;(--"15:00:00")),IF(AND(AU385&gt;(--"00:00:01"),AU385&lt;(--"15:00:00")),AZ385-AU385,AZ385+1-AU385),AZ385-AU385)</f>
        <v>0</v>
      </c>
      <c r="BU385" s="302">
        <f>IF(AND(BA385&gt;(--"00:00:01"),BA385&lt;(--"15:00:00")),IF(AND(AZ385&gt;(--"00:00:01"),AZ385&lt;(--"15:00:00")),BA385-AZ385,BA385+1-AZ385),BA385-AZ385)</f>
        <v>0</v>
      </c>
      <c r="BV385" s="299">
        <f>AV385</f>
        <v>0</v>
      </c>
      <c r="BW385" s="301"/>
      <c r="BX385" s="299" t="str">
        <f>IF(AV385="T Status",IF(AV385&lt;&gt;T385,"X",""),"")</f>
        <v/>
      </c>
      <c r="BY385" s="301"/>
      <c r="BZ385" s="299" t="str">
        <f>IF(X385&lt;&gt;"",IF(CC385="X","Driver Delay",IF(CA385="X","Paperwork Delay",IF(CB385="X","Late freight late sort",IF(CD385="X","Chiamare Control Room",IF(CE385="X","Chiamare Control Room",IF(CF385="X","Chiamare Control Room","")))))),"")</f>
        <v/>
      </c>
      <c r="CA385" s="302" t="str">
        <f>IF(K385="",IF(IF(AND(G385&gt;(--"00:00:01"),G385&lt;(--"15:00:00")),IF(AND(AT385&gt;(--"08:00:00"),AT385&lt;(--"23:59:59")),G385+1-AT385,G385-AT385),G385-AT385)&gt;(--"00:20:00"),"","X"),"")</f>
        <v/>
      </c>
      <c r="CB385" s="299" t="str">
        <f>IF(K385="",IF(BP385&gt;=(--"00:20:00"),"","X"),"")</f>
        <v/>
      </c>
      <c r="CC385" s="299" t="str">
        <f>IF(OR(AV385="Autista non presente",AV385="Dati driver non presenti"),"X","")</f>
        <v/>
      </c>
      <c r="CD385" s="299" t="str">
        <f>IF(K385="",IF(AND(CC385="",BS385&lt;(--"00:20:00")),"X",""),"")</f>
        <v/>
      </c>
      <c r="CE385" s="299" t="str">
        <f>IF(K385="",IF(BT385&gt;(--"00:15:00"),"X",""),IF(AZ385&lt;&gt;"",IF(G385-AZ385&gt;(--"00:30:00"),"X",""),""))</f>
        <v/>
      </c>
      <c r="CF385" s="299" t="str">
        <f>IF(AND(CA385="",CB385="",CC385="",CD385="",CE385=""),"X","")</f>
        <v>X</v>
      </c>
      <c r="CG385" s="301"/>
      <c r="CH385" s="299" t="str">
        <f>IF(BT385&gt;(--"00:15:00"),"X","")</f>
        <v/>
      </c>
      <c r="CI385" s="302">
        <f>AY385</f>
        <v>0</v>
      </c>
      <c r="CJ385" s="299" t="str">
        <f>IF(AND(CH385&lt;&gt;"",CI385&lt;&gt;"",LEFT(B385,3)="ITD"),AP385,"")</f>
        <v/>
      </c>
      <c r="CK385" s="305" t="str">
        <f>IF(CJ385&lt;&gt;"",BT385,"")</f>
        <v/>
      </c>
      <c r="CL385" s="301"/>
      <c r="CM385" s="305" t="str">
        <f>IFERROR(VLOOKUP(Q385,'Elenco Casse'!$D$4:$F$292,3,FALSE),"")</f>
        <v/>
      </c>
      <c r="CN385" s="301"/>
      <c r="CO385" s="305">
        <f>IFERROR(VLOOKUP(E385,Outlist!$A$5:$H$120,8,FALSE),"")</f>
        <v>0</v>
      </c>
      <c r="CP385" s="305" t="str">
        <f>IFERROR(IF(VLOOKUP($E385,Outlist!$A$5:$S$120,19,FALSE)&lt;&gt;0,"Y",""),"")</f>
        <v/>
      </c>
      <c r="CQ385" s="301"/>
      <c r="CR385" s="305" t="str">
        <f>CONCATENATE($B385,$E385,$G385)</f>
        <v>ERN92355QAR 70.416666666664241</v>
      </c>
      <c r="CS385" s="301"/>
      <c r="CT385" s="305">
        <f>VLOOKUP(Out_Table[[#This Row],[Destination             ORANGE (From Planning)]],Outlist!$A$5:$W$120,22,FALSE)</f>
        <v>0</v>
      </c>
    </row>
    <row r="386" spans="1:98" s="20" customFormat="1" ht="30.75">
      <c r="A386" s="305" t="str">
        <f>$CR386</f>
        <v>ERN04154KG4 30.416666666664241</v>
      </c>
      <c r="B386" s="351" t="str">
        <f>IFERROR(VLOOKUP(E386,Outlist!$A$5:$AC$120,2,FALSE),"")</f>
        <v>ERN04154</v>
      </c>
      <c r="C386" s="352" t="str">
        <f>IFERROR(IF(LEFT(B386,3)='STAT 77'!$X$2,_xlfn.XLOOKUP(B386,'STAT 77'!C:C,'STAT 77'!B:B),_xlfn.XLOOKUP(B386,'STAT 77'!B:B,'STAT 77'!C:C)),"NON TROVATO")</f>
        <v>ERN02120</v>
      </c>
      <c r="D386" s="4"/>
      <c r="E386" s="352" t="str">
        <f>IFERROR(IF(Outlist!$A32&lt;&gt;"",Outlist!$A32,""),"")</f>
        <v>KG4 3</v>
      </c>
      <c r="F386" s="352" t="str">
        <f>IFERROR(VLOOKUP(E386,'Cambio O2P'!C:E,2,FALSE),"")</f>
        <v/>
      </c>
      <c r="G386" s="353">
        <f>IFERROR(VLOOKUP(E386,Outlist!$A$5:$AC$120,5,FALSE)-INT(VLOOKUP(E386,Outlist!$A$5:$AC$120,5,FALSE)),"")</f>
        <v>0.41666666666424135</v>
      </c>
      <c r="H386" s="294" t="str">
        <f ca="1">IFERROR(IF(AND('INformazioni per calcoli'!$AB$3&lt;(--"14:30"),'INformazioni per calcoli'!$AB$3&gt;(--"10:00")),"",IF($B386="","",IF($X386&lt;&gt;"","Mezzo Chiuso",IF($W386="","Non al Carico",IF($K386="Safe Parking","Safe Parking", IF(OR($BF386='INformazioni per calcoli'!$AF$8,$BF386='INformazioni per calcoli'!$AC$8,$BF386='INformazioni per calcoli'!$AD$8,$BF386='INformazioni per calcoli'!$AE$8,$BF386='INformazioni per calcoli'!$AG$8,$BF386='INformazioni per calcoli'!$AH$8,$BF386='INformazioni per calcoli'!$AI$8,$BF386='INformazioni per calcoli'!$AJ$8),IF($G386-'INformazioni per calcoli'!$AB$6-'INformazioni per calcoli'!$AB$3+$J386&lt;0,"LFLS",$G386-'INformazioni per calcoli'!$AB$6-'INformazioni per calcoli'!$AB$3+$J386), IF(OR($BF386='INformazioni per calcoli'!$AF$6,$BF386='INformazioni per calcoli'!$AD$6,$BF386='INformazioni per calcoli'!$AE$6,$BF386='INformazioni per calcoli'!$AG$6),IF($G386-'INformazioni per calcoli'!$AB$8-'INformazioni per calcoli'!$AB$3+$J386&lt;0,"LFLS",$G386-'INformazioni per calcoli'!$AB$8-'INformazioni per calcoli'!$AB$3+$J386), IF($G386-'INformazioni per calcoli'!$AB$7-'INformazioni per calcoli'!$AB$3+$J386&lt;0,"LFLS",$G386-'INformazioni per calcoli'!$AB$7-'INformazioni per calcoli'!$AB$3+$J386)))))))),"")</f>
        <v>Non al Carico</v>
      </c>
      <c r="I386" s="17" t="str">
        <f ca="1">IFERROR(IF($H386&lt;&gt;"",IF($H386="Safe Parking","",IF($W386&lt;&gt;"",IF(AND($U386="X",$V386="X"),$H386-(--"00:30"),""),IF($X386&lt;&gt;"","Mezzo Chiuso","Non al carico"))),""),"")</f>
        <v>Non al carico</v>
      </c>
      <c r="J386" s="306">
        <f ca="1">IFERROR(IF($B386&lt;&gt;"",IF(AND('INformazioni per calcoli'!$AB$3&lt;(--"15:00"),'INformazioni per calcoli'!$AB$3&gt;(--"00:00")),0,IF($G386&lt;(--"18:30"),"+1",0)),""),"")</f>
        <v>0</v>
      </c>
      <c r="K386" s="27">
        <f>IF(E386&lt;&gt;"",IFERROR(VLOOKUP(E386,Outlist!$A$5:$AC$120,22,FALSE),""),"")</f>
        <v>0</v>
      </c>
      <c r="L386" s="352" t="str">
        <f>IF(E386&lt;&gt;"",IFERROR(VLOOKUP(E386,Outlist!$A$5:$AC$120,3,FALSE),""),"")</f>
        <v>Matelda Srl</v>
      </c>
      <c r="M386" s="4" t="str">
        <f>IFERROR(_xlfn.XLOOKUP($Q386,'Elenco Casse'!$D:$D,'Elenco Casse'!$E:$E),"")</f>
        <v/>
      </c>
      <c r="N386" s="4" t="str">
        <f>IFERROR(_xlfn.XLOOKUP($Q386,'Elenco Casse'!$D:$D,'Elenco Casse'!$F:$F),"")</f>
        <v/>
      </c>
      <c r="O386" s="4" t="str">
        <f>IF($L386&lt;&gt;"","TT-2/3","")</f>
        <v>TT-2/3</v>
      </c>
      <c r="P386" s="296" t="str">
        <f>IFERROR(IF(VLOOKUP(E386,Outlist!$A$5:$AC$120,21,FALSE)="YES","Linea Variata",""),"")</f>
        <v/>
      </c>
      <c r="Q386" s="355">
        <f>IFERROR(VLOOKUP(E386,Outlist!$AK$4:$BH$139,13,FALSE),"")</f>
        <v>0</v>
      </c>
      <c r="R386" s="23"/>
      <c r="S386" s="25" t="str">
        <f>IFERROR(IF(VLOOKUP(E386,Outlist!$A$5:$AC$120,7,FALSE)="X","SUBCO",""),"")</f>
        <v/>
      </c>
      <c r="T386" s="25"/>
      <c r="U386" s="23"/>
      <c r="V386" s="23"/>
      <c r="W386" s="26"/>
      <c r="X386" s="27"/>
      <c r="Y386" s="25"/>
      <c r="Z386" s="25"/>
      <c r="AA386" s="25"/>
      <c r="AB386" s="57"/>
      <c r="AC386" s="25"/>
      <c r="AD386" s="25"/>
      <c r="AE386" s="57"/>
      <c r="AF386" s="57"/>
      <c r="AG386" s="25"/>
      <c r="AH386" s="57"/>
      <c r="AI386" s="339"/>
      <c r="AJ386" s="339"/>
      <c r="AK386" s="297" t="str">
        <f>IF(X386&lt;&gt;"",CONCATENATE(IF(AA386&lt;&gt;"",CONCATENATE(Z386," ",AA386," ",BI386),""),IF(AD386&lt;&gt;"",CONCATENATE(","," ",AC386," ",AD386," ",BJ386),""),IF(AG386&lt;&gt;"",CONCATENATE(","," ",AF386," ",AG386," ",BK386),""),IF(AJ386&lt;&gt;"",CONCATENATE(","," ","DD"," ",BL386),"")," ",IF(AI386&lt;&gt;"",CONCATENATE(" - ",AI386," Bag"),"")),"")</f>
        <v/>
      </c>
      <c r="AL386" s="287"/>
      <c r="AM386" s="287"/>
      <c r="AN386" s="287"/>
      <c r="AO386" s="287"/>
      <c r="AP386" s="370">
        <f>IFERROR(VLOOKUP($E386,Outlist!$A$5:$V$120,20,FALSE),"")</f>
        <v>0</v>
      </c>
      <c r="AQ386" s="288" t="str">
        <f>IFERROR(IF(VLOOKUP($A386,#REF!,8,FALSE)&lt;&gt;"",VLOOKUP($A386,#REF!,8,FALSE),""),"")</f>
        <v/>
      </c>
      <c r="AS386" s="24"/>
      <c r="AT386" s="24"/>
      <c r="AU386" s="27"/>
      <c r="AV386" s="27"/>
      <c r="AX386" s="20" t="str">
        <f>IFERROR(IF(Out_Table[[#This Row],[Cancellazione linea]]="Cancellata","yes",""),"")</f>
        <v/>
      </c>
      <c r="AY386" s="72"/>
      <c r="AZ386" s="27"/>
      <c r="BA386" s="32"/>
      <c r="BB386" s="72"/>
      <c r="BC386" s="72" t="str">
        <f>IFERROR(VLOOKUP(Out_Table[[#This Row],[Aggiornamento STATUS]],'INformazioni per calcoli'!$Y$70:$AA$76,2,FALSE),"")</f>
        <v/>
      </c>
      <c r="BD386" s="289"/>
      <c r="BE386" s="289"/>
      <c r="BF386" s="47" t="str">
        <f>LEFT($E386,3)</f>
        <v>KG4</v>
      </c>
      <c r="BG386" s="298" t="str">
        <f>IF(Out_Table[[#This Row],[Ora Uscita    (GH)]]&lt;&gt;"","x","")</f>
        <v/>
      </c>
      <c r="BH386" s="299">
        <f>VLOOKUP($O386,'INformazioni per calcoli'!$Y$20:$AA$23,3,FALSE)</f>
        <v>14</v>
      </c>
      <c r="BI386" s="299">
        <f>MROUND(Out_Table[[#This Row],[Mtr. Trailer]]*AB386,0.5)</f>
        <v>0</v>
      </c>
      <c r="BJ386" s="299">
        <f>MROUND(Out_Table[[#This Row],[Mtr. Trailer]]*AE386,0.5)</f>
        <v>0</v>
      </c>
      <c r="BK386" s="299">
        <f>MROUND(Out_Table[[#This Row],[Mtr. Trailer]]*AH386,0.5)</f>
        <v>0</v>
      </c>
      <c r="BL386" s="300">
        <f>Out_Table[[#This Row],[Double Deck trailer N° bumpers]]</f>
        <v>0</v>
      </c>
      <c r="BM386" s="301"/>
      <c r="BN386" s="299" t="str">
        <f>B386</f>
        <v>ERN04154</v>
      </c>
      <c r="BO386" s="299" t="str">
        <f>E386</f>
        <v>KG4 3</v>
      </c>
      <c r="BP386" s="302">
        <f>IF(AND(G386&gt;(--"00:00:01"),G386&lt;(--"15:00:00")),IF(AND(X386&gt;(--"00:00:01"),X386&lt;(--"15:00:00")),G386-X386,G386+1-X386),G386-X386)</f>
        <v>1.4166666666642413</v>
      </c>
      <c r="BQ386" s="303">
        <f>AE386+AF386+AH386+AJ386</f>
        <v>0</v>
      </c>
      <c r="BR386" s="304" t="str">
        <f>IF(OR(BP386&lt;=(--"00:20:00"),BQ386&gt;=100%),"OK","Not OK")</f>
        <v>Not OK</v>
      </c>
      <c r="BS386" s="302">
        <f>IF(AND(G386&gt;(--"00:00:01"),G386&lt;(--"15:00:00")),IF(AND(AU386&gt;(--"00:00:01"),AU386&lt;(--"15:00:00")),G386-AU386,G386+1-AU386),G386-AU386)</f>
        <v>1.4166666666642413</v>
      </c>
      <c r="BT386" s="302">
        <f>IF(AND(AZ386&gt;(--"00:00:01"),AZ386&lt;(--"15:00:00")),IF(AND(AU386&gt;(--"00:00:01"),AU386&lt;(--"15:00:00")),AZ386-AU386,AZ386+1-AU386),AZ386-AU386)</f>
        <v>0</v>
      </c>
      <c r="BU386" s="302">
        <f>IF(AND(BA386&gt;(--"00:00:01"),BA386&lt;(--"15:00:00")),IF(AND(AZ386&gt;(--"00:00:01"),AZ386&lt;(--"15:00:00")),BA386-AZ386,BA386+1-AZ386),BA386-AZ386)</f>
        <v>0</v>
      </c>
      <c r="BV386" s="299">
        <f>AV386</f>
        <v>0</v>
      </c>
      <c r="BW386" s="301"/>
      <c r="BX386" s="299" t="str">
        <f>IF(AV386="T Status",IF(AV386&lt;&gt;T386,"X",""),"")</f>
        <v/>
      </c>
      <c r="BY386" s="301"/>
      <c r="BZ386" s="299" t="str">
        <f>IF(X386&lt;&gt;"",IF(CC386="X","Driver Delay",IF(CA386="X","Paperwork Delay",IF(CB386="X","Late freight late sort",IF(CD386="X","Chiamare Control Room",IF(CE386="X","Chiamare Control Room",IF(CF386="X","Chiamare Control Room","")))))),"")</f>
        <v/>
      </c>
      <c r="CA386" s="302" t="str">
        <f>IF(K386="",IF(IF(AND(G386&gt;(--"00:00:01"),G386&lt;(--"15:00:00")),IF(AND(AT386&gt;(--"08:00:00"),AT386&lt;(--"23:59:59")),G386+1-AT386,G386-AT386),G386-AT386)&gt;(--"00:20:00"),"","X"),"")</f>
        <v/>
      </c>
      <c r="CB386" s="299" t="str">
        <f>IF(K386="",IF(BP386&gt;=(--"00:20:00"),"","X"),"")</f>
        <v/>
      </c>
      <c r="CC386" s="299" t="str">
        <f>IF(OR(AV386="Autista non presente",AV386="Dati driver non presenti"),"X","")</f>
        <v/>
      </c>
      <c r="CD386" s="299" t="str">
        <f>IF(K386="",IF(AND(CC386="",BS386&lt;(--"00:20:00")),"X",""),"")</f>
        <v/>
      </c>
      <c r="CE386" s="299" t="str">
        <f>IF(K386="",IF(BT386&gt;(--"00:15:00"),"X",""),IF(AZ386&lt;&gt;"",IF(G386-AZ386&gt;(--"00:30:00"),"X",""),""))</f>
        <v/>
      </c>
      <c r="CF386" s="299" t="str">
        <f>IF(AND(CA386="",CB386="",CC386="",CD386="",CE386=""),"X","")</f>
        <v>X</v>
      </c>
      <c r="CG386" s="301"/>
      <c r="CH386" s="299" t="str">
        <f>IF(BT386&gt;(--"00:15:00"),"X","")</f>
        <v/>
      </c>
      <c r="CI386" s="302">
        <f>AY386</f>
        <v>0</v>
      </c>
      <c r="CJ386" s="299" t="str">
        <f>IF(AND(CH386&lt;&gt;"",CI386&lt;&gt;"",LEFT(B386,3)="ITD"),AP386,"")</f>
        <v/>
      </c>
      <c r="CK386" s="305" t="str">
        <f>IF(CJ386&lt;&gt;"",BT386,"")</f>
        <v/>
      </c>
      <c r="CL386" s="301"/>
      <c r="CM386" s="305" t="str">
        <f>IFERROR(VLOOKUP(Q386,'Elenco Casse'!$D$4:$F$292,3,FALSE),"")</f>
        <v/>
      </c>
      <c r="CN386" s="301"/>
      <c r="CO386" s="305">
        <f>IFERROR(VLOOKUP(E386,Outlist!$A$5:$H$120,8,FALSE),"")</f>
        <v>0</v>
      </c>
      <c r="CP386" s="305" t="str">
        <f>IFERROR(IF(VLOOKUP($E386,Outlist!$A$5:$S$120,19,FALSE)&lt;&gt;0,"Y",""),"")</f>
        <v/>
      </c>
      <c r="CQ386" s="301"/>
      <c r="CR386" s="305" t="str">
        <f>CONCATENATE($B386,$E386,$G386)</f>
        <v>ERN04154KG4 30.416666666664241</v>
      </c>
      <c r="CS386" s="301"/>
      <c r="CT386" s="305">
        <f>VLOOKUP(Out_Table[[#This Row],[Destination             ORANGE (From Planning)]],Outlist!$A$5:$W$120,22,FALSE)</f>
        <v>0</v>
      </c>
    </row>
    <row r="387" spans="1:98" s="20" customFormat="1" ht="30.75">
      <c r="A387" s="305" t="str">
        <f>$CR387</f>
        <v>ERN92400XPI 40.4375</v>
      </c>
      <c r="B387" s="351" t="str">
        <f>IFERROR(VLOOKUP(E387,Outlist!$A$5:$AC$120,2,FALSE),"")</f>
        <v>ERN92400</v>
      </c>
      <c r="C387" s="352" t="str">
        <f>IFERROR(IF(LEFT(B387,3)='STAT 77'!$X$2,_xlfn.XLOOKUP(B387,'STAT 77'!C:C,'STAT 77'!B:B),_xlfn.XLOOKUP(B387,'STAT 77'!B:B,'STAT 77'!C:C)),"NON TROVATO")</f>
        <v>ERN09621</v>
      </c>
      <c r="D387" s="4"/>
      <c r="E387" s="352" t="str">
        <f>IFERROR(IF(Outlist!$A36&lt;&gt;"",Outlist!$A36,""),"")</f>
        <v>XPI 4</v>
      </c>
      <c r="F387" s="352" t="str">
        <f>IFERROR(VLOOKUP(E387,'Cambio O2P'!C:E,2,FALSE),"")</f>
        <v/>
      </c>
      <c r="G387" s="353">
        <f>IFERROR(VLOOKUP(E387,Outlist!$A$5:$AC$120,5,FALSE)-INT(VLOOKUP(E387,Outlist!$A$5:$AC$120,5,FALSE)),"")</f>
        <v>0.4375</v>
      </c>
      <c r="H387" s="294" t="str">
        <f ca="1">IFERROR(IF(AND('INformazioni per calcoli'!$AB$3&lt;(--"14:30"),'INformazioni per calcoli'!$AB$3&gt;(--"10:00")),"",IF($B387="","",IF($X387&lt;&gt;"","Mezzo Chiuso",IF($W387="","Non al Carico",IF($K387="Safe Parking","Safe Parking", IF(OR($BF387='INformazioni per calcoli'!$AF$8,$BF387='INformazioni per calcoli'!$AC$8,$BF387='INformazioni per calcoli'!$AD$8,$BF387='INformazioni per calcoli'!$AE$8,$BF387='INformazioni per calcoli'!$AG$8,$BF387='INformazioni per calcoli'!$AH$8,$BF387='INformazioni per calcoli'!$AI$8,$BF387='INformazioni per calcoli'!$AJ$8),IF($G387-'INformazioni per calcoli'!$AB$6-'INformazioni per calcoli'!$AB$3+$J387&lt;0,"LFLS",$G387-'INformazioni per calcoli'!$AB$6-'INformazioni per calcoli'!$AB$3+$J387), IF(OR($BF387='INformazioni per calcoli'!$AF$6,$BF387='INformazioni per calcoli'!$AD$6,$BF387='INformazioni per calcoli'!$AE$6,$BF387='INformazioni per calcoli'!$AG$6),IF($G387-'INformazioni per calcoli'!$AB$8-'INformazioni per calcoli'!$AB$3+$J387&lt;0,"LFLS",$G387-'INformazioni per calcoli'!$AB$8-'INformazioni per calcoli'!$AB$3+$J387), IF($G387-'INformazioni per calcoli'!$AB$7-'INformazioni per calcoli'!$AB$3+$J387&lt;0,"LFLS",$G387-'INformazioni per calcoli'!$AB$7-'INformazioni per calcoli'!$AB$3+$J387)))))))),"")</f>
        <v>Non al Carico</v>
      </c>
      <c r="I387" s="17" t="str">
        <f ca="1">IFERROR(IF($H387&lt;&gt;"",IF($H387="Safe Parking","",IF($W387&lt;&gt;"",IF(AND($U387="X",$V387="X"),$H387-(--"00:30"),""),IF($X387&lt;&gt;"","Mezzo Chiuso","Non al carico"))),""),"")</f>
        <v>Non al carico</v>
      </c>
      <c r="J387" s="306">
        <f ca="1">IFERROR(IF($B387&lt;&gt;"",IF(AND('INformazioni per calcoli'!$AB$3&lt;(--"15:00"),'INformazioni per calcoli'!$AB$3&gt;(--"00:00")),0,IF($G387&lt;(--"18:30"),"+1",0)),""),"")</f>
        <v>0</v>
      </c>
      <c r="K387" s="27">
        <f>IF(E387&lt;&gt;"",IFERROR(VLOOKUP(E387,Outlist!$A$5:$AC$120,22,FALSE),""),"")</f>
        <v>0</v>
      </c>
      <c r="L387" s="352" t="str">
        <f>IF(E387&lt;&gt;"",IFERROR(VLOOKUP(E387,Outlist!$A$5:$AC$120,3,FALSE),""),"")</f>
        <v>Galileo Transport Srl</v>
      </c>
      <c r="M387" s="4" t="str">
        <f>IFERROR(_xlfn.XLOOKUP($Q387,'Elenco Casse'!$D:$D,'Elenco Casse'!$E:$E),"")</f>
        <v/>
      </c>
      <c r="N387" s="4" t="str">
        <f>IFERROR(_xlfn.XLOOKUP($Q387,'Elenco Casse'!$D:$D,'Elenco Casse'!$F:$F),"")</f>
        <v/>
      </c>
      <c r="O387" s="4" t="str">
        <f>IF($L387&lt;&gt;"","TT-2/3","")</f>
        <v>TT-2/3</v>
      </c>
      <c r="P387" s="296" t="str">
        <f>IFERROR(IF(VLOOKUP(E387,Outlist!$A$5:$AC$120,21,FALSE)="YES","Linea Variata",""),"")</f>
        <v/>
      </c>
      <c r="Q387" s="355">
        <f>IFERROR(VLOOKUP(E387,Outlist!$AK$4:$BH$139,13,FALSE),"")</f>
        <v>0</v>
      </c>
      <c r="R387" s="23"/>
      <c r="S387" s="25" t="str">
        <f>IFERROR(IF(VLOOKUP(E387,Outlist!$A$5:$AC$120,7,FALSE)="X","SUBCO",""),"")</f>
        <v/>
      </c>
      <c r="T387" s="25"/>
      <c r="U387" s="23"/>
      <c r="V387" s="23"/>
      <c r="W387" s="26"/>
      <c r="X387" s="27"/>
      <c r="Y387" s="25"/>
      <c r="Z387" s="25"/>
      <c r="AA387" s="25"/>
      <c r="AB387" s="57"/>
      <c r="AC387" s="25"/>
      <c r="AD387" s="25"/>
      <c r="AE387" s="57"/>
      <c r="AF387" s="57"/>
      <c r="AG387" s="25"/>
      <c r="AH387" s="57"/>
      <c r="AI387" s="339"/>
      <c r="AJ387" s="339"/>
      <c r="AK387" s="297" t="str">
        <f>IF(X387&lt;&gt;"",CONCATENATE(IF(AA387&lt;&gt;"",CONCATENATE(Z387," ",AA387," ",BI387),""),IF(AD387&lt;&gt;"",CONCATENATE(","," ",AC387," ",AD387," ",BJ387),""),IF(AG387&lt;&gt;"",CONCATENATE(","," ",AF387," ",AG387," ",BK387),""),IF(AJ387&lt;&gt;"",CONCATENATE(","," ","DD"," ",BL387),"")," ",IF(AI387&lt;&gt;"",CONCATENATE(" - ",AI387," Bag"),"")),"")</f>
        <v/>
      </c>
      <c r="AL387" s="287"/>
      <c r="AM387" s="287"/>
      <c r="AN387" s="287"/>
      <c r="AO387" s="287"/>
      <c r="AP387" s="370">
        <f>IFERROR(VLOOKUP($E387,Outlist!$A$5:$V$120,20,FALSE),"")</f>
        <v>0</v>
      </c>
      <c r="AQ387" s="288" t="str">
        <f>IFERROR(IF(VLOOKUP($A387,#REF!,8,FALSE)&lt;&gt;"",VLOOKUP($A387,#REF!,8,FALSE),""),"")</f>
        <v/>
      </c>
      <c r="AS387" s="24"/>
      <c r="AT387" s="24"/>
      <c r="AU387" s="27"/>
      <c r="AV387" s="27"/>
      <c r="AX387" s="20" t="str">
        <f>IFERROR(IF(Out_Table[[#This Row],[Cancellazione linea]]="Cancellata","yes",""),"")</f>
        <v/>
      </c>
      <c r="AY387" s="72"/>
      <c r="AZ387" s="27"/>
      <c r="BA387" s="32"/>
      <c r="BB387" s="72"/>
      <c r="BC387" s="72" t="str">
        <f>IFERROR(VLOOKUP(Out_Table[[#This Row],[Aggiornamento STATUS]],'INformazioni per calcoli'!$Y$70:$AA$76,2,FALSE),"")</f>
        <v/>
      </c>
      <c r="BD387" s="289"/>
      <c r="BE387" s="289"/>
      <c r="BF387" s="47" t="str">
        <f>LEFT($E387,3)</f>
        <v>XPI</v>
      </c>
      <c r="BG387" s="298" t="str">
        <f>IF(Out_Table[[#This Row],[Ora Uscita    (GH)]]&lt;&gt;"","x","")</f>
        <v/>
      </c>
      <c r="BH387" s="299">
        <f>VLOOKUP($O387,'INformazioni per calcoli'!$Y$20:$AA$23,3,FALSE)</f>
        <v>14</v>
      </c>
      <c r="BI387" s="299">
        <f>MROUND(Out_Table[[#This Row],[Mtr. Trailer]]*AB387,0.5)</f>
        <v>0</v>
      </c>
      <c r="BJ387" s="299">
        <f>MROUND(Out_Table[[#This Row],[Mtr. Trailer]]*AE387,0.5)</f>
        <v>0</v>
      </c>
      <c r="BK387" s="299">
        <f>MROUND(Out_Table[[#This Row],[Mtr. Trailer]]*AH387,0.5)</f>
        <v>0</v>
      </c>
      <c r="BL387" s="300">
        <f>Out_Table[[#This Row],[Double Deck trailer N° bumpers]]</f>
        <v>0</v>
      </c>
      <c r="BM387" s="301"/>
      <c r="BN387" s="299" t="str">
        <f>B387</f>
        <v>ERN92400</v>
      </c>
      <c r="BO387" s="299" t="str">
        <f>E387</f>
        <v>XPI 4</v>
      </c>
      <c r="BP387" s="302">
        <f>IF(AND(G387&gt;(--"00:00:01"),G387&lt;(--"15:00:00")),IF(AND(X387&gt;(--"00:00:01"),X387&lt;(--"15:00:00")),G387-X387,G387+1-X387),G387-X387)</f>
        <v>1.4375</v>
      </c>
      <c r="BQ387" s="303">
        <f>AE387+AF387+AH387+AJ387</f>
        <v>0</v>
      </c>
      <c r="BR387" s="304" t="str">
        <f>IF(OR(BP387&lt;=(--"00:20:00"),BQ387&gt;=100%),"OK","Not OK")</f>
        <v>Not OK</v>
      </c>
      <c r="BS387" s="302">
        <f>IF(AND(G387&gt;(--"00:00:01"),G387&lt;(--"15:00:00")),IF(AND(AU387&gt;(--"00:00:01"),AU387&lt;(--"15:00:00")),G387-AU387,G387+1-AU387),G387-AU387)</f>
        <v>1.4375</v>
      </c>
      <c r="BT387" s="302">
        <f>IF(AND(AZ387&gt;(--"00:00:01"),AZ387&lt;(--"15:00:00")),IF(AND(AU387&gt;(--"00:00:01"),AU387&lt;(--"15:00:00")),AZ387-AU387,AZ387+1-AU387),AZ387-AU387)</f>
        <v>0</v>
      </c>
      <c r="BU387" s="302">
        <f>IF(AND(BA387&gt;(--"00:00:01"),BA387&lt;(--"15:00:00")),IF(AND(AZ387&gt;(--"00:00:01"),AZ387&lt;(--"15:00:00")),BA387-AZ387,BA387+1-AZ387),BA387-AZ387)</f>
        <v>0</v>
      </c>
      <c r="BV387" s="299">
        <f>AV387</f>
        <v>0</v>
      </c>
      <c r="BW387" s="301"/>
      <c r="BX387" s="299" t="str">
        <f>IF(AV387="T Status",IF(AV387&lt;&gt;T387,"X",""),"")</f>
        <v/>
      </c>
      <c r="BY387" s="301"/>
      <c r="BZ387" s="299" t="str">
        <f>IF(X387&lt;&gt;"",IF(CC387="X","Driver Delay",IF(CA387="X","Paperwork Delay",IF(CB387="X","Late freight late sort",IF(CD387="X","Chiamare Control Room",IF(CE387="X","Chiamare Control Room",IF(CF387="X","Chiamare Control Room","")))))),"")</f>
        <v/>
      </c>
      <c r="CA387" s="302" t="str">
        <f>IF(K387="",IF(IF(AND(G387&gt;(--"00:00:01"),G387&lt;(--"15:00:00")),IF(AND(AT387&gt;(--"08:00:00"),AT387&lt;(--"23:59:59")),G387+1-AT387,G387-AT387),G387-AT387)&gt;(--"00:20:00"),"","X"),"")</f>
        <v/>
      </c>
      <c r="CB387" s="299" t="str">
        <f>IF(K387="",IF(BP387&gt;=(--"00:20:00"),"","X"),"")</f>
        <v/>
      </c>
      <c r="CC387" s="299" t="str">
        <f>IF(OR(AV387="Autista non presente",AV387="Dati driver non presenti"),"X","")</f>
        <v/>
      </c>
      <c r="CD387" s="299" t="str">
        <f>IF(K387="",IF(AND(CC387="",BS387&lt;(--"00:20:00")),"X",""),"")</f>
        <v/>
      </c>
      <c r="CE387" s="299" t="str">
        <f>IF(K387="",IF(BT387&gt;(--"00:15:00"),"X",""),IF(AZ387&lt;&gt;"",IF(G387-AZ387&gt;(--"00:30:00"),"X",""),""))</f>
        <v/>
      </c>
      <c r="CF387" s="299" t="str">
        <f>IF(AND(CA387="",CB387="",CC387="",CD387="",CE387=""),"X","")</f>
        <v>X</v>
      </c>
      <c r="CG387" s="301"/>
      <c r="CH387" s="299" t="str">
        <f>IF(BT387&gt;(--"00:15:00"),"X","")</f>
        <v/>
      </c>
      <c r="CI387" s="302">
        <f>AY387</f>
        <v>0</v>
      </c>
      <c r="CJ387" s="299" t="str">
        <f>IF(AND(CH387&lt;&gt;"",CI387&lt;&gt;"",LEFT(B387,3)="ITD"),AP387,"")</f>
        <v/>
      </c>
      <c r="CK387" s="305" t="str">
        <f>IF(CJ387&lt;&gt;"",BT387,"")</f>
        <v/>
      </c>
      <c r="CL387" s="301"/>
      <c r="CM387" s="305" t="str">
        <f>IFERROR(VLOOKUP(Q387,'Elenco Casse'!$D$4:$F$292,3,FALSE),"")</f>
        <v/>
      </c>
      <c r="CN387" s="301"/>
      <c r="CO387" s="305">
        <f>IFERROR(VLOOKUP(E387,Outlist!$A$5:$H$120,8,FALSE),"")</f>
        <v>0</v>
      </c>
      <c r="CP387" s="305" t="str">
        <f>IFERROR(IF(VLOOKUP($E387,Outlist!$A$5:$S$120,19,FALSE)&lt;&gt;0,"Y",""),"")</f>
        <v/>
      </c>
      <c r="CQ387" s="301"/>
      <c r="CR387" s="305" t="str">
        <f>CONCATENATE($B387,$E387,$G387)</f>
        <v>ERN92400XPI 40.4375</v>
      </c>
      <c r="CS387" s="301"/>
      <c r="CT387" s="305">
        <f>VLOOKUP(Out_Table[[#This Row],[Destination             ORANGE (From Planning)]],Outlist!$A$5:$W$120,22,FALSE)</f>
        <v>0</v>
      </c>
    </row>
    <row r="388" spans="1:98" s="20" customFormat="1" ht="30.75">
      <c r="A388" s="305" t="str">
        <f>$CR388</f>
        <v>ERN92358XPI 50.4375</v>
      </c>
      <c r="B388" s="351" t="str">
        <f>IFERROR(VLOOKUP(E388,Outlist!$A$5:$AC$120,2,FALSE),"")</f>
        <v>ERN92358</v>
      </c>
      <c r="C388" s="352" t="str">
        <f>IFERROR(IF(LEFT(B388,3)='STAT 77'!$X$2,_xlfn.XLOOKUP(B388,'STAT 77'!C:C,'STAT 77'!B:B),_xlfn.XLOOKUP(B388,'STAT 77'!B:B,'STAT 77'!C:C)),"NON TROVATO")</f>
        <v>ERN91165</v>
      </c>
      <c r="D388" s="4"/>
      <c r="E388" s="352" t="str">
        <f>IFERROR(IF(Outlist!$A37&lt;&gt;"",Outlist!$A37,""),"")</f>
        <v>XPI 5</v>
      </c>
      <c r="F388" s="352" t="str">
        <f>IFERROR(VLOOKUP(E388,'Cambio O2P'!C:E,2,FALSE),"")</f>
        <v/>
      </c>
      <c r="G388" s="353">
        <f>IFERROR(VLOOKUP(E388,Outlist!$A$5:$AC$120,5,FALSE)-INT(VLOOKUP(E388,Outlist!$A$5:$AC$120,5,FALSE)),"")</f>
        <v>0.4375</v>
      </c>
      <c r="H388" s="294" t="str">
        <f ca="1">IFERROR(IF(AND('INformazioni per calcoli'!$AB$3&lt;(--"14:30"),'INformazioni per calcoli'!$AB$3&gt;(--"10:00")),"",IF($B388="","",IF($X388&lt;&gt;"","Mezzo Chiuso",IF($W388="","Non al Carico",IF($K388="Safe Parking","Safe Parking", IF(OR($BF388='INformazioni per calcoli'!$AF$8,$BF388='INformazioni per calcoli'!$AC$8,$BF388='INformazioni per calcoli'!$AD$8,$BF388='INformazioni per calcoli'!$AE$8,$BF388='INformazioni per calcoli'!$AG$8,$BF388='INformazioni per calcoli'!$AH$8,$BF388='INformazioni per calcoli'!$AI$8,$BF388='INformazioni per calcoli'!$AJ$8),IF($G388-'INformazioni per calcoli'!$AB$6-'INformazioni per calcoli'!$AB$3+$J388&lt;0,"LFLS",$G388-'INformazioni per calcoli'!$AB$6-'INformazioni per calcoli'!$AB$3+$J388), IF(OR($BF388='INformazioni per calcoli'!$AF$6,$BF388='INformazioni per calcoli'!$AD$6,$BF388='INformazioni per calcoli'!$AE$6,$BF388='INformazioni per calcoli'!$AG$6),IF($G388-'INformazioni per calcoli'!$AB$8-'INformazioni per calcoli'!$AB$3+$J388&lt;0,"LFLS",$G388-'INformazioni per calcoli'!$AB$8-'INformazioni per calcoli'!$AB$3+$J388), IF($G388-'INformazioni per calcoli'!$AB$7-'INformazioni per calcoli'!$AB$3+$J388&lt;0,"LFLS",$G388-'INformazioni per calcoli'!$AB$7-'INformazioni per calcoli'!$AB$3+$J388)))))))),"")</f>
        <v>Non al Carico</v>
      </c>
      <c r="I388" s="17" t="str">
        <f ca="1">IFERROR(IF($H388&lt;&gt;"",IF($H388="Safe Parking","",IF($W388&lt;&gt;"",IF(AND($U388="X",$V388="X"),$H388-(--"00:30"),""),IF($X388&lt;&gt;"","Mezzo Chiuso","Non al carico"))),""),"")</f>
        <v>Non al carico</v>
      </c>
      <c r="J388" s="306">
        <f ca="1">IFERROR(IF($B388&lt;&gt;"",IF(AND('INformazioni per calcoli'!$AB$3&lt;(--"15:00"),'INformazioni per calcoli'!$AB$3&gt;(--"00:00")),0,IF($G388&lt;(--"18:30"),"+1",0)),""),"")</f>
        <v>0</v>
      </c>
      <c r="K388" s="27">
        <f>IF(E388&lt;&gt;"",IFERROR(VLOOKUP(E388,Outlist!$A$5:$AC$120,22,FALSE),""),"")</f>
        <v>0</v>
      </c>
      <c r="L388" s="352" t="str">
        <f>IF(E388&lt;&gt;"",IFERROR(VLOOKUP(E388,Outlist!$A$5:$AC$120,3,FALSE),""),"")</f>
        <v>T Service Spa</v>
      </c>
      <c r="M388" s="4" t="str">
        <f>IFERROR(_xlfn.XLOOKUP($Q388,'Elenco Casse'!$D:$D,'Elenco Casse'!$E:$E),"")</f>
        <v/>
      </c>
      <c r="N388" s="4" t="str">
        <f>IFERROR(_xlfn.XLOOKUP($Q388,'Elenco Casse'!$D:$D,'Elenco Casse'!$F:$F),"")</f>
        <v/>
      </c>
      <c r="O388" s="4" t="str">
        <f>IF($L388&lt;&gt;"","TT-2/3","")</f>
        <v>TT-2/3</v>
      </c>
      <c r="P388" s="296" t="str">
        <f>IFERROR(IF(VLOOKUP(E388,Outlist!$A$5:$AC$120,21,FALSE)="YES","Linea Variata",""),"")</f>
        <v/>
      </c>
      <c r="Q388" s="355">
        <f>IFERROR(VLOOKUP(E388,Outlist!$AK$4:$BH$139,13,FALSE),"")</f>
        <v>0</v>
      </c>
      <c r="R388" s="23"/>
      <c r="S388" s="25" t="str">
        <f>IFERROR(IF(VLOOKUP(E388,Outlist!$A$5:$AC$120,7,FALSE)="X","SUBCO",""),"")</f>
        <v/>
      </c>
      <c r="T388" s="25"/>
      <c r="U388" s="23"/>
      <c r="V388" s="23"/>
      <c r="W388" s="26"/>
      <c r="X388" s="27"/>
      <c r="Y388" s="25"/>
      <c r="Z388" s="25"/>
      <c r="AA388" s="25"/>
      <c r="AB388" s="57"/>
      <c r="AC388" s="25"/>
      <c r="AD388" s="25"/>
      <c r="AE388" s="57"/>
      <c r="AF388" s="57"/>
      <c r="AG388" s="25"/>
      <c r="AH388" s="57"/>
      <c r="AI388" s="339"/>
      <c r="AJ388" s="339"/>
      <c r="AK388" s="297" t="str">
        <f>IF(X388&lt;&gt;"",CONCATENATE(IF(AA388&lt;&gt;"",CONCATENATE(Z388," ",AA388," ",BI388),""),IF(AD388&lt;&gt;"",CONCATENATE(","," ",AC388," ",AD388," ",BJ388),""),IF(AG388&lt;&gt;"",CONCATENATE(","," ",AF388," ",AG388," ",BK388),""),IF(AJ388&lt;&gt;"",CONCATENATE(","," ","DD"," ",BL388),"")," ",IF(AI388&lt;&gt;"",CONCATENATE(" - ",AI388," Bag"),"")),"")</f>
        <v/>
      </c>
      <c r="AL388" s="287"/>
      <c r="AM388" s="287"/>
      <c r="AN388" s="287"/>
      <c r="AO388" s="287"/>
      <c r="AP388" s="370">
        <f>IFERROR(VLOOKUP($E388,Outlist!$A$5:$V$120,20,FALSE),"")</f>
        <v>0</v>
      </c>
      <c r="AQ388" s="288" t="str">
        <f>IFERROR(IF(VLOOKUP($A388,#REF!,8,FALSE)&lt;&gt;"",VLOOKUP($A388,#REF!,8,FALSE),""),"")</f>
        <v/>
      </c>
      <c r="AS388" s="24"/>
      <c r="AT388" s="24"/>
      <c r="AU388" s="27"/>
      <c r="AV388" s="27"/>
      <c r="AX388" s="20" t="str">
        <f>IFERROR(IF(Out_Table[[#This Row],[Cancellazione linea]]="Cancellata","yes",""),"")</f>
        <v/>
      </c>
      <c r="AY388" s="72"/>
      <c r="AZ388" s="27"/>
      <c r="BA388" s="32"/>
      <c r="BB388" s="72"/>
      <c r="BC388" s="72" t="str">
        <f>IFERROR(VLOOKUP(Out_Table[[#This Row],[Aggiornamento STATUS]],'INformazioni per calcoli'!$Y$70:$AA$76,2,FALSE),"")</f>
        <v/>
      </c>
      <c r="BD388" s="289"/>
      <c r="BE388" s="289"/>
      <c r="BF388" s="47" t="str">
        <f>LEFT($E388,3)</f>
        <v>XPI</v>
      </c>
      <c r="BG388" s="298" t="str">
        <f>IF(Out_Table[[#This Row],[Ora Uscita    (GH)]]&lt;&gt;"","x","")</f>
        <v/>
      </c>
      <c r="BH388" s="299">
        <f>VLOOKUP($O388,'INformazioni per calcoli'!$Y$20:$AA$23,3,FALSE)</f>
        <v>14</v>
      </c>
      <c r="BI388" s="299">
        <f>MROUND(Out_Table[[#This Row],[Mtr. Trailer]]*AB388,0.5)</f>
        <v>0</v>
      </c>
      <c r="BJ388" s="299">
        <f>MROUND(Out_Table[[#This Row],[Mtr. Trailer]]*AE388,0.5)</f>
        <v>0</v>
      </c>
      <c r="BK388" s="299">
        <f>MROUND(Out_Table[[#This Row],[Mtr. Trailer]]*AH388,0.5)</f>
        <v>0</v>
      </c>
      <c r="BL388" s="300">
        <f>Out_Table[[#This Row],[Double Deck trailer N° bumpers]]</f>
        <v>0</v>
      </c>
      <c r="BM388" s="301"/>
      <c r="BN388" s="299" t="str">
        <f>B388</f>
        <v>ERN92358</v>
      </c>
      <c r="BO388" s="299" t="str">
        <f>E388</f>
        <v>XPI 5</v>
      </c>
      <c r="BP388" s="302">
        <f>IF(AND(G388&gt;(--"00:00:01"),G388&lt;(--"15:00:00")),IF(AND(X388&gt;(--"00:00:01"),X388&lt;(--"15:00:00")),G388-X388,G388+1-X388),G388-X388)</f>
        <v>1.4375</v>
      </c>
      <c r="BQ388" s="303">
        <f>AE388+AF388+AH388+AJ388</f>
        <v>0</v>
      </c>
      <c r="BR388" s="304" t="str">
        <f>IF(OR(BP388&lt;=(--"00:20:00"),BQ388&gt;=100%),"OK","Not OK")</f>
        <v>Not OK</v>
      </c>
      <c r="BS388" s="302">
        <f>IF(AND(G388&gt;(--"00:00:01"),G388&lt;(--"15:00:00")),IF(AND(AU388&gt;(--"00:00:01"),AU388&lt;(--"15:00:00")),G388-AU388,G388+1-AU388),G388-AU388)</f>
        <v>1.4375</v>
      </c>
      <c r="BT388" s="302">
        <f>IF(AND(AZ388&gt;(--"00:00:01"),AZ388&lt;(--"15:00:00")),IF(AND(AU388&gt;(--"00:00:01"),AU388&lt;(--"15:00:00")),AZ388-AU388,AZ388+1-AU388),AZ388-AU388)</f>
        <v>0</v>
      </c>
      <c r="BU388" s="302">
        <f>IF(AND(BA388&gt;(--"00:00:01"),BA388&lt;(--"15:00:00")),IF(AND(AZ388&gt;(--"00:00:01"),AZ388&lt;(--"15:00:00")),BA388-AZ388,BA388+1-AZ388),BA388-AZ388)</f>
        <v>0</v>
      </c>
      <c r="BV388" s="299">
        <f>AV388</f>
        <v>0</v>
      </c>
      <c r="BW388" s="301"/>
      <c r="BX388" s="299" t="str">
        <f>IF(AV388="T Status",IF(AV388&lt;&gt;T388,"X",""),"")</f>
        <v/>
      </c>
      <c r="BY388" s="301"/>
      <c r="BZ388" s="299" t="str">
        <f>IF(X388&lt;&gt;"",IF(CC388="X","Driver Delay",IF(CA388="X","Paperwork Delay",IF(CB388="X","Late freight late sort",IF(CD388="X","Chiamare Control Room",IF(CE388="X","Chiamare Control Room",IF(CF388="X","Chiamare Control Room","")))))),"")</f>
        <v/>
      </c>
      <c r="CA388" s="302" t="str">
        <f>IF(K388="",IF(IF(AND(G388&gt;(--"00:00:01"),G388&lt;(--"15:00:00")),IF(AND(AT388&gt;(--"08:00:00"),AT388&lt;(--"23:59:59")),G388+1-AT388,G388-AT388),G388-AT388)&gt;(--"00:20:00"),"","X"),"")</f>
        <v/>
      </c>
      <c r="CB388" s="299" t="str">
        <f>IF(K388="",IF(BP388&gt;=(--"00:20:00"),"","X"),"")</f>
        <v/>
      </c>
      <c r="CC388" s="299" t="str">
        <f>IF(OR(AV388="Autista non presente",AV388="Dati driver non presenti"),"X","")</f>
        <v/>
      </c>
      <c r="CD388" s="299" t="str">
        <f>IF(K388="",IF(AND(CC388="",BS388&lt;(--"00:20:00")),"X",""),"")</f>
        <v/>
      </c>
      <c r="CE388" s="299" t="str">
        <f>IF(K388="",IF(BT388&gt;(--"00:15:00"),"X",""),IF(AZ388&lt;&gt;"",IF(G388-AZ388&gt;(--"00:30:00"),"X",""),""))</f>
        <v/>
      </c>
      <c r="CF388" s="299" t="str">
        <f>IF(AND(CA388="",CB388="",CC388="",CD388="",CE388=""),"X","")</f>
        <v>X</v>
      </c>
      <c r="CG388" s="301"/>
      <c r="CH388" s="299" t="str">
        <f>IF(BT388&gt;(--"00:15:00"),"X","")</f>
        <v/>
      </c>
      <c r="CI388" s="302">
        <f>AY388</f>
        <v>0</v>
      </c>
      <c r="CJ388" s="299" t="str">
        <f>IF(AND(CH388&lt;&gt;"",CI388&lt;&gt;"",LEFT(B388,3)="ITD"),AP388,"")</f>
        <v/>
      </c>
      <c r="CK388" s="305" t="str">
        <f>IF(CJ388&lt;&gt;"",BT388,"")</f>
        <v/>
      </c>
      <c r="CL388" s="301"/>
      <c r="CM388" s="305" t="str">
        <f>IFERROR(VLOOKUP(Q388,'Elenco Casse'!$D$4:$F$292,3,FALSE),"")</f>
        <v/>
      </c>
      <c r="CN388" s="301"/>
      <c r="CO388" s="305">
        <f>IFERROR(VLOOKUP(E388,Outlist!$A$5:$H$120,8,FALSE),"")</f>
        <v>0</v>
      </c>
      <c r="CP388" s="305" t="str">
        <f>IFERROR(IF(VLOOKUP($E388,Outlist!$A$5:$S$120,19,FALSE)&lt;&gt;0,"Y",""),"")</f>
        <v/>
      </c>
      <c r="CQ388" s="301"/>
      <c r="CR388" s="305" t="str">
        <f>CONCATENATE($B388,$E388,$G388)</f>
        <v>ERN92358XPI 50.4375</v>
      </c>
      <c r="CS388" s="301"/>
      <c r="CT388" s="305">
        <f>VLOOKUP(Out_Table[[#This Row],[Destination             ORANGE (From Planning)]],Outlist!$A$5:$W$120,22,FALSE)</f>
        <v>0</v>
      </c>
    </row>
    <row r="389" spans="1:98" s="20" customFormat="1" ht="30.75">
      <c r="A389" s="305" t="str">
        <f>$CR389</f>
        <v>ERN08176MV9 40.4375</v>
      </c>
      <c r="B389" s="351" t="str">
        <f>IFERROR(VLOOKUP(E389,Outlist!$A$5:$AC$120,2,FALSE),"")</f>
        <v>ERN08176</v>
      </c>
      <c r="C389" s="352" t="str">
        <f>IFERROR(IF(LEFT(B389,3)='STAT 77'!$X$2,_xlfn.XLOOKUP(B389,'STAT 77'!C:C,'STAT 77'!B:B),_xlfn.XLOOKUP(B389,'STAT 77'!B:B,'STAT 77'!C:C)),"NON TROVATO")</f>
        <v>ERN03834</v>
      </c>
      <c r="D389" s="4"/>
      <c r="E389" s="352" t="str">
        <f>IFERROR(IF(Outlist!$A41&lt;&gt;"",Outlist!$A41,""),"")</f>
        <v>MV9 4</v>
      </c>
      <c r="F389" s="352" t="str">
        <f>IFERROR(VLOOKUP(E389,'Cambio O2P'!C:E,2,FALSE),"")</f>
        <v/>
      </c>
      <c r="G389" s="353">
        <f>IFERROR(VLOOKUP(E389,Outlist!$A$5:$AC$120,5,FALSE)-INT(VLOOKUP(E389,Outlist!$A$5:$AC$120,5,FALSE)),"")</f>
        <v>0.4375</v>
      </c>
      <c r="H389" s="294" t="str">
        <f ca="1">IFERROR(IF(AND('INformazioni per calcoli'!$AB$3&lt;(--"14:30"),'INformazioni per calcoli'!$AB$3&gt;(--"10:00")),"",IF($B389="","",IF($X389&lt;&gt;"","Mezzo Chiuso",IF($W389="","Non al Carico",IF($K389="Safe Parking","Safe Parking", IF(OR($BF389='INformazioni per calcoli'!$AF$8,$BF389='INformazioni per calcoli'!$AC$8,$BF389='INformazioni per calcoli'!$AD$8,$BF389='INformazioni per calcoli'!$AE$8,$BF389='INformazioni per calcoli'!$AG$8,$BF389='INformazioni per calcoli'!$AH$8,$BF389='INformazioni per calcoli'!$AI$8,$BF389='INformazioni per calcoli'!$AJ$8),IF($G389-'INformazioni per calcoli'!$AB$6-'INformazioni per calcoli'!$AB$3+$J389&lt;0,"LFLS",$G389-'INformazioni per calcoli'!$AB$6-'INformazioni per calcoli'!$AB$3+$J389), IF(OR($BF389='INformazioni per calcoli'!$AF$6,$BF389='INformazioni per calcoli'!$AD$6,$BF389='INformazioni per calcoli'!$AE$6,$BF389='INformazioni per calcoli'!$AG$6),IF($G389-'INformazioni per calcoli'!$AB$8-'INformazioni per calcoli'!$AB$3+$J389&lt;0,"LFLS",$G389-'INformazioni per calcoli'!$AB$8-'INformazioni per calcoli'!$AB$3+$J389), IF($G389-'INformazioni per calcoli'!$AB$7-'INformazioni per calcoli'!$AB$3+$J389&lt;0,"LFLS",$G389-'INformazioni per calcoli'!$AB$7-'INformazioni per calcoli'!$AB$3+$J389)))))))),"")</f>
        <v>Non al Carico</v>
      </c>
      <c r="I389" s="17" t="str">
        <f ca="1">IFERROR(IF($H389&lt;&gt;"",IF($H389="Safe Parking","",IF($W389&lt;&gt;"",IF(AND($U389="X",$V389="X"),$H389-(--"00:30"),""),IF($X389&lt;&gt;"","Mezzo Chiuso","Non al carico"))),""),"")</f>
        <v>Non al carico</v>
      </c>
      <c r="J389" s="306">
        <f ca="1">IFERROR(IF($B389&lt;&gt;"",IF(AND('INformazioni per calcoli'!$AB$3&lt;(--"15:00"),'INformazioni per calcoli'!$AB$3&gt;(--"00:00")),0,IF($G389&lt;(--"18:30"),"+1",0)),""),"")</f>
        <v>0</v>
      </c>
      <c r="K389" s="27">
        <f>IF(E389&lt;&gt;"",IFERROR(VLOOKUP(E389,Outlist!$A$5:$AC$120,22,FALSE),""),"")</f>
        <v>0</v>
      </c>
      <c r="L389" s="352" t="str">
        <f>IF(E389&lt;&gt;"",IFERROR(VLOOKUP(E389,Outlist!$A$5:$AC$120,3,FALSE),""),"")</f>
        <v>Rayden N.V.</v>
      </c>
      <c r="M389" s="4" t="str">
        <f>IFERROR(_xlfn.XLOOKUP($Q389,'Elenco Casse'!$D:$D,'Elenco Casse'!$E:$E),"")</f>
        <v/>
      </c>
      <c r="N389" s="4" t="str">
        <f>IFERROR(_xlfn.XLOOKUP($Q389,'Elenco Casse'!$D:$D,'Elenco Casse'!$F:$F),"")</f>
        <v/>
      </c>
      <c r="O389" s="4" t="str">
        <f>IF($L389&lt;&gt;"","TT-2/3","")</f>
        <v>TT-2/3</v>
      </c>
      <c r="P389" s="296" t="str">
        <f>IFERROR(IF(VLOOKUP(E389,Outlist!$A$5:$AC$120,21,FALSE)="YES","Linea Variata",""),"")</f>
        <v/>
      </c>
      <c r="Q389" s="355" t="s">
        <v>1243</v>
      </c>
      <c r="R389" s="23" t="s">
        <v>420</v>
      </c>
      <c r="S389" s="25" t="str">
        <f>IFERROR(IF(VLOOKUP(E389,Outlist!$A$5:$AC$120,7,FALSE)="X","SUBCO",""),"")</f>
        <v>SUBCO</v>
      </c>
      <c r="T389" s="25"/>
      <c r="U389" s="23"/>
      <c r="V389" s="23"/>
      <c r="W389" s="26"/>
      <c r="X389" s="27"/>
      <c r="Y389" s="25"/>
      <c r="Z389" s="25"/>
      <c r="AA389" s="25"/>
      <c r="AB389" s="57"/>
      <c r="AC389" s="25"/>
      <c r="AD389" s="25"/>
      <c r="AE389" s="57"/>
      <c r="AF389" s="57"/>
      <c r="AG389" s="25"/>
      <c r="AH389" s="57"/>
      <c r="AI389" s="339"/>
      <c r="AJ389" s="339"/>
      <c r="AK389" s="297" t="str">
        <f>IF(X389&lt;&gt;"",CONCATENATE(IF(AA389&lt;&gt;"",CONCATENATE(Z389," ",AA389," ",BI389),""),IF(AD389&lt;&gt;"",CONCATENATE(","," ",AC389," ",AD389," ",BJ389),""),IF(AG389&lt;&gt;"",CONCATENATE(","," ",AF389," ",AG389," ",BK389),""),IF(AJ389&lt;&gt;"",CONCATENATE(","," ","DD"," ",BL389),"")," ",IF(AI389&lt;&gt;"",CONCATENATE(" - ",AI389," Bag"),"")),"")</f>
        <v/>
      </c>
      <c r="AL389" s="287"/>
      <c r="AM389" s="287"/>
      <c r="AN389" s="287"/>
      <c r="AO389" s="287"/>
      <c r="AP389" s="370">
        <f>IFERROR(VLOOKUP($E389,Outlist!$A$5:$V$120,20,FALSE),"")</f>
        <v>0</v>
      </c>
      <c r="AQ389" s="288" t="str">
        <f>IFERROR(IF(VLOOKUP($A389,#REF!,8,FALSE)&lt;&gt;"",VLOOKUP($A389,#REF!,8,FALSE),""),"")</f>
        <v/>
      </c>
      <c r="AS389" s="24"/>
      <c r="AT389" s="24"/>
      <c r="AU389" s="27"/>
      <c r="AV389" s="27"/>
      <c r="AX389" s="20" t="str">
        <f>IFERROR(IF(Out_Table[[#This Row],[Cancellazione linea]]="Cancellata","yes",""),"")</f>
        <v/>
      </c>
      <c r="AY389" s="72"/>
      <c r="AZ389" s="27"/>
      <c r="BA389" s="32"/>
      <c r="BB389" s="72"/>
      <c r="BC389" s="72" t="str">
        <f>IFERROR(VLOOKUP(Out_Table[[#This Row],[Aggiornamento STATUS]],'INformazioni per calcoli'!$Y$70:$AA$76,2,FALSE),"")</f>
        <v/>
      </c>
      <c r="BD389" s="289"/>
      <c r="BE389" s="289"/>
      <c r="BF389" s="47" t="str">
        <f>LEFT($E389,3)</f>
        <v>MV9</v>
      </c>
      <c r="BG389" s="298" t="str">
        <f>IF(Out_Table[[#This Row],[Ora Uscita    (GH)]]&lt;&gt;"","x","")</f>
        <v/>
      </c>
      <c r="BH389" s="299">
        <f>VLOOKUP($O389,'INformazioni per calcoli'!$Y$20:$AA$23,3,FALSE)</f>
        <v>14</v>
      </c>
      <c r="BI389" s="299">
        <f>MROUND(Out_Table[[#This Row],[Mtr. Trailer]]*AB389,0.5)</f>
        <v>0</v>
      </c>
      <c r="BJ389" s="299">
        <f>MROUND(Out_Table[[#This Row],[Mtr. Trailer]]*AE389,0.5)</f>
        <v>0</v>
      </c>
      <c r="BK389" s="299">
        <f>MROUND(Out_Table[[#This Row],[Mtr. Trailer]]*AH389,0.5)</f>
        <v>0</v>
      </c>
      <c r="BL389" s="300">
        <f>Out_Table[[#This Row],[Double Deck trailer N° bumpers]]</f>
        <v>0</v>
      </c>
      <c r="BM389" s="301"/>
      <c r="BN389" s="299" t="str">
        <f>B389</f>
        <v>ERN08176</v>
      </c>
      <c r="BO389" s="299" t="str">
        <f>E389</f>
        <v>MV9 4</v>
      </c>
      <c r="BP389" s="302">
        <f>IF(AND(G389&gt;(--"00:00:01"),G389&lt;(--"15:00:00")),IF(AND(X389&gt;(--"00:00:01"),X389&lt;(--"15:00:00")),G389-X389,G389+1-X389),G389-X389)</f>
        <v>1.4375</v>
      </c>
      <c r="BQ389" s="303">
        <f>AE389+AF389+AH389+AJ389</f>
        <v>0</v>
      </c>
      <c r="BR389" s="304" t="str">
        <f>IF(OR(BP389&lt;=(--"00:20:00"),BQ389&gt;=100%),"OK","Not OK")</f>
        <v>Not OK</v>
      </c>
      <c r="BS389" s="302">
        <f>IF(AND(G389&gt;(--"00:00:01"),G389&lt;(--"15:00:00")),IF(AND(AU389&gt;(--"00:00:01"),AU389&lt;(--"15:00:00")),G389-AU389,G389+1-AU389),G389-AU389)</f>
        <v>1.4375</v>
      </c>
      <c r="BT389" s="302">
        <f>IF(AND(AZ389&gt;(--"00:00:01"),AZ389&lt;(--"15:00:00")),IF(AND(AU389&gt;(--"00:00:01"),AU389&lt;(--"15:00:00")),AZ389-AU389,AZ389+1-AU389),AZ389-AU389)</f>
        <v>0</v>
      </c>
      <c r="BU389" s="302">
        <f>IF(AND(BA389&gt;(--"00:00:01"),BA389&lt;(--"15:00:00")),IF(AND(AZ389&gt;(--"00:00:01"),AZ389&lt;(--"15:00:00")),BA389-AZ389,BA389+1-AZ389),BA389-AZ389)</f>
        <v>0</v>
      </c>
      <c r="BV389" s="299">
        <f>AV389</f>
        <v>0</v>
      </c>
      <c r="BW389" s="301"/>
      <c r="BX389" s="299" t="str">
        <f>IF(AV389="T Status",IF(AV389&lt;&gt;T389,"X",""),"")</f>
        <v/>
      </c>
      <c r="BY389" s="301"/>
      <c r="BZ389" s="299" t="str">
        <f>IF(X389&lt;&gt;"",IF(CC389="X","Driver Delay",IF(CA389="X","Paperwork Delay",IF(CB389="X","Late freight late sort",IF(CD389="X","Chiamare Control Room",IF(CE389="X","Chiamare Control Room",IF(CF389="X","Chiamare Control Room","")))))),"")</f>
        <v/>
      </c>
      <c r="CA389" s="302" t="str">
        <f>IF(K389="",IF(IF(AND(G389&gt;(--"00:00:01"),G389&lt;(--"15:00:00")),IF(AND(AT389&gt;(--"08:00:00"),AT389&lt;(--"23:59:59")),G389+1-AT389,G389-AT389),G389-AT389)&gt;(--"00:20:00"),"","X"),"")</f>
        <v/>
      </c>
      <c r="CB389" s="299" t="str">
        <f>IF(K389="",IF(BP389&gt;=(--"00:20:00"),"","X"),"")</f>
        <v/>
      </c>
      <c r="CC389" s="299" t="str">
        <f>IF(OR(AV389="Autista non presente",AV389="Dati driver non presenti"),"X","")</f>
        <v/>
      </c>
      <c r="CD389" s="299" t="str">
        <f>IF(K389="",IF(AND(CC389="",BS389&lt;(--"00:20:00")),"X",""),"")</f>
        <v/>
      </c>
      <c r="CE389" s="299" t="str">
        <f>IF(K389="",IF(BT389&gt;(--"00:15:00"),"X",""),IF(AZ389&lt;&gt;"",IF(G389-AZ389&gt;(--"00:30:00"),"X",""),""))</f>
        <v/>
      </c>
      <c r="CF389" s="299" t="str">
        <f>IF(AND(CA389="",CB389="",CC389="",CD389="",CE389=""),"X","")</f>
        <v>X</v>
      </c>
      <c r="CG389" s="301"/>
      <c r="CH389" s="299" t="str">
        <f>IF(BT389&gt;(--"00:15:00"),"X","")</f>
        <v/>
      </c>
      <c r="CI389" s="302">
        <f>AY389</f>
        <v>0</v>
      </c>
      <c r="CJ389" s="299" t="str">
        <f>IF(AND(CH389&lt;&gt;"",CI389&lt;&gt;"",LEFT(B389,3)="ITD"),AP389,"")</f>
        <v/>
      </c>
      <c r="CK389" s="305" t="str">
        <f>IF(CJ389&lt;&gt;"",BT389,"")</f>
        <v/>
      </c>
      <c r="CL389" s="301"/>
      <c r="CM389" s="305" t="str">
        <f>IFERROR(VLOOKUP(Q389,'Elenco Casse'!$D$4:$F$292,3,FALSE),"")</f>
        <v/>
      </c>
      <c r="CN389" s="301"/>
      <c r="CO389" s="305" t="str">
        <f>IFERROR(VLOOKUP(E389,Outlist!$A$5:$H$120,8,FALSE),"")</f>
        <v>1QEK098</v>
      </c>
      <c r="CP389" s="305" t="str">
        <f>IFERROR(IF(VLOOKUP($E389,Outlist!$A$5:$S$120,19,FALSE)&lt;&gt;0,"Y",""),"")</f>
        <v/>
      </c>
      <c r="CQ389" s="301"/>
      <c r="CR389" s="305" t="str">
        <f>CONCATENATE($B389,$E389,$G389)</f>
        <v>ERN08176MV9 40.4375</v>
      </c>
      <c r="CS389" s="301"/>
      <c r="CT389" s="305">
        <f>VLOOKUP(Out_Table[[#This Row],[Destination             ORANGE (From Planning)]],Outlist!$A$5:$W$120,22,FALSE)</f>
        <v>0</v>
      </c>
    </row>
    <row r="390" spans="1:98" s="20" customFormat="1" ht="15">
      <c r="A390" s="305" t="str">
        <f>$CR390</f>
        <v>ERN92385XWT 60.4375</v>
      </c>
      <c r="B390" s="351" t="str">
        <f>IFERROR(VLOOKUP(E390,Outlist!$A$5:$AC$120,2,FALSE),"")</f>
        <v>ERN92385</v>
      </c>
      <c r="C390" s="352" t="str">
        <f>IFERROR(IF(LEFT(B390,3)='STAT 77'!$X$2,_xlfn.XLOOKUP(B390,'STAT 77'!C:C,'STAT 77'!B:B),_xlfn.XLOOKUP(B390,'STAT 77'!B:B,'STAT 77'!C:C)),"NON TROVATO")</f>
        <v>ERN91179</v>
      </c>
      <c r="D390" s="4"/>
      <c r="E390" s="352" t="str">
        <f>IFERROR(IF(Outlist!$A52&lt;&gt;"",Outlist!$A52,""),"")</f>
        <v>XWT 6</v>
      </c>
      <c r="F390" s="352" t="str">
        <f>IFERROR(VLOOKUP(E390,'Cambio O2P'!C:E,2,FALSE),"")</f>
        <v/>
      </c>
      <c r="G390" s="353">
        <f>IFERROR(VLOOKUP(E390,Outlist!$A$5:$AC$120,5,FALSE)-INT(VLOOKUP(E390,Outlist!$A$5:$AC$120,5,FALSE)),"")</f>
        <v>0.4375</v>
      </c>
      <c r="H390" s="294">
        <f ca="1">IFERROR(IF(AND('INformazioni per calcoli'!$AB$3&lt;(--"14:30"),'INformazioni per calcoli'!$AB$3&gt;(--"10:00")),"",IF($B390="","",IF($X390&lt;&gt;"","Mezzo Chiuso",IF($W390="","Non al Carico",IF($K390="Safe Parking","Safe Parking", IF(OR($BF390='INformazioni per calcoli'!$AF$8,$BF390='INformazioni per calcoli'!$AC$8,$BF390='INformazioni per calcoli'!$AD$8,$BF390='INformazioni per calcoli'!$AE$8,$BF390='INformazioni per calcoli'!$AG$8,$BF390='INformazioni per calcoli'!$AH$8,$BF390='INformazioni per calcoli'!$AI$8,$BF390='INformazioni per calcoli'!$AJ$8),IF($G390-'INformazioni per calcoli'!$AB$6-'INformazioni per calcoli'!$AB$3+$J390&lt;0,"LFLS",$G390-'INformazioni per calcoli'!$AB$6-'INformazioni per calcoli'!$AB$3+$J390), IF(OR($BF390='INformazioni per calcoli'!$AF$6,$BF390='INformazioni per calcoli'!$AD$6,$BF390='INformazioni per calcoli'!$AE$6,$BF390='INformazioni per calcoli'!$AG$6),IF($G390-'INformazioni per calcoli'!$AB$8-'INformazioni per calcoli'!$AB$3+$J390&lt;0,"LFLS",$G390-'INformazioni per calcoli'!$AB$8-'INformazioni per calcoli'!$AB$3+$J390), IF($G390-'INformazioni per calcoli'!$AB$7-'INformazioni per calcoli'!$AB$3+$J390&lt;0,"LFLS",$G390-'INformazioni per calcoli'!$AB$7-'INformazioni per calcoli'!$AB$3+$J390)))))))),"")</f>
        <v>0.25037037037037035</v>
      </c>
      <c r="I390" s="17" t="str">
        <f ca="1">IFERROR(IF($H390&lt;&gt;"",IF($H390="Safe Parking","",IF($W390&lt;&gt;"",IF(AND($U390="X",$V390="X"),$H390-(--"00:30"),""),IF($X390&lt;&gt;"","Mezzo Chiuso","Non al carico"))),""),"")</f>
        <v/>
      </c>
      <c r="J390" s="306">
        <f ca="1">IFERROR(IF($B390&lt;&gt;"",IF(AND('INformazioni per calcoli'!$AB$3&lt;(--"15:00"),'INformazioni per calcoli'!$AB$3&gt;(--"00:00")),0,IF($G390&lt;(--"18:30"),"+1",0)),""),"")</f>
        <v>0</v>
      </c>
      <c r="K390" s="27">
        <f>IF(E390&lt;&gt;"",IFERROR(VLOOKUP(E390,Outlist!$A$5:$AC$120,22,FALSE),""),"")</f>
        <v>0</v>
      </c>
      <c r="L390" s="352" t="str">
        <f>IF(E390&lt;&gt;"",IFERROR(VLOOKUP(E390,Outlist!$A$5:$AC$120,3,FALSE),""),"")</f>
        <v>T Service Spa</v>
      </c>
      <c r="M390" s="4" t="str">
        <f>IFERROR(_xlfn.XLOOKUP($Q390,'Elenco Casse'!$D:$D,'Elenco Casse'!$E:$E),"")</f>
        <v/>
      </c>
      <c r="N390" s="4" t="str">
        <f>IFERROR(_xlfn.XLOOKUP($Q390,'Elenco Casse'!$D:$D,'Elenco Casse'!$F:$F),"")</f>
        <v/>
      </c>
      <c r="O390" s="4" t="str">
        <f>IF($L390&lt;&gt;"","TT-2/3","")</f>
        <v>TT-2/3</v>
      </c>
      <c r="P390" s="296" t="str">
        <f>IFERROR(IF(VLOOKUP(E390,Outlist!$A$5:$AC$120,21,FALSE)="YES","Linea Variata",""),"")</f>
        <v/>
      </c>
      <c r="Q390" s="355" t="s">
        <v>1244</v>
      </c>
      <c r="R390" s="23" t="s">
        <v>420</v>
      </c>
      <c r="S390" s="25" t="str">
        <f>IFERROR(IF(VLOOKUP(E390,Outlist!$A$5:$AC$120,7,FALSE)="X","SUBCO",""),"")</f>
        <v/>
      </c>
      <c r="T390" s="25"/>
      <c r="U390" s="23"/>
      <c r="V390" s="23" t="s">
        <v>61</v>
      </c>
      <c r="W390" s="26">
        <v>738</v>
      </c>
      <c r="X390" s="27"/>
      <c r="Y390" s="25"/>
      <c r="Z390" s="25"/>
      <c r="AA390" s="25" t="s">
        <v>487</v>
      </c>
      <c r="AB390" s="57"/>
      <c r="AC390" s="25"/>
      <c r="AD390" s="25"/>
      <c r="AE390" s="57"/>
      <c r="AF390" s="57"/>
      <c r="AG390" s="25"/>
      <c r="AH390" s="57"/>
      <c r="AI390" s="339"/>
      <c r="AJ390" s="339"/>
      <c r="AK390" s="297" t="str">
        <f>IF(X390&lt;&gt;"",CONCATENATE(IF(AA390&lt;&gt;"",CONCATENATE(Z390," ",AA390," ",BI390),""),IF(AD390&lt;&gt;"",CONCATENATE(","," ",AC390," ",AD390," ",BJ390),""),IF(AG390&lt;&gt;"",CONCATENATE(","," ",AF390," ",AG390," ",BK390),""),IF(AJ390&lt;&gt;"",CONCATENATE(","," ","DD"," ",BL390),"")," ",IF(AI390&lt;&gt;"",CONCATENATE(" - ",AI390," Bag"),"")),"")</f>
        <v/>
      </c>
      <c r="AL390" s="287"/>
      <c r="AM390" s="287"/>
      <c r="AN390" s="287"/>
      <c r="AO390" s="287"/>
      <c r="AP390" s="370">
        <f>IFERROR(VLOOKUP($E390,Outlist!$A$5:$V$120,20,FALSE),"")</f>
        <v>0</v>
      </c>
      <c r="AQ390" s="288" t="str">
        <f>IFERROR(IF(VLOOKUP($A390,#REF!,8,FALSE)&lt;&gt;"",VLOOKUP($A390,#REF!,8,FALSE),""),"")</f>
        <v/>
      </c>
      <c r="AS390" s="24"/>
      <c r="AT390" s="24"/>
      <c r="AU390" s="27"/>
      <c r="AV390" s="27"/>
      <c r="AX390" s="20" t="str">
        <f>IFERROR(IF(Out_Table[[#This Row],[Cancellazione linea]]="Cancellata","yes",""),"")</f>
        <v/>
      </c>
      <c r="AY390" s="72"/>
      <c r="AZ390" s="27"/>
      <c r="BA390" s="32"/>
      <c r="BB390" s="72"/>
      <c r="BC390" s="72" t="str">
        <f>IFERROR(VLOOKUP(Out_Table[[#This Row],[Aggiornamento STATUS]],'INformazioni per calcoli'!$Y$70:$AA$76,2,FALSE),"")</f>
        <v/>
      </c>
      <c r="BD390" s="289"/>
      <c r="BE390" s="289"/>
      <c r="BF390" s="47" t="str">
        <f>LEFT($E390,3)</f>
        <v>XWT</v>
      </c>
      <c r="BG390" s="298" t="str">
        <f>IF(Out_Table[[#This Row],[Ora Uscita    (GH)]]&lt;&gt;"","x","")</f>
        <v/>
      </c>
      <c r="BH390" s="299">
        <f>VLOOKUP($O390,'INformazioni per calcoli'!$Y$20:$AA$23,3,FALSE)</f>
        <v>14</v>
      </c>
      <c r="BI390" s="299">
        <f>MROUND(Out_Table[[#This Row],[Mtr. Trailer]]*AB390,0.5)</f>
        <v>0</v>
      </c>
      <c r="BJ390" s="299">
        <f>MROUND(Out_Table[[#This Row],[Mtr. Trailer]]*AE390,0.5)</f>
        <v>0</v>
      </c>
      <c r="BK390" s="299">
        <f>MROUND(Out_Table[[#This Row],[Mtr. Trailer]]*AH390,0.5)</f>
        <v>0</v>
      </c>
      <c r="BL390" s="300">
        <f>Out_Table[[#This Row],[Double Deck trailer N° bumpers]]</f>
        <v>0</v>
      </c>
      <c r="BM390" s="301"/>
      <c r="BN390" s="299" t="str">
        <f>B390</f>
        <v>ERN92385</v>
      </c>
      <c r="BO390" s="299" t="str">
        <f>E390</f>
        <v>XWT 6</v>
      </c>
      <c r="BP390" s="302">
        <f>IF(AND(G390&gt;(--"00:00:01"),G390&lt;(--"15:00:00")),IF(AND(X390&gt;(--"00:00:01"),X390&lt;(--"15:00:00")),G390-X390,G390+1-X390),G390-X390)</f>
        <v>1.4375</v>
      </c>
      <c r="BQ390" s="303">
        <f>AE390+AF390+AH390+AJ390</f>
        <v>0</v>
      </c>
      <c r="BR390" s="304" t="str">
        <f>IF(OR(BP390&lt;=(--"00:20:00"),BQ390&gt;=100%),"OK","Not OK")</f>
        <v>Not OK</v>
      </c>
      <c r="BS390" s="302">
        <f>IF(AND(G390&gt;(--"00:00:01"),G390&lt;(--"15:00:00")),IF(AND(AU390&gt;(--"00:00:01"),AU390&lt;(--"15:00:00")),G390-AU390,G390+1-AU390),G390-AU390)</f>
        <v>1.4375</v>
      </c>
      <c r="BT390" s="302">
        <f>IF(AND(AZ390&gt;(--"00:00:01"),AZ390&lt;(--"15:00:00")),IF(AND(AU390&gt;(--"00:00:01"),AU390&lt;(--"15:00:00")),AZ390-AU390,AZ390+1-AU390),AZ390-AU390)</f>
        <v>0</v>
      </c>
      <c r="BU390" s="302">
        <f>IF(AND(BA390&gt;(--"00:00:01"),BA390&lt;(--"15:00:00")),IF(AND(AZ390&gt;(--"00:00:01"),AZ390&lt;(--"15:00:00")),BA390-AZ390,BA390+1-AZ390),BA390-AZ390)</f>
        <v>0</v>
      </c>
      <c r="BV390" s="299">
        <f>AV390</f>
        <v>0</v>
      </c>
      <c r="BW390" s="301"/>
      <c r="BX390" s="299" t="str">
        <f>IF(AV390="T Status",IF(AV390&lt;&gt;T390,"X",""),"")</f>
        <v/>
      </c>
      <c r="BY390" s="301"/>
      <c r="BZ390" s="299" t="str">
        <f>IF(X390&lt;&gt;"",IF(CC390="X","Driver Delay",IF(CA390="X","Paperwork Delay",IF(CB390="X","Late freight late sort",IF(CD390="X","Chiamare Control Room",IF(CE390="X","Chiamare Control Room",IF(CF390="X","Chiamare Control Room","")))))),"")</f>
        <v/>
      </c>
      <c r="CA390" s="302" t="str">
        <f>IF(K390="",IF(IF(AND(G390&gt;(--"00:00:01"),G390&lt;(--"15:00:00")),IF(AND(AT390&gt;(--"08:00:00"),AT390&lt;(--"23:59:59")),G390+1-AT390,G390-AT390),G390-AT390)&gt;(--"00:20:00"),"","X"),"")</f>
        <v/>
      </c>
      <c r="CB390" s="299" t="str">
        <f>IF(K390="",IF(BP390&gt;=(--"00:20:00"),"","X"),"")</f>
        <v/>
      </c>
      <c r="CC390" s="299" t="str">
        <f>IF(OR(AV390="Autista non presente",AV390="Dati driver non presenti"),"X","")</f>
        <v/>
      </c>
      <c r="CD390" s="299" t="str">
        <f>IF(K390="",IF(AND(CC390="",BS390&lt;(--"00:20:00")),"X",""),"")</f>
        <v/>
      </c>
      <c r="CE390" s="299" t="str">
        <f>IF(K390="",IF(BT390&gt;(--"00:15:00"),"X",""),IF(AZ390&lt;&gt;"",IF(G390-AZ390&gt;(--"00:30:00"),"X",""),""))</f>
        <v/>
      </c>
      <c r="CF390" s="299" t="str">
        <f>IF(AND(CA390="",CB390="",CC390="",CD390="",CE390=""),"X","")</f>
        <v>X</v>
      </c>
      <c r="CG390" s="301"/>
      <c r="CH390" s="299" t="str">
        <f>IF(BT390&gt;(--"00:15:00"),"X","")</f>
        <v/>
      </c>
      <c r="CI390" s="302">
        <f>AY390</f>
        <v>0</v>
      </c>
      <c r="CJ390" s="299" t="str">
        <f>IF(AND(CH390&lt;&gt;"",CI390&lt;&gt;"",LEFT(B390,3)="ITD"),AP390,"")</f>
        <v/>
      </c>
      <c r="CK390" s="305" t="str">
        <f>IF(CJ390&lt;&gt;"",BT390,"")</f>
        <v/>
      </c>
      <c r="CL390" s="301"/>
      <c r="CM390" s="305" t="str">
        <f>IFERROR(VLOOKUP(Q390,'Elenco Casse'!$D$4:$F$292,3,FALSE),"")</f>
        <v/>
      </c>
      <c r="CN390" s="301"/>
      <c r="CO390" s="305" t="str">
        <f>IFERROR(VLOOKUP(E390,Outlist!$A$5:$H$120,8,FALSE),"")</f>
        <v>ENBD20193</v>
      </c>
      <c r="CP390" s="305" t="str">
        <f>IFERROR(IF(VLOOKUP($E390,Outlist!$A$5:$S$120,19,FALSE)&lt;&gt;0,"Y",""),"")</f>
        <v/>
      </c>
      <c r="CQ390" s="301"/>
      <c r="CR390" s="305" t="str">
        <f>CONCATENATE($B390,$E390,$G390)</f>
        <v>ERN92385XWT 60.4375</v>
      </c>
      <c r="CS390" s="301"/>
      <c r="CT390" s="305">
        <f>VLOOKUP(Out_Table[[#This Row],[Destination             ORANGE (From Planning)]],Outlist!$A$5:$W$120,22,FALSE)</f>
        <v>0</v>
      </c>
    </row>
    <row r="391" spans="1:98" s="20" customFormat="1" ht="30.75">
      <c r="A391" s="305" t="str">
        <f>$CR391</f>
        <v>ERN92361XWT 70.4375</v>
      </c>
      <c r="B391" s="351" t="str">
        <f>IFERROR(VLOOKUP(E391,Outlist!$A$5:$AC$120,2,FALSE),"")</f>
        <v>ERN92361</v>
      </c>
      <c r="C391" s="352" t="str">
        <f>IFERROR(IF(LEFT(B391,3)='STAT 77'!$X$2,_xlfn.XLOOKUP(B391,'STAT 77'!C:C,'STAT 77'!B:B),_xlfn.XLOOKUP(B391,'STAT 77'!B:B,'STAT 77'!C:C)),"NON TROVATO")</f>
        <v>ERN91166</v>
      </c>
      <c r="D391" s="4"/>
      <c r="E391" s="352" t="str">
        <f>IFERROR(IF(Outlist!$A53&lt;&gt;"",Outlist!$A53,""),"")</f>
        <v>XWT 7</v>
      </c>
      <c r="F391" s="352" t="str">
        <f>IFERROR(VLOOKUP(E391,'Cambio O2P'!C:E,2,FALSE),"")</f>
        <v/>
      </c>
      <c r="G391" s="353">
        <f>IFERROR(VLOOKUP(E391,Outlist!$A$5:$AC$120,5,FALSE)-INT(VLOOKUP(E391,Outlist!$A$5:$AC$120,5,FALSE)),"")</f>
        <v>0.4375</v>
      </c>
      <c r="H391" s="294" t="str">
        <f ca="1">IFERROR(IF(AND('INformazioni per calcoli'!$AB$3&lt;(--"14:30"),'INformazioni per calcoli'!$AB$3&gt;(--"10:00")),"",IF($B391="","",IF($X391&lt;&gt;"","Mezzo Chiuso",IF($W391="","Non al Carico",IF($K391="Safe Parking","Safe Parking", IF(OR($BF391='INformazioni per calcoli'!$AF$8,$BF391='INformazioni per calcoli'!$AC$8,$BF391='INformazioni per calcoli'!$AD$8,$BF391='INformazioni per calcoli'!$AE$8,$BF391='INformazioni per calcoli'!$AG$8,$BF391='INformazioni per calcoli'!$AH$8,$BF391='INformazioni per calcoli'!$AI$8,$BF391='INformazioni per calcoli'!$AJ$8),IF($G391-'INformazioni per calcoli'!$AB$6-'INformazioni per calcoli'!$AB$3+$J391&lt;0,"LFLS",$G391-'INformazioni per calcoli'!$AB$6-'INformazioni per calcoli'!$AB$3+$J391), IF(OR($BF391='INformazioni per calcoli'!$AF$6,$BF391='INformazioni per calcoli'!$AD$6,$BF391='INformazioni per calcoli'!$AE$6,$BF391='INformazioni per calcoli'!$AG$6),IF($G391-'INformazioni per calcoli'!$AB$8-'INformazioni per calcoli'!$AB$3+$J391&lt;0,"LFLS",$G391-'INformazioni per calcoli'!$AB$8-'INformazioni per calcoli'!$AB$3+$J391), IF($G391-'INformazioni per calcoli'!$AB$7-'INformazioni per calcoli'!$AB$3+$J391&lt;0,"LFLS",$G391-'INformazioni per calcoli'!$AB$7-'INformazioni per calcoli'!$AB$3+$J391)))))))),"")</f>
        <v>Non al Carico</v>
      </c>
      <c r="I391" s="17" t="str">
        <f ca="1">IFERROR(IF($H391&lt;&gt;"",IF($H391="Safe Parking","",IF($W391&lt;&gt;"",IF(AND($U391="X",$V391="X"),$H391-(--"00:30"),""),IF($X391&lt;&gt;"","Mezzo Chiuso","Non al carico"))),""),"")</f>
        <v>Non al carico</v>
      </c>
      <c r="J391" s="306">
        <f ca="1">IFERROR(IF($B391&lt;&gt;"",IF(AND('INformazioni per calcoli'!$AB$3&lt;(--"15:00"),'INformazioni per calcoli'!$AB$3&gt;(--"00:00")),0,IF($G391&lt;(--"18:30"),"+1",0)),""),"")</f>
        <v>0</v>
      </c>
      <c r="K391" s="27">
        <f>IF(E391&lt;&gt;"",IFERROR(VLOOKUP(E391,Outlist!$A$5:$AC$120,22,FALSE),""),"")</f>
        <v>0</v>
      </c>
      <c r="L391" s="352" t="str">
        <f>IF(E391&lt;&gt;"",IFERROR(VLOOKUP(E391,Outlist!$A$5:$AC$120,3,FALSE),""),"")</f>
        <v>T Service Spa</v>
      </c>
      <c r="M391" s="4" t="str">
        <f>IFERROR(_xlfn.XLOOKUP($Q391,'Elenco Casse'!$D:$D,'Elenco Casse'!$E:$E),"")</f>
        <v/>
      </c>
      <c r="N391" s="4" t="str">
        <f>IFERROR(_xlfn.XLOOKUP($Q391,'Elenco Casse'!$D:$D,'Elenco Casse'!$F:$F),"")</f>
        <v/>
      </c>
      <c r="O391" s="4" t="str">
        <f>IF($L391&lt;&gt;"","TT-2/3","")</f>
        <v>TT-2/3</v>
      </c>
      <c r="P391" s="296" t="str">
        <f>IFERROR(IF(VLOOKUP(E391,Outlist!$A$5:$AC$120,21,FALSE)="YES","Linea Variata",""),"")</f>
        <v/>
      </c>
      <c r="Q391" s="355">
        <f>IFERROR(VLOOKUP(E391,Outlist!$AK$4:$BH$139,13,FALSE),"")</f>
        <v>0</v>
      </c>
      <c r="R391" s="23"/>
      <c r="S391" s="25" t="str">
        <f>IFERROR(IF(VLOOKUP(E391,Outlist!$A$5:$AC$120,7,FALSE)="X","SUBCO",""),"")</f>
        <v/>
      </c>
      <c r="T391" s="25"/>
      <c r="U391" s="23" t="s">
        <v>61</v>
      </c>
      <c r="V391" s="23" t="s">
        <v>61</v>
      </c>
      <c r="W391" s="26"/>
      <c r="X391" s="27"/>
      <c r="Y391" s="25"/>
      <c r="Z391" s="25"/>
      <c r="AA391" s="25"/>
      <c r="AB391" s="57"/>
      <c r="AC391" s="25"/>
      <c r="AD391" s="25"/>
      <c r="AE391" s="57"/>
      <c r="AF391" s="57"/>
      <c r="AG391" s="25"/>
      <c r="AH391" s="57"/>
      <c r="AI391" s="339"/>
      <c r="AJ391" s="339"/>
      <c r="AK391" s="297" t="str">
        <f>IF(X391&lt;&gt;"",CONCATENATE(IF(AA391&lt;&gt;"",CONCATENATE(Z391," ",AA391," ",BI391),""),IF(AD391&lt;&gt;"",CONCATENATE(","," ",AC391," ",AD391," ",BJ391),""),IF(AG391&lt;&gt;"",CONCATENATE(","," ",AF391," ",AG391," ",BK391),""),IF(AJ391&lt;&gt;"",CONCATENATE(","," ","DD"," ",BL391),"")," ",IF(AI391&lt;&gt;"",CONCATENATE(" - ",AI391," Bag"),"")),"")</f>
        <v/>
      </c>
      <c r="AL391" s="287"/>
      <c r="AM391" s="287"/>
      <c r="AN391" s="287"/>
      <c r="AO391" s="287"/>
      <c r="AP391" s="370">
        <f>IFERROR(VLOOKUP($E391,Outlist!$A$5:$V$120,20,FALSE),"")</f>
        <v>0</v>
      </c>
      <c r="AQ391" s="288" t="str">
        <f>IFERROR(IF(VLOOKUP($A391,#REF!,8,FALSE)&lt;&gt;"",VLOOKUP($A391,#REF!,8,FALSE),""),"")</f>
        <v/>
      </c>
      <c r="AS391" s="24"/>
      <c r="AT391" s="24"/>
      <c r="AU391" s="27"/>
      <c r="AV391" s="27"/>
      <c r="AX391" s="20" t="str">
        <f>IFERROR(IF(Out_Table[[#This Row],[Cancellazione linea]]="Cancellata","yes",""),"")</f>
        <v/>
      </c>
      <c r="AY391" s="72"/>
      <c r="AZ391" s="27"/>
      <c r="BA391" s="32"/>
      <c r="BB391" s="72"/>
      <c r="BC391" s="72" t="str">
        <f>IFERROR(VLOOKUP(Out_Table[[#This Row],[Aggiornamento STATUS]],'INformazioni per calcoli'!$Y$70:$AA$76,2,FALSE),"")</f>
        <v/>
      </c>
      <c r="BD391" s="289"/>
      <c r="BE391" s="289"/>
      <c r="BF391" s="47" t="str">
        <f>LEFT($E391,3)</f>
        <v>XWT</v>
      </c>
      <c r="BG391" s="298" t="str">
        <f>IF(Out_Table[[#This Row],[Ora Uscita    (GH)]]&lt;&gt;"","x","")</f>
        <v/>
      </c>
      <c r="BH391" s="299">
        <f>VLOOKUP($O391,'INformazioni per calcoli'!$Y$20:$AA$23,3,FALSE)</f>
        <v>14</v>
      </c>
      <c r="BI391" s="299">
        <f>MROUND(Out_Table[[#This Row],[Mtr. Trailer]]*AB391,0.5)</f>
        <v>0</v>
      </c>
      <c r="BJ391" s="299">
        <f>MROUND(Out_Table[[#This Row],[Mtr. Trailer]]*AE391,0.5)</f>
        <v>0</v>
      </c>
      <c r="BK391" s="299">
        <f>MROUND(Out_Table[[#This Row],[Mtr. Trailer]]*AH391,0.5)</f>
        <v>0</v>
      </c>
      <c r="BL391" s="300">
        <f>Out_Table[[#This Row],[Double Deck trailer N° bumpers]]</f>
        <v>0</v>
      </c>
      <c r="BM391" s="301"/>
      <c r="BN391" s="299" t="str">
        <f>B391</f>
        <v>ERN92361</v>
      </c>
      <c r="BO391" s="299" t="str">
        <f>E391</f>
        <v>XWT 7</v>
      </c>
      <c r="BP391" s="302">
        <f>IF(AND(G391&gt;(--"00:00:01"),G391&lt;(--"15:00:00")),IF(AND(X391&gt;(--"00:00:01"),X391&lt;(--"15:00:00")),G391-X391,G391+1-X391),G391-X391)</f>
        <v>1.4375</v>
      </c>
      <c r="BQ391" s="303">
        <f>AE391+AF391+AH391+AJ391</f>
        <v>0</v>
      </c>
      <c r="BR391" s="304" t="str">
        <f>IF(OR(BP391&lt;=(--"00:20:00"),BQ391&gt;=100%),"OK","Not OK")</f>
        <v>Not OK</v>
      </c>
      <c r="BS391" s="302">
        <f>IF(AND(G391&gt;(--"00:00:01"),G391&lt;(--"15:00:00")),IF(AND(AU391&gt;(--"00:00:01"),AU391&lt;(--"15:00:00")),G391-AU391,G391+1-AU391),G391-AU391)</f>
        <v>1.4375</v>
      </c>
      <c r="BT391" s="302">
        <f>IF(AND(AZ391&gt;(--"00:00:01"),AZ391&lt;(--"15:00:00")),IF(AND(AU391&gt;(--"00:00:01"),AU391&lt;(--"15:00:00")),AZ391-AU391,AZ391+1-AU391),AZ391-AU391)</f>
        <v>0</v>
      </c>
      <c r="BU391" s="302">
        <f>IF(AND(BA391&gt;(--"00:00:01"),BA391&lt;(--"15:00:00")),IF(AND(AZ391&gt;(--"00:00:01"),AZ391&lt;(--"15:00:00")),BA391-AZ391,BA391+1-AZ391),BA391-AZ391)</f>
        <v>0</v>
      </c>
      <c r="BV391" s="299">
        <f>AV391</f>
        <v>0</v>
      </c>
      <c r="BW391" s="301"/>
      <c r="BX391" s="299" t="str">
        <f>IF(AV391="T Status",IF(AV391&lt;&gt;T391,"X",""),"")</f>
        <v/>
      </c>
      <c r="BY391" s="301"/>
      <c r="BZ391" s="299" t="str">
        <f>IF(X391&lt;&gt;"",IF(CC391="X","Driver Delay",IF(CA391="X","Paperwork Delay",IF(CB391="X","Late freight late sort",IF(CD391="X","Chiamare Control Room",IF(CE391="X","Chiamare Control Room",IF(CF391="X","Chiamare Control Room","")))))),"")</f>
        <v/>
      </c>
      <c r="CA391" s="302" t="str">
        <f>IF(K391="",IF(IF(AND(G391&gt;(--"00:00:01"),G391&lt;(--"15:00:00")),IF(AND(AT391&gt;(--"08:00:00"),AT391&lt;(--"23:59:59")),G391+1-AT391,G391-AT391),G391-AT391)&gt;(--"00:20:00"),"","X"),"")</f>
        <v/>
      </c>
      <c r="CB391" s="299" t="str">
        <f>IF(K391="",IF(BP391&gt;=(--"00:20:00"),"","X"),"")</f>
        <v/>
      </c>
      <c r="CC391" s="299" t="str">
        <f>IF(OR(AV391="Autista non presente",AV391="Dati driver non presenti"),"X","")</f>
        <v/>
      </c>
      <c r="CD391" s="299" t="str">
        <f>IF(K391="",IF(AND(CC391="",BS391&lt;(--"00:20:00")),"X",""),"")</f>
        <v/>
      </c>
      <c r="CE391" s="299" t="str">
        <f>IF(K391="",IF(BT391&gt;(--"00:15:00"),"X",""),IF(AZ391&lt;&gt;"",IF(G391-AZ391&gt;(--"00:30:00"),"X",""),""))</f>
        <v/>
      </c>
      <c r="CF391" s="299" t="str">
        <f>IF(AND(CA391="",CB391="",CC391="",CD391="",CE391=""),"X","")</f>
        <v>X</v>
      </c>
      <c r="CG391" s="301"/>
      <c r="CH391" s="299" t="str">
        <f>IF(BT391&gt;(--"00:15:00"),"X","")</f>
        <v/>
      </c>
      <c r="CI391" s="302">
        <f>AY391</f>
        <v>0</v>
      </c>
      <c r="CJ391" s="299" t="str">
        <f>IF(AND(CH391&lt;&gt;"",CI391&lt;&gt;"",LEFT(B391,3)="ITD"),AP391,"")</f>
        <v/>
      </c>
      <c r="CK391" s="305" t="str">
        <f>IF(CJ391&lt;&gt;"",BT391,"")</f>
        <v/>
      </c>
      <c r="CL391" s="301"/>
      <c r="CM391" s="305" t="str">
        <f>IFERROR(VLOOKUP(Q391,'Elenco Casse'!$D$4:$F$292,3,FALSE),"")</f>
        <v/>
      </c>
      <c r="CN391" s="301"/>
      <c r="CO391" s="305">
        <f>IFERROR(VLOOKUP(E391,Outlist!$A$5:$H$120,8,FALSE),"")</f>
        <v>0</v>
      </c>
      <c r="CP391" s="305" t="str">
        <f>IFERROR(IF(VLOOKUP($E391,Outlist!$A$5:$S$120,19,FALSE)&lt;&gt;0,"Y",""),"")</f>
        <v/>
      </c>
      <c r="CQ391" s="301"/>
      <c r="CR391" s="305" t="str">
        <f>CONCATENATE($B391,$E391,$G391)</f>
        <v>ERN92361XWT 70.4375</v>
      </c>
      <c r="CS391" s="301"/>
      <c r="CT391" s="305">
        <f>VLOOKUP(Out_Table[[#This Row],[Destination             ORANGE (From Planning)]],Outlist!$A$5:$W$120,22,FALSE)</f>
        <v>0</v>
      </c>
    </row>
    <row r="392" spans="1:98" s="20" customFormat="1" ht="30.75">
      <c r="A392" s="305" t="str">
        <f>$CR392</f>
        <v>ERN92363MAD 50.4375</v>
      </c>
      <c r="B392" s="351" t="str">
        <f>IFERROR(VLOOKUP(E392,Outlist!$A$5:$AC$120,2,FALSE),"")</f>
        <v>ERN92363</v>
      </c>
      <c r="C392" s="352" t="str">
        <f>IFERROR(IF(LEFT(B392,3)='STAT 77'!$X$2,_xlfn.XLOOKUP(B392,'STAT 77'!C:C,'STAT 77'!B:B),_xlfn.XLOOKUP(B392,'STAT 77'!B:B,'STAT 77'!C:C)),"NON TROVATO")</f>
        <v>ERN91167</v>
      </c>
      <c r="D392" s="4"/>
      <c r="E392" s="352" t="str">
        <f>IFERROR(IF(Outlist!$A65&lt;&gt;"",Outlist!$A65,""),"")</f>
        <v>MAD 5</v>
      </c>
      <c r="F392" s="352" t="str">
        <f>IFERROR(VLOOKUP(E392,'Cambio O2P'!C:E,2,FALSE),"")</f>
        <v/>
      </c>
      <c r="G392" s="353">
        <f>IFERROR(VLOOKUP(E392,Outlist!$A$5:$AC$120,5,FALSE)-INT(VLOOKUP(E392,Outlist!$A$5:$AC$120,5,FALSE)),"")</f>
        <v>0.4375</v>
      </c>
      <c r="H392" s="294" t="str">
        <f ca="1">IFERROR(IF(AND('INformazioni per calcoli'!$AB$3&lt;(--"14:30"),'INformazioni per calcoli'!$AB$3&gt;(--"10:00")),"",IF($B392="","",IF($X392&lt;&gt;"","Mezzo Chiuso",IF($W392="","Non al Carico",IF($K392="Safe Parking","Safe Parking", IF(OR($BF392='INformazioni per calcoli'!$AF$8,$BF392='INformazioni per calcoli'!$AC$8,$BF392='INformazioni per calcoli'!$AD$8,$BF392='INformazioni per calcoli'!$AE$8,$BF392='INformazioni per calcoli'!$AG$8,$BF392='INformazioni per calcoli'!$AH$8,$BF392='INformazioni per calcoli'!$AI$8,$BF392='INformazioni per calcoli'!$AJ$8),IF($G392-'INformazioni per calcoli'!$AB$6-'INformazioni per calcoli'!$AB$3+$J392&lt;0,"LFLS",$G392-'INformazioni per calcoli'!$AB$6-'INformazioni per calcoli'!$AB$3+$J392), IF(OR($BF392='INformazioni per calcoli'!$AF$6,$BF392='INformazioni per calcoli'!$AD$6,$BF392='INformazioni per calcoli'!$AE$6,$BF392='INformazioni per calcoli'!$AG$6),IF($G392-'INformazioni per calcoli'!$AB$8-'INformazioni per calcoli'!$AB$3+$J392&lt;0,"LFLS",$G392-'INformazioni per calcoli'!$AB$8-'INformazioni per calcoli'!$AB$3+$J392), IF($G392-'INformazioni per calcoli'!$AB$7-'INformazioni per calcoli'!$AB$3+$J392&lt;0,"LFLS",$G392-'INformazioni per calcoli'!$AB$7-'INformazioni per calcoli'!$AB$3+$J392)))))))),"")</f>
        <v>Non al Carico</v>
      </c>
      <c r="I392" s="17" t="str">
        <f ca="1">IFERROR(IF($H392&lt;&gt;"",IF($H392="Safe Parking","",IF($W392&lt;&gt;"",IF(AND($U392="X",$V392="X"),$H392-(--"00:30"),""),IF($X392&lt;&gt;"","Mezzo Chiuso","Non al carico"))),""),"")</f>
        <v>Non al carico</v>
      </c>
      <c r="J392" s="306">
        <f ca="1">IFERROR(IF($B392&lt;&gt;"",IF(AND('INformazioni per calcoli'!$AB$3&lt;(--"15:00"),'INformazioni per calcoli'!$AB$3&gt;(--"00:00")),0,IF($G392&lt;(--"18:30"),"+1",0)),""),"")</f>
        <v>0</v>
      </c>
      <c r="K392" s="27">
        <f>IF(E392&lt;&gt;"",IFERROR(VLOOKUP(E392,Outlist!$A$5:$AC$120,22,FALSE),""),"")</f>
        <v>0</v>
      </c>
      <c r="L392" s="352" t="str">
        <f>IF(E392&lt;&gt;"",IFERROR(VLOOKUP(E392,Outlist!$A$5:$AC$120,3,FALSE),""),"")</f>
        <v>T Service Spa</v>
      </c>
      <c r="M392" s="4" t="str">
        <f>IFERROR(_xlfn.XLOOKUP($Q392,'Elenco Casse'!$D:$D,'Elenco Casse'!$E:$E),"")</f>
        <v/>
      </c>
      <c r="N392" s="4" t="str">
        <f>IFERROR(_xlfn.XLOOKUP($Q392,'Elenco Casse'!$D:$D,'Elenco Casse'!$F:$F),"")</f>
        <v/>
      </c>
      <c r="O392" s="4" t="str">
        <f>IF($L392&lt;&gt;"","TT-2/3","")</f>
        <v>TT-2/3</v>
      </c>
      <c r="P392" s="296" t="str">
        <f>IFERROR(IF(VLOOKUP(E392,Outlist!$A$5:$AC$120,21,FALSE)="YES","Linea Variata",""),"")</f>
        <v/>
      </c>
      <c r="Q392" s="355">
        <f>IFERROR(VLOOKUP(E392,Outlist!$AK$4:$BH$139,13,FALSE),"")</f>
        <v>0</v>
      </c>
      <c r="R392" s="23"/>
      <c r="S392" s="25" t="str">
        <f>IFERROR(IF(VLOOKUP(E392,Outlist!$A$5:$AC$120,7,FALSE)="X","SUBCO",""),"")</f>
        <v/>
      </c>
      <c r="T392" s="25"/>
      <c r="U392" s="23"/>
      <c r="V392" s="23"/>
      <c r="W392" s="26"/>
      <c r="X392" s="27"/>
      <c r="Y392" s="25"/>
      <c r="Z392" s="25"/>
      <c r="AA392" s="25"/>
      <c r="AB392" s="57"/>
      <c r="AC392" s="25"/>
      <c r="AD392" s="25"/>
      <c r="AE392" s="57"/>
      <c r="AF392" s="57"/>
      <c r="AG392" s="25"/>
      <c r="AH392" s="57"/>
      <c r="AI392" s="339"/>
      <c r="AJ392" s="339"/>
      <c r="AK392" s="297" t="str">
        <f>IF(X392&lt;&gt;"",CONCATENATE(IF(AA392&lt;&gt;"",CONCATENATE(Z392," ",AA392," ",BI392),""),IF(AD392&lt;&gt;"",CONCATENATE(","," ",AC392," ",AD392," ",BJ392),""),IF(AG392&lt;&gt;"",CONCATENATE(","," ",AF392," ",AG392," ",BK392),""),IF(AJ392&lt;&gt;"",CONCATENATE(","," ","DD"," ",BL392),"")," ",IF(AI392&lt;&gt;"",CONCATENATE(" - ",AI392," Bag"),"")),"")</f>
        <v/>
      </c>
      <c r="AL392" s="287"/>
      <c r="AM392" s="287"/>
      <c r="AN392" s="287"/>
      <c r="AO392" s="287"/>
      <c r="AP392" s="370">
        <f>IFERROR(VLOOKUP($E392,Outlist!$A$5:$V$120,20,FALSE),"")</f>
        <v>0</v>
      </c>
      <c r="AQ392" s="288" t="str">
        <f>IFERROR(IF(VLOOKUP($A392,#REF!,8,FALSE)&lt;&gt;"",VLOOKUP($A392,#REF!,8,FALSE),""),"")</f>
        <v/>
      </c>
      <c r="AS392" s="24"/>
      <c r="AT392" s="24"/>
      <c r="AU392" s="27"/>
      <c r="AV392" s="27"/>
      <c r="AX392" s="20" t="str">
        <f>IFERROR(IF(Out_Table[[#This Row],[Cancellazione linea]]="Cancellata","yes",""),"")</f>
        <v/>
      </c>
      <c r="AY392" s="72"/>
      <c r="AZ392" s="27"/>
      <c r="BA392" s="32"/>
      <c r="BB392" s="72"/>
      <c r="BC392" s="72" t="str">
        <f>IFERROR(VLOOKUP(Out_Table[[#This Row],[Aggiornamento STATUS]],'INformazioni per calcoli'!$Y$70:$AA$76,2,FALSE),"")</f>
        <v/>
      </c>
      <c r="BD392" s="289"/>
      <c r="BE392" s="289"/>
      <c r="BF392" s="47" t="str">
        <f>LEFT($E392,3)</f>
        <v>MAD</v>
      </c>
      <c r="BG392" s="298" t="str">
        <f>IF(Out_Table[[#This Row],[Ora Uscita    (GH)]]&lt;&gt;"","x","")</f>
        <v/>
      </c>
      <c r="BH392" s="299">
        <f>VLOOKUP($O392,'INformazioni per calcoli'!$Y$20:$AA$23,3,FALSE)</f>
        <v>14</v>
      </c>
      <c r="BI392" s="299">
        <f>MROUND(Out_Table[[#This Row],[Mtr. Trailer]]*AB392,0.5)</f>
        <v>0</v>
      </c>
      <c r="BJ392" s="299">
        <f>MROUND(Out_Table[[#This Row],[Mtr. Trailer]]*AE392,0.5)</f>
        <v>0</v>
      </c>
      <c r="BK392" s="299">
        <f>MROUND(Out_Table[[#This Row],[Mtr. Trailer]]*AH392,0.5)</f>
        <v>0</v>
      </c>
      <c r="BL392" s="300">
        <f>Out_Table[[#This Row],[Double Deck trailer N° bumpers]]</f>
        <v>0</v>
      </c>
      <c r="BM392" s="301"/>
      <c r="BN392" s="299" t="str">
        <f>B392</f>
        <v>ERN92363</v>
      </c>
      <c r="BO392" s="299" t="str">
        <f>E392</f>
        <v>MAD 5</v>
      </c>
      <c r="BP392" s="302">
        <f>IF(AND(G392&gt;(--"00:00:01"),G392&lt;(--"15:00:00")),IF(AND(X392&gt;(--"00:00:01"),X392&lt;(--"15:00:00")),G392-X392,G392+1-X392),G392-X392)</f>
        <v>1.4375</v>
      </c>
      <c r="BQ392" s="303">
        <f>AE392+AF392+AH392+AJ392</f>
        <v>0</v>
      </c>
      <c r="BR392" s="304" t="str">
        <f>IF(OR(BP392&lt;=(--"00:20:00"),BQ392&gt;=100%),"OK","Not OK")</f>
        <v>Not OK</v>
      </c>
      <c r="BS392" s="302">
        <f>IF(AND(G392&gt;(--"00:00:01"),G392&lt;(--"15:00:00")),IF(AND(AU392&gt;(--"00:00:01"),AU392&lt;(--"15:00:00")),G392-AU392,G392+1-AU392),G392-AU392)</f>
        <v>1.4375</v>
      </c>
      <c r="BT392" s="302">
        <f>IF(AND(AZ392&gt;(--"00:00:01"),AZ392&lt;(--"15:00:00")),IF(AND(AU392&gt;(--"00:00:01"),AU392&lt;(--"15:00:00")),AZ392-AU392,AZ392+1-AU392),AZ392-AU392)</f>
        <v>0</v>
      </c>
      <c r="BU392" s="302">
        <f>IF(AND(BA392&gt;(--"00:00:01"),BA392&lt;(--"15:00:00")),IF(AND(AZ392&gt;(--"00:00:01"),AZ392&lt;(--"15:00:00")),BA392-AZ392,BA392+1-AZ392),BA392-AZ392)</f>
        <v>0</v>
      </c>
      <c r="BV392" s="299">
        <f>AV392</f>
        <v>0</v>
      </c>
      <c r="BW392" s="301"/>
      <c r="BX392" s="299" t="str">
        <f>IF(AV392="T Status",IF(AV392&lt;&gt;T392,"X",""),"")</f>
        <v/>
      </c>
      <c r="BY392" s="301"/>
      <c r="BZ392" s="299" t="str">
        <f>IF(X392&lt;&gt;"",IF(CC392="X","Driver Delay",IF(CA392="X","Paperwork Delay",IF(CB392="X","Late freight late sort",IF(CD392="X","Chiamare Control Room",IF(CE392="X","Chiamare Control Room",IF(CF392="X","Chiamare Control Room","")))))),"")</f>
        <v/>
      </c>
      <c r="CA392" s="302" t="str">
        <f>IF(K392="",IF(IF(AND(G392&gt;(--"00:00:01"),G392&lt;(--"15:00:00")),IF(AND(AT392&gt;(--"08:00:00"),AT392&lt;(--"23:59:59")),G392+1-AT392,G392-AT392),G392-AT392)&gt;(--"00:20:00"),"","X"),"")</f>
        <v/>
      </c>
      <c r="CB392" s="299" t="str">
        <f>IF(K392="",IF(BP392&gt;=(--"00:20:00"),"","X"),"")</f>
        <v/>
      </c>
      <c r="CC392" s="299" t="str">
        <f>IF(OR(AV392="Autista non presente",AV392="Dati driver non presenti"),"X","")</f>
        <v/>
      </c>
      <c r="CD392" s="299" t="str">
        <f>IF(K392="",IF(AND(CC392="",BS392&lt;(--"00:20:00")),"X",""),"")</f>
        <v/>
      </c>
      <c r="CE392" s="299" t="str">
        <f>IF(K392="",IF(BT392&gt;(--"00:15:00"),"X",""),IF(AZ392&lt;&gt;"",IF(G392-AZ392&gt;(--"00:30:00"),"X",""),""))</f>
        <v/>
      </c>
      <c r="CF392" s="299" t="str">
        <f>IF(AND(CA392="",CB392="",CC392="",CD392="",CE392=""),"X","")</f>
        <v>X</v>
      </c>
      <c r="CG392" s="301"/>
      <c r="CH392" s="299" t="str">
        <f>IF(BT392&gt;(--"00:15:00"),"X","")</f>
        <v/>
      </c>
      <c r="CI392" s="302">
        <f>AY392</f>
        <v>0</v>
      </c>
      <c r="CJ392" s="299" t="str">
        <f>IF(AND(CH392&lt;&gt;"",CI392&lt;&gt;"",LEFT(B392,3)="ITD"),AP392,"")</f>
        <v/>
      </c>
      <c r="CK392" s="305" t="str">
        <f>IF(CJ392&lt;&gt;"",BT392,"")</f>
        <v/>
      </c>
      <c r="CL392" s="301"/>
      <c r="CM392" s="305" t="str">
        <f>IFERROR(VLOOKUP(Q392,'Elenco Casse'!$D$4:$F$292,3,FALSE),"")</f>
        <v/>
      </c>
      <c r="CN392" s="301"/>
      <c r="CO392" s="305">
        <f>IFERROR(VLOOKUP(E392,Outlist!$A$5:$H$120,8,FALSE),"")</f>
        <v>0</v>
      </c>
      <c r="CP392" s="305" t="str">
        <f>IFERROR(IF(VLOOKUP($E392,Outlist!$A$5:$S$120,19,FALSE)&lt;&gt;0,"Y",""),"")</f>
        <v/>
      </c>
      <c r="CQ392" s="301"/>
      <c r="CR392" s="305" t="str">
        <f>CONCATENATE($B392,$E392,$G392)</f>
        <v>ERN92363MAD 50.4375</v>
      </c>
      <c r="CS392" s="301"/>
      <c r="CT392" s="305">
        <f>VLOOKUP(Out_Table[[#This Row],[Destination             ORANGE (From Planning)]],Outlist!$A$5:$W$120,22,FALSE)</f>
        <v>0</v>
      </c>
    </row>
    <row r="393" spans="1:98" s="20" customFormat="1" ht="30.75">
      <c r="A393" s="305" t="str">
        <f>$CR393</f>
        <v>ERN92348ATH 50.263888888890506</v>
      </c>
      <c r="B393" s="351" t="str">
        <f>IFERROR(VLOOKUP(E393,Outlist!$A$5:$AC$120,2,FALSE),"")</f>
        <v>ERN92348</v>
      </c>
      <c r="C393" s="352" t="str">
        <f>IFERROR(IF(LEFT(B393,3)='STAT 77'!$X$2,_xlfn.XLOOKUP(B393,'STAT 77'!C:C,'STAT 77'!B:B),_xlfn.XLOOKUP(B393,'STAT 77'!B:B,'STAT 77'!C:C)),"NON TROVATO")</f>
        <v>ERN91159</v>
      </c>
      <c r="D393" s="4"/>
      <c r="E393" s="352" t="str">
        <f>IFERROR(IF(Outlist!$A73&lt;&gt;"",Outlist!$A73,""),"")</f>
        <v>ATH 5</v>
      </c>
      <c r="F393" s="352" t="str">
        <f>IFERROR(VLOOKUP(E393,'Cambio O2P'!C:E,2,FALSE),"")</f>
        <v/>
      </c>
      <c r="G393" s="353">
        <f>IFERROR(VLOOKUP(E393,Outlist!$A$5:$AC$120,5,FALSE)-INT(VLOOKUP(E393,Outlist!$A$5:$AC$120,5,FALSE)),"")</f>
        <v>0.26388888889050577</v>
      </c>
      <c r="H393" s="294" t="str">
        <f ca="1">IFERROR(IF(AND('INformazioni per calcoli'!$AB$3&lt;(--"14:30"),'INformazioni per calcoli'!$AB$3&gt;(--"10:00")),"",IF($B393="","",IF($X393&lt;&gt;"","Mezzo Chiuso",IF($W393="","Non al Carico",IF($K393="Safe Parking","Safe Parking", IF(OR($BF393='INformazioni per calcoli'!$AF$8,$BF393='INformazioni per calcoli'!$AC$8,$BF393='INformazioni per calcoli'!$AD$8,$BF393='INformazioni per calcoli'!$AE$8,$BF393='INformazioni per calcoli'!$AG$8,$BF393='INformazioni per calcoli'!$AH$8,$BF393='INformazioni per calcoli'!$AI$8,$BF393='INformazioni per calcoli'!$AJ$8),IF($G393-'INformazioni per calcoli'!$AB$6-'INformazioni per calcoli'!$AB$3+$J393&lt;0,"LFLS",$G393-'INformazioni per calcoli'!$AB$6-'INformazioni per calcoli'!$AB$3+$J393), IF(OR($BF393='INformazioni per calcoli'!$AF$6,$BF393='INformazioni per calcoli'!$AD$6,$BF393='INformazioni per calcoli'!$AE$6,$BF393='INformazioni per calcoli'!$AG$6),IF($G393-'INformazioni per calcoli'!$AB$8-'INformazioni per calcoli'!$AB$3+$J393&lt;0,"LFLS",$G393-'INformazioni per calcoli'!$AB$8-'INformazioni per calcoli'!$AB$3+$J393), IF($G393-'INformazioni per calcoli'!$AB$7-'INformazioni per calcoli'!$AB$3+$J393&lt;0,"LFLS",$G393-'INformazioni per calcoli'!$AB$7-'INformazioni per calcoli'!$AB$3+$J393)))))))),"")</f>
        <v>Non al Carico</v>
      </c>
      <c r="I393" s="17" t="str">
        <f ca="1">IFERROR(IF($H393&lt;&gt;"",IF($H393="Safe Parking","",IF($W393&lt;&gt;"",IF(AND($U393="X",$V393="X"),$H393-(--"00:30"),""),IF($X393&lt;&gt;"","Mezzo Chiuso","Non al carico"))),""),"")</f>
        <v>Non al carico</v>
      </c>
      <c r="J393" s="306">
        <f ca="1">IFERROR(IF($B393&lt;&gt;"",IF(AND('INformazioni per calcoli'!$AB$3&lt;(--"15:00"),'INformazioni per calcoli'!$AB$3&gt;(--"00:00")),0,IF($G393&lt;(--"18:30"),"+1",0)),""),"")</f>
        <v>0</v>
      </c>
      <c r="K393" s="27">
        <f>IF(E393&lt;&gt;"",IFERROR(VLOOKUP(E393,Outlist!$A$5:$AC$120,22,FALSE),""),"")</f>
        <v>0</v>
      </c>
      <c r="L393" s="352" t="str">
        <f>IF(E393&lt;&gt;"",IFERROR(VLOOKUP(E393,Outlist!$A$5:$AC$120,3,FALSE),""),"")</f>
        <v>Eurofast International Transports Srl</v>
      </c>
      <c r="M393" s="4" t="str">
        <f>IFERROR(_xlfn.XLOOKUP($Q393,'Elenco Casse'!$D:$D,'Elenco Casse'!$E:$E),"")</f>
        <v/>
      </c>
      <c r="N393" s="4" t="str">
        <f>IFERROR(_xlfn.XLOOKUP($Q393,'Elenco Casse'!$D:$D,'Elenco Casse'!$F:$F),"")</f>
        <v/>
      </c>
      <c r="O393" s="4" t="str">
        <f>IF($L393&lt;&gt;"","TT-2/3","")</f>
        <v>TT-2/3</v>
      </c>
      <c r="P393" s="296" t="str">
        <f>IFERROR(IF(VLOOKUP(E393,Outlist!$A$5:$AC$120,21,FALSE)="YES","Linea Variata",""),"")</f>
        <v/>
      </c>
      <c r="Q393" s="355">
        <f>IFERROR(VLOOKUP(E393,Outlist!$AK$4:$BH$139,13,FALSE),"")</f>
        <v>0</v>
      </c>
      <c r="R393" s="23"/>
      <c r="S393" s="25" t="str">
        <f>IFERROR(IF(VLOOKUP(E393,Outlist!$A$5:$AC$120,7,FALSE)="X","SUBCO",""),"")</f>
        <v>SUBCO</v>
      </c>
      <c r="T393" s="25"/>
      <c r="U393" s="23"/>
      <c r="V393" s="23"/>
      <c r="W393" s="26"/>
      <c r="X393" s="27"/>
      <c r="Y393" s="25"/>
      <c r="Z393" s="25"/>
      <c r="AA393" s="25"/>
      <c r="AB393" s="57"/>
      <c r="AC393" s="25"/>
      <c r="AD393" s="25"/>
      <c r="AE393" s="57"/>
      <c r="AF393" s="57"/>
      <c r="AG393" s="25"/>
      <c r="AH393" s="57"/>
      <c r="AI393" s="339"/>
      <c r="AJ393" s="339"/>
      <c r="AK393" s="297" t="str">
        <f>IF(X393&lt;&gt;"",CONCATENATE(IF(AA393&lt;&gt;"",CONCATENATE(Z393," ",AA393," ",BI393),""),IF(AD393&lt;&gt;"",CONCATENATE(","," ",AC393," ",AD393," ",BJ393),""),IF(AG393&lt;&gt;"",CONCATENATE(","," ",AF393," ",AG393," ",BK393),""),IF(AJ393&lt;&gt;"",CONCATENATE(","," ","DD"," ",BL393),"")," ",IF(AI393&lt;&gt;"",CONCATENATE(" - ",AI393," Bag"),"")),"")</f>
        <v/>
      </c>
      <c r="AL393" s="287"/>
      <c r="AM393" s="287"/>
      <c r="AN393" s="287"/>
      <c r="AO393" s="287"/>
      <c r="AP393" s="370">
        <f>IFERROR(VLOOKUP($E393,Outlist!$A$5:$V$120,20,FALSE),"")</f>
        <v>0</v>
      </c>
      <c r="AQ393" s="288" t="str">
        <f>IFERROR(IF(VLOOKUP($A393,#REF!,8,FALSE)&lt;&gt;"",VLOOKUP($A393,#REF!,8,FALSE),""),"")</f>
        <v/>
      </c>
      <c r="AS393" s="24"/>
      <c r="AT393" s="24"/>
      <c r="AU393" s="27"/>
      <c r="AV393" s="27"/>
      <c r="AX393" s="20" t="str">
        <f>IFERROR(IF(Out_Table[[#This Row],[Cancellazione linea]]="Cancellata","yes",""),"")</f>
        <v/>
      </c>
      <c r="AY393" s="72"/>
      <c r="AZ393" s="27"/>
      <c r="BA393" s="32"/>
      <c r="BB393" s="72"/>
      <c r="BC393" s="72" t="str">
        <f>IFERROR(VLOOKUP(Out_Table[[#This Row],[Aggiornamento STATUS]],'INformazioni per calcoli'!$Y$70:$AA$76,2,FALSE),"")</f>
        <v/>
      </c>
      <c r="BD393" s="289"/>
      <c r="BE393" s="289"/>
      <c r="BF393" s="47" t="str">
        <f>LEFT($E393,3)</f>
        <v>ATH</v>
      </c>
      <c r="BG393" s="298" t="str">
        <f>IF(Out_Table[[#This Row],[Ora Uscita    (GH)]]&lt;&gt;"","x","")</f>
        <v/>
      </c>
      <c r="BH393" s="299">
        <f>VLOOKUP($O393,'INformazioni per calcoli'!$Y$20:$AA$23,3,FALSE)</f>
        <v>14</v>
      </c>
      <c r="BI393" s="299">
        <f>MROUND(Out_Table[[#This Row],[Mtr. Trailer]]*AB393,0.5)</f>
        <v>0</v>
      </c>
      <c r="BJ393" s="299">
        <f>MROUND(Out_Table[[#This Row],[Mtr. Trailer]]*AE393,0.5)</f>
        <v>0</v>
      </c>
      <c r="BK393" s="299">
        <f>MROUND(Out_Table[[#This Row],[Mtr. Trailer]]*AH393,0.5)</f>
        <v>0</v>
      </c>
      <c r="BL393" s="300">
        <f>Out_Table[[#This Row],[Double Deck trailer N° bumpers]]</f>
        <v>0</v>
      </c>
      <c r="BM393" s="301"/>
      <c r="BN393" s="299" t="str">
        <f>B393</f>
        <v>ERN92348</v>
      </c>
      <c r="BO393" s="299" t="str">
        <f>E393</f>
        <v>ATH 5</v>
      </c>
      <c r="BP393" s="302">
        <f>IF(AND(G393&gt;(--"00:00:01"),G393&lt;(--"15:00:00")),IF(AND(X393&gt;(--"00:00:01"),X393&lt;(--"15:00:00")),G393-X393,G393+1-X393),G393-X393)</f>
        <v>1.2638888888905058</v>
      </c>
      <c r="BQ393" s="303">
        <f>AE393+AF393+AH393+AJ393</f>
        <v>0</v>
      </c>
      <c r="BR393" s="304" t="str">
        <f>IF(OR(BP393&lt;=(--"00:20:00"),BQ393&gt;=100%),"OK","Not OK")</f>
        <v>Not OK</v>
      </c>
      <c r="BS393" s="302">
        <f>IF(AND(G393&gt;(--"00:00:01"),G393&lt;(--"15:00:00")),IF(AND(AU393&gt;(--"00:00:01"),AU393&lt;(--"15:00:00")),G393-AU393,G393+1-AU393),G393-AU393)</f>
        <v>1.2638888888905058</v>
      </c>
      <c r="BT393" s="302">
        <f>IF(AND(AZ393&gt;(--"00:00:01"),AZ393&lt;(--"15:00:00")),IF(AND(AU393&gt;(--"00:00:01"),AU393&lt;(--"15:00:00")),AZ393-AU393,AZ393+1-AU393),AZ393-AU393)</f>
        <v>0</v>
      </c>
      <c r="BU393" s="302">
        <f>IF(AND(BA393&gt;(--"00:00:01"),BA393&lt;(--"15:00:00")),IF(AND(AZ393&gt;(--"00:00:01"),AZ393&lt;(--"15:00:00")),BA393-AZ393,BA393+1-AZ393),BA393-AZ393)</f>
        <v>0</v>
      </c>
      <c r="BV393" s="299">
        <f>AV393</f>
        <v>0</v>
      </c>
      <c r="BW393" s="301"/>
      <c r="BX393" s="299" t="str">
        <f>IF(AV393="T Status",IF(AV393&lt;&gt;T393,"X",""),"")</f>
        <v/>
      </c>
      <c r="BY393" s="301"/>
      <c r="BZ393" s="299" t="str">
        <f>IF(X393&lt;&gt;"",IF(CC393="X","Driver Delay",IF(CA393="X","Paperwork Delay",IF(CB393="X","Late freight late sort",IF(CD393="X","Chiamare Control Room",IF(CE393="X","Chiamare Control Room",IF(CF393="X","Chiamare Control Room","")))))),"")</f>
        <v/>
      </c>
      <c r="CA393" s="302" t="str">
        <f>IF(K393="",IF(IF(AND(G393&gt;(--"00:00:01"),G393&lt;(--"15:00:00")),IF(AND(AT393&gt;(--"08:00:00"),AT393&lt;(--"23:59:59")),G393+1-AT393,G393-AT393),G393-AT393)&gt;(--"00:20:00"),"","X"),"")</f>
        <v/>
      </c>
      <c r="CB393" s="299" t="str">
        <f>IF(K393="",IF(BP393&gt;=(--"00:20:00"),"","X"),"")</f>
        <v/>
      </c>
      <c r="CC393" s="299" t="str">
        <f>IF(OR(AV393="Autista non presente",AV393="Dati driver non presenti"),"X","")</f>
        <v/>
      </c>
      <c r="CD393" s="299" t="str">
        <f>IF(K393="",IF(AND(CC393="",BS393&lt;(--"00:20:00")),"X",""),"")</f>
        <v/>
      </c>
      <c r="CE393" s="299" t="str">
        <f>IF(K393="",IF(BT393&gt;(--"00:15:00"),"X",""),IF(AZ393&lt;&gt;"",IF(G393-AZ393&gt;(--"00:30:00"),"X",""),""))</f>
        <v/>
      </c>
      <c r="CF393" s="299" t="str">
        <f>IF(AND(CA393="",CB393="",CC393="",CD393="",CE393=""),"X","")</f>
        <v>X</v>
      </c>
      <c r="CG393" s="301"/>
      <c r="CH393" s="299" t="str">
        <f>IF(BT393&gt;(--"00:15:00"),"X","")</f>
        <v/>
      </c>
      <c r="CI393" s="302">
        <f>AY393</f>
        <v>0</v>
      </c>
      <c r="CJ393" s="299" t="str">
        <f>IF(AND(CH393&lt;&gt;"",CI393&lt;&gt;"",LEFT(B393,3)="ITD"),AP393,"")</f>
        <v/>
      </c>
      <c r="CK393" s="305" t="str">
        <f>IF(CJ393&lt;&gt;"",BT393,"")</f>
        <v/>
      </c>
      <c r="CL393" s="301"/>
      <c r="CM393" s="305" t="str">
        <f>IFERROR(VLOOKUP(Q393,'Elenco Casse'!$D$4:$F$292,3,FALSE),"")</f>
        <v/>
      </c>
      <c r="CN393" s="301"/>
      <c r="CO393" s="305">
        <f>IFERROR(VLOOKUP(E393,Outlist!$A$5:$H$120,8,FALSE),"")</f>
        <v>0</v>
      </c>
      <c r="CP393" s="305" t="str">
        <f>IFERROR(IF(VLOOKUP($E393,Outlist!$A$5:$S$120,19,FALSE)&lt;&gt;0,"Y",""),"")</f>
        <v/>
      </c>
      <c r="CQ393" s="301"/>
      <c r="CR393" s="305" t="str">
        <f>CONCATENATE($B393,$E393,$G393)</f>
        <v>ERN92348ATH 50.263888888890506</v>
      </c>
      <c r="CS393" s="301"/>
      <c r="CT393" s="305">
        <f>VLOOKUP(Out_Table[[#This Row],[Destination             ORANGE (From Planning)]],Outlist!$A$5:$W$120,22,FALSE)</f>
        <v>0</v>
      </c>
    </row>
    <row r="394" spans="1:98" s="20" customFormat="1" ht="30.75">
      <c r="A394" s="305" t="str">
        <f>$CR394</f>
        <v>Mezzo a disposizione 1</v>
      </c>
      <c r="B394" s="284" t="s">
        <v>1245</v>
      </c>
      <c r="C394" s="290" t="str">
        <f ca="1">IFERROR(IF(LEFT(B394,3)='STAT 77'!$X$2,_xlfn.XLOOKUP(B394,'STAT 77'!C:C,'STAT 77'!B:B),_xlfn.XLOOKUP(B394,'STAT 77'!B:B,'STAT 77'!C:C)),"NON TROVATO")</f>
        <v>NON TROVATO</v>
      </c>
      <c r="D394" s="25"/>
      <c r="E394" s="25"/>
      <c r="F394" s="290" t="str">
        <f>IFERROR(VLOOKUP(E394,'Cambio O2P'!C:E,2,FALSE),"")</f>
        <v/>
      </c>
      <c r="G394" s="285"/>
      <c r="H394" s="293" t="str">
        <f ca="1">IFERROR(IF(AND('INformazioni per calcoli'!$AB$3&lt;(--"14:30"),'INformazioni per calcoli'!$AB$3&gt;(--"10:00")),"",IF($B394="","",IF($X394&lt;&gt;"","Mezzo Chiuso",IF($W394="","Non al Carico",IF($G394-'INformazioni per calcoli'!$AB$5-'INformazioni per calcoli'!$AB$3+$J394&lt;0,"LFLS",IF($K394&lt;&gt;"","Safe Parking",IF($W394&lt;&gt;"",IF($E394="MXP",$G394-'INformazioni per calcoli'!$AB$6-'INformazioni per calcoli'!$AB$3+$J394,$G394-'INformazioni per calcoli'!$AB$5-'INformazioni per calcoli'!$AB$3+$J394),"Non al carico"))))))),"")</f>
        <v>Non al Carico</v>
      </c>
      <c r="I394" s="17" t="str">
        <f ca="1">IFERROR(IF($H394&lt;&gt;"",IF($H394="Safe Parking","",IF($W394&lt;&gt;"",IF(AND($U394="X",$V394="X"),$H394-(--"00:30"),""),IF($X394&lt;&gt;"","Mezzo Chiuso","Non al carico"))),""),"")</f>
        <v>Non al carico</v>
      </c>
      <c r="J394" s="306">
        <f ca="1">IFERROR(IF($B394&lt;&gt;"",IF(AND('INformazioni per calcoli'!$AB$3&lt;(--"15:00"),'INformazioni per calcoli'!$AB$3&gt;(--"00:00")),0,IF($G394&lt;(--"18:30"),"+1",0)),""),"")</f>
        <v>0</v>
      </c>
      <c r="K394" s="27"/>
      <c r="L394" s="25"/>
      <c r="M394" s="25" t="str">
        <f>IFERROR(_xlfn.XLOOKUP($Q394,'Elenco Casse'!$D:$D,'Elenco Casse'!$E:$E),"")</f>
        <v/>
      </c>
      <c r="N394" s="25" t="str">
        <f>IFERROR(_xlfn.XLOOKUP($Q394,'Elenco Casse'!$D:$D,'Elenco Casse'!$F:$F),"")</f>
        <v/>
      </c>
      <c r="O394" s="286"/>
      <c r="P394" s="295" t="str">
        <f>IFERROR(_xlfn.XLOOKUP($Q394,'Elenco Casse'!$D:$D,'Elenco Casse'!$G:$G),"")</f>
        <v/>
      </c>
      <c r="Q394" s="355"/>
      <c r="R394" s="23"/>
      <c r="S394" s="25"/>
      <c r="T394" s="25"/>
      <c r="U394" s="23" t="str">
        <f>IF(ISNUMBER(SEARCH("Parcel",$T394)),"X","")</f>
        <v/>
      </c>
      <c r="V394" s="23"/>
      <c r="W394" s="26"/>
      <c r="X394" s="27"/>
      <c r="Y394" s="25"/>
      <c r="Z394" s="25"/>
      <c r="AA394" s="25"/>
      <c r="AB394" s="57"/>
      <c r="AC394" s="25"/>
      <c r="AD394" s="25"/>
      <c r="AE394" s="57"/>
      <c r="AF394" s="57"/>
      <c r="AG394" s="25"/>
      <c r="AH394" s="57"/>
      <c r="AI394" s="339"/>
      <c r="AJ394" s="339"/>
      <c r="AK394" s="297" t="str">
        <f>IF(X394&lt;&gt;"",CONCATENATE(IF(AA394&lt;&gt;"",CONCATENATE(Z394," ",AA394," ",BI394),""),IF(AD394&lt;&gt;"",CONCATENATE(","," ",AC394," ",AD394," ",BJ394),""),IF(AG394&lt;&gt;"",CONCATENATE(","," ",AF394," ",AG394," ",BK394),""),IF(AJ394&lt;&gt;"",CONCATENATE(","," ","DD"," ",BL394),"")," ",IF(AI394&lt;&gt;"",CONCATENATE(" - ",AI394," Bag"),"")),"")</f>
        <v/>
      </c>
      <c r="AL394" s="287"/>
      <c r="AM394" s="287"/>
      <c r="AN394" s="287"/>
      <c r="AO394" s="287"/>
      <c r="AP394" s="370" t="str">
        <f>IFERROR(VLOOKUP($E394,Outlist!$A$5:$V$120,20,FALSE),"")</f>
        <v/>
      </c>
      <c r="AQ394" s="288" t="str">
        <f>IFERROR(IF(VLOOKUP($A394,#REF!,8,FALSE)&lt;&gt;"",VLOOKUP($A394,#REF!,8,FALSE),""),"")</f>
        <v/>
      </c>
      <c r="AS394" s="24"/>
      <c r="AT394" s="24"/>
      <c r="AU394" s="27"/>
      <c r="AV394" s="27"/>
      <c r="AX394" s="20" t="str">
        <f>IFERROR(IF(Out_Table[[#This Row],[Cancellazione linea]]="Cancellata","yes",""),"")</f>
        <v/>
      </c>
      <c r="AY394" s="72" t="str">
        <f>IF(BA394="",BZ394,IF(AND(BA394&lt;(--"23:59:59"),BA394&gt;(--"15:00:00"),G394&lt;(--"14:00:00"),G394&gt;(--"00:00:01")),"",IF(BA394&gt;G394,BZ394,"")))</f>
        <v/>
      </c>
      <c r="AZ394" s="27"/>
      <c r="BA394" s="32"/>
      <c r="BB394" s="72"/>
      <c r="BC394" s="72" t="str">
        <f>IFERROR(VLOOKUP(Out_Table[[#This Row],[Aggiornamento STATUS]],'INformazioni per calcoli'!$Y$70:$AA$76,2,FALSE),"")</f>
        <v/>
      </c>
      <c r="BD394" s="289"/>
      <c r="BE394" s="289"/>
      <c r="BF394" s="47" t="str">
        <f>LEFT($E394,3)</f>
        <v/>
      </c>
      <c r="BG394" s="298" t="str">
        <f>IF(Out_Table[[#This Row],[Ora Uscita    (GH)]]&lt;&gt;"","x","")</f>
        <v/>
      </c>
      <c r="BH394" s="299" t="e">
        <f>VLOOKUP($O394,'INformazioni per calcoli'!$Y$20:$AA$23,3,FALSE)</f>
        <v>#N/A</v>
      </c>
      <c r="BI394" s="299" t="e">
        <f>MROUND(Out_Table[[#This Row],[Mtr. Trailer]]*AB394,0.5)</f>
        <v>#N/A</v>
      </c>
      <c r="BJ394" s="299" t="e">
        <f>MROUND(Out_Table[[#This Row],[Mtr. Trailer]]*AE394,0.5)</f>
        <v>#N/A</v>
      </c>
      <c r="BK394" s="299" t="e">
        <f>MROUND(Out_Table[[#This Row],[Mtr. Trailer]]*AH394,0.5)</f>
        <v>#N/A</v>
      </c>
      <c r="BL394" s="300">
        <f>Out_Table[[#This Row],[Double Deck trailer N° bumpers]]</f>
        <v>0</v>
      </c>
      <c r="BM394" s="301"/>
      <c r="BN394" s="299" t="str">
        <f>B394</f>
        <v>Mezzo a disposizione 1</v>
      </c>
      <c r="BO394" s="299">
        <f>E394</f>
        <v>0</v>
      </c>
      <c r="BP394" s="302">
        <f>IF(AND(G394&gt;(--"00:00:01"),G394&lt;(--"15:00:00")),IF(AND(X394&gt;(--"00:00:01"),X394&lt;(--"15:00:00")),G394-X394,G394+1-X394),G394-X394)</f>
        <v>0</v>
      </c>
      <c r="BQ394" s="303">
        <f>AE394+AF394+AH394+AJ394</f>
        <v>0</v>
      </c>
      <c r="BR394" s="304" t="str">
        <f>IF(OR(BP394&lt;=(--"00:20:00"),BQ394&gt;=100%),"OK","Not OK")</f>
        <v>OK</v>
      </c>
      <c r="BS394" s="302">
        <f>IF(AND(G394&gt;(--"00:00:01"),G394&lt;(--"15:00:00")),IF(AND(AU394&gt;(--"00:00:01"),AU394&lt;(--"15:00:00")),G394-AU394,G394+1-AU394),G394-AU394)</f>
        <v>0</v>
      </c>
      <c r="BT394" s="302">
        <f>IF(AND(AZ394&gt;(--"00:00:01"),AZ394&lt;(--"15:00:00")),IF(AND(AU394&gt;(--"00:00:01"),AU394&lt;(--"15:00:00")),AZ394-AU394,AZ394+1-AU394),AZ394-AU394)</f>
        <v>0</v>
      </c>
      <c r="BU394" s="302">
        <f>IF(AND(BA394&gt;(--"00:00:01"),BA394&lt;(--"15:00:00")),IF(AND(AZ394&gt;(--"00:00:01"),AZ394&lt;(--"15:00:00")),BA394-AZ394,BA394+1-AZ394),BA394-AZ394)</f>
        <v>0</v>
      </c>
      <c r="BV394" s="299">
        <f>AV394</f>
        <v>0</v>
      </c>
      <c r="BW394" s="301"/>
      <c r="BX394" s="299" t="str">
        <f>IF(AV394="T Status",IF(AV394&lt;&gt;T394,"X",""),"")</f>
        <v/>
      </c>
      <c r="BY394" s="301"/>
      <c r="BZ394" s="299" t="str">
        <f>IF(X394&lt;&gt;"",IF(CC394="X","Driver Delay",IF(CA394="X","Paperwork Delay",IF(CB394="X","Late freight late sort",IF(CD394="X","Chiamare Control Room",IF(CE394="X","Chiamare Control Room",IF(CF394="X","Chiamare Control Room","")))))),"")</f>
        <v/>
      </c>
      <c r="CA394" s="302" t="str">
        <f>IF(K394="",IF(IF(AND(G394&gt;(--"00:00:01"),G394&lt;(--"15:00:00")),IF(AND(AT394&gt;(--"08:00:00"),AT394&lt;(--"23:59:59")),G394+1-AT394,G394-AT394),G394-AT394)&gt;(--"00:20:00"),"","X"),"")</f>
        <v>X</v>
      </c>
      <c r="CB394" s="299" t="str">
        <f>IF(K394="",IF(BP394&gt;=(--"00:20:00"),"","X"),"")</f>
        <v>X</v>
      </c>
      <c r="CC394" s="299" t="str">
        <f>IF(OR(AV394="Autista non presente",AV394="Dati driver non presenti"),"X","")</f>
        <v/>
      </c>
      <c r="CD394" s="299" t="str">
        <f>IF(K394="",IF(AND(CC394="",BS394&lt;(--"00:20:00")),"X",""),"")</f>
        <v>X</v>
      </c>
      <c r="CE394" s="299" t="str">
        <f>IF(K394="",IF(BT394&gt;(--"00:15:00"),"X",""),IF(AZ394&lt;&gt;"",IF(G394-AZ394&gt;(--"00:30:00"),"X",""),""))</f>
        <v/>
      </c>
      <c r="CF394" s="299" t="str">
        <f>IF(AND(CA394="",CB394="",CC394="",CD394="",CE394=""),"X","")</f>
        <v/>
      </c>
      <c r="CG394" s="301"/>
      <c r="CH394" s="299" t="str">
        <f>IF(BT394&gt;(--"00:15:00"),"X","")</f>
        <v/>
      </c>
      <c r="CI394" s="302" t="str">
        <f>AY394</f>
        <v/>
      </c>
      <c r="CJ394" s="299" t="str">
        <f>IF(AND(CH394&lt;&gt;"",CI394&lt;&gt;"",LEFT(B394,3)="ITD"),AP394,"")</f>
        <v/>
      </c>
      <c r="CK394" s="305" t="str">
        <f>IF(CJ394&lt;&gt;"",BT394,"")</f>
        <v/>
      </c>
      <c r="CL394" s="301"/>
      <c r="CM394" s="305" t="str">
        <f>IFERROR(VLOOKUP(Q394,'Elenco Casse'!$D$4:$F$292,3,FALSE),"")</f>
        <v/>
      </c>
      <c r="CN394" s="301"/>
      <c r="CO394" s="305" t="str">
        <f>IFERROR(VLOOKUP(S394,'Elenco Casse'!$D$4:$F$292,3,FALSE),"")</f>
        <v/>
      </c>
      <c r="CP394" s="305" t="str">
        <f>IFERROR(IF(VLOOKUP($E394,Outlist!$A$5:$S$120,19,FALSE)&lt;&gt;0,"Y",""),"")</f>
        <v/>
      </c>
      <c r="CQ394" s="301"/>
      <c r="CR394" s="305" t="str">
        <f>CONCATENATE($B394,$E394,$G394)</f>
        <v>Mezzo a disposizione 1</v>
      </c>
      <c r="CS394" s="301"/>
      <c r="CT394" s="305" t="e">
        <f>VLOOKUP(Out_Table[[#This Row],[Destination             ORANGE (From Planning)]],Outlist!$A$5:$W$120,22,FALSE)</f>
        <v>#N/A</v>
      </c>
    </row>
    <row r="395" spans="1:98" s="20" customFormat="1" ht="30.75">
      <c r="A395" s="305" t="str">
        <f>$CR395</f>
        <v>ITD90230MXP EXTRA0.357638888888889</v>
      </c>
      <c r="B395" s="571" t="s">
        <v>1246</v>
      </c>
      <c r="C395" s="290" t="str">
        <f>IFERROR(IF(LEFT(B395,3)='STAT 77'!$X$2,_xlfn.XLOOKUP(B395,'STAT 77'!C:C,'STAT 77'!B:B),_xlfn.XLOOKUP(B395,'STAT 77'!B:B,'STAT 77'!C:C)),"NON TROVATO")</f>
        <v>ITD90288</v>
      </c>
      <c r="D395" s="25"/>
      <c r="E395" s="25" t="s">
        <v>1247</v>
      </c>
      <c r="F395" s="290" t="s">
        <v>238</v>
      </c>
      <c r="G395" s="285">
        <v>0.3576388888888889</v>
      </c>
      <c r="H395" s="293">
        <f ca="1">IFERROR(IF(AND('INformazioni per calcoli'!$AB$3&lt;(--"14:30"),'INformazioni per calcoli'!$AB$3&gt;(--"10:00")),"",IF($B395="","",IF($X395&lt;&gt;"","Mezzo Chiuso",IF($W395="","Non al Carico",IF($G395-'INformazioni per calcoli'!$AB$5-'INformazioni per calcoli'!$AB$3+$J395&lt;0,"LFLS",IF($K395&lt;&gt;"","Safe Parking",IF($W395&lt;&gt;"",IF($E395="MXP",$G395-'INformazioni per calcoli'!$AB$6-'INformazioni per calcoli'!$AB$3+$J395,$G395-'INformazioni per calcoli'!$AB$5-'INformazioni per calcoli'!$AB$3+$J395),"Non al carico"))))))),"")</f>
        <v>0.19828703703703704</v>
      </c>
      <c r="I395" s="17">
        <f ca="1">IFERROR(IF($H395&lt;&gt;"",IF($H395="Safe Parking","",IF($W395&lt;&gt;"",IF(AND($U395="X",$V395="X"),$H395-(--"00:30"),""),IF($X395&lt;&gt;"","Mezzo Chiuso","Non al carico"))),""),"")</f>
        <v>0.1774537037037037</v>
      </c>
      <c r="J395" s="306">
        <f ca="1">IFERROR(IF($B395&lt;&gt;"",IF(AND('INformazioni per calcoli'!$AB$3&lt;(--"15:00"),'INformazioni per calcoli'!$AB$3&gt;(--"00:00")),0,IF($G395&lt;(--"18:30"),"+1",0)),""),"")</f>
        <v>0</v>
      </c>
      <c r="K395" s="27"/>
      <c r="L395" s="25"/>
      <c r="M395" s="25" t="str">
        <f>IFERROR(_xlfn.XLOOKUP($Q395,'Elenco Casse'!$D:$D,'Elenco Casse'!$E:$E),"")</f>
        <v>Trans Speedy S.R.L</v>
      </c>
      <c r="N395" s="25">
        <f>IFERROR(_xlfn.XLOOKUP($Q395,'Elenco Casse'!$D:$D,'Elenco Casse'!$F:$F),"")</f>
        <v>0</v>
      </c>
      <c r="O395" s="286"/>
      <c r="P395" s="295" t="str">
        <f>IFERROR(_xlfn.XLOOKUP($Q395,'Elenco Casse'!$D:$D,'Elenco Casse'!$G:$G),"")</f>
        <v>trailer 80 m3 2/3 axes</v>
      </c>
      <c r="Q395" s="355" t="s">
        <v>1248</v>
      </c>
      <c r="R395" s="23" t="s">
        <v>420</v>
      </c>
      <c r="S395" s="25"/>
      <c r="T395" s="25"/>
      <c r="U395" s="23" t="s">
        <v>61</v>
      </c>
      <c r="V395" s="23" t="s">
        <v>61</v>
      </c>
      <c r="W395" s="26">
        <v>337</v>
      </c>
      <c r="X395" s="27"/>
      <c r="Y395" s="25"/>
      <c r="Z395" s="25"/>
      <c r="AA395" s="25"/>
      <c r="AB395" s="57"/>
      <c r="AC395" s="25"/>
      <c r="AD395" s="25"/>
      <c r="AE395" s="57"/>
      <c r="AF395" s="57"/>
      <c r="AG395" s="25"/>
      <c r="AH395" s="57"/>
      <c r="AI395" s="339"/>
      <c r="AJ395" s="339"/>
      <c r="AK395" s="297" t="str">
        <f>IF(X395&lt;&gt;"",CONCATENATE(IF(AA395&lt;&gt;"",CONCATENATE(Z395," ",AA395," ",BI395),""),IF(AD395&lt;&gt;"",CONCATENATE(","," ",AC395," ",AD395," ",BJ395),""),IF(AG395&lt;&gt;"",CONCATENATE(","," ",AF395," ",AG395," ",BK395),""),IF(AJ395&lt;&gt;"",CONCATENATE(","," ","DD"," ",BL395),"")," ",IF(AI395&lt;&gt;"",CONCATENATE(" - ",AI395," Bag"),"")),"")</f>
        <v/>
      </c>
      <c r="AL395" s="287"/>
      <c r="AM395" s="287"/>
      <c r="AN395" s="287"/>
      <c r="AO395" s="287"/>
      <c r="AP395" s="370" t="str">
        <f>IFERROR(VLOOKUP($E395,Outlist!$A$5:$V$120,20,FALSE),"")</f>
        <v/>
      </c>
      <c r="AQ395" s="288" t="str">
        <f>IFERROR(IF(VLOOKUP($A395,#REF!,8,FALSE)&lt;&gt;"",VLOOKUP($A395,#REF!,8,FALSE),""),"")</f>
        <v/>
      </c>
      <c r="AS395" s="24"/>
      <c r="AT395" s="24"/>
      <c r="AU395" s="27"/>
      <c r="AV395" s="27"/>
      <c r="AX395" s="20" t="str">
        <f>IFERROR(IF(Out_Table[[#This Row],[Cancellazione linea]]="Cancellata","yes",""),"")</f>
        <v/>
      </c>
      <c r="AY395" s="72" t="str">
        <f>IF(BA395="",BZ395,IF(AND(BA395&lt;(--"23:59:59"),BA395&gt;(--"15:00:00"),G395&lt;(--"14:00:00"),G395&gt;(--"00:00:01")),"",IF(BA395&gt;G395,BZ395,"")))</f>
        <v/>
      </c>
      <c r="AZ395" s="27"/>
      <c r="BA395" s="32"/>
      <c r="BB395" s="72"/>
      <c r="BC395" s="72" t="str">
        <f>IFERROR(VLOOKUP(Out_Table[[#This Row],[Aggiornamento STATUS]],'INformazioni per calcoli'!$Y$70:$AA$76,2,FALSE),"")</f>
        <v/>
      </c>
      <c r="BD395" s="289"/>
      <c r="BE395" s="289"/>
      <c r="BF395" s="47" t="str">
        <f>LEFT($E395,3)</f>
        <v>MXP</v>
      </c>
      <c r="BG395" s="298" t="str">
        <f>IF(Out_Table[[#This Row],[Ora Uscita    (GH)]]&lt;&gt;"","x","")</f>
        <v/>
      </c>
      <c r="BH395" s="299" t="e">
        <f>VLOOKUP($O395,'INformazioni per calcoli'!$Y$20:$AA$23,3,FALSE)</f>
        <v>#N/A</v>
      </c>
      <c r="BI395" s="299" t="e">
        <f>MROUND(Out_Table[[#This Row],[Mtr. Trailer]]*AB395,0.5)</f>
        <v>#N/A</v>
      </c>
      <c r="BJ395" s="299" t="e">
        <f>MROUND(Out_Table[[#This Row],[Mtr. Trailer]]*AE395,0.5)</f>
        <v>#N/A</v>
      </c>
      <c r="BK395" s="299" t="e">
        <f>MROUND(Out_Table[[#This Row],[Mtr. Trailer]]*AH395,0.5)</f>
        <v>#N/A</v>
      </c>
      <c r="BL395" s="300">
        <f>Out_Table[[#This Row],[Double Deck trailer N° bumpers]]</f>
        <v>0</v>
      </c>
      <c r="BM395" s="301"/>
      <c r="BN395" s="299" t="str">
        <f>B395</f>
        <v>ITD90230</v>
      </c>
      <c r="BO395" s="299" t="str">
        <f>E395</f>
        <v>MXP EXTRA</v>
      </c>
      <c r="BP395" s="302">
        <f>IF(AND(G395&gt;(--"00:00:01"),G395&lt;(--"15:00:00")),IF(AND(X395&gt;(--"00:00:01"),X395&lt;(--"15:00:00")),G395-X395,G395+1-X395),G395-X395)</f>
        <v>1.3576388888888888</v>
      </c>
      <c r="BQ395" s="303">
        <f>AE395+AF395+AH395+AJ395</f>
        <v>0</v>
      </c>
      <c r="BR395" s="304" t="str">
        <f>IF(OR(BP395&lt;=(--"00:20:00"),BQ395&gt;=100%),"OK","Not OK")</f>
        <v>Not OK</v>
      </c>
      <c r="BS395" s="302">
        <f>IF(AND(G395&gt;(--"00:00:01"),G395&lt;(--"15:00:00")),IF(AND(AU395&gt;(--"00:00:01"),AU395&lt;(--"15:00:00")),G395-AU395,G395+1-AU395),G395-AU395)</f>
        <v>1.3576388888888888</v>
      </c>
      <c r="BT395" s="302">
        <f>IF(AND(AZ395&gt;(--"00:00:01"),AZ395&lt;(--"15:00:00")),IF(AND(AU395&gt;(--"00:00:01"),AU395&lt;(--"15:00:00")),AZ395-AU395,AZ395+1-AU395),AZ395-AU395)</f>
        <v>0</v>
      </c>
      <c r="BU395" s="302">
        <f>IF(AND(BA395&gt;(--"00:00:01"),BA395&lt;(--"15:00:00")),IF(AND(AZ395&gt;(--"00:00:01"),AZ395&lt;(--"15:00:00")),BA395-AZ395,BA395+1-AZ395),BA395-AZ395)</f>
        <v>0</v>
      </c>
      <c r="BV395" s="299">
        <f>AV395</f>
        <v>0</v>
      </c>
      <c r="BW395" s="301"/>
      <c r="BX395" s="299" t="str">
        <f>IF(AV395="T Status",IF(AV395&lt;&gt;T395,"X",""),"")</f>
        <v/>
      </c>
      <c r="BY395" s="301"/>
      <c r="BZ395" s="299" t="str">
        <f>IF(X395&lt;&gt;"",IF(CC395="X","Driver Delay",IF(CA395="X","Paperwork Delay",IF(CB395="X","Late freight late sort",IF(CD395="X","Chiamare Control Room",IF(CE395="X","Chiamare Control Room",IF(CF395="X","Chiamare Control Room","")))))),"")</f>
        <v/>
      </c>
      <c r="CA395" s="302" t="str">
        <f>IF(K395="",IF(IF(AND(G395&gt;(--"00:00:01"),G395&lt;(--"15:00:00")),IF(AND(AT395&gt;(--"08:00:00"),AT395&lt;(--"23:59:59")),G395+1-AT395,G395-AT395),G395-AT395)&gt;(--"00:20:00"),"","X"),"")</f>
        <v/>
      </c>
      <c r="CB395" s="299" t="str">
        <f>IF(K395="",IF(BP395&gt;=(--"00:20:00"),"","X"),"")</f>
        <v/>
      </c>
      <c r="CC395" s="299" t="str">
        <f>IF(OR(AV395="Autista non presente",AV395="Dati driver non presenti"),"X","")</f>
        <v/>
      </c>
      <c r="CD395" s="299" t="str">
        <f>IF(K395="",IF(AND(CC395="",BS395&lt;(--"00:20:00")),"X",""),"")</f>
        <v/>
      </c>
      <c r="CE395" s="299" t="str">
        <f>IF(K395="",IF(BT395&gt;(--"00:15:00"),"X",""),IF(AZ395&lt;&gt;"",IF(G395-AZ395&gt;(--"00:30:00"),"X",""),""))</f>
        <v/>
      </c>
      <c r="CF395" s="299" t="str">
        <f>IF(AND(CA395="",CB395="",CC395="",CD395="",CE395=""),"X","")</f>
        <v>X</v>
      </c>
      <c r="CG395" s="301"/>
      <c r="CH395" s="299" t="str">
        <f>IF(BT395&gt;(--"00:15:00"),"X","")</f>
        <v/>
      </c>
      <c r="CI395" s="302" t="str">
        <f>AY395</f>
        <v/>
      </c>
      <c r="CJ395" s="299" t="str">
        <f>IF(AND(CH395&lt;&gt;"",CI395&lt;&gt;"",LEFT(B395,3)="ITD"),AP395,"")</f>
        <v/>
      </c>
      <c r="CK395" s="305" t="str">
        <f>IF(CJ395&lt;&gt;"",BT395,"")</f>
        <v/>
      </c>
      <c r="CL395" s="301"/>
      <c r="CM395" s="305" t="str">
        <f>IFERROR(VLOOKUP(Q395,'Elenco Casse'!$D$4:$F$292,3,FALSE),"")</f>
        <v/>
      </c>
      <c r="CN395" s="301"/>
      <c r="CO395" s="305" t="str">
        <f>IFERROR(VLOOKUP(S395,'Elenco Casse'!$D$4:$F$292,3,FALSE),"")</f>
        <v/>
      </c>
      <c r="CP395" s="305" t="str">
        <f>IFERROR(IF(VLOOKUP($E395,Outlist!$A$5:$S$120,19,FALSE)&lt;&gt;0,"Y",""),"")</f>
        <v/>
      </c>
      <c r="CQ395" s="301"/>
      <c r="CR395" s="305" t="str">
        <f>CONCATENATE($B395,$E395,$G395)</f>
        <v>ITD90230MXP EXTRA0.357638888888889</v>
      </c>
      <c r="CS395" s="301"/>
      <c r="CT395" s="305" t="e">
        <f>VLOOKUP(Out_Table[[#This Row],[Destination             ORANGE (From Planning)]],Outlist!$A$5:$W$120,22,FALSE)</f>
        <v>#N/A</v>
      </c>
    </row>
    <row r="396" spans="1:98" s="20" customFormat="1" ht="30.75">
      <c r="A396" s="305" t="str">
        <f>$CR396</f>
        <v>Mezzo a disposizione 11</v>
      </c>
      <c r="B396" s="284" t="s">
        <v>1249</v>
      </c>
      <c r="C396" s="290" t="str">
        <f ca="1">IFERROR(IF(LEFT(B396,3)='STAT 77'!$X$2,_xlfn.XLOOKUP(B396,'STAT 77'!C:C,'STAT 77'!B:B),_xlfn.XLOOKUP(B396,'STAT 77'!B:B,'STAT 77'!C:C)),"NON TROVATO")</f>
        <v>NON TROVATO</v>
      </c>
      <c r="D396" s="25"/>
      <c r="E396" s="25"/>
      <c r="F396" s="290" t="str">
        <f>IFERROR(VLOOKUP(E396,'Cambio O2P'!C:E,2,FALSE),"")</f>
        <v/>
      </c>
      <c r="G396" s="285"/>
      <c r="H396" s="293" t="str">
        <f ca="1">IFERROR(IF(AND('INformazioni per calcoli'!$AB$3&lt;(--"14:30"),'INformazioni per calcoli'!$AB$3&gt;(--"10:00")),"",IF($B396="","",IF($X396&lt;&gt;"","Mezzo Chiuso",IF($W396="","Non al Carico",IF($G396-'INformazioni per calcoli'!$AB$5-'INformazioni per calcoli'!$AB$3+$J396&lt;0,"LFLS",IF($K396&lt;&gt;"","Safe Parking",IF($W396&lt;&gt;"",IF($E396="MXP",$G396-'INformazioni per calcoli'!$AB$6-'INformazioni per calcoli'!$AB$3+$J396,$G396-'INformazioni per calcoli'!$AB$5-'INformazioni per calcoli'!$AB$3+$J396),"Non al carico"))))))),"")</f>
        <v>Non al Carico</v>
      </c>
      <c r="I396" s="17" t="str">
        <f ca="1">IFERROR(IF($H396&lt;&gt;"",IF($H396="Safe Parking","",IF($W396&lt;&gt;"",IF(AND($U396="X",$V396="X"),$H396-(--"00:30"),""),IF($X396&lt;&gt;"","Mezzo Chiuso","Non al carico"))),""),"")</f>
        <v>Non al carico</v>
      </c>
      <c r="J396" s="306">
        <f ca="1">IFERROR(IF($B396&lt;&gt;"",IF(AND('INformazioni per calcoli'!$AB$3&lt;(--"15:00"),'INformazioni per calcoli'!$AB$3&gt;(--"00:00")),0,IF($G396&lt;(--"18:30"),"+1",0)),""),"")</f>
        <v>0</v>
      </c>
      <c r="K396" s="27"/>
      <c r="L396" s="25"/>
      <c r="M396" s="25" t="str">
        <f>IFERROR(_xlfn.XLOOKUP($Q396,'Elenco Casse'!$D:$D,'Elenco Casse'!$E:$E),"")</f>
        <v/>
      </c>
      <c r="N396" s="25" t="str">
        <f>IFERROR(_xlfn.XLOOKUP($Q396,'Elenco Casse'!$D:$D,'Elenco Casse'!$F:$F),"")</f>
        <v/>
      </c>
      <c r="O396" s="286"/>
      <c r="P396" s="295" t="str">
        <f>IFERROR(_xlfn.XLOOKUP($Q396,'Elenco Casse'!$D:$D,'Elenco Casse'!$G:$G),"")</f>
        <v/>
      </c>
      <c r="Q396" s="355"/>
      <c r="R396" s="23"/>
      <c r="S396" s="25"/>
      <c r="T396" s="25"/>
      <c r="U396" s="23" t="str">
        <f>IF(ISNUMBER(SEARCH("Parcel",$T396)),"X","")</f>
        <v/>
      </c>
      <c r="V396" s="23" t="str">
        <f>IF(ISNUMBER(SEARCH("Freight",$T396)),"X","")</f>
        <v/>
      </c>
      <c r="W396" s="26"/>
      <c r="X396" s="27"/>
      <c r="Y396" s="25"/>
      <c r="Z396" s="25"/>
      <c r="AA396" s="25"/>
      <c r="AB396" s="57"/>
      <c r="AC396" s="25"/>
      <c r="AD396" s="25"/>
      <c r="AE396" s="57"/>
      <c r="AF396" s="57"/>
      <c r="AG396" s="25"/>
      <c r="AH396" s="57"/>
      <c r="AI396" s="339"/>
      <c r="AJ396" s="339"/>
      <c r="AK396" s="297" t="str">
        <f>IF(X396&lt;&gt;"",CONCATENATE(IF(AA396&lt;&gt;"",CONCATENATE(Z396," ",AA396," ",BI396),""),IF(AD396&lt;&gt;"",CONCATENATE(","," ",AC396," ",AD396," ",BJ396),""),IF(AG396&lt;&gt;"",CONCATENATE(","," ",AF396," ",AG396," ",BK396),""),IF(AJ396&lt;&gt;"",CONCATENATE(","," ","DD"," ",BL396),"")," ",IF(AI396&lt;&gt;"",CONCATENATE(" - ",AI396," Bag"),"")),"")</f>
        <v/>
      </c>
      <c r="AL396" s="287"/>
      <c r="AM396" s="287"/>
      <c r="AN396" s="287"/>
      <c r="AO396" s="287"/>
      <c r="AP396" s="370" t="str">
        <f>IFERROR(VLOOKUP($E396,Outlist!$A$5:$V$120,20,FALSE),"")</f>
        <v/>
      </c>
      <c r="AQ396" s="288" t="str">
        <f>IFERROR(IF(VLOOKUP($A396,#REF!,8,FALSE)&lt;&gt;"",VLOOKUP($A396,#REF!,8,FALSE),""),"")</f>
        <v/>
      </c>
      <c r="AS396" s="24"/>
      <c r="AT396" s="24"/>
      <c r="AU396" s="27"/>
      <c r="AV396" s="27"/>
      <c r="AY396" s="72" t="str">
        <f>IF(BA396="",BZ396,IF(AND(BA396&lt;(--"23:59:59"),BA396&gt;(--"15:00:00"),G396&lt;(--"14:00:00"),G396&gt;(--"00:00:01")),"",IF(BA396&gt;G396,BZ396,"")))</f>
        <v/>
      </c>
      <c r="AZ396" s="27"/>
      <c r="BA396" s="32"/>
      <c r="BB396" s="72"/>
      <c r="BC396" s="72" t="str">
        <f>IFERROR(VLOOKUP(Out_Table[[#This Row],[Aggiornamento STATUS]],'INformazioni per calcoli'!$Y$70:$AA$76,2,FALSE),"")</f>
        <v/>
      </c>
      <c r="BD396" s="289"/>
      <c r="BE396" s="289"/>
      <c r="BF396" s="47" t="str">
        <f>LEFT($E396,3)</f>
        <v/>
      </c>
      <c r="BG396" s="298" t="str">
        <f>IF(Out_Table[[#This Row],[Ora Uscita    (GH)]]&lt;&gt;"","x","")</f>
        <v/>
      </c>
      <c r="BH396" s="299" t="e">
        <f>VLOOKUP($O396,'INformazioni per calcoli'!$Y$20:$AA$23,3,FALSE)</f>
        <v>#N/A</v>
      </c>
      <c r="BI396" s="299" t="e">
        <f>MROUND(Out_Table[[#This Row],[Mtr. Trailer]]*AB396,0.5)</f>
        <v>#N/A</v>
      </c>
      <c r="BJ396" s="299" t="e">
        <f>MROUND(Out_Table[[#This Row],[Mtr. Trailer]]*AE396,0.5)</f>
        <v>#N/A</v>
      </c>
      <c r="BK396" s="299" t="e">
        <f>MROUND(Out_Table[[#This Row],[Mtr. Trailer]]*AH396,0.5)</f>
        <v>#N/A</v>
      </c>
      <c r="BL396" s="300">
        <f>Out_Table[[#This Row],[Double Deck trailer N° bumpers]]</f>
        <v>0</v>
      </c>
      <c r="BM396" s="301"/>
      <c r="BN396" s="299" t="str">
        <f>B396</f>
        <v>Mezzo a disposizione 11</v>
      </c>
      <c r="BO396" s="299">
        <f>E396</f>
        <v>0</v>
      </c>
      <c r="BP396" s="302">
        <f>IF(AND(G396&gt;(--"00:00:01"),G396&lt;(--"15:00:00")),IF(AND(X396&gt;(--"00:00:01"),X396&lt;(--"15:00:00")),G396-X396,G396+1-X396),G396-X396)</f>
        <v>0</v>
      </c>
      <c r="BQ396" s="303">
        <f>AE396+AF396+AH396+AJ396</f>
        <v>0</v>
      </c>
      <c r="BR396" s="304" t="str">
        <f>IF(OR(BP396&lt;=(--"00:20:00"),BQ396&gt;=100%),"OK","Not OK")</f>
        <v>OK</v>
      </c>
      <c r="BS396" s="302">
        <f>IF(AND(G396&gt;(--"00:00:01"),G396&lt;(--"15:00:00")),IF(AND(AU396&gt;(--"00:00:01"),AU396&lt;(--"15:00:00")),G396-AU396,G396+1-AU396),G396-AU396)</f>
        <v>0</v>
      </c>
      <c r="BT396" s="302">
        <f>IF(AND(AZ396&gt;(--"00:00:01"),AZ396&lt;(--"15:00:00")),IF(AND(AU396&gt;(--"00:00:01"),AU396&lt;(--"15:00:00")),AZ396-AU396,AZ396+1-AU396),AZ396-AU396)</f>
        <v>0</v>
      </c>
      <c r="BU396" s="302">
        <f>IF(AND(BA396&gt;(--"00:00:01"),BA396&lt;(--"15:00:00")),IF(AND(AZ396&gt;(--"00:00:01"),AZ396&lt;(--"15:00:00")),BA396-AZ396,BA396+1-AZ396),BA396-AZ396)</f>
        <v>0</v>
      </c>
      <c r="BV396" s="299">
        <f>AV396</f>
        <v>0</v>
      </c>
      <c r="BW396" s="301"/>
      <c r="BX396" s="299" t="str">
        <f>IF(AV396="T Status",IF(AV396&lt;&gt;T396,"X",""),"")</f>
        <v/>
      </c>
      <c r="BY396" s="301"/>
      <c r="BZ396" s="299" t="str">
        <f>IF(X396&lt;&gt;"",IF(CC396="X","Driver Delay",IF(CA396="X","Paperwork Delay",IF(CB396="X","Late freight late sort",IF(CD396="X","Chiamare Control Room",IF(CE396="X","Chiamare Control Room",IF(CF396="X","Chiamare Control Room","")))))),"")</f>
        <v/>
      </c>
      <c r="CA396" s="302" t="str">
        <f>IF(K396="",IF(IF(AND(G396&gt;(--"00:00:01"),G396&lt;(--"15:00:00")),IF(AND(AT396&gt;(--"08:00:00"),AT396&lt;(--"23:59:59")),G396+1-AT396,G396-AT396),G396-AT396)&gt;(--"00:20:00"),"","X"),"")</f>
        <v>X</v>
      </c>
      <c r="CB396" s="299" t="str">
        <f>IF(K396="",IF(BP396&gt;=(--"00:20:00"),"","X"),"")</f>
        <v>X</v>
      </c>
      <c r="CC396" s="299" t="str">
        <f>IF(OR(AV396="Autista non presente",AV396="Dati driver non presenti"),"X","")</f>
        <v/>
      </c>
      <c r="CD396" s="299" t="str">
        <f>IF(K396="",IF(AND(CC396="",BS396&lt;(--"00:20:00")),"X",""),"")</f>
        <v>X</v>
      </c>
      <c r="CE396" s="299" t="str">
        <f>IF(K396="",IF(BT396&gt;(--"00:15:00"),"X",""),IF(AZ396&lt;&gt;"",IF(G396-AZ396&gt;(--"00:30:00"),"X",""),""))</f>
        <v/>
      </c>
      <c r="CF396" s="299" t="str">
        <f>IF(AND(CA396="",CB396="",CC396="",CD396="",CE396=""),"X","")</f>
        <v/>
      </c>
      <c r="CG396" s="301"/>
      <c r="CH396" s="299" t="str">
        <f>IF(BT396&gt;(--"00:15:00"),"X","")</f>
        <v/>
      </c>
      <c r="CI396" s="302" t="str">
        <f>AY396</f>
        <v/>
      </c>
      <c r="CJ396" s="299" t="str">
        <f>IF(AND(CH396&lt;&gt;"",CI396&lt;&gt;"",LEFT(B396,3)="ITD"),AP396,"")</f>
        <v/>
      </c>
      <c r="CK396" s="305" t="str">
        <f>IF(CJ396&lt;&gt;"",BT396,"")</f>
        <v/>
      </c>
      <c r="CL396" s="301"/>
      <c r="CM396" s="305" t="str">
        <f>IFERROR(VLOOKUP(Q396,'Elenco Casse'!$D$4:$F$292,3,FALSE),"")</f>
        <v/>
      </c>
      <c r="CN396" s="301"/>
      <c r="CO396" s="305" t="str">
        <f>IFERROR(VLOOKUP(S396,'Elenco Casse'!$D$4:$F$292,3,FALSE),"")</f>
        <v/>
      </c>
      <c r="CP396" s="305" t="str">
        <f>IFERROR(IF(VLOOKUP($E396,Outlist!$A$5:$S$120,19,FALSE)&lt;&gt;0,"Y",""),"")</f>
        <v/>
      </c>
      <c r="CQ396" s="301"/>
      <c r="CR396" s="305" t="str">
        <f>CONCATENATE($B396,$E396,$G396)</f>
        <v>Mezzo a disposizione 11</v>
      </c>
      <c r="CS396" s="301"/>
      <c r="CT396" s="305" t="e">
        <f>VLOOKUP(Out_Table[[#This Row],[Destination             ORANGE (From Planning)]],Outlist!$A$5:$W$120,22,FALSE)</f>
        <v>#N/A</v>
      </c>
    </row>
    <row r="397" spans="1:98" s="20" customFormat="1" ht="30.75">
      <c r="A397" s="305" t="str">
        <f>$CR397</f>
        <v>Mezzo a disposizione 12</v>
      </c>
      <c r="B397" s="284" t="s">
        <v>1250</v>
      </c>
      <c r="C397" s="290" t="str">
        <f ca="1">IFERROR(IF(LEFT(B397,3)='STAT 77'!$X$2,_xlfn.XLOOKUP(B397,'STAT 77'!C:C,'STAT 77'!B:B),_xlfn.XLOOKUP(B397,'STAT 77'!B:B,'STAT 77'!C:C)),"NON TROVATO")</f>
        <v>NON TROVATO</v>
      </c>
      <c r="D397" s="25"/>
      <c r="E397" s="25"/>
      <c r="F397" s="290" t="str">
        <f>IFERROR(VLOOKUP(E397,'Cambio O2P'!C:E,2,FALSE),"")</f>
        <v/>
      </c>
      <c r="G397" s="285"/>
      <c r="H397" s="293" t="str">
        <f ca="1">IFERROR(IF(AND('INformazioni per calcoli'!$AB$3&lt;(--"14:30"),'INformazioni per calcoli'!$AB$3&gt;(--"10:00")),"",IF($B397="","",IF($X397&lt;&gt;"","Mezzo Chiuso",IF($W397="","Non al Carico",IF($G397-'INformazioni per calcoli'!$AB$5-'INformazioni per calcoli'!$AB$3+$J397&lt;0,"LFLS",IF($K397&lt;&gt;"","Safe Parking",IF($W397&lt;&gt;"",IF($E397="MXP",$G397-'INformazioni per calcoli'!$AB$6-'INformazioni per calcoli'!$AB$3+$J397,$G397-'INformazioni per calcoli'!$AB$5-'INformazioni per calcoli'!$AB$3+$J397),"Non al carico"))))))),"")</f>
        <v>Non al Carico</v>
      </c>
      <c r="I397" s="17" t="str">
        <f ca="1">IFERROR(IF($H397&lt;&gt;"",IF($H397="Safe Parking","",IF($W397&lt;&gt;"",IF(AND($U397="X",$V397="X"),$H397-(--"00:30"),""),IF($X397&lt;&gt;"","Mezzo Chiuso","Non al carico"))),""),"")</f>
        <v>Non al carico</v>
      </c>
      <c r="J397" s="306">
        <f ca="1">IFERROR(IF($B397&lt;&gt;"",IF(AND('INformazioni per calcoli'!$AB$3&lt;(--"15:00"),'INformazioni per calcoli'!$AB$3&gt;(--"00:00")),0,IF($G397&lt;(--"18:30"),"+1",0)),""),"")</f>
        <v>0</v>
      </c>
      <c r="K397" s="27"/>
      <c r="L397" s="25"/>
      <c r="M397" s="25" t="str">
        <f>IFERROR(_xlfn.XLOOKUP($Q397,'Elenco Casse'!$D:$D,'Elenco Casse'!$E:$E),"")</f>
        <v/>
      </c>
      <c r="N397" s="25" t="str">
        <f>IFERROR(_xlfn.XLOOKUP($Q397,'Elenco Casse'!$D:$D,'Elenco Casse'!$F:$F),"")</f>
        <v/>
      </c>
      <c r="O397" s="286"/>
      <c r="P397" s="295" t="str">
        <f>IFERROR(_xlfn.XLOOKUP($Q397,'Elenco Casse'!$D:$D,'Elenco Casse'!$G:$G),"")</f>
        <v/>
      </c>
      <c r="Q397" s="355"/>
      <c r="R397" s="23"/>
      <c r="S397" s="25"/>
      <c r="T397" s="25"/>
      <c r="U397" s="23" t="str">
        <f>IF(ISNUMBER(SEARCH("Parcel",$T397)),"X","")</f>
        <v/>
      </c>
      <c r="V397" s="23" t="str">
        <f>IF(ISNUMBER(SEARCH("Freight",$T397)),"X","")</f>
        <v/>
      </c>
      <c r="W397" s="26"/>
      <c r="X397" s="27"/>
      <c r="Y397" s="25"/>
      <c r="Z397" s="25"/>
      <c r="AA397" s="25"/>
      <c r="AB397" s="57"/>
      <c r="AC397" s="25"/>
      <c r="AD397" s="25"/>
      <c r="AE397" s="57"/>
      <c r="AF397" s="57"/>
      <c r="AG397" s="25"/>
      <c r="AH397" s="57"/>
      <c r="AI397" s="339"/>
      <c r="AJ397" s="339"/>
      <c r="AK397" s="297" t="str">
        <f>IF(X397&lt;&gt;"",CONCATENATE(IF(AA397&lt;&gt;"",CONCATENATE(Z397," ",AA397," ",BI397),""),IF(AD397&lt;&gt;"",CONCATENATE(","," ",AC397," ",AD397," ",BJ397),""),IF(AG397&lt;&gt;"",CONCATENATE(","," ",AF397," ",AG397," ",BK397),""),IF(AJ397&lt;&gt;"",CONCATENATE(","," ","DD"," ",BL397),"")," ",IF(AI397&lt;&gt;"",CONCATENATE(" - ",AI397," Bag"),"")),"")</f>
        <v/>
      </c>
      <c r="AL397" s="287"/>
      <c r="AM397" s="287"/>
      <c r="AN397" s="287"/>
      <c r="AO397" s="287"/>
      <c r="AP397" s="370" t="str">
        <f>IFERROR(VLOOKUP($E397,Outlist!$A$5:$V$120,20,FALSE),"")</f>
        <v/>
      </c>
      <c r="AQ397" s="288" t="str">
        <f>IFERROR(IF(VLOOKUP($A397,#REF!,8,FALSE)&lt;&gt;"",VLOOKUP($A397,#REF!,8,FALSE),""),"")</f>
        <v/>
      </c>
      <c r="AS397" s="24"/>
      <c r="AT397" s="24"/>
      <c r="AU397" s="27"/>
      <c r="AV397" s="27"/>
      <c r="AX397" s="20" t="str">
        <f>IFERROR(IF(Out_Table[[#This Row],[Cancellazione linea]]="Cancellata","yes",""),"")</f>
        <v/>
      </c>
      <c r="AY397" s="72" t="str">
        <f>IF(BA397="",BZ397,IF(AND(BA397&lt;(--"23:59:59"),BA397&gt;(--"15:00:00"),G397&lt;(--"14:00:00"),G397&gt;(--"00:00:01")),"",IF(BA397&gt;G397,BZ397,"")))</f>
        <v/>
      </c>
      <c r="AZ397" s="27"/>
      <c r="BA397" s="32"/>
      <c r="BB397" s="72"/>
      <c r="BC397" s="72" t="str">
        <f>IFERROR(VLOOKUP(Out_Table[[#This Row],[Aggiornamento STATUS]],'INformazioni per calcoli'!$Y$70:$AA$76,2,FALSE),"")</f>
        <v/>
      </c>
      <c r="BD397" s="289"/>
      <c r="BE397" s="289"/>
      <c r="BF397" s="47" t="str">
        <f>LEFT($E397,3)</f>
        <v/>
      </c>
      <c r="BG397" s="298" t="str">
        <f>IF(Out_Table[[#This Row],[Ora Uscita    (GH)]]&lt;&gt;"","x","")</f>
        <v/>
      </c>
      <c r="BH397" s="299" t="e">
        <f>VLOOKUP($O397,'INformazioni per calcoli'!$Y$20:$AA$23,3,FALSE)</f>
        <v>#N/A</v>
      </c>
      <c r="BI397" s="299" t="e">
        <f>MROUND(Out_Table[[#This Row],[Mtr. Trailer]]*AB397,0.5)</f>
        <v>#N/A</v>
      </c>
      <c r="BJ397" s="299" t="e">
        <f>MROUND(Out_Table[[#This Row],[Mtr. Trailer]]*AE397,0.5)</f>
        <v>#N/A</v>
      </c>
      <c r="BK397" s="299" t="e">
        <f>MROUND(Out_Table[[#This Row],[Mtr. Trailer]]*AH397,0.5)</f>
        <v>#N/A</v>
      </c>
      <c r="BL397" s="300">
        <f>Out_Table[[#This Row],[Double Deck trailer N° bumpers]]</f>
        <v>0</v>
      </c>
      <c r="BM397" s="301"/>
      <c r="BN397" s="299" t="str">
        <f>B397</f>
        <v>Mezzo a disposizione 12</v>
      </c>
      <c r="BO397" s="299">
        <f>E397</f>
        <v>0</v>
      </c>
      <c r="BP397" s="302">
        <f>IF(AND(G397&gt;(--"00:00:01"),G397&lt;(--"15:00:00")),IF(AND(X397&gt;(--"00:00:01"),X397&lt;(--"15:00:00")),G397-X397,G397+1-X397),G397-X397)</f>
        <v>0</v>
      </c>
      <c r="BQ397" s="303">
        <f>AE397+AF397+AH397+AJ397</f>
        <v>0</v>
      </c>
      <c r="BR397" s="304" t="str">
        <f>IF(OR(BP397&lt;=(--"00:20:00"),BQ397&gt;=100%),"OK","Not OK")</f>
        <v>OK</v>
      </c>
      <c r="BS397" s="302">
        <f>IF(AND(G397&gt;(--"00:00:01"),G397&lt;(--"15:00:00")),IF(AND(AU397&gt;(--"00:00:01"),AU397&lt;(--"15:00:00")),G397-AU397,G397+1-AU397),G397-AU397)</f>
        <v>0</v>
      </c>
      <c r="BT397" s="302">
        <f>IF(AND(AZ397&gt;(--"00:00:01"),AZ397&lt;(--"15:00:00")),IF(AND(AU397&gt;(--"00:00:01"),AU397&lt;(--"15:00:00")),AZ397-AU397,AZ397+1-AU397),AZ397-AU397)</f>
        <v>0</v>
      </c>
      <c r="BU397" s="302">
        <f>IF(AND(BA397&gt;(--"00:00:01"),BA397&lt;(--"15:00:00")),IF(AND(AZ397&gt;(--"00:00:01"),AZ397&lt;(--"15:00:00")),BA397-AZ397,BA397+1-AZ397),BA397-AZ397)</f>
        <v>0</v>
      </c>
      <c r="BV397" s="299">
        <f>AV397</f>
        <v>0</v>
      </c>
      <c r="BW397" s="301"/>
      <c r="BX397" s="299" t="str">
        <f>IF(AV397="T Status",IF(AV397&lt;&gt;T397,"X",""),"")</f>
        <v/>
      </c>
      <c r="BY397" s="301"/>
      <c r="BZ397" s="299" t="str">
        <f>IF(X397&lt;&gt;"",IF(CC397="X","Driver Delay",IF(CA397="X","Paperwork Delay",IF(CB397="X","Late freight late sort",IF(CD397="X","Chiamare Control Room",IF(CE397="X","Chiamare Control Room",IF(CF397="X","Chiamare Control Room","")))))),"")</f>
        <v/>
      </c>
      <c r="CA397" s="302" t="str">
        <f>IF(K397="",IF(IF(AND(G397&gt;(--"00:00:01"),G397&lt;(--"15:00:00")),IF(AND(AT397&gt;(--"08:00:00"),AT397&lt;(--"23:59:59")),G397+1-AT397,G397-AT397),G397-AT397)&gt;(--"00:20:00"),"","X"),"")</f>
        <v>X</v>
      </c>
      <c r="CB397" s="299" t="str">
        <f>IF(K397="",IF(BP397&gt;=(--"00:20:00"),"","X"),"")</f>
        <v>X</v>
      </c>
      <c r="CC397" s="299" t="str">
        <f>IF(OR(AV397="Autista non presente",AV397="Dati driver non presenti"),"X","")</f>
        <v/>
      </c>
      <c r="CD397" s="299" t="str">
        <f>IF(K397="",IF(AND(CC397="",BS397&lt;(--"00:20:00")),"X",""),"")</f>
        <v>X</v>
      </c>
      <c r="CE397" s="299" t="str">
        <f>IF(K397="",IF(BT397&gt;(--"00:15:00"),"X",""),IF(AZ397&lt;&gt;"",IF(G397-AZ397&gt;(--"00:30:00"),"X",""),""))</f>
        <v/>
      </c>
      <c r="CF397" s="299" t="str">
        <f>IF(AND(CA397="",CB397="",CC397="",CD397="",CE397=""),"X","")</f>
        <v/>
      </c>
      <c r="CG397" s="301"/>
      <c r="CH397" s="299" t="str">
        <f>IF(BT397&gt;(--"00:15:00"),"X","")</f>
        <v/>
      </c>
      <c r="CI397" s="302" t="str">
        <f>AY397</f>
        <v/>
      </c>
      <c r="CJ397" s="299" t="str">
        <f>IF(AND(CH397&lt;&gt;"",CI397&lt;&gt;"",LEFT(B397,3)="ITD"),AP397,"")</f>
        <v/>
      </c>
      <c r="CK397" s="305" t="str">
        <f>IF(CJ397&lt;&gt;"",BT397,"")</f>
        <v/>
      </c>
      <c r="CL397" s="301"/>
      <c r="CM397" s="305" t="str">
        <f>IFERROR(VLOOKUP(Q397,'Elenco Casse'!$D$4:$F$292,3,FALSE),"")</f>
        <v/>
      </c>
      <c r="CN397" s="301"/>
      <c r="CO397" s="305" t="str">
        <f>IFERROR(VLOOKUP(S397,'Elenco Casse'!$D$4:$F$292,3,FALSE),"")</f>
        <v/>
      </c>
      <c r="CP397" s="305" t="str">
        <f>IFERROR(IF(VLOOKUP($E397,Outlist!$A$5:$S$120,19,FALSE)&lt;&gt;0,"Y",""),"")</f>
        <v/>
      </c>
      <c r="CQ397" s="301"/>
      <c r="CR397" s="305" t="str">
        <f>CONCATENATE($B397,$E397,$G397)</f>
        <v>Mezzo a disposizione 12</v>
      </c>
      <c r="CS397" s="301"/>
      <c r="CT397" s="305" t="e">
        <f>VLOOKUP(Out_Table[[#This Row],[Destination             ORANGE (From Planning)]],Outlist!$A$5:$W$120,22,FALSE)</f>
        <v>#N/A</v>
      </c>
    </row>
    <row r="398" spans="1:98" s="20" customFormat="1" ht="30.75">
      <c r="A398" s="305" t="str">
        <f>$CR398</f>
        <v>Mezzo a disposizione 13</v>
      </c>
      <c r="B398" s="284" t="s">
        <v>1251</v>
      </c>
      <c r="C398" s="290" t="str">
        <f ca="1">IFERROR(IF(LEFT(B398,3)='STAT 77'!$X$2,_xlfn.XLOOKUP(B398,'STAT 77'!C:C,'STAT 77'!B:B),_xlfn.XLOOKUP(B398,'STAT 77'!B:B,'STAT 77'!C:C)),"NON TROVATO")</f>
        <v>NON TROVATO</v>
      </c>
      <c r="D398" s="25"/>
      <c r="E398" s="25"/>
      <c r="F398" s="290" t="str">
        <f>IFERROR(VLOOKUP(E398,'Cambio O2P'!C:E,2,FALSE),"")</f>
        <v/>
      </c>
      <c r="G398" s="285"/>
      <c r="H398" s="293" t="str">
        <f ca="1">IFERROR(IF(AND('INformazioni per calcoli'!$AB$3&lt;(--"14:30"),'INformazioni per calcoli'!$AB$3&gt;(--"10:00")),"",IF($B398="","",IF($X398&lt;&gt;"","Mezzo Chiuso",IF($W398="","Non al Carico",IF($G398-'INformazioni per calcoli'!$AB$5-'INformazioni per calcoli'!$AB$3+$J398&lt;0,"LFLS",IF($K398&lt;&gt;"","Safe Parking",IF($W398&lt;&gt;"",IF($E398="MXP",$G398-'INformazioni per calcoli'!$AB$6-'INformazioni per calcoli'!$AB$3+$J398,$G398-'INformazioni per calcoli'!$AB$5-'INformazioni per calcoli'!$AB$3+$J398),"Non al carico"))))))),"")</f>
        <v>Non al Carico</v>
      </c>
      <c r="I398" s="17" t="str">
        <f ca="1">IFERROR(IF($H398&lt;&gt;"",IF($H398="Safe Parking","",IF($W398&lt;&gt;"",IF(AND($U398="X",$V398="X"),$H398-(--"00:30"),""),IF($X398&lt;&gt;"","Mezzo Chiuso","Non al carico"))),""),"")</f>
        <v>Non al carico</v>
      </c>
      <c r="J398" s="306">
        <f ca="1">IFERROR(IF($B398&lt;&gt;"",IF(AND('INformazioni per calcoli'!$AB$3&lt;(--"15:00"),'INformazioni per calcoli'!$AB$3&gt;(--"00:00")),0,IF($G398&lt;(--"18:30"),"+1",0)),""),"")</f>
        <v>0</v>
      </c>
      <c r="K398" s="27"/>
      <c r="L398" s="25"/>
      <c r="M398" s="25" t="str">
        <f>IFERROR(_xlfn.XLOOKUP($Q398,'Elenco Casse'!$D:$D,'Elenco Casse'!$E:$E),"")</f>
        <v/>
      </c>
      <c r="N398" s="25" t="str">
        <f>IFERROR(_xlfn.XLOOKUP($Q398,'Elenco Casse'!$D:$D,'Elenco Casse'!$F:$F),"")</f>
        <v/>
      </c>
      <c r="O398" s="286"/>
      <c r="P398" s="295" t="str">
        <f>IFERROR(_xlfn.XLOOKUP($Q398,'Elenco Casse'!$D:$D,'Elenco Casse'!$G:$G),"")</f>
        <v/>
      </c>
      <c r="Q398" s="355"/>
      <c r="R398" s="23"/>
      <c r="S398" s="25"/>
      <c r="T398" s="25"/>
      <c r="U398" s="23" t="str">
        <f>IF(ISNUMBER(SEARCH("Parcel",$T398)),"X","")</f>
        <v/>
      </c>
      <c r="V398" s="23" t="str">
        <f>IF(ISNUMBER(SEARCH("Freight",$T398)),"X","")</f>
        <v/>
      </c>
      <c r="W398" s="26"/>
      <c r="X398" s="27"/>
      <c r="Y398" s="25"/>
      <c r="Z398" s="25"/>
      <c r="AA398" s="25"/>
      <c r="AB398" s="57"/>
      <c r="AC398" s="25"/>
      <c r="AD398" s="25"/>
      <c r="AE398" s="57"/>
      <c r="AF398" s="57"/>
      <c r="AG398" s="25"/>
      <c r="AH398" s="57"/>
      <c r="AI398" s="339"/>
      <c r="AJ398" s="339"/>
      <c r="AK398" s="297" t="str">
        <f>IF(X398&lt;&gt;"",CONCATENATE(IF(AA398&lt;&gt;"",CONCATENATE(Z398," ",AA398," ",BI398),""),IF(AD398&lt;&gt;"",CONCATENATE(","," ",AC398," ",AD398," ",BJ398),""),IF(AG398&lt;&gt;"",CONCATENATE(","," ",AF398," ",AG398," ",BK398),""),IF(AJ398&lt;&gt;"",CONCATENATE(","," ","DD"," ",BL398),"")," ",IF(AI398&lt;&gt;"",CONCATENATE(" - ",AI398," Bag"),"")),"")</f>
        <v/>
      </c>
      <c r="AL398" s="287"/>
      <c r="AM398" s="287"/>
      <c r="AN398" s="287"/>
      <c r="AO398" s="287"/>
      <c r="AP398" s="370" t="str">
        <f>IFERROR(VLOOKUP($E398,Outlist!$A$5:$V$120,20,FALSE),"")</f>
        <v/>
      </c>
      <c r="AQ398" s="288" t="str">
        <f>IFERROR(IF(VLOOKUP($A398,#REF!,8,FALSE)&lt;&gt;"",VLOOKUP($A398,#REF!,8,FALSE),""),"")</f>
        <v/>
      </c>
      <c r="AS398" s="24"/>
      <c r="AT398" s="24"/>
      <c r="AU398" s="27"/>
      <c r="AV398" s="27"/>
      <c r="AX398" s="20" t="str">
        <f>IFERROR(IF(Out_Table[[#This Row],[Cancellazione linea]]="Cancellata","yes",""),"")</f>
        <v/>
      </c>
      <c r="AY398" s="72" t="str">
        <f>IF(BA398="",BZ398,IF(AND(BA398&lt;(--"23:59:59"),BA398&gt;(--"15:00:00"),G398&lt;(--"14:00:00"),G398&gt;(--"00:00:01")),"",IF(BA398&gt;G398,BZ398,"")))</f>
        <v/>
      </c>
      <c r="AZ398" s="27"/>
      <c r="BA398" s="32"/>
      <c r="BB398" s="72"/>
      <c r="BC398" s="72" t="str">
        <f>IFERROR(VLOOKUP(Out_Table[[#This Row],[Aggiornamento STATUS]],'INformazioni per calcoli'!$Y$70:$AA$76,2,FALSE),"")</f>
        <v/>
      </c>
      <c r="BD398" s="289"/>
      <c r="BE398" s="289"/>
      <c r="BF398" s="47" t="str">
        <f>LEFT($E398,3)</f>
        <v/>
      </c>
      <c r="BG398" s="298" t="str">
        <f>IF(Out_Table[[#This Row],[Ora Uscita    (GH)]]&lt;&gt;"","x","")</f>
        <v/>
      </c>
      <c r="BH398" s="299" t="e">
        <f>VLOOKUP($O398,'INformazioni per calcoli'!$Y$20:$AA$23,3,FALSE)</f>
        <v>#N/A</v>
      </c>
      <c r="BI398" s="299" t="e">
        <f>MROUND(Out_Table[[#This Row],[Mtr. Trailer]]*AB398,0.5)</f>
        <v>#N/A</v>
      </c>
      <c r="BJ398" s="299" t="e">
        <f>MROUND(Out_Table[[#This Row],[Mtr. Trailer]]*AE398,0.5)</f>
        <v>#N/A</v>
      </c>
      <c r="BK398" s="299" t="e">
        <f>MROUND(Out_Table[[#This Row],[Mtr. Trailer]]*AH398,0.5)</f>
        <v>#N/A</v>
      </c>
      <c r="BL398" s="300">
        <f>Out_Table[[#This Row],[Double Deck trailer N° bumpers]]</f>
        <v>0</v>
      </c>
      <c r="BM398" s="301"/>
      <c r="BN398" s="299" t="str">
        <f>B398</f>
        <v>Mezzo a disposizione 13</v>
      </c>
      <c r="BO398" s="299">
        <f>E398</f>
        <v>0</v>
      </c>
      <c r="BP398" s="302">
        <f>IF(AND(G398&gt;(--"00:00:01"),G398&lt;(--"15:00:00")),IF(AND(X398&gt;(--"00:00:01"),X398&lt;(--"15:00:00")),G398-X398,G398+1-X398),G398-X398)</f>
        <v>0</v>
      </c>
      <c r="BQ398" s="303">
        <f>AE398+AF398+AH398+AJ398</f>
        <v>0</v>
      </c>
      <c r="BR398" s="304" t="str">
        <f>IF(OR(BP398&lt;=(--"00:20:00"),BQ398&gt;=100%),"OK","Not OK")</f>
        <v>OK</v>
      </c>
      <c r="BS398" s="302">
        <f>IF(AND(G398&gt;(--"00:00:01"),G398&lt;(--"15:00:00")),IF(AND(AU398&gt;(--"00:00:01"),AU398&lt;(--"15:00:00")),G398-AU398,G398+1-AU398),G398-AU398)</f>
        <v>0</v>
      </c>
      <c r="BT398" s="302">
        <f>IF(AND(AZ398&gt;(--"00:00:01"),AZ398&lt;(--"15:00:00")),IF(AND(AU398&gt;(--"00:00:01"),AU398&lt;(--"15:00:00")),AZ398-AU398,AZ398+1-AU398),AZ398-AU398)</f>
        <v>0</v>
      </c>
      <c r="BU398" s="302">
        <f>IF(AND(BA398&gt;(--"00:00:01"),BA398&lt;(--"15:00:00")),IF(AND(AZ398&gt;(--"00:00:01"),AZ398&lt;(--"15:00:00")),BA398-AZ398,BA398+1-AZ398),BA398-AZ398)</f>
        <v>0</v>
      </c>
      <c r="BV398" s="299">
        <f>AV398</f>
        <v>0</v>
      </c>
      <c r="BW398" s="301"/>
      <c r="BX398" s="299" t="str">
        <f>IF(AV398="T Status",IF(AV398&lt;&gt;T398,"X",""),"")</f>
        <v/>
      </c>
      <c r="BY398" s="301"/>
      <c r="BZ398" s="299" t="str">
        <f>IF(X398&lt;&gt;"",IF(CC398="X","Driver Delay",IF(CA398="X","Paperwork Delay",IF(CB398="X","Late freight late sort",IF(CD398="X","Chiamare Control Room",IF(CE398="X","Chiamare Control Room",IF(CF398="X","Chiamare Control Room","")))))),"")</f>
        <v/>
      </c>
      <c r="CA398" s="302" t="str">
        <f>IF(K398="",IF(IF(AND(G398&gt;(--"00:00:01"),G398&lt;(--"15:00:00")),IF(AND(AT398&gt;(--"08:00:00"),AT398&lt;(--"23:59:59")),G398+1-AT398,G398-AT398),G398-AT398)&gt;(--"00:20:00"),"","X"),"")</f>
        <v>X</v>
      </c>
      <c r="CB398" s="299" t="str">
        <f>IF(K398="",IF(BP398&gt;=(--"00:20:00"),"","X"),"")</f>
        <v>X</v>
      </c>
      <c r="CC398" s="299" t="str">
        <f>IF(OR(AV398="Autista non presente",AV398="Dati driver non presenti"),"X","")</f>
        <v/>
      </c>
      <c r="CD398" s="299" t="str">
        <f>IF(K398="",IF(AND(CC398="",BS398&lt;(--"00:20:00")),"X",""),"")</f>
        <v>X</v>
      </c>
      <c r="CE398" s="299" t="str">
        <f>IF(K398="",IF(BT398&gt;(--"00:15:00"),"X",""),IF(AZ398&lt;&gt;"",IF(G398-AZ398&gt;(--"00:30:00"),"X",""),""))</f>
        <v/>
      </c>
      <c r="CF398" s="299" t="str">
        <f>IF(AND(CA398="",CB398="",CC398="",CD398="",CE398=""),"X","")</f>
        <v/>
      </c>
      <c r="CG398" s="301"/>
      <c r="CH398" s="299" t="str">
        <f>IF(BT398&gt;(--"00:15:00"),"X","")</f>
        <v/>
      </c>
      <c r="CI398" s="302" t="str">
        <f>AY398</f>
        <v/>
      </c>
      <c r="CJ398" s="299" t="str">
        <f>IF(AND(CH398&lt;&gt;"",CI398&lt;&gt;"",LEFT(B398,3)="ITD"),AP398,"")</f>
        <v/>
      </c>
      <c r="CK398" s="305" t="str">
        <f>IF(CJ398&lt;&gt;"",BT398,"")</f>
        <v/>
      </c>
      <c r="CL398" s="301"/>
      <c r="CM398" s="305" t="str">
        <f>IFERROR(VLOOKUP(Q398,'Elenco Casse'!$D$4:$F$292,3,FALSE),"")</f>
        <v/>
      </c>
      <c r="CN398" s="301"/>
      <c r="CO398" s="305" t="str">
        <f>IFERROR(VLOOKUP(S398,'Elenco Casse'!$D$4:$F$292,3,FALSE),"")</f>
        <v/>
      </c>
      <c r="CP398" s="305" t="str">
        <f>IFERROR(IF(VLOOKUP($E398,Outlist!$A$5:$S$120,19,FALSE)&lt;&gt;0,"Y",""),"")</f>
        <v/>
      </c>
      <c r="CQ398" s="301"/>
      <c r="CR398" s="305" t="str">
        <f>CONCATENATE($B398,$E398,$G398)</f>
        <v>Mezzo a disposizione 13</v>
      </c>
      <c r="CS398" s="301"/>
      <c r="CT398" s="305" t="e">
        <f>VLOOKUP(Out_Table[[#This Row],[Destination             ORANGE (From Planning)]],Outlist!$A$5:$W$120,22,FALSE)</f>
        <v>#N/A</v>
      </c>
    </row>
    <row r="399" spans="1:98" s="20" customFormat="1" ht="30.75">
      <c r="A399" s="305" t="str">
        <f>$CR399</f>
        <v>Mezzo a disposizione 14</v>
      </c>
      <c r="B399" s="284" t="s">
        <v>1252</v>
      </c>
      <c r="C399" s="290" t="str">
        <f ca="1">IFERROR(IF(LEFT(B399,3)='STAT 77'!$X$2,_xlfn.XLOOKUP(B399,'STAT 77'!C:C,'STAT 77'!B:B),_xlfn.XLOOKUP(B399,'STAT 77'!B:B,'STAT 77'!C:C)),"NON TROVATO")</f>
        <v>NON TROVATO</v>
      </c>
      <c r="D399" s="25"/>
      <c r="E399" s="25"/>
      <c r="F399" s="290" t="str">
        <f>IFERROR(VLOOKUP(E399,'Cambio O2P'!C:E,2,FALSE),"")</f>
        <v/>
      </c>
      <c r="G399" s="285"/>
      <c r="H399" s="293" t="str">
        <f ca="1">IFERROR(IF(AND('INformazioni per calcoli'!$AB$3&lt;(--"14:30"),'INformazioni per calcoli'!$AB$3&gt;(--"10:00")),"",IF($B399="","",IF($X399&lt;&gt;"","Mezzo Chiuso",IF($W399="","Non al Carico",IF($G399-'INformazioni per calcoli'!$AB$5-'INformazioni per calcoli'!$AB$3+$J399&lt;0,"LFLS",IF($K399&lt;&gt;"","Safe Parking",IF($W399&lt;&gt;"",IF($E399="MXP",$G399-'INformazioni per calcoli'!$AB$6-'INformazioni per calcoli'!$AB$3+$J399,$G399-'INformazioni per calcoli'!$AB$5-'INformazioni per calcoli'!$AB$3+$J399),"Non al carico"))))))),"")</f>
        <v>Non al Carico</v>
      </c>
      <c r="I399" s="17" t="str">
        <f ca="1">IFERROR(IF($H399&lt;&gt;"",IF($H399="Safe Parking","",IF($W399&lt;&gt;"",IF(AND($U399="X",$V399="X"),$H399-(--"00:30"),""),IF($X399&lt;&gt;"","Mezzo Chiuso","Non al carico"))),""),"")</f>
        <v>Non al carico</v>
      </c>
      <c r="J399" s="306">
        <f ca="1">IFERROR(IF($B399&lt;&gt;"",IF(AND('INformazioni per calcoli'!$AB$3&lt;(--"15:00"),'INformazioni per calcoli'!$AB$3&gt;(--"00:00")),0,IF($G399&lt;(--"18:30"),"+1",0)),""),"")</f>
        <v>0</v>
      </c>
      <c r="K399" s="27"/>
      <c r="L399" s="25"/>
      <c r="M399" s="25" t="str">
        <f>IFERROR(_xlfn.XLOOKUP($Q399,'Elenco Casse'!$D:$D,'Elenco Casse'!$E:$E),"")</f>
        <v/>
      </c>
      <c r="N399" s="25" t="str">
        <f>IFERROR(_xlfn.XLOOKUP($Q399,'Elenco Casse'!$D:$D,'Elenco Casse'!$F:$F),"")</f>
        <v/>
      </c>
      <c r="O399" s="286"/>
      <c r="P399" s="295" t="str">
        <f>IFERROR(_xlfn.XLOOKUP($Q399,'Elenco Casse'!$D:$D,'Elenco Casse'!$G:$G),"")</f>
        <v/>
      </c>
      <c r="Q399" s="355"/>
      <c r="R399" s="23"/>
      <c r="S399" s="25"/>
      <c r="T399" s="25"/>
      <c r="U399" s="23" t="str">
        <f>IF(ISNUMBER(SEARCH("Parcel",$T399)),"X","")</f>
        <v/>
      </c>
      <c r="V399" s="23" t="str">
        <f>IF(ISNUMBER(SEARCH("Freight",$T399)),"X","")</f>
        <v/>
      </c>
      <c r="W399" s="26"/>
      <c r="X399" s="27"/>
      <c r="Y399" s="25"/>
      <c r="Z399" s="25"/>
      <c r="AA399" s="25"/>
      <c r="AB399" s="57"/>
      <c r="AC399" s="25"/>
      <c r="AD399" s="25"/>
      <c r="AE399" s="57"/>
      <c r="AF399" s="57"/>
      <c r="AG399" s="25"/>
      <c r="AH399" s="57"/>
      <c r="AI399" s="339"/>
      <c r="AJ399" s="339"/>
      <c r="AK399" s="297" t="str">
        <f>IF(X399&lt;&gt;"",CONCATENATE(IF(AA399&lt;&gt;"",CONCATENATE(Z399," ",AA399," ",BI399),""),IF(AD399&lt;&gt;"",CONCATENATE(","," ",AC399," ",AD399," ",BJ399),""),IF(AG399&lt;&gt;"",CONCATENATE(","," ",AF399," ",AG399," ",BK399),""),IF(AJ399&lt;&gt;"",CONCATENATE(","," ","DD"," ",BL399),"")," ",IF(AI399&lt;&gt;"",CONCATENATE(" - ",AI399," Bag"),"")),"")</f>
        <v/>
      </c>
      <c r="AL399" s="287"/>
      <c r="AM399" s="287"/>
      <c r="AN399" s="287"/>
      <c r="AO399" s="287"/>
      <c r="AP399" s="370" t="str">
        <f>IFERROR(VLOOKUP($E399,Outlist!$A$5:$V$120,20,FALSE),"")</f>
        <v/>
      </c>
      <c r="AQ399" s="288" t="str">
        <f>IFERROR(IF(VLOOKUP($A399,#REF!,8,FALSE)&lt;&gt;"",VLOOKUP($A399,#REF!,8,FALSE),""),"")</f>
        <v/>
      </c>
      <c r="AS399" s="24"/>
      <c r="AT399" s="24"/>
      <c r="AU399" s="27"/>
      <c r="AV399" s="27"/>
      <c r="AX399" s="20" t="str">
        <f>IFERROR(IF(Out_Table[[#This Row],[Cancellazione linea]]="Cancellata","yes",""),"")</f>
        <v/>
      </c>
      <c r="AY399" s="72" t="str">
        <f>IF(BA399="",BZ399,IF(AND(BA399&lt;(--"23:59:59"),BA399&gt;(--"15:00:00"),G399&lt;(--"14:00:00"),G399&gt;(--"00:00:01")),"",IF(BA399&gt;G399,BZ399,"")))</f>
        <v/>
      </c>
      <c r="AZ399" s="27"/>
      <c r="BA399" s="32"/>
      <c r="BB399" s="72"/>
      <c r="BC399" s="72" t="str">
        <f>IFERROR(VLOOKUP(Out_Table[[#This Row],[Aggiornamento STATUS]],'INformazioni per calcoli'!$Y$70:$AA$76,2,FALSE),"")</f>
        <v/>
      </c>
      <c r="BD399" s="289"/>
      <c r="BE399" s="289"/>
      <c r="BF399" s="47" t="str">
        <f>LEFT($E399,3)</f>
        <v/>
      </c>
      <c r="BG399" s="298" t="str">
        <f>IF(Out_Table[[#This Row],[Ora Uscita    (GH)]]&lt;&gt;"","x","")</f>
        <v/>
      </c>
      <c r="BH399" s="299" t="e">
        <f>VLOOKUP($O399,'INformazioni per calcoli'!$Y$20:$AA$23,3,FALSE)</f>
        <v>#N/A</v>
      </c>
      <c r="BI399" s="299" t="e">
        <f>MROUND(Out_Table[[#This Row],[Mtr. Trailer]]*AB399,0.5)</f>
        <v>#N/A</v>
      </c>
      <c r="BJ399" s="299" t="e">
        <f>MROUND(Out_Table[[#This Row],[Mtr. Trailer]]*AE399,0.5)</f>
        <v>#N/A</v>
      </c>
      <c r="BK399" s="299" t="e">
        <f>MROUND(Out_Table[[#This Row],[Mtr. Trailer]]*AH399,0.5)</f>
        <v>#N/A</v>
      </c>
      <c r="BL399" s="300">
        <f>Out_Table[[#This Row],[Double Deck trailer N° bumpers]]</f>
        <v>0</v>
      </c>
      <c r="BM399" s="301"/>
      <c r="BN399" s="299" t="str">
        <f>B399</f>
        <v>Mezzo a disposizione 14</v>
      </c>
      <c r="BO399" s="299">
        <f>E399</f>
        <v>0</v>
      </c>
      <c r="BP399" s="302">
        <f>IF(AND(G399&gt;(--"00:00:01"),G399&lt;(--"15:00:00")),IF(AND(X399&gt;(--"00:00:01"),X399&lt;(--"15:00:00")),G399-X399,G399+1-X399),G399-X399)</f>
        <v>0</v>
      </c>
      <c r="BQ399" s="303">
        <f>AE399+AF399+AH399+AJ399</f>
        <v>0</v>
      </c>
      <c r="BR399" s="304" t="str">
        <f>IF(OR(BP399&lt;=(--"00:20:00"),BQ399&gt;=100%),"OK","Not OK")</f>
        <v>OK</v>
      </c>
      <c r="BS399" s="302">
        <f>IF(AND(G399&gt;(--"00:00:01"),G399&lt;(--"15:00:00")),IF(AND(AU399&gt;(--"00:00:01"),AU399&lt;(--"15:00:00")),G399-AU399,G399+1-AU399),G399-AU399)</f>
        <v>0</v>
      </c>
      <c r="BT399" s="302">
        <f>IF(AND(AZ399&gt;(--"00:00:01"),AZ399&lt;(--"15:00:00")),IF(AND(AU399&gt;(--"00:00:01"),AU399&lt;(--"15:00:00")),AZ399-AU399,AZ399+1-AU399),AZ399-AU399)</f>
        <v>0</v>
      </c>
      <c r="BU399" s="302">
        <f>IF(AND(BA399&gt;(--"00:00:01"),BA399&lt;(--"15:00:00")),IF(AND(AZ399&gt;(--"00:00:01"),AZ399&lt;(--"15:00:00")),BA399-AZ399,BA399+1-AZ399),BA399-AZ399)</f>
        <v>0</v>
      </c>
      <c r="BV399" s="299">
        <f>AV399</f>
        <v>0</v>
      </c>
      <c r="BW399" s="301"/>
      <c r="BX399" s="299" t="str">
        <f>IF(AV399="T Status",IF(AV399&lt;&gt;T399,"X",""),"")</f>
        <v/>
      </c>
      <c r="BY399" s="301"/>
      <c r="BZ399" s="299" t="str">
        <f>IF(X399&lt;&gt;"",IF(CC399="X","Driver Delay",IF(CA399="X","Paperwork Delay",IF(CB399="X","Late freight late sort",IF(CD399="X","Chiamare Control Room",IF(CE399="X","Chiamare Control Room",IF(CF399="X","Chiamare Control Room","")))))),"")</f>
        <v/>
      </c>
      <c r="CA399" s="302" t="str">
        <f>IF(K399="",IF(IF(AND(G399&gt;(--"00:00:01"),G399&lt;(--"15:00:00")),IF(AND(AT399&gt;(--"08:00:00"),AT399&lt;(--"23:59:59")),G399+1-AT399,G399-AT399),G399-AT399)&gt;(--"00:20:00"),"","X"),"")</f>
        <v>X</v>
      </c>
      <c r="CB399" s="299" t="str">
        <f>IF(K399="",IF(BP399&gt;=(--"00:20:00"),"","X"),"")</f>
        <v>X</v>
      </c>
      <c r="CC399" s="299" t="str">
        <f>IF(OR(AV399="Autista non presente",AV399="Dati driver non presenti"),"X","")</f>
        <v/>
      </c>
      <c r="CD399" s="299" t="str">
        <f>IF(K399="",IF(AND(CC399="",BS399&lt;(--"00:20:00")),"X",""),"")</f>
        <v>X</v>
      </c>
      <c r="CE399" s="299" t="str">
        <f>IF(K399="",IF(BT399&gt;(--"00:15:00"),"X",""),IF(AZ399&lt;&gt;"",IF(G399-AZ399&gt;(--"00:30:00"),"X",""),""))</f>
        <v/>
      </c>
      <c r="CF399" s="299" t="str">
        <f>IF(AND(CA399="",CB399="",CC399="",CD399="",CE399=""),"X","")</f>
        <v/>
      </c>
      <c r="CG399" s="301"/>
      <c r="CH399" s="299" t="str">
        <f>IF(BT399&gt;(--"00:15:00"),"X","")</f>
        <v/>
      </c>
      <c r="CI399" s="302" t="str">
        <f>AY399</f>
        <v/>
      </c>
      <c r="CJ399" s="299" t="str">
        <f>IF(AND(CH399&lt;&gt;"",CI399&lt;&gt;"",LEFT(B399,3)="ITD"),AP399,"")</f>
        <v/>
      </c>
      <c r="CK399" s="305" t="str">
        <f>IF(CJ399&lt;&gt;"",BT399,"")</f>
        <v/>
      </c>
      <c r="CL399" s="301"/>
      <c r="CM399" s="305" t="str">
        <f>IFERROR(VLOOKUP(Q399,'Elenco Casse'!$D$4:$F$292,3,FALSE),"")</f>
        <v/>
      </c>
      <c r="CN399" s="301"/>
      <c r="CO399" s="305" t="str">
        <f>IFERROR(VLOOKUP(S399,'Elenco Casse'!$D$4:$F$292,3,FALSE),"")</f>
        <v/>
      </c>
      <c r="CP399" s="305" t="str">
        <f>IFERROR(IF(VLOOKUP($E399,Outlist!$A$5:$S$120,19,FALSE)&lt;&gt;0,"Y",""),"")</f>
        <v/>
      </c>
      <c r="CQ399" s="301"/>
      <c r="CR399" s="305" t="str">
        <f>CONCATENATE($B399,$E399,$G399)</f>
        <v>Mezzo a disposizione 14</v>
      </c>
      <c r="CS399" s="301"/>
      <c r="CT399" s="305" t="e">
        <f>VLOOKUP(Out_Table[[#This Row],[Destination             ORANGE (From Planning)]],Outlist!$A$5:$W$120,22,FALSE)</f>
        <v>#N/A</v>
      </c>
    </row>
    <row r="400" spans="1:98" s="20" customFormat="1" ht="30.75">
      <c r="A400" s="305" t="str">
        <f>$CR400</f>
        <v>Mezzo a disposizione 15</v>
      </c>
      <c r="B400" s="284" t="s">
        <v>1253</v>
      </c>
      <c r="C400" s="290" t="str">
        <f ca="1">IFERROR(IF(LEFT(B400,3)='STAT 77'!$X$2,_xlfn.XLOOKUP(B400,'STAT 77'!C:C,'STAT 77'!B:B),_xlfn.XLOOKUP(B400,'STAT 77'!B:B,'STAT 77'!C:C)),"NON TROVATO")</f>
        <v>NON TROVATO</v>
      </c>
      <c r="D400" s="25"/>
      <c r="E400" s="25"/>
      <c r="F400" s="290" t="str">
        <f>IFERROR(VLOOKUP(E400,'Cambio O2P'!C:E,2,FALSE),"")</f>
        <v/>
      </c>
      <c r="G400" s="285"/>
      <c r="H400" s="293" t="str">
        <f ca="1">IFERROR(IF(AND('INformazioni per calcoli'!$AB$3&lt;(--"14:30"),'INformazioni per calcoli'!$AB$3&gt;(--"10:00")),"",IF($B400="","",IF($X400&lt;&gt;"","Mezzo Chiuso",IF($W400="","Non al Carico",IF($G400-'INformazioni per calcoli'!$AB$5-'INformazioni per calcoli'!$AB$3+$J400&lt;0,"LFLS",IF($K400&lt;&gt;"","Safe Parking",IF($W400&lt;&gt;"",IF($E400="MXP",$G400-'INformazioni per calcoli'!$AB$6-'INformazioni per calcoli'!$AB$3+$J400,$G400-'INformazioni per calcoli'!$AB$5-'INformazioni per calcoli'!$AB$3+$J400),"Non al carico"))))))),"")</f>
        <v>Non al Carico</v>
      </c>
      <c r="I400" s="17" t="str">
        <f ca="1">IFERROR(IF($H400&lt;&gt;"",IF($H400="Safe Parking","",IF($W400&lt;&gt;"",IF(AND($U400="X",$V400="X"),$H400-(--"00:30"),""),IF($X400&lt;&gt;"","Mezzo Chiuso","Non al carico"))),""),"")</f>
        <v>Non al carico</v>
      </c>
      <c r="J400" s="306">
        <f ca="1">IFERROR(IF($B400&lt;&gt;"",IF(AND('INformazioni per calcoli'!$AB$3&lt;(--"15:00"),'INformazioni per calcoli'!$AB$3&gt;(--"00:00")),0,IF($G400&lt;(--"18:30"),"+1",0)),""),"")</f>
        <v>0</v>
      </c>
      <c r="K400" s="27"/>
      <c r="L400" s="25"/>
      <c r="M400" s="25" t="str">
        <f>IFERROR(_xlfn.XLOOKUP($Q400,'Elenco Casse'!$D:$D,'Elenco Casse'!$E:$E),"")</f>
        <v/>
      </c>
      <c r="N400" s="25" t="str">
        <f>IFERROR(_xlfn.XLOOKUP($Q400,'Elenco Casse'!$D:$D,'Elenco Casse'!$F:$F),"")</f>
        <v/>
      </c>
      <c r="O400" s="286"/>
      <c r="P400" s="295" t="str">
        <f>IFERROR(_xlfn.XLOOKUP($Q400,'Elenco Casse'!$D:$D,'Elenco Casse'!$G:$G),"")</f>
        <v/>
      </c>
      <c r="Q400" s="355"/>
      <c r="R400" s="23"/>
      <c r="S400" s="25"/>
      <c r="T400" s="25"/>
      <c r="U400" s="23" t="str">
        <f>IF(ISNUMBER(SEARCH("Parcel",$T400)),"X","")</f>
        <v/>
      </c>
      <c r="V400" s="23" t="str">
        <f>IF(ISNUMBER(SEARCH("Freight",$T400)),"X","")</f>
        <v/>
      </c>
      <c r="W400" s="26"/>
      <c r="X400" s="27"/>
      <c r="Y400" s="25"/>
      <c r="Z400" s="25"/>
      <c r="AA400" s="25"/>
      <c r="AB400" s="57"/>
      <c r="AC400" s="25"/>
      <c r="AD400" s="25"/>
      <c r="AE400" s="57"/>
      <c r="AF400" s="57"/>
      <c r="AG400" s="25"/>
      <c r="AH400" s="57"/>
      <c r="AI400" s="339"/>
      <c r="AJ400" s="339"/>
      <c r="AK400" s="297" t="str">
        <f>IF(X400&lt;&gt;"",CONCATENATE(IF(AA400&lt;&gt;"",CONCATENATE(Z400," ",AA400," ",BI400),""),IF(AD400&lt;&gt;"",CONCATENATE(","," ",AC400," ",AD400," ",BJ400),""),IF(AG400&lt;&gt;"",CONCATENATE(","," ",AF400," ",AG400," ",BK400),""),IF(AJ400&lt;&gt;"",CONCATENATE(","," ","DD"," ",BL400),"")," ",IF(AI400&lt;&gt;"",CONCATENATE(" - ",AI400," Bag"),"")),"")</f>
        <v/>
      </c>
      <c r="AL400" s="287"/>
      <c r="AM400" s="287"/>
      <c r="AN400" s="287"/>
      <c r="AO400" s="287"/>
      <c r="AP400" s="370" t="str">
        <f>IFERROR(VLOOKUP($E400,Outlist!$A$5:$V$120,20,FALSE),"")</f>
        <v/>
      </c>
      <c r="AQ400" s="288" t="str">
        <f>IFERROR(IF(VLOOKUP($A400,#REF!,8,FALSE)&lt;&gt;"",VLOOKUP($A400,#REF!,8,FALSE),""),"")</f>
        <v/>
      </c>
      <c r="AS400" s="24"/>
      <c r="AT400" s="24"/>
      <c r="AU400" s="27"/>
      <c r="AV400" s="27"/>
      <c r="AX400" s="20" t="str">
        <f>IFERROR(IF(Out_Table[[#This Row],[Cancellazione linea]]="Cancellata","yes",""),"")</f>
        <v/>
      </c>
      <c r="AY400" s="72" t="str">
        <f>IF(BA400="",BZ400,IF(AND(BA400&lt;(--"23:59:59"),BA400&gt;(--"15:00:00"),G400&lt;(--"14:00:00"),G400&gt;(--"00:00:01")),"",IF(BA400&gt;G400,BZ400,"")))</f>
        <v/>
      </c>
      <c r="AZ400" s="27"/>
      <c r="BA400" s="32"/>
      <c r="BB400" s="72"/>
      <c r="BC400" s="72" t="str">
        <f>IFERROR(VLOOKUP(Out_Table[[#This Row],[Aggiornamento STATUS]],'INformazioni per calcoli'!$Y$70:$AA$76,2,FALSE),"")</f>
        <v/>
      </c>
      <c r="BD400" s="289"/>
      <c r="BE400" s="289"/>
      <c r="BF400" s="47" t="str">
        <f>LEFT($E400,3)</f>
        <v/>
      </c>
      <c r="BG400" s="298" t="str">
        <f>IF(Out_Table[[#This Row],[Ora Uscita    (GH)]]&lt;&gt;"","x","")</f>
        <v/>
      </c>
      <c r="BH400" s="299" t="e">
        <f>VLOOKUP($O400,'INformazioni per calcoli'!$Y$20:$AA$23,3,FALSE)</f>
        <v>#N/A</v>
      </c>
      <c r="BI400" s="299" t="e">
        <f>MROUND(Out_Table[[#This Row],[Mtr. Trailer]]*AB400,0.5)</f>
        <v>#N/A</v>
      </c>
      <c r="BJ400" s="299" t="e">
        <f>MROUND(Out_Table[[#This Row],[Mtr. Trailer]]*AE400,0.5)</f>
        <v>#N/A</v>
      </c>
      <c r="BK400" s="299" t="e">
        <f>MROUND(Out_Table[[#This Row],[Mtr. Trailer]]*AH400,0.5)</f>
        <v>#N/A</v>
      </c>
      <c r="BL400" s="300">
        <f>Out_Table[[#This Row],[Double Deck trailer N° bumpers]]</f>
        <v>0</v>
      </c>
      <c r="BM400" s="301"/>
      <c r="BN400" s="299" t="str">
        <f>B400</f>
        <v>Mezzo a disposizione 15</v>
      </c>
      <c r="BO400" s="299">
        <f>E400</f>
        <v>0</v>
      </c>
      <c r="BP400" s="302">
        <f>IF(AND(G400&gt;(--"00:00:01"),G400&lt;(--"15:00:00")),IF(AND(X400&gt;(--"00:00:01"),X400&lt;(--"15:00:00")),G400-X400,G400+1-X400),G400-X400)</f>
        <v>0</v>
      </c>
      <c r="BQ400" s="303">
        <f>AE400+AF400+AH400+AJ400</f>
        <v>0</v>
      </c>
      <c r="BR400" s="304" t="str">
        <f>IF(OR(BP400&lt;=(--"00:20:00"),BQ400&gt;=100%),"OK","Not OK")</f>
        <v>OK</v>
      </c>
      <c r="BS400" s="302">
        <f>IF(AND(G400&gt;(--"00:00:01"),G400&lt;(--"15:00:00")),IF(AND(AU400&gt;(--"00:00:01"),AU400&lt;(--"15:00:00")),G400-AU400,G400+1-AU400),G400-AU400)</f>
        <v>0</v>
      </c>
      <c r="BT400" s="302">
        <f>IF(AND(AZ400&gt;(--"00:00:01"),AZ400&lt;(--"15:00:00")),IF(AND(AU400&gt;(--"00:00:01"),AU400&lt;(--"15:00:00")),AZ400-AU400,AZ400+1-AU400),AZ400-AU400)</f>
        <v>0</v>
      </c>
      <c r="BU400" s="302">
        <f>IF(AND(BA400&gt;(--"00:00:01"),BA400&lt;(--"15:00:00")),IF(AND(AZ400&gt;(--"00:00:01"),AZ400&lt;(--"15:00:00")),BA400-AZ400,BA400+1-AZ400),BA400-AZ400)</f>
        <v>0</v>
      </c>
      <c r="BV400" s="299">
        <f>AV400</f>
        <v>0</v>
      </c>
      <c r="BW400" s="301"/>
      <c r="BX400" s="299" t="str">
        <f>IF(AV400="T Status",IF(AV400&lt;&gt;T400,"X",""),"")</f>
        <v/>
      </c>
      <c r="BY400" s="301"/>
      <c r="BZ400" s="299" t="str">
        <f>IF(X400&lt;&gt;"",IF(CC400="X","Driver Delay",IF(CA400="X","Paperwork Delay",IF(CB400="X","Late freight late sort",IF(CD400="X","Chiamare Control Room",IF(CE400="X","Chiamare Control Room",IF(CF400="X","Chiamare Control Room","")))))),"")</f>
        <v/>
      </c>
      <c r="CA400" s="302" t="str">
        <f>IF(K400="",IF(IF(AND(G400&gt;(--"00:00:01"),G400&lt;(--"15:00:00")),IF(AND(AT400&gt;(--"08:00:00"),AT400&lt;(--"23:59:59")),G400+1-AT400,G400-AT400),G400-AT400)&gt;(--"00:20:00"),"","X"),"")</f>
        <v>X</v>
      </c>
      <c r="CB400" s="299" t="str">
        <f>IF(K400="",IF(BP400&gt;=(--"00:20:00"),"","X"),"")</f>
        <v>X</v>
      </c>
      <c r="CC400" s="299" t="str">
        <f>IF(OR(AV400="Autista non presente",AV400="Dati driver non presenti"),"X","")</f>
        <v/>
      </c>
      <c r="CD400" s="299" t="str">
        <f>IF(K400="",IF(AND(CC400="",BS400&lt;(--"00:20:00")),"X",""),"")</f>
        <v>X</v>
      </c>
      <c r="CE400" s="299" t="str">
        <f>IF(K400="",IF(BT400&gt;(--"00:15:00"),"X",""),IF(AZ400&lt;&gt;"",IF(G400-AZ400&gt;(--"00:30:00"),"X",""),""))</f>
        <v/>
      </c>
      <c r="CF400" s="299" t="str">
        <f>IF(AND(CA400="",CB400="",CC400="",CD400="",CE400=""),"X","")</f>
        <v/>
      </c>
      <c r="CG400" s="301"/>
      <c r="CH400" s="299" t="str">
        <f>IF(BT400&gt;(--"00:15:00"),"X","")</f>
        <v/>
      </c>
      <c r="CI400" s="302" t="str">
        <f>AY400</f>
        <v/>
      </c>
      <c r="CJ400" s="299" t="str">
        <f>IF(AND(CH400&lt;&gt;"",CI400&lt;&gt;"",LEFT(B400,3)="ITD"),AP400,"")</f>
        <v/>
      </c>
      <c r="CK400" s="305" t="str">
        <f>IF(CJ400&lt;&gt;"",BT400,"")</f>
        <v/>
      </c>
      <c r="CL400" s="301"/>
      <c r="CM400" s="305" t="str">
        <f>IFERROR(VLOOKUP(Q400,'Elenco Casse'!$D$4:$F$292,3,FALSE),"")</f>
        <v/>
      </c>
      <c r="CN400" s="301"/>
      <c r="CO400" s="305" t="str">
        <f>IFERROR(VLOOKUP(S400,'Elenco Casse'!$D$4:$F$292,3,FALSE),"")</f>
        <v/>
      </c>
      <c r="CP400" s="305" t="str">
        <f>IFERROR(IF(VLOOKUP($E400,Outlist!$A$5:$S$120,19,FALSE)&lt;&gt;0,"Y",""),"")</f>
        <v/>
      </c>
      <c r="CQ400" s="301"/>
      <c r="CR400" s="305" t="str">
        <f>CONCATENATE($B400,$E400,$G400)</f>
        <v>Mezzo a disposizione 15</v>
      </c>
      <c r="CS400" s="301"/>
      <c r="CT400" s="305" t="e">
        <f>VLOOKUP(Out_Table[[#This Row],[Destination             ORANGE (From Planning)]],Outlist!$A$5:$W$120,22,FALSE)</f>
        <v>#N/A</v>
      </c>
    </row>
    <row r="401" spans="1:98" s="20" customFormat="1" ht="30.75">
      <c r="A401" s="305" t="str">
        <f>$CR401</f>
        <v>Mezzo a disposizione 16</v>
      </c>
      <c r="B401" s="284" t="s">
        <v>1254</v>
      </c>
      <c r="C401" s="290" t="str">
        <f ca="1">IFERROR(IF(LEFT(B401,3)='STAT 77'!$X$2,_xlfn.XLOOKUP(B401,'STAT 77'!C:C,'STAT 77'!B:B),_xlfn.XLOOKUP(B401,'STAT 77'!B:B,'STAT 77'!C:C)),"NON TROVATO")</f>
        <v>NON TROVATO</v>
      </c>
      <c r="D401" s="25"/>
      <c r="E401" s="25"/>
      <c r="F401" s="290" t="str">
        <f>IFERROR(VLOOKUP(E401,'Cambio O2P'!C:E,2,FALSE),"")</f>
        <v/>
      </c>
      <c r="G401" s="285"/>
      <c r="H401" s="293" t="str">
        <f ca="1">IFERROR(IF(AND('INformazioni per calcoli'!$AB$3&lt;(--"14:30"),'INformazioni per calcoli'!$AB$3&gt;(--"10:00")),"",IF($B401="","",IF($X401&lt;&gt;"","Mezzo Chiuso",IF($W401="","Non al Carico",IF($G401-'INformazioni per calcoli'!$AB$5-'INformazioni per calcoli'!$AB$3+$J401&lt;0,"LFLS",IF($K401&lt;&gt;"","Safe Parking",IF($W401&lt;&gt;"",IF($E401="MXP",$G401-'INformazioni per calcoli'!$AB$6-'INformazioni per calcoli'!$AB$3+$J401,$G401-'INformazioni per calcoli'!$AB$5-'INformazioni per calcoli'!$AB$3+$J401),"Non al carico"))))))),"")</f>
        <v>Non al Carico</v>
      </c>
      <c r="I401" s="17" t="str">
        <f ca="1">IFERROR(IF($H401&lt;&gt;"",IF($H401="Safe Parking","",IF($W401&lt;&gt;"",IF(AND($U401="X",$V401="X"),$H401-(--"00:30"),""),IF($X401&lt;&gt;"","Mezzo Chiuso","Non al carico"))),""),"")</f>
        <v>Non al carico</v>
      </c>
      <c r="J401" s="306">
        <f ca="1">IFERROR(IF($B401&lt;&gt;"",IF(AND('INformazioni per calcoli'!$AB$3&lt;(--"15:00"),'INformazioni per calcoli'!$AB$3&gt;(--"00:00")),0,IF($G401&lt;(--"18:30"),"+1",0)),""),"")</f>
        <v>0</v>
      </c>
      <c r="K401" s="27"/>
      <c r="L401" s="25"/>
      <c r="M401" s="25" t="str">
        <f>IFERROR(_xlfn.XLOOKUP($Q401,'Elenco Casse'!$D:$D,'Elenco Casse'!$E:$E),"")</f>
        <v/>
      </c>
      <c r="N401" s="25" t="str">
        <f>IFERROR(_xlfn.XLOOKUP($Q401,'Elenco Casse'!$D:$D,'Elenco Casse'!$F:$F),"")</f>
        <v/>
      </c>
      <c r="O401" s="286"/>
      <c r="P401" s="295" t="str">
        <f>IFERROR(_xlfn.XLOOKUP($Q401,'Elenco Casse'!$D:$D,'Elenco Casse'!$G:$G),"")</f>
        <v/>
      </c>
      <c r="Q401" s="355"/>
      <c r="R401" s="23"/>
      <c r="S401" s="25"/>
      <c r="T401" s="25"/>
      <c r="U401" s="23" t="str">
        <f>IF(ISNUMBER(SEARCH("Parcel",$T401)),"X","")</f>
        <v/>
      </c>
      <c r="V401" s="23" t="str">
        <f>IF(ISNUMBER(SEARCH("Freight",$T401)),"X","")</f>
        <v/>
      </c>
      <c r="W401" s="26"/>
      <c r="X401" s="27"/>
      <c r="Y401" s="25"/>
      <c r="Z401" s="25"/>
      <c r="AA401" s="25"/>
      <c r="AB401" s="57"/>
      <c r="AC401" s="25"/>
      <c r="AD401" s="25"/>
      <c r="AE401" s="57"/>
      <c r="AF401" s="57"/>
      <c r="AG401" s="25"/>
      <c r="AH401" s="57"/>
      <c r="AI401" s="339"/>
      <c r="AJ401" s="339"/>
      <c r="AK401" s="297" t="str">
        <f>IF(X401&lt;&gt;"",CONCATENATE(IF(AA401&lt;&gt;"",CONCATENATE(Z401," ",AA401," ",BI401),""),IF(AD401&lt;&gt;"",CONCATENATE(","," ",AC401," ",AD401," ",BJ401),""),IF(AG401&lt;&gt;"",CONCATENATE(","," ",AF401," ",AG401," ",BK401),""),IF(AJ401&lt;&gt;"",CONCATENATE(","," ","DD"," ",BL401),"")," ",IF(AI401&lt;&gt;"",CONCATENATE(" - ",AI401," Bag"),"")),"")</f>
        <v/>
      </c>
      <c r="AL401" s="287"/>
      <c r="AM401" s="287"/>
      <c r="AN401" s="287"/>
      <c r="AO401" s="287"/>
      <c r="AP401" s="370" t="str">
        <f>IFERROR(VLOOKUP($E401,Outlist!$A$5:$V$120,20,FALSE),"")</f>
        <v/>
      </c>
      <c r="AQ401" s="288" t="str">
        <f>IFERROR(IF(VLOOKUP($A401,#REF!,8,FALSE)&lt;&gt;"",VLOOKUP($A401,#REF!,8,FALSE),""),"")</f>
        <v/>
      </c>
      <c r="AS401" s="24"/>
      <c r="AT401" s="24"/>
      <c r="AU401" s="27"/>
      <c r="AV401" s="27"/>
      <c r="AX401" s="20" t="str">
        <f>IFERROR(IF(Out_Table[[#This Row],[Cancellazione linea]]="Cancellata","yes",""),"")</f>
        <v/>
      </c>
      <c r="AY401" s="72" t="str">
        <f>IF(BA401="",BZ401,IF(AND(BA401&lt;(--"23:59:59"),BA401&gt;(--"15:00:00"),G401&lt;(--"14:00:00"),G401&gt;(--"00:00:01")),"",IF(BA401&gt;G401,BZ401,"")))</f>
        <v/>
      </c>
      <c r="AZ401" s="27"/>
      <c r="BA401" s="32"/>
      <c r="BB401" s="72"/>
      <c r="BC401" s="72" t="str">
        <f>IFERROR(VLOOKUP(Out_Table[[#This Row],[Aggiornamento STATUS]],'INformazioni per calcoli'!$Y$70:$AA$76,2,FALSE),"")</f>
        <v/>
      </c>
      <c r="BD401" s="289"/>
      <c r="BE401" s="289"/>
      <c r="BF401" s="47" t="str">
        <f>LEFT($E401,3)</f>
        <v/>
      </c>
      <c r="BG401" s="298" t="str">
        <f>IF(Out_Table[[#This Row],[Ora Uscita    (GH)]]&lt;&gt;"","x","")</f>
        <v/>
      </c>
      <c r="BH401" s="299" t="e">
        <f>VLOOKUP($O401,'INformazioni per calcoli'!$Y$20:$AA$23,3,FALSE)</f>
        <v>#N/A</v>
      </c>
      <c r="BI401" s="299" t="e">
        <f>MROUND(Out_Table[[#This Row],[Mtr. Trailer]]*AB401,0.5)</f>
        <v>#N/A</v>
      </c>
      <c r="BJ401" s="299" t="e">
        <f>MROUND(Out_Table[[#This Row],[Mtr. Trailer]]*AE401,0.5)</f>
        <v>#N/A</v>
      </c>
      <c r="BK401" s="299" t="e">
        <f>MROUND(Out_Table[[#This Row],[Mtr. Trailer]]*AH401,0.5)</f>
        <v>#N/A</v>
      </c>
      <c r="BL401" s="300">
        <f>Out_Table[[#This Row],[Double Deck trailer N° bumpers]]</f>
        <v>0</v>
      </c>
      <c r="BM401" s="301"/>
      <c r="BN401" s="299" t="str">
        <f>B401</f>
        <v>Mezzo a disposizione 16</v>
      </c>
      <c r="BO401" s="299">
        <f>E401</f>
        <v>0</v>
      </c>
      <c r="BP401" s="302">
        <f>IF(AND(G401&gt;(--"00:00:01"),G401&lt;(--"15:00:00")),IF(AND(X401&gt;(--"00:00:01"),X401&lt;(--"15:00:00")),G401-X401,G401+1-X401),G401-X401)</f>
        <v>0</v>
      </c>
      <c r="BQ401" s="303">
        <f>AE401+AF401+AH401+AJ401</f>
        <v>0</v>
      </c>
      <c r="BR401" s="304" t="str">
        <f>IF(OR(BP401&lt;=(--"00:20:00"),BQ401&gt;=100%),"OK","Not OK")</f>
        <v>OK</v>
      </c>
      <c r="BS401" s="302">
        <f>IF(AND(G401&gt;(--"00:00:01"),G401&lt;(--"15:00:00")),IF(AND(AU401&gt;(--"00:00:01"),AU401&lt;(--"15:00:00")),G401-AU401,G401+1-AU401),G401-AU401)</f>
        <v>0</v>
      </c>
      <c r="BT401" s="302">
        <f>IF(AND(AZ401&gt;(--"00:00:01"),AZ401&lt;(--"15:00:00")),IF(AND(AU401&gt;(--"00:00:01"),AU401&lt;(--"15:00:00")),AZ401-AU401,AZ401+1-AU401),AZ401-AU401)</f>
        <v>0</v>
      </c>
      <c r="BU401" s="302">
        <f>IF(AND(BA401&gt;(--"00:00:01"),BA401&lt;(--"15:00:00")),IF(AND(AZ401&gt;(--"00:00:01"),AZ401&lt;(--"15:00:00")),BA401-AZ401,BA401+1-AZ401),BA401-AZ401)</f>
        <v>0</v>
      </c>
      <c r="BV401" s="299">
        <f>AV401</f>
        <v>0</v>
      </c>
      <c r="BW401" s="301"/>
      <c r="BX401" s="299" t="str">
        <f>IF(AV401="T Status",IF(AV401&lt;&gt;T401,"X",""),"")</f>
        <v/>
      </c>
      <c r="BY401" s="301"/>
      <c r="BZ401" s="299" t="str">
        <f>IF(X401&lt;&gt;"",IF(CC401="X","Driver Delay",IF(CA401="X","Paperwork Delay",IF(CB401="X","Late freight late sort",IF(CD401="X","Chiamare Control Room",IF(CE401="X","Chiamare Control Room",IF(CF401="X","Chiamare Control Room","")))))),"")</f>
        <v/>
      </c>
      <c r="CA401" s="302" t="str">
        <f>IF(K401="",IF(IF(AND(G401&gt;(--"00:00:01"),G401&lt;(--"15:00:00")),IF(AND(AT401&gt;(--"08:00:00"),AT401&lt;(--"23:59:59")),G401+1-AT401,G401-AT401),G401-AT401)&gt;(--"00:20:00"),"","X"),"")</f>
        <v>X</v>
      </c>
      <c r="CB401" s="299" t="str">
        <f>IF(K401="",IF(BP401&gt;=(--"00:20:00"),"","X"),"")</f>
        <v>X</v>
      </c>
      <c r="CC401" s="299" t="str">
        <f>IF(OR(AV401="Autista non presente",AV401="Dati driver non presenti"),"X","")</f>
        <v/>
      </c>
      <c r="CD401" s="299" t="str">
        <f>IF(K401="",IF(AND(CC401="",BS401&lt;(--"00:20:00")),"X",""),"")</f>
        <v>X</v>
      </c>
      <c r="CE401" s="299" t="str">
        <f>IF(K401="",IF(BT401&gt;(--"00:15:00"),"X",""),IF(AZ401&lt;&gt;"",IF(G401-AZ401&gt;(--"00:30:00"),"X",""),""))</f>
        <v/>
      </c>
      <c r="CF401" s="299" t="str">
        <f>IF(AND(CA401="",CB401="",CC401="",CD401="",CE401=""),"X","")</f>
        <v/>
      </c>
      <c r="CG401" s="301"/>
      <c r="CH401" s="299" t="str">
        <f>IF(BT401&gt;(--"00:15:00"),"X","")</f>
        <v/>
      </c>
      <c r="CI401" s="302" t="str">
        <f>AY401</f>
        <v/>
      </c>
      <c r="CJ401" s="299" t="str">
        <f>IF(AND(CH401&lt;&gt;"",CI401&lt;&gt;"",LEFT(B401,3)="ITD"),AP401,"")</f>
        <v/>
      </c>
      <c r="CK401" s="305" t="str">
        <f>IF(CJ401&lt;&gt;"",BT401,"")</f>
        <v/>
      </c>
      <c r="CL401" s="301"/>
      <c r="CM401" s="305" t="str">
        <f>IFERROR(VLOOKUP(Q401,'Elenco Casse'!$D$4:$F$292,3,FALSE),"")</f>
        <v/>
      </c>
      <c r="CN401" s="301"/>
      <c r="CO401" s="305" t="str">
        <f>IFERROR(VLOOKUP(S401,'Elenco Casse'!$D$4:$F$292,3,FALSE),"")</f>
        <v/>
      </c>
      <c r="CP401" s="305" t="str">
        <f>IFERROR(IF(VLOOKUP($E401,Outlist!$A$5:$S$120,19,FALSE)&lt;&gt;0,"Y",""),"")</f>
        <v/>
      </c>
      <c r="CQ401" s="301"/>
      <c r="CR401" s="305" t="str">
        <f>CONCATENATE($B401,$E401,$G401)</f>
        <v>Mezzo a disposizione 16</v>
      </c>
      <c r="CS401" s="301"/>
      <c r="CT401" s="305" t="e">
        <f>VLOOKUP(Out_Table[[#This Row],[Destination             ORANGE (From Planning)]],Outlist!$A$5:$W$120,22,FALSE)</f>
        <v>#N/A</v>
      </c>
    </row>
    <row r="402" spans="1:98" s="20" customFormat="1" ht="30.75">
      <c r="A402" s="305" t="str">
        <f>$CR402</f>
        <v>Mezzo a disposizione 17</v>
      </c>
      <c r="B402" s="284" t="s">
        <v>1255</v>
      </c>
      <c r="C402" s="290" t="str">
        <f ca="1">IFERROR(IF(LEFT(B402,3)='STAT 77'!$X$2,_xlfn.XLOOKUP(B402,'STAT 77'!C:C,'STAT 77'!B:B),_xlfn.XLOOKUP(B402,'STAT 77'!B:B,'STAT 77'!C:C)),"NON TROVATO")</f>
        <v>NON TROVATO</v>
      </c>
      <c r="D402" s="25"/>
      <c r="E402" s="25"/>
      <c r="F402" s="290" t="str">
        <f>IFERROR(VLOOKUP(E402,'Cambio O2P'!C:E,2,FALSE),"")</f>
        <v/>
      </c>
      <c r="G402" s="285"/>
      <c r="H402" s="293" t="str">
        <f ca="1">IFERROR(IF(AND('INformazioni per calcoli'!$AB$3&lt;(--"14:30"),'INformazioni per calcoli'!$AB$3&gt;(--"10:00")),"",IF($B402="","",IF($X402&lt;&gt;"","Mezzo Chiuso",IF($W402="","Non al Carico",IF($G402-'INformazioni per calcoli'!$AB$5-'INformazioni per calcoli'!$AB$3+$J402&lt;0,"LFLS",IF($K402&lt;&gt;"","Safe Parking",IF($W402&lt;&gt;"",IF($E402="MXP",$G402-'INformazioni per calcoli'!$AB$6-'INformazioni per calcoli'!$AB$3+$J402,$G402-'INformazioni per calcoli'!$AB$5-'INformazioni per calcoli'!$AB$3+$J402),"Non al carico"))))))),"")</f>
        <v>Non al Carico</v>
      </c>
      <c r="I402" s="17" t="str">
        <f ca="1">IFERROR(IF($H402&lt;&gt;"",IF($H402="Safe Parking","",IF($W402&lt;&gt;"",IF(AND($U402="X",$V402="X"),$H402-(--"00:30"),""),IF($X402&lt;&gt;"","Mezzo Chiuso","Non al carico"))),""),"")</f>
        <v>Non al carico</v>
      </c>
      <c r="J402" s="306">
        <f ca="1">IFERROR(IF($B402&lt;&gt;"",IF(AND('INformazioni per calcoli'!$AB$3&lt;(--"15:00"),'INformazioni per calcoli'!$AB$3&gt;(--"00:00")),0,IF($G402&lt;(--"18:30"),"+1",0)),""),"")</f>
        <v>0</v>
      </c>
      <c r="K402" s="27"/>
      <c r="L402" s="25"/>
      <c r="M402" s="25" t="str">
        <f>IFERROR(_xlfn.XLOOKUP($Q402,'Elenco Casse'!$D:$D,'Elenco Casse'!$E:$E),"")</f>
        <v/>
      </c>
      <c r="N402" s="25" t="str">
        <f>IFERROR(_xlfn.XLOOKUP($Q402,'Elenco Casse'!$D:$D,'Elenco Casse'!$F:$F),"")</f>
        <v/>
      </c>
      <c r="O402" s="286"/>
      <c r="P402" s="295" t="str">
        <f>IFERROR(_xlfn.XLOOKUP($Q402,'Elenco Casse'!$D:$D,'Elenco Casse'!$G:$G),"")</f>
        <v/>
      </c>
      <c r="Q402" s="355"/>
      <c r="R402" s="23"/>
      <c r="S402" s="25"/>
      <c r="T402" s="25"/>
      <c r="U402" s="23" t="str">
        <f>IF(ISNUMBER(SEARCH("Parcel",$T402)),"X","")</f>
        <v/>
      </c>
      <c r="V402" s="23" t="str">
        <f>IF(ISNUMBER(SEARCH("Freight",$T402)),"X","")</f>
        <v/>
      </c>
      <c r="W402" s="26"/>
      <c r="X402" s="27"/>
      <c r="Y402" s="25"/>
      <c r="Z402" s="25"/>
      <c r="AA402" s="25"/>
      <c r="AB402" s="57"/>
      <c r="AC402" s="25"/>
      <c r="AD402" s="25"/>
      <c r="AE402" s="57"/>
      <c r="AF402" s="57"/>
      <c r="AG402" s="25"/>
      <c r="AH402" s="57"/>
      <c r="AI402" s="339"/>
      <c r="AJ402" s="339"/>
      <c r="AK402" s="297" t="str">
        <f>IF(X402&lt;&gt;"",CONCATENATE(IF(AA402&lt;&gt;"",CONCATENATE(Z402," ",AA402," ",BI402),""),IF(AD402&lt;&gt;"",CONCATENATE(","," ",AC402," ",AD402," ",BJ402),""),IF(AG402&lt;&gt;"",CONCATENATE(","," ",AF402," ",AG402," ",BK402),""),IF(AJ402&lt;&gt;"",CONCATENATE(","," ","DD"," ",BL402),"")," ",IF(AI402&lt;&gt;"",CONCATENATE(" - ",AI402," Bag"),"")),"")</f>
        <v/>
      </c>
      <c r="AL402" s="287"/>
      <c r="AM402" s="287"/>
      <c r="AN402" s="287"/>
      <c r="AO402" s="287"/>
      <c r="AP402" s="370" t="str">
        <f>IFERROR(VLOOKUP($E402,Outlist!$A$5:$V$120,20,FALSE),"")</f>
        <v/>
      </c>
      <c r="AQ402" s="288" t="str">
        <f>IFERROR(IF(VLOOKUP($A402,#REF!,8,FALSE)&lt;&gt;"",VLOOKUP($A402,#REF!,8,FALSE),""),"")</f>
        <v/>
      </c>
      <c r="AS402" s="24"/>
      <c r="AT402" s="24"/>
      <c r="AU402" s="27"/>
      <c r="AV402" s="27"/>
      <c r="AX402" s="20" t="str">
        <f>IFERROR(IF(Out_Table[[#This Row],[Cancellazione linea]]="Cancellata","yes",""),"")</f>
        <v/>
      </c>
      <c r="AY402" s="72" t="str">
        <f>IF(BA402="",BZ402,IF(AND(BA402&lt;(--"23:59:59"),BA402&gt;(--"15:00:00"),G402&lt;(--"14:00:00"),G402&gt;(--"00:00:01")),"",IF(BA402&gt;G402,BZ402,"")))</f>
        <v/>
      </c>
      <c r="AZ402" s="27"/>
      <c r="BA402" s="32"/>
      <c r="BB402" s="72"/>
      <c r="BC402" s="72" t="str">
        <f>IFERROR(VLOOKUP(Out_Table[[#This Row],[Aggiornamento STATUS]],'INformazioni per calcoli'!$Y$70:$AA$76,2,FALSE),"")</f>
        <v/>
      </c>
      <c r="BD402" s="289"/>
      <c r="BE402" s="289"/>
      <c r="BF402" s="47" t="str">
        <f>LEFT($E402,3)</f>
        <v/>
      </c>
      <c r="BG402" s="298" t="str">
        <f>IF(Out_Table[[#This Row],[Ora Uscita    (GH)]]&lt;&gt;"","x","")</f>
        <v/>
      </c>
      <c r="BH402" s="299" t="e">
        <f>VLOOKUP($O402,'INformazioni per calcoli'!$Y$20:$AA$23,3,FALSE)</f>
        <v>#N/A</v>
      </c>
      <c r="BI402" s="299" t="e">
        <f>MROUND(Out_Table[[#This Row],[Mtr. Trailer]]*AB402,0.5)</f>
        <v>#N/A</v>
      </c>
      <c r="BJ402" s="299" t="e">
        <f>MROUND(Out_Table[[#This Row],[Mtr. Trailer]]*AE402,0.5)</f>
        <v>#N/A</v>
      </c>
      <c r="BK402" s="299" t="e">
        <f>MROUND(Out_Table[[#This Row],[Mtr. Trailer]]*AH402,0.5)</f>
        <v>#N/A</v>
      </c>
      <c r="BL402" s="300">
        <f>Out_Table[[#This Row],[Double Deck trailer N° bumpers]]</f>
        <v>0</v>
      </c>
      <c r="BM402" s="301"/>
      <c r="BN402" s="299" t="str">
        <f>B402</f>
        <v>Mezzo a disposizione 17</v>
      </c>
      <c r="BO402" s="299">
        <f>E402</f>
        <v>0</v>
      </c>
      <c r="BP402" s="302">
        <f>IF(AND(G402&gt;(--"00:00:01"),G402&lt;(--"15:00:00")),IF(AND(X402&gt;(--"00:00:01"),X402&lt;(--"15:00:00")),G402-X402,G402+1-X402),G402-X402)</f>
        <v>0</v>
      </c>
      <c r="BQ402" s="303">
        <f>AE402+AF402+AH402+AJ402</f>
        <v>0</v>
      </c>
      <c r="BR402" s="304" t="str">
        <f>IF(OR(BP402&lt;=(--"00:20:00"),BQ402&gt;=100%),"OK","Not OK")</f>
        <v>OK</v>
      </c>
      <c r="BS402" s="302">
        <f>IF(AND(G402&gt;(--"00:00:01"),G402&lt;(--"15:00:00")),IF(AND(AU402&gt;(--"00:00:01"),AU402&lt;(--"15:00:00")),G402-AU402,G402+1-AU402),G402-AU402)</f>
        <v>0</v>
      </c>
      <c r="BT402" s="302">
        <f>IF(AND(AZ402&gt;(--"00:00:01"),AZ402&lt;(--"15:00:00")),IF(AND(AU402&gt;(--"00:00:01"),AU402&lt;(--"15:00:00")),AZ402-AU402,AZ402+1-AU402),AZ402-AU402)</f>
        <v>0</v>
      </c>
      <c r="BU402" s="302">
        <f>IF(AND(BA402&gt;(--"00:00:01"),BA402&lt;(--"15:00:00")),IF(AND(AZ402&gt;(--"00:00:01"),AZ402&lt;(--"15:00:00")),BA402-AZ402,BA402+1-AZ402),BA402-AZ402)</f>
        <v>0</v>
      </c>
      <c r="BV402" s="299">
        <f>AV402</f>
        <v>0</v>
      </c>
      <c r="BW402" s="301"/>
      <c r="BX402" s="299" t="str">
        <f>IF(AV402="T Status",IF(AV402&lt;&gt;T402,"X",""),"")</f>
        <v/>
      </c>
      <c r="BY402" s="301"/>
      <c r="BZ402" s="299" t="str">
        <f>IF(X402&lt;&gt;"",IF(CC402="X","Driver Delay",IF(CA402="X","Paperwork Delay",IF(CB402="X","Late freight late sort",IF(CD402="X","Chiamare Control Room",IF(CE402="X","Chiamare Control Room",IF(CF402="X","Chiamare Control Room","")))))),"")</f>
        <v/>
      </c>
      <c r="CA402" s="302" t="str">
        <f>IF(K402="",IF(IF(AND(G402&gt;(--"00:00:01"),G402&lt;(--"15:00:00")),IF(AND(AT402&gt;(--"08:00:00"),AT402&lt;(--"23:59:59")),G402+1-AT402,G402-AT402),G402-AT402)&gt;(--"00:20:00"),"","X"),"")</f>
        <v>X</v>
      </c>
      <c r="CB402" s="299" t="str">
        <f>IF(K402="",IF(BP402&gt;=(--"00:20:00"),"","X"),"")</f>
        <v>X</v>
      </c>
      <c r="CC402" s="299" t="str">
        <f>IF(OR(AV402="Autista non presente",AV402="Dati driver non presenti"),"X","")</f>
        <v/>
      </c>
      <c r="CD402" s="299" t="str">
        <f>IF(K402="",IF(AND(CC402="",BS402&lt;(--"00:20:00")),"X",""),"")</f>
        <v>X</v>
      </c>
      <c r="CE402" s="299" t="str">
        <f>IF(K402="",IF(BT402&gt;(--"00:15:00"),"X",""),IF(AZ402&lt;&gt;"",IF(G402-AZ402&gt;(--"00:30:00"),"X",""),""))</f>
        <v/>
      </c>
      <c r="CF402" s="299" t="str">
        <f>IF(AND(CA402="",CB402="",CC402="",CD402="",CE402=""),"X","")</f>
        <v/>
      </c>
      <c r="CG402" s="301"/>
      <c r="CH402" s="299" t="str">
        <f>IF(BT402&gt;(--"00:15:00"),"X","")</f>
        <v/>
      </c>
      <c r="CI402" s="302" t="str">
        <f>AY402</f>
        <v/>
      </c>
      <c r="CJ402" s="299" t="str">
        <f>IF(AND(CH402&lt;&gt;"",CI402&lt;&gt;"",LEFT(B402,3)="ITD"),AP402,"")</f>
        <v/>
      </c>
      <c r="CK402" s="305" t="str">
        <f>IF(CJ402&lt;&gt;"",BT402,"")</f>
        <v/>
      </c>
      <c r="CL402" s="301"/>
      <c r="CM402" s="305" t="str">
        <f>IFERROR(VLOOKUP(Q402,'Elenco Casse'!$D$4:$F$292,3,FALSE),"")</f>
        <v/>
      </c>
      <c r="CN402" s="301"/>
      <c r="CO402" s="305" t="str">
        <f>IFERROR(VLOOKUP(S402,'Elenco Casse'!$D$4:$F$292,3,FALSE),"")</f>
        <v/>
      </c>
      <c r="CP402" s="305" t="str">
        <f>IFERROR(IF(VLOOKUP($E402,Outlist!$A$5:$S$120,19,FALSE)&lt;&gt;0,"Y",""),"")</f>
        <v/>
      </c>
      <c r="CQ402" s="301"/>
      <c r="CR402" s="305" t="str">
        <f>CONCATENATE($B402,$E402,$G402)</f>
        <v>Mezzo a disposizione 17</v>
      </c>
      <c r="CS402" s="301"/>
      <c r="CT402" s="305" t="e">
        <f>VLOOKUP(Out_Table[[#This Row],[Destination             ORANGE (From Planning)]],Outlist!$A$5:$W$120,22,FALSE)</f>
        <v>#N/A</v>
      </c>
    </row>
    <row r="403" spans="1:98" s="20" customFormat="1" ht="30.75">
      <c r="A403" s="305" t="str">
        <f>$CR403</f>
        <v>Mezzo a disposizione 18</v>
      </c>
      <c r="B403" s="284" t="s">
        <v>1256</v>
      </c>
      <c r="C403" s="290" t="str">
        <f ca="1">IFERROR(IF(LEFT(B403,3)='STAT 77'!$X$2,_xlfn.XLOOKUP(B403,'STAT 77'!C:C,'STAT 77'!B:B),_xlfn.XLOOKUP(B403,'STAT 77'!B:B,'STAT 77'!C:C)),"NON TROVATO")</f>
        <v>NON TROVATO</v>
      </c>
      <c r="D403" s="25"/>
      <c r="E403" s="25"/>
      <c r="F403" s="290" t="str">
        <f>IFERROR(VLOOKUP(E403,'Cambio O2P'!C:E,2,FALSE),"")</f>
        <v/>
      </c>
      <c r="G403" s="285"/>
      <c r="H403" s="293" t="str">
        <f ca="1">IFERROR(IF(AND('INformazioni per calcoli'!$AB$3&lt;(--"14:30"),'INformazioni per calcoli'!$AB$3&gt;(--"10:00")),"",IF($B403="","",IF($X403&lt;&gt;"","Mezzo Chiuso",IF($W403="","Non al Carico",IF($G403-'INformazioni per calcoli'!$AB$5-'INformazioni per calcoli'!$AB$3+$J403&lt;0,"LFLS",IF($K403&lt;&gt;"","Safe Parking",IF($W403&lt;&gt;"",IF($E403="MXP",$G403-'INformazioni per calcoli'!$AB$6-'INformazioni per calcoli'!$AB$3+$J403,$G403-'INformazioni per calcoli'!$AB$5-'INformazioni per calcoli'!$AB$3+$J403),"Non al carico"))))))),"")</f>
        <v>Non al Carico</v>
      </c>
      <c r="I403" s="17" t="str">
        <f ca="1">IFERROR(IF($H403&lt;&gt;"",IF($H403="Safe Parking","",IF($W403&lt;&gt;"",IF(AND($U403="X",$V403="X"),$H403-(--"00:30"),""),IF($X403&lt;&gt;"","Mezzo Chiuso","Non al carico"))),""),"")</f>
        <v>Non al carico</v>
      </c>
      <c r="J403" s="306">
        <f ca="1">IFERROR(IF($B403&lt;&gt;"",IF(AND('INformazioni per calcoli'!$AB$3&lt;(--"15:00"),'INformazioni per calcoli'!$AB$3&gt;(--"00:00")),0,IF($G403&lt;(--"18:30"),"+1",0)),""),"")</f>
        <v>0</v>
      </c>
      <c r="K403" s="27"/>
      <c r="L403" s="25"/>
      <c r="M403" s="25" t="str">
        <f>IFERROR(_xlfn.XLOOKUP($Q403,'Elenco Casse'!$D:$D,'Elenco Casse'!$E:$E),"")</f>
        <v/>
      </c>
      <c r="N403" s="25" t="str">
        <f>IFERROR(_xlfn.XLOOKUP($Q403,'Elenco Casse'!$D:$D,'Elenco Casse'!$F:$F),"")</f>
        <v/>
      </c>
      <c r="O403" s="286"/>
      <c r="P403" s="295" t="str">
        <f>IFERROR(_xlfn.XLOOKUP($Q403,'Elenco Casse'!$D:$D,'Elenco Casse'!$G:$G),"")</f>
        <v/>
      </c>
      <c r="Q403" s="355"/>
      <c r="R403" s="23"/>
      <c r="S403" s="25"/>
      <c r="T403" s="25"/>
      <c r="U403" s="23" t="str">
        <f>IF(ISNUMBER(SEARCH("Parcel",$T403)),"X","")</f>
        <v/>
      </c>
      <c r="V403" s="23" t="str">
        <f>IF(ISNUMBER(SEARCH("Freight",$T403)),"X","")</f>
        <v/>
      </c>
      <c r="W403" s="26"/>
      <c r="X403" s="27"/>
      <c r="Y403" s="25"/>
      <c r="Z403" s="25"/>
      <c r="AA403" s="25"/>
      <c r="AB403" s="57"/>
      <c r="AC403" s="25"/>
      <c r="AD403" s="25"/>
      <c r="AE403" s="57"/>
      <c r="AF403" s="57"/>
      <c r="AG403" s="25"/>
      <c r="AH403" s="57"/>
      <c r="AI403" s="339"/>
      <c r="AJ403" s="339"/>
      <c r="AK403" s="297" t="str">
        <f>IF(X403&lt;&gt;"",CONCATENATE(IF(AA403&lt;&gt;"",CONCATENATE(Z403," ",AA403," ",BI403),""),IF(AD403&lt;&gt;"",CONCATENATE(","," ",AC403," ",AD403," ",BJ403),""),IF(AG403&lt;&gt;"",CONCATENATE(","," ",AF403," ",AG403," ",BK403),""),IF(AJ403&lt;&gt;"",CONCATENATE(","," ","DD"," ",BL403),"")," ",IF(AI403&lt;&gt;"",CONCATENATE(" - ",AI403," Bag"),"")),"")</f>
        <v/>
      </c>
      <c r="AL403" s="287"/>
      <c r="AM403" s="287"/>
      <c r="AN403" s="287"/>
      <c r="AO403" s="287"/>
      <c r="AP403" s="370" t="str">
        <f>IFERROR(VLOOKUP($E403,Outlist!$A$5:$V$120,20,FALSE),"")</f>
        <v/>
      </c>
      <c r="AQ403" s="288" t="str">
        <f>IFERROR(IF(VLOOKUP($A403,#REF!,8,FALSE)&lt;&gt;"",VLOOKUP($A403,#REF!,8,FALSE),""),"")</f>
        <v/>
      </c>
      <c r="AS403" s="24"/>
      <c r="AT403" s="24"/>
      <c r="AU403" s="27"/>
      <c r="AV403" s="27"/>
      <c r="AX403" s="20" t="str">
        <f>IFERROR(IF(Out_Table[[#This Row],[Cancellazione linea]]="Cancellata","yes",""),"")</f>
        <v/>
      </c>
      <c r="AY403" s="72" t="str">
        <f>IF(BA403="",BZ403,IF(AND(BA403&lt;(--"23:59:59"),BA403&gt;(--"15:00:00"),G403&lt;(--"14:00:00"),G403&gt;(--"00:00:01")),"",IF(BA403&gt;G403,BZ403,"")))</f>
        <v/>
      </c>
      <c r="AZ403" s="27"/>
      <c r="BA403" s="32"/>
      <c r="BB403" s="72"/>
      <c r="BC403" s="72" t="str">
        <f>IFERROR(VLOOKUP(Out_Table[[#This Row],[Aggiornamento STATUS]],'INformazioni per calcoli'!$Y$70:$AA$76,2,FALSE),"")</f>
        <v/>
      </c>
      <c r="BD403" s="289"/>
      <c r="BE403" s="289"/>
      <c r="BF403" s="47" t="str">
        <f>LEFT($E403,3)</f>
        <v/>
      </c>
      <c r="BG403" s="298" t="str">
        <f>IF(Out_Table[[#This Row],[Ora Uscita    (GH)]]&lt;&gt;"","x","")</f>
        <v/>
      </c>
      <c r="BH403" s="299" t="e">
        <f>VLOOKUP($O403,'INformazioni per calcoli'!$Y$20:$AA$23,3,FALSE)</f>
        <v>#N/A</v>
      </c>
      <c r="BI403" s="299" t="e">
        <f>MROUND(Out_Table[[#This Row],[Mtr. Trailer]]*AB403,0.5)</f>
        <v>#N/A</v>
      </c>
      <c r="BJ403" s="299" t="e">
        <f>MROUND(Out_Table[[#This Row],[Mtr. Trailer]]*AE403,0.5)</f>
        <v>#N/A</v>
      </c>
      <c r="BK403" s="299" t="e">
        <f>MROUND(Out_Table[[#This Row],[Mtr. Trailer]]*AH403,0.5)</f>
        <v>#N/A</v>
      </c>
      <c r="BL403" s="300">
        <f>Out_Table[[#This Row],[Double Deck trailer N° bumpers]]</f>
        <v>0</v>
      </c>
      <c r="BM403" s="301"/>
      <c r="BN403" s="299" t="str">
        <f>B403</f>
        <v>Mezzo a disposizione 18</v>
      </c>
      <c r="BO403" s="299">
        <f>E403</f>
        <v>0</v>
      </c>
      <c r="BP403" s="302">
        <f>IF(AND(G403&gt;(--"00:00:01"),G403&lt;(--"15:00:00")),IF(AND(X403&gt;(--"00:00:01"),X403&lt;(--"15:00:00")),G403-X403,G403+1-X403),G403-X403)</f>
        <v>0</v>
      </c>
      <c r="BQ403" s="303">
        <f>AE403+AF403+AH403+AJ403</f>
        <v>0</v>
      </c>
      <c r="BR403" s="304" t="str">
        <f>IF(OR(BP403&lt;=(--"00:20:00"),BQ403&gt;=100%),"OK","Not OK")</f>
        <v>OK</v>
      </c>
      <c r="BS403" s="302">
        <f>IF(AND(G403&gt;(--"00:00:01"),G403&lt;(--"15:00:00")),IF(AND(AU403&gt;(--"00:00:01"),AU403&lt;(--"15:00:00")),G403-AU403,G403+1-AU403),G403-AU403)</f>
        <v>0</v>
      </c>
      <c r="BT403" s="302">
        <f>IF(AND(AZ403&gt;(--"00:00:01"),AZ403&lt;(--"15:00:00")),IF(AND(AU403&gt;(--"00:00:01"),AU403&lt;(--"15:00:00")),AZ403-AU403,AZ403+1-AU403),AZ403-AU403)</f>
        <v>0</v>
      </c>
      <c r="BU403" s="302">
        <f>IF(AND(BA403&gt;(--"00:00:01"),BA403&lt;(--"15:00:00")),IF(AND(AZ403&gt;(--"00:00:01"),AZ403&lt;(--"15:00:00")),BA403-AZ403,BA403+1-AZ403),BA403-AZ403)</f>
        <v>0</v>
      </c>
      <c r="BV403" s="299">
        <f>AV403</f>
        <v>0</v>
      </c>
      <c r="BW403" s="301"/>
      <c r="BX403" s="299" t="str">
        <f>IF(AV403="T Status",IF(AV403&lt;&gt;T403,"X",""),"")</f>
        <v/>
      </c>
      <c r="BY403" s="301"/>
      <c r="BZ403" s="299" t="str">
        <f>IF(X403&lt;&gt;"",IF(CC403="X","Driver Delay",IF(CA403="X","Paperwork Delay",IF(CB403="X","Late freight late sort",IF(CD403="X","Chiamare Control Room",IF(CE403="X","Chiamare Control Room",IF(CF403="X","Chiamare Control Room","")))))),"")</f>
        <v/>
      </c>
      <c r="CA403" s="302" t="str">
        <f>IF(K403="",IF(IF(AND(G403&gt;(--"00:00:01"),G403&lt;(--"15:00:00")),IF(AND(AT403&gt;(--"08:00:00"),AT403&lt;(--"23:59:59")),G403+1-AT403,G403-AT403),G403-AT403)&gt;(--"00:20:00"),"","X"),"")</f>
        <v>X</v>
      </c>
      <c r="CB403" s="299" t="str">
        <f>IF(K403="",IF(BP403&gt;=(--"00:20:00"),"","X"),"")</f>
        <v>X</v>
      </c>
      <c r="CC403" s="299" t="str">
        <f>IF(OR(AV403="Autista non presente",AV403="Dati driver non presenti"),"X","")</f>
        <v/>
      </c>
      <c r="CD403" s="299" t="str">
        <f>IF(K403="",IF(AND(CC403="",BS403&lt;(--"00:20:00")),"X",""),"")</f>
        <v>X</v>
      </c>
      <c r="CE403" s="299" t="str">
        <f>IF(K403="",IF(BT403&gt;(--"00:15:00"),"X",""),IF(AZ403&lt;&gt;"",IF(G403-AZ403&gt;(--"00:30:00"),"X",""),""))</f>
        <v/>
      </c>
      <c r="CF403" s="299" t="str">
        <f>IF(AND(CA403="",CB403="",CC403="",CD403="",CE403=""),"X","")</f>
        <v/>
      </c>
      <c r="CG403" s="301"/>
      <c r="CH403" s="299" t="str">
        <f>IF(BT403&gt;(--"00:15:00"),"X","")</f>
        <v/>
      </c>
      <c r="CI403" s="302" t="str">
        <f>AY403</f>
        <v/>
      </c>
      <c r="CJ403" s="299" t="str">
        <f>IF(AND(CH403&lt;&gt;"",CI403&lt;&gt;"",LEFT(B403,3)="ITD"),AP403,"")</f>
        <v/>
      </c>
      <c r="CK403" s="305" t="str">
        <f>IF(CJ403&lt;&gt;"",BT403,"")</f>
        <v/>
      </c>
      <c r="CL403" s="301"/>
      <c r="CM403" s="305" t="str">
        <f>IFERROR(VLOOKUP(Q403,'Elenco Casse'!$D$4:$F$292,3,FALSE),"")</f>
        <v/>
      </c>
      <c r="CN403" s="301"/>
      <c r="CO403" s="305" t="str">
        <f>IFERROR(VLOOKUP(S403,'Elenco Casse'!$D$4:$F$292,3,FALSE),"")</f>
        <v/>
      </c>
      <c r="CP403" s="305" t="str">
        <f>IFERROR(IF(VLOOKUP($E403,Outlist!$A$5:$S$120,19,FALSE)&lt;&gt;0,"Y",""),"")</f>
        <v/>
      </c>
      <c r="CQ403" s="301"/>
      <c r="CR403" s="305" t="str">
        <f>CONCATENATE($B403,$E403,$G403)</f>
        <v>Mezzo a disposizione 18</v>
      </c>
      <c r="CS403" s="301"/>
      <c r="CT403" s="305" t="e">
        <f>VLOOKUP(Out_Table[[#This Row],[Destination             ORANGE (From Planning)]],Outlist!$A$5:$W$120,22,FALSE)</f>
        <v>#N/A</v>
      </c>
    </row>
    <row r="404" spans="1:98" s="20" customFormat="1" ht="30.75">
      <c r="A404" s="305" t="str">
        <f>$CR404</f>
        <v>Mezzo a disposizione 19</v>
      </c>
      <c r="B404" s="284" t="s">
        <v>1257</v>
      </c>
      <c r="C404" s="290" t="str">
        <f ca="1">IFERROR(IF(LEFT(B404,3)='STAT 77'!$X$2,_xlfn.XLOOKUP(B404,'STAT 77'!C:C,'STAT 77'!B:B),_xlfn.XLOOKUP(B404,'STAT 77'!B:B,'STAT 77'!C:C)),"NON TROVATO")</f>
        <v>NON TROVATO</v>
      </c>
      <c r="D404" s="25"/>
      <c r="E404" s="25"/>
      <c r="F404" s="290" t="str">
        <f>IFERROR(VLOOKUP(E404,'Cambio O2P'!C:E,2,FALSE),"")</f>
        <v/>
      </c>
      <c r="G404" s="285"/>
      <c r="H404" s="293" t="str">
        <f ca="1">IFERROR(IF(AND('INformazioni per calcoli'!$AB$3&lt;(--"14:30"),'INformazioni per calcoli'!$AB$3&gt;(--"10:00")),"",IF($B404="","",IF($X404&lt;&gt;"","Mezzo Chiuso",IF($W404="","Non al Carico",IF($G404-'INformazioni per calcoli'!$AB$5-'INformazioni per calcoli'!$AB$3+$J404&lt;0,"LFLS",IF($K404&lt;&gt;"","Safe Parking",IF($W404&lt;&gt;"",IF($E404="MXP",$G404-'INformazioni per calcoli'!$AB$6-'INformazioni per calcoli'!$AB$3+$J404,$G404-'INformazioni per calcoli'!$AB$5-'INformazioni per calcoli'!$AB$3+$J404),"Non al carico"))))))),"")</f>
        <v>Non al Carico</v>
      </c>
      <c r="I404" s="17" t="str">
        <f ca="1">IFERROR(IF($H404&lt;&gt;"",IF($H404="Safe Parking","",IF($W404&lt;&gt;"",IF(AND($U404="X",$V404="X"),$H404-(--"00:30"),""),IF($X404&lt;&gt;"","Mezzo Chiuso","Non al carico"))),""),"")</f>
        <v>Non al carico</v>
      </c>
      <c r="J404" s="306">
        <f ca="1">IFERROR(IF($B404&lt;&gt;"",IF(AND('INformazioni per calcoli'!$AB$3&lt;(--"15:00"),'INformazioni per calcoli'!$AB$3&gt;(--"00:00")),0,IF($G404&lt;(--"18:30"),"+1",0)),""),"")</f>
        <v>0</v>
      </c>
      <c r="K404" s="27"/>
      <c r="L404" s="25"/>
      <c r="M404" s="25" t="str">
        <f>IFERROR(_xlfn.XLOOKUP($Q404,'Elenco Casse'!$D:$D,'Elenco Casse'!$E:$E),"")</f>
        <v/>
      </c>
      <c r="N404" s="25" t="str">
        <f>IFERROR(_xlfn.XLOOKUP($Q404,'Elenco Casse'!$D:$D,'Elenco Casse'!$F:$F),"")</f>
        <v/>
      </c>
      <c r="O404" s="286"/>
      <c r="P404" s="295" t="str">
        <f>IFERROR(_xlfn.XLOOKUP($Q404,'Elenco Casse'!$D:$D,'Elenco Casse'!$G:$G),"")</f>
        <v/>
      </c>
      <c r="Q404" s="355"/>
      <c r="R404" s="23"/>
      <c r="S404" s="25"/>
      <c r="T404" s="25"/>
      <c r="U404" s="23" t="str">
        <f>IF(ISNUMBER(SEARCH("Parcel",$T404)),"X","")</f>
        <v/>
      </c>
      <c r="V404" s="23" t="str">
        <f>IF(ISNUMBER(SEARCH("Freight",$T404)),"X","")</f>
        <v/>
      </c>
      <c r="W404" s="26"/>
      <c r="X404" s="27"/>
      <c r="Y404" s="25"/>
      <c r="Z404" s="25"/>
      <c r="AA404" s="25"/>
      <c r="AB404" s="57"/>
      <c r="AC404" s="25"/>
      <c r="AD404" s="25"/>
      <c r="AE404" s="57"/>
      <c r="AF404" s="57"/>
      <c r="AG404" s="25"/>
      <c r="AH404" s="57"/>
      <c r="AI404" s="339"/>
      <c r="AJ404" s="339"/>
      <c r="AK404" s="297" t="str">
        <f>IF(X404&lt;&gt;"",CONCATENATE(IF(AA404&lt;&gt;"",CONCATENATE(Z404," ",AA404," ",BI404),""),IF(AD404&lt;&gt;"",CONCATENATE(","," ",AC404," ",AD404," ",BJ404),""),IF(AG404&lt;&gt;"",CONCATENATE(","," ",AF404," ",AG404," ",BK404),""),IF(AJ404&lt;&gt;"",CONCATENATE(","," ","DD"," ",BL404),"")," ",IF(AI404&lt;&gt;"",CONCATENATE(" - ",AI404," Bag"),"")),"")</f>
        <v/>
      </c>
      <c r="AL404" s="287"/>
      <c r="AM404" s="287"/>
      <c r="AN404" s="287"/>
      <c r="AO404" s="287"/>
      <c r="AP404" s="370" t="str">
        <f>IFERROR(VLOOKUP($E404,Outlist!$A$5:$V$120,20,FALSE),"")</f>
        <v/>
      </c>
      <c r="AQ404" s="288" t="str">
        <f>IFERROR(IF(VLOOKUP($A404,#REF!,8,FALSE)&lt;&gt;"",VLOOKUP($A404,#REF!,8,FALSE),""),"")</f>
        <v/>
      </c>
      <c r="AS404" s="24"/>
      <c r="AT404" s="24"/>
      <c r="AU404" s="27"/>
      <c r="AV404" s="27"/>
      <c r="AX404" s="20" t="str">
        <f>IFERROR(IF(Out_Table[[#This Row],[Cancellazione linea]]="Cancellata","yes",""),"")</f>
        <v/>
      </c>
      <c r="AY404" s="72" t="str">
        <f>IF(BA404="",BZ404,IF(AND(BA404&lt;(--"23:59:59"),BA404&gt;(--"15:00:00"),G404&lt;(--"14:00:00"),G404&gt;(--"00:00:01")),"",IF(BA404&gt;G404,BZ404,"")))</f>
        <v/>
      </c>
      <c r="AZ404" s="27"/>
      <c r="BA404" s="32"/>
      <c r="BB404" s="72"/>
      <c r="BC404" s="72" t="str">
        <f>IFERROR(VLOOKUP(Out_Table[[#This Row],[Aggiornamento STATUS]],'INformazioni per calcoli'!$Y$70:$AA$76,2,FALSE),"")</f>
        <v/>
      </c>
      <c r="BD404" s="289"/>
      <c r="BE404" s="289"/>
      <c r="BF404" s="47" t="str">
        <f>LEFT($E404,3)</f>
        <v/>
      </c>
      <c r="BG404" s="298" t="str">
        <f>IF(Out_Table[[#This Row],[Ora Uscita    (GH)]]&lt;&gt;"","x","")</f>
        <v/>
      </c>
      <c r="BH404" s="299" t="e">
        <f>VLOOKUP($O404,'INformazioni per calcoli'!$Y$20:$AA$23,3,FALSE)</f>
        <v>#N/A</v>
      </c>
      <c r="BI404" s="299" t="e">
        <f>MROUND(Out_Table[[#This Row],[Mtr. Trailer]]*AB404,0.5)</f>
        <v>#N/A</v>
      </c>
      <c r="BJ404" s="299" t="e">
        <f>MROUND(Out_Table[[#This Row],[Mtr. Trailer]]*AE404,0.5)</f>
        <v>#N/A</v>
      </c>
      <c r="BK404" s="299" t="e">
        <f>MROUND(Out_Table[[#This Row],[Mtr. Trailer]]*AH404,0.5)</f>
        <v>#N/A</v>
      </c>
      <c r="BL404" s="300">
        <f>Out_Table[[#This Row],[Double Deck trailer N° bumpers]]</f>
        <v>0</v>
      </c>
      <c r="BM404" s="301"/>
      <c r="BN404" s="299" t="str">
        <f>B404</f>
        <v>Mezzo a disposizione 19</v>
      </c>
      <c r="BO404" s="299">
        <f>E404</f>
        <v>0</v>
      </c>
      <c r="BP404" s="302">
        <f>IF(AND(G404&gt;(--"00:00:01"),G404&lt;(--"15:00:00")),IF(AND(X404&gt;(--"00:00:01"),X404&lt;(--"15:00:00")),G404-X404,G404+1-X404),G404-X404)</f>
        <v>0</v>
      </c>
      <c r="BQ404" s="303">
        <f>AE404+AF404+AH404+AJ404</f>
        <v>0</v>
      </c>
      <c r="BR404" s="304" t="str">
        <f>IF(OR(BP404&lt;=(--"00:20:00"),BQ404&gt;=100%),"OK","Not OK")</f>
        <v>OK</v>
      </c>
      <c r="BS404" s="302">
        <f>IF(AND(G404&gt;(--"00:00:01"),G404&lt;(--"15:00:00")),IF(AND(AU404&gt;(--"00:00:01"),AU404&lt;(--"15:00:00")),G404-AU404,G404+1-AU404),G404-AU404)</f>
        <v>0</v>
      </c>
      <c r="BT404" s="302">
        <f>IF(AND(AZ404&gt;(--"00:00:01"),AZ404&lt;(--"15:00:00")),IF(AND(AU404&gt;(--"00:00:01"),AU404&lt;(--"15:00:00")),AZ404-AU404,AZ404+1-AU404),AZ404-AU404)</f>
        <v>0</v>
      </c>
      <c r="BU404" s="302">
        <f>IF(AND(BA404&gt;(--"00:00:01"),BA404&lt;(--"15:00:00")),IF(AND(AZ404&gt;(--"00:00:01"),AZ404&lt;(--"15:00:00")),BA404-AZ404,BA404+1-AZ404),BA404-AZ404)</f>
        <v>0</v>
      </c>
      <c r="BV404" s="299">
        <f>AV404</f>
        <v>0</v>
      </c>
      <c r="BW404" s="301"/>
      <c r="BX404" s="299" t="str">
        <f>IF(AV404="T Status",IF(AV404&lt;&gt;T404,"X",""),"")</f>
        <v/>
      </c>
      <c r="BY404" s="301"/>
      <c r="BZ404" s="299" t="str">
        <f>IF(X404&lt;&gt;"",IF(CC404="X","Driver Delay",IF(CA404="X","Paperwork Delay",IF(CB404="X","Late freight late sort",IF(CD404="X","Chiamare Control Room",IF(CE404="X","Chiamare Control Room",IF(CF404="X","Chiamare Control Room","")))))),"")</f>
        <v/>
      </c>
      <c r="CA404" s="302" t="str">
        <f>IF(K404="",IF(IF(AND(G404&gt;(--"00:00:01"),G404&lt;(--"15:00:00")),IF(AND(AT404&gt;(--"08:00:00"),AT404&lt;(--"23:59:59")),G404+1-AT404,G404-AT404),G404-AT404)&gt;(--"00:20:00"),"","X"),"")</f>
        <v>X</v>
      </c>
      <c r="CB404" s="299" t="str">
        <f>IF(K404="",IF(BP404&gt;=(--"00:20:00"),"","X"),"")</f>
        <v>X</v>
      </c>
      <c r="CC404" s="299" t="str">
        <f>IF(OR(AV404="Autista non presente",AV404="Dati driver non presenti"),"X","")</f>
        <v/>
      </c>
      <c r="CD404" s="299" t="str">
        <f>IF(K404="",IF(AND(CC404="",BS404&lt;(--"00:20:00")),"X",""),"")</f>
        <v>X</v>
      </c>
      <c r="CE404" s="299" t="str">
        <f>IF(K404="",IF(BT404&gt;(--"00:15:00"),"X",""),IF(AZ404&lt;&gt;"",IF(G404-AZ404&gt;(--"00:30:00"),"X",""),""))</f>
        <v/>
      </c>
      <c r="CF404" s="299" t="str">
        <f>IF(AND(CA404="",CB404="",CC404="",CD404="",CE404=""),"X","")</f>
        <v/>
      </c>
      <c r="CG404" s="301"/>
      <c r="CH404" s="299" t="str">
        <f>IF(BT404&gt;(--"00:15:00"),"X","")</f>
        <v/>
      </c>
      <c r="CI404" s="302" t="str">
        <f>AY404</f>
        <v/>
      </c>
      <c r="CJ404" s="299" t="str">
        <f>IF(AND(CH404&lt;&gt;"",CI404&lt;&gt;"",LEFT(B404,3)="ITD"),AP404,"")</f>
        <v/>
      </c>
      <c r="CK404" s="305" t="str">
        <f>IF(CJ404&lt;&gt;"",BT404,"")</f>
        <v/>
      </c>
      <c r="CL404" s="301"/>
      <c r="CM404" s="305" t="str">
        <f>IFERROR(VLOOKUP(Q404,'Elenco Casse'!$D$4:$F$292,3,FALSE),"")</f>
        <v/>
      </c>
      <c r="CN404" s="301"/>
      <c r="CO404" s="305" t="str">
        <f>IFERROR(VLOOKUP(S404,'Elenco Casse'!$D$4:$F$292,3,FALSE),"")</f>
        <v/>
      </c>
      <c r="CP404" s="305" t="str">
        <f>IFERROR(IF(VLOOKUP($E404,Outlist!$A$5:$S$120,19,FALSE)&lt;&gt;0,"Y",""),"")</f>
        <v/>
      </c>
      <c r="CQ404" s="301"/>
      <c r="CR404" s="305" t="str">
        <f>CONCATENATE($B404,$E404,$G404)</f>
        <v>Mezzo a disposizione 19</v>
      </c>
      <c r="CS404" s="301"/>
      <c r="CT404" s="305" t="e">
        <f>VLOOKUP(Out_Table[[#This Row],[Destination             ORANGE (From Planning)]],Outlist!$A$5:$W$120,22,FALSE)</f>
        <v>#N/A</v>
      </c>
    </row>
    <row r="405" spans="1:98" s="20" customFormat="1" ht="30.75">
      <c r="A405" s="305" t="str">
        <f>$CR405</f>
        <v>Mezzo a disposizione 3</v>
      </c>
      <c r="B405" s="284" t="s">
        <v>1258</v>
      </c>
      <c r="C405" s="290" t="str">
        <f ca="1">IFERROR(IF(LEFT(B405,3)='STAT 77'!$X$2,_xlfn.XLOOKUP(B405,'STAT 77'!C:C,'STAT 77'!B:B),_xlfn.XLOOKUP(B405,'STAT 77'!B:B,'STAT 77'!C:C)),"NON TROVATO")</f>
        <v>NON TROVATO</v>
      </c>
      <c r="D405" s="25"/>
      <c r="E405" s="25"/>
      <c r="F405" s="290" t="str">
        <f>IFERROR(VLOOKUP(E405,'Cambio O2P'!C:E,2,FALSE),"")</f>
        <v/>
      </c>
      <c r="G405" s="285"/>
      <c r="H405" s="293" t="str">
        <f ca="1">IFERROR(IF(AND('INformazioni per calcoli'!$AB$3&lt;(--"14:30"),'INformazioni per calcoli'!$AB$3&gt;(--"10:00")),"",IF($B405="","",IF($X405&lt;&gt;"","Mezzo Chiuso",IF($W405="","Non al Carico",IF($G405-'INformazioni per calcoli'!$AB$5-'INformazioni per calcoli'!$AB$3+$J405&lt;0,"LFLS",IF($K405&lt;&gt;"","Safe Parking",IF($W405&lt;&gt;"",IF($E405="MXP",$G405-'INformazioni per calcoli'!$AB$6-'INformazioni per calcoli'!$AB$3+$J405,$G405-'INformazioni per calcoli'!$AB$5-'INformazioni per calcoli'!$AB$3+$J405),"Non al carico"))))))),"")</f>
        <v>Non al Carico</v>
      </c>
      <c r="I405" s="17" t="str">
        <f ca="1">IFERROR(IF($H405&lt;&gt;"",IF($H405="Safe Parking","",IF($W405&lt;&gt;"",IF(AND($U405="X",$V405="X"),$H405-(--"00:30"),""),IF($X405&lt;&gt;"","Mezzo Chiuso","Non al carico"))),""),"")</f>
        <v>Non al carico</v>
      </c>
      <c r="J405" s="306">
        <f ca="1">IFERROR(IF($B405&lt;&gt;"",IF(AND('INformazioni per calcoli'!$AB$3&lt;(--"15:00"),'INformazioni per calcoli'!$AB$3&gt;(--"00:00")),0,IF($G405&lt;(--"18:30"),"+1",0)),""),"")</f>
        <v>0</v>
      </c>
      <c r="K405" s="27"/>
      <c r="L405" s="25"/>
      <c r="M405" s="25">
        <f>IFERROR(_xlfn.XLOOKUP($Q405,'Elenco Casse'!$D:$D,'Elenco Casse'!$E:$E),"")</f>
        <v>0</v>
      </c>
      <c r="N405" s="25">
        <f>IFERROR(_xlfn.XLOOKUP($Q405,'Elenco Casse'!$D:$D,'Elenco Casse'!$F:$F),"")</f>
        <v>0</v>
      </c>
      <c r="O405" s="286"/>
      <c r="P405" s="295">
        <f>IFERROR(_xlfn.XLOOKUP($Q405,'Elenco Casse'!$D:$D,'Elenco Casse'!$G:$G),"")</f>
        <v>0</v>
      </c>
      <c r="Q405" s="355"/>
      <c r="R405" s="23"/>
      <c r="S405" s="25"/>
      <c r="T405" s="25"/>
      <c r="U405" s="23" t="str">
        <f>IF(ISNUMBER(SEARCH("Parcel",$T405)),"X","")</f>
        <v/>
      </c>
      <c r="V405" s="23" t="str">
        <f>IF(ISNUMBER(SEARCH("Freight",$T405)),"X","")</f>
        <v/>
      </c>
      <c r="W405" s="26"/>
      <c r="X405" s="27"/>
      <c r="Y405" s="25"/>
      <c r="Z405" s="25"/>
      <c r="AA405" s="25"/>
      <c r="AB405" s="57"/>
      <c r="AC405" s="25"/>
      <c r="AD405" s="25"/>
      <c r="AE405" s="57"/>
      <c r="AF405" s="57"/>
      <c r="AG405" s="25"/>
      <c r="AH405" s="57"/>
      <c r="AI405" s="339"/>
      <c r="AJ405" s="339"/>
      <c r="AK405" s="297" t="str">
        <f>IF(X405&lt;&gt;"",CONCATENATE(IF(AA405&lt;&gt;"",CONCATENATE(Z405," ",AA405," ",BI405),""),IF(AD405&lt;&gt;"",CONCATENATE(","," ",AC405," ",AD405," ",BJ405),""),IF(AG405&lt;&gt;"",CONCATENATE(","," ",AF405," ",AG405," ",BK405),""),IF(AJ405&lt;&gt;"",CONCATENATE(","," ","DD"," ",BL405),"")," ",IF(AI405&lt;&gt;"",CONCATENATE(" - ",AI405," Bag"),"")),"")</f>
        <v/>
      </c>
      <c r="AL405" s="287"/>
      <c r="AM405" s="287"/>
      <c r="AN405" s="287"/>
      <c r="AO405" s="287"/>
      <c r="AP405" s="370" t="str">
        <f>IFERROR(VLOOKUP($E405,Outlist!$A$5:$V$120,20,FALSE),"")</f>
        <v/>
      </c>
      <c r="AQ405" s="288" t="str">
        <f>IFERROR(IF(VLOOKUP($A405,#REF!,8,FALSE)&lt;&gt;"",VLOOKUP($A405,#REF!,8,FALSE),""),"")</f>
        <v/>
      </c>
      <c r="AS405" s="24"/>
      <c r="AT405" s="24"/>
      <c r="AU405" s="27"/>
      <c r="AV405" s="27"/>
      <c r="AX405" s="20" t="str">
        <f>IFERROR(IF(Out_Table[[#This Row],[Cancellazione linea]]="Cancellata","yes",""),"")</f>
        <v/>
      </c>
      <c r="AY405" s="72" t="str">
        <f>IF(BA405="",BZ405,IF(AND(BA405&lt;(--"23:59:59"),BA405&gt;(--"15:00:00"),G405&lt;(--"14:00:00"),G405&gt;(--"00:00:01")),"",IF(BA405&gt;G405,BZ405,"")))</f>
        <v/>
      </c>
      <c r="AZ405" s="27"/>
      <c r="BA405" s="32"/>
      <c r="BB405" s="72"/>
      <c r="BC405" s="72" t="str">
        <f>IFERROR(VLOOKUP(Out_Table[[#This Row],[Aggiornamento STATUS]],'INformazioni per calcoli'!$Y$70:$AA$76,2,FALSE),"")</f>
        <v/>
      </c>
      <c r="BD405" s="289"/>
      <c r="BE405" s="289"/>
      <c r="BF405" s="47" t="str">
        <f>LEFT($E405,3)</f>
        <v/>
      </c>
      <c r="BG405" s="298" t="str">
        <f>IF(Out_Table[[#This Row],[Ora Uscita    (GH)]]&lt;&gt;"","x","")</f>
        <v/>
      </c>
      <c r="BH405" s="299" t="e">
        <f>VLOOKUP($O405,'INformazioni per calcoli'!$Y$20:$AA$23,3,FALSE)</f>
        <v>#N/A</v>
      </c>
      <c r="BI405" s="299" t="e">
        <f>MROUND(Out_Table[[#This Row],[Mtr. Trailer]]*AB405,0.5)</f>
        <v>#N/A</v>
      </c>
      <c r="BJ405" s="299" t="e">
        <f>MROUND(Out_Table[[#This Row],[Mtr. Trailer]]*AE405,0.5)</f>
        <v>#N/A</v>
      </c>
      <c r="BK405" s="299" t="e">
        <f>MROUND(Out_Table[[#This Row],[Mtr. Trailer]]*AH405,0.5)</f>
        <v>#N/A</v>
      </c>
      <c r="BL405" s="300">
        <f>Out_Table[[#This Row],[Double Deck trailer N° bumpers]]</f>
        <v>0</v>
      </c>
      <c r="BM405" s="301"/>
      <c r="BN405" s="299" t="str">
        <f>B405</f>
        <v>Mezzo a disposizione 3</v>
      </c>
      <c r="BO405" s="299">
        <f>E405</f>
        <v>0</v>
      </c>
      <c r="BP405" s="302">
        <f>IF(AND(G405&gt;(--"00:00:01"),G405&lt;(--"15:00:00")),IF(AND(X405&gt;(--"00:00:01"),X405&lt;(--"15:00:00")),G405-X405,G405+1-X405),G405-X405)</f>
        <v>0</v>
      </c>
      <c r="BQ405" s="303">
        <f>AE405+AF405+AH405+AJ405</f>
        <v>0</v>
      </c>
      <c r="BR405" s="304" t="str">
        <f>IF(OR(BP405&lt;=(--"00:20:00"),BQ405&gt;=100%),"OK","Not OK")</f>
        <v>OK</v>
      </c>
      <c r="BS405" s="302">
        <f>IF(AND(G405&gt;(--"00:00:01"),G405&lt;(--"15:00:00")),IF(AND(AU405&gt;(--"00:00:01"),AU405&lt;(--"15:00:00")),G405-AU405,G405+1-AU405),G405-AU405)</f>
        <v>0</v>
      </c>
      <c r="BT405" s="302">
        <f>IF(AND(AZ405&gt;(--"00:00:01"),AZ405&lt;(--"15:00:00")),IF(AND(AU405&gt;(--"00:00:01"),AU405&lt;(--"15:00:00")),AZ405-AU405,AZ405+1-AU405),AZ405-AU405)</f>
        <v>0</v>
      </c>
      <c r="BU405" s="302">
        <f>IF(AND(BA405&gt;(--"00:00:01"),BA405&lt;(--"15:00:00")),IF(AND(AZ405&gt;(--"00:00:01"),AZ405&lt;(--"15:00:00")),BA405-AZ405,BA405+1-AZ405),BA405-AZ405)</f>
        <v>0</v>
      </c>
      <c r="BV405" s="299">
        <f>AV405</f>
        <v>0</v>
      </c>
      <c r="BW405" s="301"/>
      <c r="BX405" s="299" t="str">
        <f>IF(AV405="T Status",IF(AV405&lt;&gt;T405,"X",""),"")</f>
        <v/>
      </c>
      <c r="BY405" s="301"/>
      <c r="BZ405" s="299" t="str">
        <f>IF(X405&lt;&gt;"",IF(CC405="X","Driver Delay",IF(CA405="X","Paperwork Delay",IF(CB405="X","Late freight late sort",IF(CD405="X","Chiamare Control Room",IF(CE405="X","Chiamare Control Room",IF(CF405="X","Chiamare Control Room","")))))),"")</f>
        <v/>
      </c>
      <c r="CA405" s="302" t="str">
        <f>IF(K405="",IF(IF(AND(G405&gt;(--"00:00:01"),G405&lt;(--"15:00:00")),IF(AND(AT405&gt;(--"08:00:00"),AT405&lt;(--"23:59:59")),G405+1-AT405,G405-AT405),G405-AT405)&gt;(--"00:20:00"),"","X"),"")</f>
        <v>X</v>
      </c>
      <c r="CB405" s="299" t="str">
        <f>IF(K405="",IF(BP405&gt;=(--"00:20:00"),"","X"),"")</f>
        <v>X</v>
      </c>
      <c r="CC405" s="299" t="str">
        <f>IF(OR(AV405="Autista non presente",AV405="Dati driver non presenti"),"X","")</f>
        <v/>
      </c>
      <c r="CD405" s="299" t="str">
        <f>IF(K405="",IF(AND(CC405="",BS405&lt;(--"00:20:00")),"X",""),"")</f>
        <v>X</v>
      </c>
      <c r="CE405" s="299" t="str">
        <f>IF(K405="",IF(BT405&gt;(--"00:15:00"),"X",""),IF(AZ405&lt;&gt;"",IF(G405-AZ405&gt;(--"00:30:00"),"X",""),""))</f>
        <v/>
      </c>
      <c r="CF405" s="299" t="str">
        <f>IF(AND(CA405="",CB405="",CC405="",CD405="",CE405=""),"X","")</f>
        <v/>
      </c>
      <c r="CG405" s="301"/>
      <c r="CH405" s="299" t="str">
        <f>IF(BT405&gt;(--"00:15:00"),"X","")</f>
        <v/>
      </c>
      <c r="CI405" s="302" t="str">
        <f>AY405</f>
        <v/>
      </c>
      <c r="CJ405" s="299" t="str">
        <f>IF(AND(CH405&lt;&gt;"",CI405&lt;&gt;"",LEFT(B405,3)="ITD"),AP405,"")</f>
        <v/>
      </c>
      <c r="CK405" s="305" t="str">
        <f>IF(CJ405&lt;&gt;"",BT405,"")</f>
        <v/>
      </c>
      <c r="CL405" s="301"/>
      <c r="CM405" s="305" t="str">
        <f>IFERROR(VLOOKUP(Q405,'Elenco Casse'!$D$4:$F$292,3,FALSE),"")</f>
        <v/>
      </c>
      <c r="CN405" s="301"/>
      <c r="CO405" s="305" t="str">
        <f>IFERROR(VLOOKUP(S405,'Elenco Casse'!$D$4:$F$292,3,FALSE),"")</f>
        <v/>
      </c>
      <c r="CP405" s="305" t="str">
        <f>IFERROR(IF(VLOOKUP($E405,Outlist!$A$5:$S$120,19,FALSE)&lt;&gt;0,"Y",""),"")</f>
        <v/>
      </c>
      <c r="CQ405" s="301"/>
      <c r="CR405" s="305" t="str">
        <f>CONCATENATE($B405,$E405,$G405)</f>
        <v>Mezzo a disposizione 3</v>
      </c>
      <c r="CS405" s="301"/>
      <c r="CT405" s="305" t="e">
        <f>VLOOKUP(Out_Table[[#This Row],[Destination             ORANGE (From Planning)]],Outlist!$A$5:$W$120,22,FALSE)</f>
        <v>#N/A</v>
      </c>
    </row>
    <row r="406" spans="1:98" s="20" customFormat="1" ht="30.75">
      <c r="A406" s="305" t="str">
        <f>$CR406</f>
        <v>Mezzo a disposizione 4</v>
      </c>
      <c r="B406" s="284" t="s">
        <v>1259</v>
      </c>
      <c r="C406" s="290" t="str">
        <f ca="1">IFERROR(IF(LEFT(B406,3)='STAT 77'!$X$2,_xlfn.XLOOKUP(B406,'STAT 77'!C:C,'STAT 77'!B:B),_xlfn.XLOOKUP(B406,'STAT 77'!B:B,'STAT 77'!C:C)),"NON TROVATO")</f>
        <v>NON TROVATO</v>
      </c>
      <c r="D406" s="25"/>
      <c r="E406" s="25"/>
      <c r="F406" s="290" t="str">
        <f>IFERROR(VLOOKUP(E406,'Cambio O2P'!C:E,2,FALSE),"")</f>
        <v/>
      </c>
      <c r="G406" s="285"/>
      <c r="H406" s="293" t="str">
        <f ca="1">IFERROR(IF(AND('INformazioni per calcoli'!$AB$3&lt;(--"14:30"),'INformazioni per calcoli'!$AB$3&gt;(--"10:00")),"",IF($B406="","",IF($X406&lt;&gt;"","Mezzo Chiuso",IF($W406="","Non al Carico",IF($G406-'INformazioni per calcoli'!$AB$5-'INformazioni per calcoli'!$AB$3+$J406&lt;0,"LFLS",IF($K406&lt;&gt;"","Safe Parking",IF($W406&lt;&gt;"",IF($E406="MXP",$G406-'INformazioni per calcoli'!$AB$6-'INformazioni per calcoli'!$AB$3+$J406,$G406-'INformazioni per calcoli'!$AB$5-'INformazioni per calcoli'!$AB$3+$J406),"Non al carico"))))))),"")</f>
        <v>Non al Carico</v>
      </c>
      <c r="I406" s="17" t="str">
        <f ca="1">IFERROR(IF($H406&lt;&gt;"",IF($H406="Safe Parking","",IF($W406&lt;&gt;"",IF(AND($U406="X",$V406="X"),$H406-(--"00:30"),""),IF($X406&lt;&gt;"","Mezzo Chiuso","Non al carico"))),""),"")</f>
        <v>Non al carico</v>
      </c>
      <c r="J406" s="306">
        <f ca="1">IFERROR(IF($B406&lt;&gt;"",IF(AND('INformazioni per calcoli'!$AB$3&lt;(--"15:00"),'INformazioni per calcoli'!$AB$3&gt;(--"00:00")),0,IF($G406&lt;(--"18:30"),"+1",0)),""),"")</f>
        <v>0</v>
      </c>
      <c r="K406" s="27"/>
      <c r="L406" s="25"/>
      <c r="M406" s="25">
        <f>IFERROR(_xlfn.XLOOKUP($Q406,'Elenco Casse'!$D:$D,'Elenco Casse'!$E:$E),"")</f>
        <v>0</v>
      </c>
      <c r="N406" s="25">
        <f>IFERROR(_xlfn.XLOOKUP($Q406,'Elenco Casse'!$D:$D,'Elenco Casse'!$F:$F),"")</f>
        <v>0</v>
      </c>
      <c r="O406" s="286"/>
      <c r="P406" s="295">
        <f>IFERROR(_xlfn.XLOOKUP($Q406,'Elenco Casse'!$D:$D,'Elenco Casse'!$G:$G),"")</f>
        <v>0</v>
      </c>
      <c r="Q406" s="355"/>
      <c r="R406" s="23"/>
      <c r="S406" s="25"/>
      <c r="T406" s="25"/>
      <c r="U406" s="23" t="str">
        <f>IF(ISNUMBER(SEARCH("Parcel",$T406)),"X","")</f>
        <v/>
      </c>
      <c r="V406" s="23" t="str">
        <f>IF(ISNUMBER(SEARCH("Freight",$T406)),"X","")</f>
        <v/>
      </c>
      <c r="W406" s="26"/>
      <c r="X406" s="27"/>
      <c r="Y406" s="25"/>
      <c r="Z406" s="25"/>
      <c r="AA406" s="25"/>
      <c r="AB406" s="57"/>
      <c r="AC406" s="25"/>
      <c r="AD406" s="25"/>
      <c r="AE406" s="57"/>
      <c r="AF406" s="57"/>
      <c r="AG406" s="25"/>
      <c r="AH406" s="57"/>
      <c r="AI406" s="339"/>
      <c r="AJ406" s="339"/>
      <c r="AK406" s="297" t="str">
        <f>IF(X406&lt;&gt;"",CONCATENATE(IF(AA406&lt;&gt;"",CONCATENATE(Z406," ",AA406," ",BI406),""),IF(AD406&lt;&gt;"",CONCATENATE(","," ",AC406," ",AD406," ",BJ406),""),IF(AG406&lt;&gt;"",CONCATENATE(","," ",AF406," ",AG406," ",BK406),""),IF(AJ406&lt;&gt;"",CONCATENATE(","," ","DD"," ",BL406),"")," ",IF(AI406&lt;&gt;"",CONCATENATE(" - ",AI406," Bag"),"")),"")</f>
        <v/>
      </c>
      <c r="AL406" s="287"/>
      <c r="AM406" s="287"/>
      <c r="AN406" s="287"/>
      <c r="AO406" s="287"/>
      <c r="AP406" s="370" t="str">
        <f>IFERROR(VLOOKUP($E406,Outlist!$A$5:$V$120,20,FALSE),"")</f>
        <v/>
      </c>
      <c r="AQ406" s="288" t="str">
        <f>IFERROR(IF(VLOOKUP($A406,#REF!,8,FALSE)&lt;&gt;"",VLOOKUP($A406,#REF!,8,FALSE),""),"")</f>
        <v/>
      </c>
      <c r="AS406" s="24"/>
      <c r="AT406" s="24"/>
      <c r="AU406" s="27"/>
      <c r="AV406" s="27"/>
      <c r="AX406" s="20" t="str">
        <f>IFERROR(IF(Out_Table[[#This Row],[Cancellazione linea]]="Cancellata","yes",""),"")</f>
        <v/>
      </c>
      <c r="AY406" s="72" t="str">
        <f>IF(BA406="",BZ406,IF(AND(BA406&lt;(--"23:59:59"),BA406&gt;(--"15:00:00"),G406&lt;(--"14:00:00"),G406&gt;(--"00:00:01")),"",IF(BA406&gt;G406,BZ406,"")))</f>
        <v/>
      </c>
      <c r="AZ406" s="27"/>
      <c r="BA406" s="32"/>
      <c r="BB406" s="72"/>
      <c r="BC406" s="72" t="str">
        <f>IFERROR(VLOOKUP(Out_Table[[#This Row],[Aggiornamento STATUS]],'INformazioni per calcoli'!$Y$70:$AA$76,2,FALSE),"")</f>
        <v/>
      </c>
      <c r="BD406" s="289"/>
      <c r="BE406" s="289"/>
      <c r="BF406" s="47" t="str">
        <f>LEFT($E406,3)</f>
        <v/>
      </c>
      <c r="BG406" s="298" t="str">
        <f>IF(Out_Table[[#This Row],[Ora Uscita    (GH)]]&lt;&gt;"","x","")</f>
        <v/>
      </c>
      <c r="BH406" s="299" t="e">
        <f>VLOOKUP($O406,'INformazioni per calcoli'!$Y$20:$AA$23,3,FALSE)</f>
        <v>#N/A</v>
      </c>
      <c r="BI406" s="299" t="e">
        <f>MROUND(Out_Table[[#This Row],[Mtr. Trailer]]*AB406,0.5)</f>
        <v>#N/A</v>
      </c>
      <c r="BJ406" s="299" t="e">
        <f>MROUND(Out_Table[[#This Row],[Mtr. Trailer]]*AE406,0.5)</f>
        <v>#N/A</v>
      </c>
      <c r="BK406" s="299" t="e">
        <f>MROUND(Out_Table[[#This Row],[Mtr. Trailer]]*AH406,0.5)</f>
        <v>#N/A</v>
      </c>
      <c r="BL406" s="300">
        <f>Out_Table[[#This Row],[Double Deck trailer N° bumpers]]</f>
        <v>0</v>
      </c>
      <c r="BM406" s="301"/>
      <c r="BN406" s="299" t="str">
        <f>B406</f>
        <v>Mezzo a disposizione 4</v>
      </c>
      <c r="BO406" s="299">
        <f>E406</f>
        <v>0</v>
      </c>
      <c r="BP406" s="302">
        <f>IF(AND(G406&gt;(--"00:00:01"),G406&lt;(--"15:00:00")),IF(AND(X406&gt;(--"00:00:01"),X406&lt;(--"15:00:00")),G406-X406,G406+1-X406),G406-X406)</f>
        <v>0</v>
      </c>
      <c r="BQ406" s="303">
        <f>AE406+AF406+AH406+AJ406</f>
        <v>0</v>
      </c>
      <c r="BR406" s="304" t="str">
        <f>IF(OR(BP406&lt;=(--"00:20:00"),BQ406&gt;=100%),"OK","Not OK")</f>
        <v>OK</v>
      </c>
      <c r="BS406" s="302">
        <f>IF(AND(G406&gt;(--"00:00:01"),G406&lt;(--"15:00:00")),IF(AND(AU406&gt;(--"00:00:01"),AU406&lt;(--"15:00:00")),G406-AU406,G406+1-AU406),G406-AU406)</f>
        <v>0</v>
      </c>
      <c r="BT406" s="302">
        <f>IF(AND(AZ406&gt;(--"00:00:01"),AZ406&lt;(--"15:00:00")),IF(AND(AU406&gt;(--"00:00:01"),AU406&lt;(--"15:00:00")),AZ406-AU406,AZ406+1-AU406),AZ406-AU406)</f>
        <v>0</v>
      </c>
      <c r="BU406" s="302">
        <f>IF(AND(BA406&gt;(--"00:00:01"),BA406&lt;(--"15:00:00")),IF(AND(AZ406&gt;(--"00:00:01"),AZ406&lt;(--"15:00:00")),BA406-AZ406,BA406+1-AZ406),BA406-AZ406)</f>
        <v>0</v>
      </c>
      <c r="BV406" s="299">
        <f>AV406</f>
        <v>0</v>
      </c>
      <c r="BW406" s="301"/>
      <c r="BX406" s="299" t="str">
        <f>IF(AV406="T Status",IF(AV406&lt;&gt;T406,"X",""),"")</f>
        <v/>
      </c>
      <c r="BY406" s="301"/>
      <c r="BZ406" s="299" t="str">
        <f>IF(X406&lt;&gt;"",IF(CC406="X","Driver Delay",IF(CA406="X","Paperwork Delay",IF(CB406="X","Late freight late sort",IF(CD406="X","Chiamare Control Room",IF(CE406="X","Chiamare Control Room",IF(CF406="X","Chiamare Control Room","")))))),"")</f>
        <v/>
      </c>
      <c r="CA406" s="302" t="str">
        <f>IF(K406="",IF(IF(AND(G406&gt;(--"00:00:01"),G406&lt;(--"15:00:00")),IF(AND(AT406&gt;(--"08:00:00"),AT406&lt;(--"23:59:59")),G406+1-AT406,G406-AT406),G406-AT406)&gt;(--"00:20:00"),"","X"),"")</f>
        <v>X</v>
      </c>
      <c r="CB406" s="299" t="str">
        <f>IF(K406="",IF(BP406&gt;=(--"00:20:00"),"","X"),"")</f>
        <v>X</v>
      </c>
      <c r="CC406" s="299" t="str">
        <f>IF(OR(AV406="Autista non presente",AV406="Dati driver non presenti"),"X","")</f>
        <v/>
      </c>
      <c r="CD406" s="299" t="str">
        <f>IF(K406="",IF(AND(CC406="",BS406&lt;(--"00:20:00")),"X",""),"")</f>
        <v>X</v>
      </c>
      <c r="CE406" s="299" t="str">
        <f>IF(K406="",IF(BT406&gt;(--"00:15:00"),"X",""),IF(AZ406&lt;&gt;"",IF(G406-AZ406&gt;(--"00:30:00"),"X",""),""))</f>
        <v/>
      </c>
      <c r="CF406" s="299" t="str">
        <f>IF(AND(CA406="",CB406="",CC406="",CD406="",CE406=""),"X","")</f>
        <v/>
      </c>
      <c r="CG406" s="301"/>
      <c r="CH406" s="299" t="str">
        <f>IF(BT406&gt;(--"00:15:00"),"X","")</f>
        <v/>
      </c>
      <c r="CI406" s="302" t="str">
        <f>AY406</f>
        <v/>
      </c>
      <c r="CJ406" s="299" t="str">
        <f>IF(AND(CH406&lt;&gt;"",CI406&lt;&gt;"",LEFT(B406,3)="ITD"),AP406,"")</f>
        <v/>
      </c>
      <c r="CK406" s="305" t="str">
        <f>IF(CJ406&lt;&gt;"",BT406,"")</f>
        <v/>
      </c>
      <c r="CL406" s="301"/>
      <c r="CM406" s="305" t="str">
        <f>IFERROR(VLOOKUP(Q406,'Elenco Casse'!$D$4:$F$292,3,FALSE),"")</f>
        <v/>
      </c>
      <c r="CN406" s="301"/>
      <c r="CO406" s="305" t="str">
        <f>IFERROR(VLOOKUP(S406,'Elenco Casse'!$D$4:$F$292,3,FALSE),"")</f>
        <v/>
      </c>
      <c r="CP406" s="305" t="str">
        <f>IFERROR(IF(VLOOKUP($E406,Outlist!$A$5:$S$120,19,FALSE)&lt;&gt;0,"Y",""),"")</f>
        <v/>
      </c>
      <c r="CQ406" s="301"/>
      <c r="CR406" s="305" t="str">
        <f>CONCATENATE($B406,$E406,$G406)</f>
        <v>Mezzo a disposizione 4</v>
      </c>
      <c r="CS406" s="301"/>
      <c r="CT406" s="305" t="e">
        <f>VLOOKUP(Out_Table[[#This Row],[Destination             ORANGE (From Planning)]],Outlist!$A$5:$W$120,22,FALSE)</f>
        <v>#N/A</v>
      </c>
    </row>
    <row r="407" spans="1:98" s="20" customFormat="1" ht="30.75">
      <c r="A407" s="305" t="str">
        <f>$CR407</f>
        <v>Mezzo a disposizione 5</v>
      </c>
      <c r="B407" s="284" t="s">
        <v>1260</v>
      </c>
      <c r="C407" s="290" t="str">
        <f ca="1">IFERROR(IF(LEFT(B407,3)='STAT 77'!$X$2,_xlfn.XLOOKUP(B407,'STAT 77'!C:C,'STAT 77'!B:B),_xlfn.XLOOKUP(B407,'STAT 77'!B:B,'STAT 77'!C:C)),"NON TROVATO")</f>
        <v>NON TROVATO</v>
      </c>
      <c r="D407" s="25"/>
      <c r="E407" s="25"/>
      <c r="F407" s="290" t="str">
        <f>IFERROR(VLOOKUP(E407,'Cambio O2P'!C:E,2,FALSE),"")</f>
        <v/>
      </c>
      <c r="G407" s="285"/>
      <c r="H407" s="293" t="str">
        <f ca="1">IFERROR(IF(AND('INformazioni per calcoli'!$AB$3&lt;(--"14:30"),'INformazioni per calcoli'!$AB$3&gt;(--"10:00")),"",IF($B407="","",IF($X407&lt;&gt;"","Mezzo Chiuso",IF($W407="","Non al Carico",IF($G407-'INformazioni per calcoli'!$AB$5-'INformazioni per calcoli'!$AB$3+$J407&lt;0,"LFLS",IF($K407&lt;&gt;"","Safe Parking",IF($W407&lt;&gt;"",IF($E407="MXP",$G407-'INformazioni per calcoli'!$AB$6-'INformazioni per calcoli'!$AB$3+$J407,$G407-'INformazioni per calcoli'!$AB$5-'INformazioni per calcoli'!$AB$3+$J407),"Non al carico"))))))),"")</f>
        <v>Non al Carico</v>
      </c>
      <c r="I407" s="17" t="str">
        <f ca="1">IFERROR(IF($H407&lt;&gt;"",IF($H407="Safe Parking","",IF($W407&lt;&gt;"",IF(AND($U407="X",$V407="X"),$H407-(--"00:30"),""),IF($X407&lt;&gt;"","Mezzo Chiuso","Non al carico"))),""),"")</f>
        <v>Non al carico</v>
      </c>
      <c r="J407" s="306">
        <f ca="1">IFERROR(IF($B407&lt;&gt;"",IF(AND('INformazioni per calcoli'!$AB$3&lt;(--"15:00"),'INformazioni per calcoli'!$AB$3&gt;(--"00:00")),0,IF($G407&lt;(--"18:30"),"+1",0)),""),"")</f>
        <v>0</v>
      </c>
      <c r="K407" s="27"/>
      <c r="L407" s="25"/>
      <c r="M407" s="25">
        <f>IFERROR(_xlfn.XLOOKUP($Q407,'Elenco Casse'!$D:$D,'Elenco Casse'!$E:$E),"")</f>
        <v>0</v>
      </c>
      <c r="N407" s="25">
        <f>IFERROR(_xlfn.XLOOKUP($Q407,'Elenco Casse'!$D:$D,'Elenco Casse'!$F:$F),"")</f>
        <v>0</v>
      </c>
      <c r="O407" s="286"/>
      <c r="P407" s="295">
        <f>IFERROR(_xlfn.XLOOKUP($Q407,'Elenco Casse'!$D:$D,'Elenco Casse'!$G:$G),"")</f>
        <v>0</v>
      </c>
      <c r="Q407" s="355"/>
      <c r="R407" s="23"/>
      <c r="S407" s="25"/>
      <c r="T407" s="25"/>
      <c r="U407" s="23" t="str">
        <f>IF(ISNUMBER(SEARCH("Parcel",$T407)),"X","")</f>
        <v/>
      </c>
      <c r="V407" s="23" t="str">
        <f>IF(ISNUMBER(SEARCH("Freight",$T407)),"X","")</f>
        <v/>
      </c>
      <c r="W407" s="26"/>
      <c r="X407" s="27"/>
      <c r="Y407" s="25"/>
      <c r="Z407" s="25"/>
      <c r="AA407" s="25"/>
      <c r="AB407" s="57"/>
      <c r="AC407" s="25"/>
      <c r="AD407" s="25"/>
      <c r="AE407" s="57"/>
      <c r="AF407" s="57"/>
      <c r="AG407" s="25"/>
      <c r="AH407" s="57"/>
      <c r="AI407" s="339"/>
      <c r="AJ407" s="339"/>
      <c r="AK407" s="297" t="str">
        <f>IF(X407&lt;&gt;"",CONCATENATE(IF(AA407&lt;&gt;"",CONCATENATE(Z407," ",AA407," ",BI407),""),IF(AD407&lt;&gt;"",CONCATENATE(","," ",AC407," ",AD407," ",BJ407),""),IF(AG407&lt;&gt;"",CONCATENATE(","," ",AF407," ",AG407," ",BK407),""),IF(AJ407&lt;&gt;"",CONCATENATE(","," ","DD"," ",BL407),"")," ",IF(AI407&lt;&gt;"",CONCATENATE(" - ",AI407," Bag"),"")),"")</f>
        <v/>
      </c>
      <c r="AL407" s="287"/>
      <c r="AM407" s="287"/>
      <c r="AN407" s="287"/>
      <c r="AO407" s="287"/>
      <c r="AP407" s="370" t="str">
        <f>IFERROR(VLOOKUP($E407,Outlist!$A$5:$V$120,20,FALSE),"")</f>
        <v/>
      </c>
      <c r="AQ407" s="288" t="str">
        <f>IFERROR(IF(VLOOKUP($A407,#REF!,8,FALSE)&lt;&gt;"",VLOOKUP($A407,#REF!,8,FALSE),""),"")</f>
        <v/>
      </c>
      <c r="AS407" s="24"/>
      <c r="AT407" s="24"/>
      <c r="AU407" s="27"/>
      <c r="AV407" s="27"/>
      <c r="AX407" s="20" t="str">
        <f>IFERROR(IF(Out_Table[[#This Row],[Cancellazione linea]]="Cancellata","yes",""),"")</f>
        <v/>
      </c>
      <c r="AY407" s="72" t="str">
        <f>IF(BA407="",BZ407,IF(AND(BA407&lt;(--"23:59:59"),BA407&gt;(--"15:00:00"),G407&lt;(--"14:00:00"),G407&gt;(--"00:00:01")),"",IF(BA407&gt;G407,BZ407,"")))</f>
        <v/>
      </c>
      <c r="AZ407" s="27"/>
      <c r="BA407" s="32"/>
      <c r="BB407" s="72"/>
      <c r="BC407" s="72" t="str">
        <f>IFERROR(VLOOKUP(Out_Table[[#This Row],[Aggiornamento STATUS]],'INformazioni per calcoli'!$Y$70:$AA$76,2,FALSE),"")</f>
        <v/>
      </c>
      <c r="BD407" s="289"/>
      <c r="BE407" s="289"/>
      <c r="BF407" s="47" t="str">
        <f>LEFT($E407,3)</f>
        <v/>
      </c>
      <c r="BG407" s="298" t="str">
        <f>IF(Out_Table[[#This Row],[Ora Uscita    (GH)]]&lt;&gt;"","x","")</f>
        <v/>
      </c>
      <c r="BH407" s="299" t="e">
        <f>VLOOKUP($O407,'INformazioni per calcoli'!$Y$20:$AA$23,3,FALSE)</f>
        <v>#N/A</v>
      </c>
      <c r="BI407" s="299" t="e">
        <f>MROUND(Out_Table[[#This Row],[Mtr. Trailer]]*AB407,0.5)</f>
        <v>#N/A</v>
      </c>
      <c r="BJ407" s="299" t="e">
        <f>MROUND(Out_Table[[#This Row],[Mtr. Trailer]]*AE407,0.5)</f>
        <v>#N/A</v>
      </c>
      <c r="BK407" s="299" t="e">
        <f>MROUND(Out_Table[[#This Row],[Mtr. Trailer]]*AH407,0.5)</f>
        <v>#N/A</v>
      </c>
      <c r="BL407" s="300">
        <f>Out_Table[[#This Row],[Double Deck trailer N° bumpers]]</f>
        <v>0</v>
      </c>
      <c r="BM407" s="301"/>
      <c r="BN407" s="299" t="str">
        <f>B407</f>
        <v>Mezzo a disposizione 5</v>
      </c>
      <c r="BO407" s="299">
        <f>E407</f>
        <v>0</v>
      </c>
      <c r="BP407" s="302">
        <f>IF(AND(G407&gt;(--"00:00:01"),G407&lt;(--"15:00:00")),IF(AND(X407&gt;(--"00:00:01"),X407&lt;(--"15:00:00")),G407-X407,G407+1-X407),G407-X407)</f>
        <v>0</v>
      </c>
      <c r="BQ407" s="303">
        <f>AE407+AF407+AH407+AJ407</f>
        <v>0</v>
      </c>
      <c r="BR407" s="304" t="str">
        <f>IF(OR(BP407&lt;=(--"00:20:00"),BQ407&gt;=100%),"OK","Not OK")</f>
        <v>OK</v>
      </c>
      <c r="BS407" s="302">
        <f>IF(AND(G407&gt;(--"00:00:01"),G407&lt;(--"15:00:00")),IF(AND(AU407&gt;(--"00:00:01"),AU407&lt;(--"15:00:00")),G407-AU407,G407+1-AU407),G407-AU407)</f>
        <v>0</v>
      </c>
      <c r="BT407" s="302">
        <f>IF(AND(AZ407&gt;(--"00:00:01"),AZ407&lt;(--"15:00:00")),IF(AND(AU407&gt;(--"00:00:01"),AU407&lt;(--"15:00:00")),AZ407-AU407,AZ407+1-AU407),AZ407-AU407)</f>
        <v>0</v>
      </c>
      <c r="BU407" s="302">
        <f>IF(AND(BA407&gt;(--"00:00:01"),BA407&lt;(--"15:00:00")),IF(AND(AZ407&gt;(--"00:00:01"),AZ407&lt;(--"15:00:00")),BA407-AZ407,BA407+1-AZ407),BA407-AZ407)</f>
        <v>0</v>
      </c>
      <c r="BV407" s="299">
        <f>AV407</f>
        <v>0</v>
      </c>
      <c r="BW407" s="301"/>
      <c r="BX407" s="299" t="str">
        <f>IF(AV407="T Status",IF(AV407&lt;&gt;T407,"X",""),"")</f>
        <v/>
      </c>
      <c r="BY407" s="301"/>
      <c r="BZ407" s="299" t="str">
        <f>IF(X407&lt;&gt;"",IF(CC407="X","Driver Delay",IF(CA407="X","Paperwork Delay",IF(CB407="X","Late freight late sort",IF(CD407="X","Chiamare Control Room",IF(CE407="X","Chiamare Control Room",IF(CF407="X","Chiamare Control Room","")))))),"")</f>
        <v/>
      </c>
      <c r="CA407" s="302" t="str">
        <f>IF(K407="",IF(IF(AND(G407&gt;(--"00:00:01"),G407&lt;(--"15:00:00")),IF(AND(AT407&gt;(--"08:00:00"),AT407&lt;(--"23:59:59")),G407+1-AT407,G407-AT407),G407-AT407)&gt;(--"00:20:00"),"","X"),"")</f>
        <v>X</v>
      </c>
      <c r="CB407" s="299" t="str">
        <f>IF(K407="",IF(BP407&gt;=(--"00:20:00"),"","X"),"")</f>
        <v>X</v>
      </c>
      <c r="CC407" s="299" t="str">
        <f>IF(OR(AV407="Autista non presente",AV407="Dati driver non presenti"),"X","")</f>
        <v/>
      </c>
      <c r="CD407" s="299" t="str">
        <f>IF(K407="",IF(AND(CC407="",BS407&lt;(--"00:20:00")),"X",""),"")</f>
        <v>X</v>
      </c>
      <c r="CE407" s="299" t="str">
        <f>IF(K407="",IF(BT407&gt;(--"00:15:00"),"X",""),IF(AZ407&lt;&gt;"",IF(G407-AZ407&gt;(--"00:30:00"),"X",""),""))</f>
        <v/>
      </c>
      <c r="CF407" s="299" t="str">
        <f>IF(AND(CA407="",CB407="",CC407="",CD407="",CE407=""),"X","")</f>
        <v/>
      </c>
      <c r="CG407" s="301"/>
      <c r="CH407" s="299" t="str">
        <f>IF(BT407&gt;(--"00:15:00"),"X","")</f>
        <v/>
      </c>
      <c r="CI407" s="302" t="str">
        <f>AY407</f>
        <v/>
      </c>
      <c r="CJ407" s="299" t="str">
        <f>IF(AND(CH407&lt;&gt;"",CI407&lt;&gt;"",LEFT(B407,3)="ITD"),AP407,"")</f>
        <v/>
      </c>
      <c r="CK407" s="305" t="str">
        <f>IF(CJ407&lt;&gt;"",BT407,"")</f>
        <v/>
      </c>
      <c r="CL407" s="301"/>
      <c r="CM407" s="305" t="str">
        <f>IFERROR(VLOOKUP(Q407,'Elenco Casse'!$D$4:$F$292,3,FALSE),"")</f>
        <v/>
      </c>
      <c r="CN407" s="301"/>
      <c r="CO407" s="305" t="str">
        <f>IFERROR(VLOOKUP(S407,'Elenco Casse'!$D$4:$F$292,3,FALSE),"")</f>
        <v/>
      </c>
      <c r="CP407" s="305" t="str">
        <f>IFERROR(IF(VLOOKUP($E407,Outlist!$A$5:$S$120,19,FALSE)&lt;&gt;0,"Y",""),"")</f>
        <v/>
      </c>
      <c r="CQ407" s="301"/>
      <c r="CR407" s="305" t="str">
        <f>CONCATENATE($B407,$E407,$G407)</f>
        <v>Mezzo a disposizione 5</v>
      </c>
      <c r="CS407" s="301"/>
      <c r="CT407" s="305" t="e">
        <f>VLOOKUP(Out_Table[[#This Row],[Destination             ORANGE (From Planning)]],Outlist!$A$5:$W$120,22,FALSE)</f>
        <v>#N/A</v>
      </c>
    </row>
    <row r="408" spans="1:98" s="20" customFormat="1" ht="30.75">
      <c r="A408" s="305" t="str">
        <f>$CR408</f>
        <v>Mezzo a disposizione 6</v>
      </c>
      <c r="B408" s="284" t="s">
        <v>1261</v>
      </c>
      <c r="C408" s="290" t="str">
        <f ca="1">IFERROR(IF(LEFT(B408,3)='STAT 77'!$X$2,_xlfn.XLOOKUP(B408,'STAT 77'!C:C,'STAT 77'!B:B),_xlfn.XLOOKUP(B408,'STAT 77'!B:B,'STAT 77'!C:C)),"NON TROVATO")</f>
        <v>NON TROVATO</v>
      </c>
      <c r="D408" s="25"/>
      <c r="E408" s="25"/>
      <c r="F408" s="290" t="str">
        <f>IFERROR(VLOOKUP(E408,'Cambio O2P'!C:E,2,FALSE),"")</f>
        <v/>
      </c>
      <c r="G408" s="285"/>
      <c r="H408" s="293" t="str">
        <f ca="1">IFERROR(IF(AND('INformazioni per calcoli'!$AB$3&lt;(--"14:30"),'INformazioni per calcoli'!$AB$3&gt;(--"10:00")),"",IF($B408="","",IF($X408&lt;&gt;"","Mezzo Chiuso",IF($W408="","Non al Carico",IF($G408-'INformazioni per calcoli'!$AB$5-'INformazioni per calcoli'!$AB$3+$J408&lt;0,"LFLS",IF($K408&lt;&gt;"","Safe Parking",IF($W408&lt;&gt;"",IF($E408="MXP",$G408-'INformazioni per calcoli'!$AB$6-'INformazioni per calcoli'!$AB$3+$J408,$G408-'INformazioni per calcoli'!$AB$5-'INformazioni per calcoli'!$AB$3+$J408),"Non al carico"))))))),"")</f>
        <v>Non al Carico</v>
      </c>
      <c r="I408" s="17" t="str">
        <f ca="1">IFERROR(IF($H408&lt;&gt;"",IF($H408="Safe Parking","",IF($W408&lt;&gt;"",IF(AND($U408="X",$V408="X"),$H408-(--"00:30"),""),IF($X408&lt;&gt;"","Mezzo Chiuso","Non al carico"))),""),"")</f>
        <v>Non al carico</v>
      </c>
      <c r="J408" s="306">
        <f ca="1">IFERROR(IF($B408&lt;&gt;"",IF(AND('INformazioni per calcoli'!$AB$3&lt;(--"15:00"),'INformazioni per calcoli'!$AB$3&gt;(--"00:00")),0,IF($G408&lt;(--"18:30"),"+1",0)),""),"")</f>
        <v>0</v>
      </c>
      <c r="K408" s="27"/>
      <c r="L408" s="25"/>
      <c r="M408" s="25">
        <f>IFERROR(_xlfn.XLOOKUP($Q408,'Elenco Casse'!$D:$D,'Elenco Casse'!$E:$E),"")</f>
        <v>0</v>
      </c>
      <c r="N408" s="25">
        <f>IFERROR(_xlfn.XLOOKUP($Q408,'Elenco Casse'!$D:$D,'Elenco Casse'!$F:$F),"")</f>
        <v>0</v>
      </c>
      <c r="O408" s="286"/>
      <c r="P408" s="295">
        <f>IFERROR(_xlfn.XLOOKUP($Q408,'Elenco Casse'!$D:$D,'Elenco Casse'!$G:$G),"")</f>
        <v>0</v>
      </c>
      <c r="Q408" s="355"/>
      <c r="R408" s="23"/>
      <c r="S408" s="25"/>
      <c r="T408" s="25"/>
      <c r="U408" s="23" t="str">
        <f>IF(ISNUMBER(SEARCH("Parcel",$T408)),"X","")</f>
        <v/>
      </c>
      <c r="V408" s="23" t="str">
        <f>IF(ISNUMBER(SEARCH("Freight",$T408)),"X","")</f>
        <v/>
      </c>
      <c r="W408" s="26"/>
      <c r="X408" s="27"/>
      <c r="Y408" s="25"/>
      <c r="Z408" s="25"/>
      <c r="AA408" s="25"/>
      <c r="AB408" s="57"/>
      <c r="AC408" s="25"/>
      <c r="AD408" s="25"/>
      <c r="AE408" s="57"/>
      <c r="AF408" s="57"/>
      <c r="AG408" s="25"/>
      <c r="AH408" s="57"/>
      <c r="AI408" s="339"/>
      <c r="AJ408" s="339"/>
      <c r="AK408" s="297" t="str">
        <f>IF(X408&lt;&gt;"",CONCATENATE(IF(AA408&lt;&gt;"",CONCATENATE(Z408," ",AA408," ",BI408),""),IF(AD408&lt;&gt;"",CONCATENATE(","," ",AC408," ",AD408," ",BJ408),""),IF(AG408&lt;&gt;"",CONCATENATE(","," ",AF408," ",AG408," ",BK408),""),IF(AJ408&lt;&gt;"",CONCATENATE(","," ","DD"," ",BL408),"")," ",IF(AI408&lt;&gt;"",CONCATENATE(" - ",AI408," Bag"),"")),"")</f>
        <v/>
      </c>
      <c r="AL408" s="287"/>
      <c r="AM408" s="287"/>
      <c r="AN408" s="287"/>
      <c r="AO408" s="287"/>
      <c r="AP408" s="370" t="str">
        <f>IFERROR(VLOOKUP($E408,Outlist!$A$5:$V$120,20,FALSE),"")</f>
        <v/>
      </c>
      <c r="AQ408" s="288" t="str">
        <f>IFERROR(IF(VLOOKUP($A408,#REF!,8,FALSE)&lt;&gt;"",VLOOKUP($A408,#REF!,8,FALSE),""),"")</f>
        <v/>
      </c>
      <c r="AS408" s="24"/>
      <c r="AT408" s="24"/>
      <c r="AU408" s="27"/>
      <c r="AV408" s="27"/>
      <c r="AX408" s="20" t="str">
        <f>IFERROR(IF(Out_Table[[#This Row],[Cancellazione linea]]="Cancellata","yes",""),"")</f>
        <v/>
      </c>
      <c r="AY408" s="72" t="str">
        <f>IF(BA408="",BZ408,IF(AND(BA408&lt;(--"23:59:59"),BA408&gt;(--"15:00:00"),G408&lt;(--"14:00:00"),G408&gt;(--"00:00:01")),"",IF(BA408&gt;G408,BZ408,"")))</f>
        <v/>
      </c>
      <c r="AZ408" s="27"/>
      <c r="BA408" s="32"/>
      <c r="BB408" s="72"/>
      <c r="BC408" s="72" t="str">
        <f>IFERROR(VLOOKUP(Out_Table[[#This Row],[Aggiornamento STATUS]],'INformazioni per calcoli'!$Y$70:$AA$76,2,FALSE),"")</f>
        <v/>
      </c>
      <c r="BD408" s="289"/>
      <c r="BE408" s="289"/>
      <c r="BF408" s="47" t="str">
        <f>LEFT($E408,3)</f>
        <v/>
      </c>
      <c r="BG408" s="298" t="str">
        <f>IF(Out_Table[[#This Row],[Ora Uscita    (GH)]]&lt;&gt;"","x","")</f>
        <v/>
      </c>
      <c r="BH408" s="299" t="e">
        <f>VLOOKUP($O408,'INformazioni per calcoli'!$Y$20:$AA$23,3,FALSE)</f>
        <v>#N/A</v>
      </c>
      <c r="BI408" s="299" t="e">
        <f>MROUND(Out_Table[[#This Row],[Mtr. Trailer]]*AB408,0.5)</f>
        <v>#N/A</v>
      </c>
      <c r="BJ408" s="299" t="e">
        <f>MROUND(Out_Table[[#This Row],[Mtr. Trailer]]*AE408,0.5)</f>
        <v>#N/A</v>
      </c>
      <c r="BK408" s="299" t="e">
        <f>MROUND(Out_Table[[#This Row],[Mtr. Trailer]]*AH408,0.5)</f>
        <v>#N/A</v>
      </c>
      <c r="BL408" s="300">
        <f>Out_Table[[#This Row],[Double Deck trailer N° bumpers]]</f>
        <v>0</v>
      </c>
      <c r="BM408" s="301"/>
      <c r="BN408" s="299" t="str">
        <f>B408</f>
        <v>Mezzo a disposizione 6</v>
      </c>
      <c r="BO408" s="299">
        <f>E408</f>
        <v>0</v>
      </c>
      <c r="BP408" s="302">
        <f>IF(AND(G408&gt;(--"00:00:01"),G408&lt;(--"15:00:00")),IF(AND(X408&gt;(--"00:00:01"),X408&lt;(--"15:00:00")),G408-X408,G408+1-X408),G408-X408)</f>
        <v>0</v>
      </c>
      <c r="BQ408" s="303">
        <f>AE408+AF408+AH408+AJ408</f>
        <v>0</v>
      </c>
      <c r="BR408" s="304" t="str">
        <f>IF(OR(BP408&lt;=(--"00:20:00"),BQ408&gt;=100%),"OK","Not OK")</f>
        <v>OK</v>
      </c>
      <c r="BS408" s="302">
        <f>IF(AND(G408&gt;(--"00:00:01"),G408&lt;(--"15:00:00")),IF(AND(AU408&gt;(--"00:00:01"),AU408&lt;(--"15:00:00")),G408-AU408,G408+1-AU408),G408-AU408)</f>
        <v>0</v>
      </c>
      <c r="BT408" s="302">
        <f>IF(AND(AZ408&gt;(--"00:00:01"),AZ408&lt;(--"15:00:00")),IF(AND(AU408&gt;(--"00:00:01"),AU408&lt;(--"15:00:00")),AZ408-AU408,AZ408+1-AU408),AZ408-AU408)</f>
        <v>0</v>
      </c>
      <c r="BU408" s="302">
        <f>IF(AND(BA408&gt;(--"00:00:01"),BA408&lt;(--"15:00:00")),IF(AND(AZ408&gt;(--"00:00:01"),AZ408&lt;(--"15:00:00")),BA408-AZ408,BA408+1-AZ408),BA408-AZ408)</f>
        <v>0</v>
      </c>
      <c r="BV408" s="299">
        <f>AV408</f>
        <v>0</v>
      </c>
      <c r="BW408" s="301"/>
      <c r="BX408" s="299" t="str">
        <f>IF(AV408="T Status",IF(AV408&lt;&gt;T408,"X",""),"")</f>
        <v/>
      </c>
      <c r="BY408" s="301"/>
      <c r="BZ408" s="299" t="str">
        <f>IF(X408&lt;&gt;"",IF(CC408="X","Driver Delay",IF(CA408="X","Paperwork Delay",IF(CB408="X","Late freight late sort",IF(CD408="X","Chiamare Control Room",IF(CE408="X","Chiamare Control Room",IF(CF408="X","Chiamare Control Room","")))))),"")</f>
        <v/>
      </c>
      <c r="CA408" s="302" t="str">
        <f>IF(K408="",IF(IF(AND(G408&gt;(--"00:00:01"),G408&lt;(--"15:00:00")),IF(AND(AT408&gt;(--"08:00:00"),AT408&lt;(--"23:59:59")),G408+1-AT408,G408-AT408),G408-AT408)&gt;(--"00:20:00"),"","X"),"")</f>
        <v>X</v>
      </c>
      <c r="CB408" s="299" t="str">
        <f>IF(K408="",IF(BP408&gt;=(--"00:20:00"),"","X"),"")</f>
        <v>X</v>
      </c>
      <c r="CC408" s="299" t="str">
        <f>IF(OR(AV408="Autista non presente",AV408="Dati driver non presenti"),"X","")</f>
        <v/>
      </c>
      <c r="CD408" s="299" t="str">
        <f>IF(K408="",IF(AND(CC408="",BS408&lt;(--"00:20:00")),"X",""),"")</f>
        <v>X</v>
      </c>
      <c r="CE408" s="299" t="str">
        <f>IF(K408="",IF(BT408&gt;(--"00:15:00"),"X",""),IF(AZ408&lt;&gt;"",IF(G408-AZ408&gt;(--"00:30:00"),"X",""),""))</f>
        <v/>
      </c>
      <c r="CF408" s="299" t="str">
        <f>IF(AND(CA408="",CB408="",CC408="",CD408="",CE408=""),"X","")</f>
        <v/>
      </c>
      <c r="CG408" s="301"/>
      <c r="CH408" s="299" t="str">
        <f>IF(BT408&gt;(--"00:15:00"),"X","")</f>
        <v/>
      </c>
      <c r="CI408" s="302" t="str">
        <f>AY408</f>
        <v/>
      </c>
      <c r="CJ408" s="299" t="str">
        <f>IF(AND(CH408&lt;&gt;"",CI408&lt;&gt;"",LEFT(B408,3)="ITD"),AP408,"")</f>
        <v/>
      </c>
      <c r="CK408" s="305" t="str">
        <f>IF(CJ408&lt;&gt;"",BT408,"")</f>
        <v/>
      </c>
      <c r="CL408" s="301"/>
      <c r="CM408" s="305" t="str">
        <f>IFERROR(VLOOKUP(Q408,'Elenco Casse'!$D$4:$F$292,3,FALSE),"")</f>
        <v/>
      </c>
      <c r="CN408" s="301"/>
      <c r="CO408" s="305" t="str">
        <f>IFERROR(VLOOKUP(S408,'Elenco Casse'!$D$4:$F$292,3,FALSE),"")</f>
        <v/>
      </c>
      <c r="CP408" s="305" t="str">
        <f>IFERROR(IF(VLOOKUP($E408,Outlist!$A$5:$S$120,19,FALSE)&lt;&gt;0,"Y",""),"")</f>
        <v/>
      </c>
      <c r="CQ408" s="301"/>
      <c r="CR408" s="305" t="str">
        <f>CONCATENATE($B408,$E408,$G408)</f>
        <v>Mezzo a disposizione 6</v>
      </c>
      <c r="CS408" s="301"/>
      <c r="CT408" s="305" t="e">
        <f>VLOOKUP(Out_Table[[#This Row],[Destination             ORANGE (From Planning)]],Outlist!$A$5:$W$120,22,FALSE)</f>
        <v>#N/A</v>
      </c>
    </row>
    <row r="409" spans="1:98" s="20" customFormat="1" ht="30.75">
      <c r="A409" s="305" t="str">
        <f>$CR409</f>
        <v>Mezzo a disposizione 7</v>
      </c>
      <c r="B409" s="284" t="s">
        <v>1262</v>
      </c>
      <c r="C409" s="290" t="str">
        <f ca="1">IFERROR(IF(LEFT(B409,3)='STAT 77'!$X$2,_xlfn.XLOOKUP(B409,'STAT 77'!C:C,'STAT 77'!B:B),_xlfn.XLOOKUP(B409,'STAT 77'!B:B,'STAT 77'!C:C)),"NON TROVATO")</f>
        <v>NON TROVATO</v>
      </c>
      <c r="D409" s="25"/>
      <c r="E409" s="25"/>
      <c r="F409" s="290" t="str">
        <f>IFERROR(VLOOKUP(E409,'Cambio O2P'!C:E,2,FALSE),"")</f>
        <v/>
      </c>
      <c r="G409" s="285"/>
      <c r="H409" s="293" t="str">
        <f ca="1">IFERROR(IF(AND('INformazioni per calcoli'!$AB$3&lt;(--"14:30"),'INformazioni per calcoli'!$AB$3&gt;(--"10:00")),"",IF($B409="","",IF($X409&lt;&gt;"","Mezzo Chiuso",IF($W409="","Non al Carico",IF($G409-'INformazioni per calcoli'!$AB$5-'INformazioni per calcoli'!$AB$3+$J409&lt;0,"LFLS",IF($K409&lt;&gt;"","Safe Parking",IF($W409&lt;&gt;"",IF($E409="MXP",$G409-'INformazioni per calcoli'!$AB$6-'INformazioni per calcoli'!$AB$3+$J409,$G409-'INformazioni per calcoli'!$AB$5-'INformazioni per calcoli'!$AB$3+$J409),"Non al carico"))))))),"")</f>
        <v>Non al Carico</v>
      </c>
      <c r="I409" s="17" t="str">
        <f ca="1">IFERROR(IF($H409&lt;&gt;"",IF($H409="Safe Parking","",IF($W409&lt;&gt;"",IF(AND($U409="X",$V409="X"),$H409-(--"00:30"),""),IF($X409&lt;&gt;"","Mezzo Chiuso","Non al carico"))),""),"")</f>
        <v>Non al carico</v>
      </c>
      <c r="J409" s="306">
        <f ca="1">IFERROR(IF($B409&lt;&gt;"",IF(AND('INformazioni per calcoli'!$AB$3&lt;(--"15:00"),'INformazioni per calcoli'!$AB$3&gt;(--"00:00")),0,IF($G409&lt;(--"18:30"),"+1",0)),""),"")</f>
        <v>0</v>
      </c>
      <c r="K409" s="27"/>
      <c r="L409" s="25"/>
      <c r="M409" s="25">
        <f>IFERROR(_xlfn.XLOOKUP($Q409,'Elenco Casse'!$D:$D,'Elenco Casse'!$E:$E),"")</f>
        <v>0</v>
      </c>
      <c r="N409" s="25">
        <f>IFERROR(_xlfn.XLOOKUP($Q409,'Elenco Casse'!$D:$D,'Elenco Casse'!$F:$F),"")</f>
        <v>0</v>
      </c>
      <c r="O409" s="286"/>
      <c r="P409" s="295">
        <f>IFERROR(_xlfn.XLOOKUP($Q409,'Elenco Casse'!$D:$D,'Elenco Casse'!$G:$G),"")</f>
        <v>0</v>
      </c>
      <c r="Q409" s="355"/>
      <c r="R409" s="23"/>
      <c r="S409" s="25"/>
      <c r="T409" s="25"/>
      <c r="U409" s="23" t="str">
        <f>IF(ISNUMBER(SEARCH("Parcel",$T409)),"X","")</f>
        <v/>
      </c>
      <c r="V409" s="23" t="str">
        <f>IF(ISNUMBER(SEARCH("Freight",$T409)),"X","")</f>
        <v/>
      </c>
      <c r="W409" s="26"/>
      <c r="X409" s="27"/>
      <c r="Y409" s="25"/>
      <c r="Z409" s="25"/>
      <c r="AA409" s="25"/>
      <c r="AB409" s="57"/>
      <c r="AC409" s="25"/>
      <c r="AD409" s="25"/>
      <c r="AE409" s="57"/>
      <c r="AF409" s="57"/>
      <c r="AG409" s="25"/>
      <c r="AH409" s="57"/>
      <c r="AI409" s="339"/>
      <c r="AJ409" s="339"/>
      <c r="AK409" s="297" t="str">
        <f>IF(X409&lt;&gt;"",CONCATENATE(IF(AA409&lt;&gt;"",CONCATENATE(Z409," ",AA409," ",BI409),""),IF(AD409&lt;&gt;"",CONCATENATE(","," ",AC409," ",AD409," ",BJ409),""),IF(AG409&lt;&gt;"",CONCATENATE(","," ",AF409," ",AG409," ",BK409),""),IF(AJ409&lt;&gt;"",CONCATENATE(","," ","DD"," ",BL409),"")," ",IF(AI409&lt;&gt;"",CONCATENATE(" - ",AI409," Bag"),"")),"")</f>
        <v/>
      </c>
      <c r="AL409" s="287"/>
      <c r="AM409" s="287"/>
      <c r="AN409" s="287"/>
      <c r="AO409" s="287"/>
      <c r="AP409" s="370" t="str">
        <f>IFERROR(VLOOKUP($E409,Outlist!$A$5:$V$120,20,FALSE),"")</f>
        <v/>
      </c>
      <c r="AQ409" s="288" t="str">
        <f>IFERROR(IF(VLOOKUP($A409,#REF!,8,FALSE)&lt;&gt;"",VLOOKUP($A409,#REF!,8,FALSE),""),"")</f>
        <v/>
      </c>
      <c r="AS409" s="24"/>
      <c r="AT409" s="24"/>
      <c r="AU409" s="27"/>
      <c r="AV409" s="27"/>
      <c r="AX409" s="20" t="str">
        <f>IFERROR(IF(Out_Table[[#This Row],[Cancellazione linea]]="Cancellata","yes",""),"")</f>
        <v/>
      </c>
      <c r="AY409" s="72" t="str">
        <f>IF(BA409="",BZ409,IF(AND(BA409&lt;(--"23:59:59"),BA409&gt;(--"15:00:00"),G409&lt;(--"14:00:00"),G409&gt;(--"00:00:01")),"",IF(BA409&gt;G409,BZ409,"")))</f>
        <v/>
      </c>
      <c r="AZ409" s="27"/>
      <c r="BA409" s="32"/>
      <c r="BB409" s="72"/>
      <c r="BC409" s="72" t="str">
        <f>IFERROR(VLOOKUP(Out_Table[[#This Row],[Aggiornamento STATUS]],'INformazioni per calcoli'!$Y$70:$AA$76,2,FALSE),"")</f>
        <v/>
      </c>
      <c r="BD409" s="289"/>
      <c r="BE409" s="289"/>
      <c r="BF409" s="47" t="str">
        <f>LEFT($E409,3)</f>
        <v/>
      </c>
      <c r="BG409" s="298" t="str">
        <f>IF(Out_Table[[#This Row],[Ora Uscita    (GH)]]&lt;&gt;"","x","")</f>
        <v/>
      </c>
      <c r="BH409" s="299" t="e">
        <f>VLOOKUP($O409,'INformazioni per calcoli'!$Y$20:$AA$23,3,FALSE)</f>
        <v>#N/A</v>
      </c>
      <c r="BI409" s="299" t="e">
        <f>MROUND(Out_Table[[#This Row],[Mtr. Trailer]]*AB409,0.5)</f>
        <v>#N/A</v>
      </c>
      <c r="BJ409" s="299" t="e">
        <f>MROUND(Out_Table[[#This Row],[Mtr. Trailer]]*AE409,0.5)</f>
        <v>#N/A</v>
      </c>
      <c r="BK409" s="299" t="e">
        <f>MROUND(Out_Table[[#This Row],[Mtr. Trailer]]*AH409,0.5)</f>
        <v>#N/A</v>
      </c>
      <c r="BL409" s="300">
        <f>Out_Table[[#This Row],[Double Deck trailer N° bumpers]]</f>
        <v>0</v>
      </c>
      <c r="BM409" s="301"/>
      <c r="BN409" s="299" t="str">
        <f>B409</f>
        <v>Mezzo a disposizione 7</v>
      </c>
      <c r="BO409" s="299">
        <f>E409</f>
        <v>0</v>
      </c>
      <c r="BP409" s="302">
        <f>IF(AND(G409&gt;(--"00:00:01"),G409&lt;(--"15:00:00")),IF(AND(X409&gt;(--"00:00:01"),X409&lt;(--"15:00:00")),G409-X409,G409+1-X409),G409-X409)</f>
        <v>0</v>
      </c>
      <c r="BQ409" s="303">
        <f>AE409+AF409+AH409+AJ409</f>
        <v>0</v>
      </c>
      <c r="BR409" s="304" t="str">
        <f>IF(OR(BP409&lt;=(--"00:20:00"),BQ409&gt;=100%),"OK","Not OK")</f>
        <v>OK</v>
      </c>
      <c r="BS409" s="302">
        <f>IF(AND(G409&gt;(--"00:00:01"),G409&lt;(--"15:00:00")),IF(AND(AU409&gt;(--"00:00:01"),AU409&lt;(--"15:00:00")),G409-AU409,G409+1-AU409),G409-AU409)</f>
        <v>0</v>
      </c>
      <c r="BT409" s="302">
        <f>IF(AND(AZ409&gt;(--"00:00:01"),AZ409&lt;(--"15:00:00")),IF(AND(AU409&gt;(--"00:00:01"),AU409&lt;(--"15:00:00")),AZ409-AU409,AZ409+1-AU409),AZ409-AU409)</f>
        <v>0</v>
      </c>
      <c r="BU409" s="302">
        <f>IF(AND(BA409&gt;(--"00:00:01"),BA409&lt;(--"15:00:00")),IF(AND(AZ409&gt;(--"00:00:01"),AZ409&lt;(--"15:00:00")),BA409-AZ409,BA409+1-AZ409),BA409-AZ409)</f>
        <v>0</v>
      </c>
      <c r="BV409" s="299">
        <f>AV409</f>
        <v>0</v>
      </c>
      <c r="BW409" s="301"/>
      <c r="BX409" s="299" t="str">
        <f>IF(AV409="T Status",IF(AV409&lt;&gt;T409,"X",""),"")</f>
        <v/>
      </c>
      <c r="BY409" s="301"/>
      <c r="BZ409" s="299" t="str">
        <f>IF(X409&lt;&gt;"",IF(CC409="X","Driver Delay",IF(CA409="X","Paperwork Delay",IF(CB409="X","Late freight late sort",IF(CD409="X","Chiamare Control Room",IF(CE409="X","Chiamare Control Room",IF(CF409="X","Chiamare Control Room","")))))),"")</f>
        <v/>
      </c>
      <c r="CA409" s="302" t="str">
        <f>IF(K409="",IF(IF(AND(G409&gt;(--"00:00:01"),G409&lt;(--"15:00:00")),IF(AND(AT409&gt;(--"08:00:00"),AT409&lt;(--"23:59:59")),G409+1-AT409,G409-AT409),G409-AT409)&gt;(--"00:20:00"),"","X"),"")</f>
        <v>X</v>
      </c>
      <c r="CB409" s="299" t="str">
        <f>IF(K409="",IF(BP409&gt;=(--"00:20:00"),"","X"),"")</f>
        <v>X</v>
      </c>
      <c r="CC409" s="299" t="str">
        <f>IF(OR(AV409="Autista non presente",AV409="Dati driver non presenti"),"X","")</f>
        <v/>
      </c>
      <c r="CD409" s="299" t="str">
        <f>IF(K409="",IF(AND(CC409="",BS409&lt;(--"00:20:00")),"X",""),"")</f>
        <v>X</v>
      </c>
      <c r="CE409" s="299" t="str">
        <f>IF(K409="",IF(BT409&gt;(--"00:15:00"),"X",""),IF(AZ409&lt;&gt;"",IF(G409-AZ409&gt;(--"00:30:00"),"X",""),""))</f>
        <v/>
      </c>
      <c r="CF409" s="299" t="str">
        <f>IF(AND(CA409="",CB409="",CC409="",CD409="",CE409=""),"X","")</f>
        <v/>
      </c>
      <c r="CG409" s="301"/>
      <c r="CH409" s="299" t="str">
        <f>IF(BT409&gt;(--"00:15:00"),"X","")</f>
        <v/>
      </c>
      <c r="CI409" s="302" t="str">
        <f>AY409</f>
        <v/>
      </c>
      <c r="CJ409" s="299" t="str">
        <f>IF(AND(CH409&lt;&gt;"",CI409&lt;&gt;"",LEFT(B409,3)="ITD"),AP409,"")</f>
        <v/>
      </c>
      <c r="CK409" s="305" t="str">
        <f>IF(CJ409&lt;&gt;"",BT409,"")</f>
        <v/>
      </c>
      <c r="CL409" s="301"/>
      <c r="CM409" s="305" t="str">
        <f>IFERROR(VLOOKUP(Q409,'Elenco Casse'!$D$4:$F$292,3,FALSE),"")</f>
        <v/>
      </c>
      <c r="CN409" s="301"/>
      <c r="CO409" s="305" t="str">
        <f>IFERROR(VLOOKUP(S409,'Elenco Casse'!$D$4:$F$292,3,FALSE),"")</f>
        <v/>
      </c>
      <c r="CP409" s="305" t="str">
        <f>IFERROR(IF(VLOOKUP($E409,Outlist!$A$5:$S$120,19,FALSE)&lt;&gt;0,"Y",""),"")</f>
        <v/>
      </c>
      <c r="CQ409" s="301"/>
      <c r="CR409" s="305" t="str">
        <f>CONCATENATE($B409,$E409,$G409)</f>
        <v>Mezzo a disposizione 7</v>
      </c>
      <c r="CS409" s="301"/>
      <c r="CT409" s="305" t="e">
        <f>VLOOKUP(Out_Table[[#This Row],[Destination             ORANGE (From Planning)]],Outlist!$A$5:$W$120,22,FALSE)</f>
        <v>#N/A</v>
      </c>
    </row>
    <row r="410" spans="1:98" s="20" customFormat="1" ht="30.75">
      <c r="A410" s="305" t="str">
        <f>$CR410</f>
        <v>Mezzo a disposizione 8</v>
      </c>
      <c r="B410" s="284" t="s">
        <v>1263</v>
      </c>
      <c r="C410" s="290" t="str">
        <f ca="1">IFERROR(IF(LEFT(B410,3)='STAT 77'!$X$2,_xlfn.XLOOKUP(B410,'STAT 77'!C:C,'STAT 77'!B:B),_xlfn.XLOOKUP(B410,'STAT 77'!B:B,'STAT 77'!C:C)),"NON TROVATO")</f>
        <v>NON TROVATO</v>
      </c>
      <c r="D410" s="25"/>
      <c r="E410" s="25"/>
      <c r="F410" s="290" t="str">
        <f>IFERROR(VLOOKUP(E410,'Cambio O2P'!C:E,2,FALSE),"")</f>
        <v/>
      </c>
      <c r="G410" s="285"/>
      <c r="H410" s="293" t="str">
        <f ca="1">IFERROR(IF(AND('INformazioni per calcoli'!$AB$3&lt;(--"14:30"),'INformazioni per calcoli'!$AB$3&gt;(--"10:00")),"",IF($B410="","",IF($X410&lt;&gt;"","Mezzo Chiuso",IF($W410="","Non al Carico",IF($G410-'INformazioni per calcoli'!$AB$5-'INformazioni per calcoli'!$AB$3+$J410&lt;0,"LFLS",IF($K410&lt;&gt;"","Safe Parking",IF($W410&lt;&gt;"",IF($E410="MXP",$G410-'INformazioni per calcoli'!$AB$6-'INformazioni per calcoli'!$AB$3+$J410,$G410-'INformazioni per calcoli'!$AB$5-'INformazioni per calcoli'!$AB$3+$J410),"Non al carico"))))))),"")</f>
        <v>Non al Carico</v>
      </c>
      <c r="I410" s="17" t="str">
        <f ca="1">IFERROR(IF($H410&lt;&gt;"",IF($H410="Safe Parking","",IF($W410&lt;&gt;"",IF(AND($U410="X",$V410="X"),$H410-(--"00:30"),""),IF($X410&lt;&gt;"","Mezzo Chiuso","Non al carico"))),""),"")</f>
        <v>Non al carico</v>
      </c>
      <c r="J410" s="306">
        <f ca="1">IFERROR(IF($B410&lt;&gt;"",IF(AND('INformazioni per calcoli'!$AB$3&lt;(--"15:00"),'INformazioni per calcoli'!$AB$3&gt;(--"00:00")),0,IF($G410&lt;(--"18:30"),"+1",0)),""),"")</f>
        <v>0</v>
      </c>
      <c r="K410" s="27"/>
      <c r="L410" s="25"/>
      <c r="M410" s="25">
        <f>IFERROR(_xlfn.XLOOKUP($Q410,'Elenco Casse'!$D:$D,'Elenco Casse'!$E:$E),"")</f>
        <v>0</v>
      </c>
      <c r="N410" s="25">
        <f>IFERROR(_xlfn.XLOOKUP($Q410,'Elenco Casse'!$D:$D,'Elenco Casse'!$F:$F),"")</f>
        <v>0</v>
      </c>
      <c r="O410" s="286"/>
      <c r="P410" s="295">
        <f>IFERROR(_xlfn.XLOOKUP($Q410,'Elenco Casse'!$D:$D,'Elenco Casse'!$G:$G),"")</f>
        <v>0</v>
      </c>
      <c r="Q410" s="355"/>
      <c r="R410" s="23"/>
      <c r="S410" s="25"/>
      <c r="T410" s="25"/>
      <c r="U410" s="23" t="str">
        <f>IF(ISNUMBER(SEARCH("Parcel",$T410)),"X","")</f>
        <v/>
      </c>
      <c r="V410" s="23" t="str">
        <f>IF(ISNUMBER(SEARCH("Freight",$T410)),"X","")</f>
        <v/>
      </c>
      <c r="W410" s="26"/>
      <c r="X410" s="27"/>
      <c r="Y410" s="25"/>
      <c r="Z410" s="25"/>
      <c r="AA410" s="25"/>
      <c r="AB410" s="57"/>
      <c r="AC410" s="25"/>
      <c r="AD410" s="25"/>
      <c r="AE410" s="57"/>
      <c r="AF410" s="57"/>
      <c r="AG410" s="25"/>
      <c r="AH410" s="57"/>
      <c r="AI410" s="339"/>
      <c r="AJ410" s="339"/>
      <c r="AK410" s="297" t="str">
        <f>IF(X410&lt;&gt;"",CONCATENATE(IF(AA410&lt;&gt;"",CONCATENATE(Z410," ",AA410," ",BI410),""),IF(AD410&lt;&gt;"",CONCATENATE(","," ",AC410," ",AD410," ",BJ410),""),IF(AG410&lt;&gt;"",CONCATENATE(","," ",AF410," ",AG410," ",BK410),""),IF(AJ410&lt;&gt;"",CONCATENATE(","," ","DD"," ",BL410),"")," ",IF(AI410&lt;&gt;"",CONCATENATE(" - ",AI410," Bag"),"")),"")</f>
        <v/>
      </c>
      <c r="AL410" s="287"/>
      <c r="AM410" s="287"/>
      <c r="AN410" s="287"/>
      <c r="AO410" s="287"/>
      <c r="AP410" s="370" t="str">
        <f>IFERROR(VLOOKUP($E410,Outlist!$A$5:$V$120,20,FALSE),"")</f>
        <v/>
      </c>
      <c r="AQ410" s="288" t="str">
        <f>IFERROR(IF(VLOOKUP($A410,#REF!,8,FALSE)&lt;&gt;"",VLOOKUP($A410,#REF!,8,FALSE),""),"")</f>
        <v/>
      </c>
      <c r="AS410" s="24"/>
      <c r="AT410" s="24"/>
      <c r="AU410" s="27"/>
      <c r="AV410" s="27"/>
      <c r="AX410" s="20" t="str">
        <f>IFERROR(IF(Out_Table[[#This Row],[Cancellazione linea]]="Cancellata","yes",""),"")</f>
        <v/>
      </c>
      <c r="AY410" s="72" t="str">
        <f>IF(BA410="",BZ410,IF(AND(BA410&lt;(--"23:59:59"),BA410&gt;(--"15:00:00"),G410&lt;(--"14:00:00"),G410&gt;(--"00:00:01")),"",IF(BA410&gt;G410,BZ410,"")))</f>
        <v/>
      </c>
      <c r="AZ410" s="27"/>
      <c r="BA410" s="32"/>
      <c r="BB410" s="72"/>
      <c r="BC410" s="72" t="str">
        <f>IFERROR(VLOOKUP(Out_Table[[#This Row],[Aggiornamento STATUS]],'INformazioni per calcoli'!$Y$70:$AA$76,2,FALSE),"")</f>
        <v/>
      </c>
      <c r="BD410" s="289"/>
      <c r="BE410" s="289"/>
      <c r="BF410" s="47" t="str">
        <f>LEFT($E410,3)</f>
        <v/>
      </c>
      <c r="BG410" s="298" t="str">
        <f>IF(Out_Table[[#This Row],[Ora Uscita    (GH)]]&lt;&gt;"","x","")</f>
        <v/>
      </c>
      <c r="BH410" s="299" t="e">
        <f>VLOOKUP($O410,'INformazioni per calcoli'!$Y$20:$AA$23,3,FALSE)</f>
        <v>#N/A</v>
      </c>
      <c r="BI410" s="299" t="e">
        <f>MROUND(Out_Table[[#This Row],[Mtr. Trailer]]*AB410,0.5)</f>
        <v>#N/A</v>
      </c>
      <c r="BJ410" s="299" t="e">
        <f>MROUND(Out_Table[[#This Row],[Mtr. Trailer]]*AE410,0.5)</f>
        <v>#N/A</v>
      </c>
      <c r="BK410" s="299" t="e">
        <f>MROUND(Out_Table[[#This Row],[Mtr. Trailer]]*AH410,0.5)</f>
        <v>#N/A</v>
      </c>
      <c r="BL410" s="300">
        <f>Out_Table[[#This Row],[Double Deck trailer N° bumpers]]</f>
        <v>0</v>
      </c>
      <c r="BM410" s="301"/>
      <c r="BN410" s="299" t="str">
        <f>B410</f>
        <v>Mezzo a disposizione 8</v>
      </c>
      <c r="BO410" s="299">
        <f>E410</f>
        <v>0</v>
      </c>
      <c r="BP410" s="302">
        <f>IF(AND(G410&gt;(--"00:00:01"),G410&lt;(--"15:00:00")),IF(AND(X410&gt;(--"00:00:01"),X410&lt;(--"15:00:00")),G410-X410,G410+1-X410),G410-X410)</f>
        <v>0</v>
      </c>
      <c r="BQ410" s="303">
        <f>AE410+AF410+AH410+AJ410</f>
        <v>0</v>
      </c>
      <c r="BR410" s="304" t="str">
        <f>IF(OR(BP410&lt;=(--"00:20:00"),BQ410&gt;=100%),"OK","Not OK")</f>
        <v>OK</v>
      </c>
      <c r="BS410" s="302">
        <f>IF(AND(G410&gt;(--"00:00:01"),G410&lt;(--"15:00:00")),IF(AND(AU410&gt;(--"00:00:01"),AU410&lt;(--"15:00:00")),G410-AU410,G410+1-AU410),G410-AU410)</f>
        <v>0</v>
      </c>
      <c r="BT410" s="302">
        <f>IF(AND(AZ410&gt;(--"00:00:01"),AZ410&lt;(--"15:00:00")),IF(AND(AU410&gt;(--"00:00:01"),AU410&lt;(--"15:00:00")),AZ410-AU410,AZ410+1-AU410),AZ410-AU410)</f>
        <v>0</v>
      </c>
      <c r="BU410" s="302">
        <f>IF(AND(BA410&gt;(--"00:00:01"),BA410&lt;(--"15:00:00")),IF(AND(AZ410&gt;(--"00:00:01"),AZ410&lt;(--"15:00:00")),BA410-AZ410,BA410+1-AZ410),BA410-AZ410)</f>
        <v>0</v>
      </c>
      <c r="BV410" s="299">
        <f>AV410</f>
        <v>0</v>
      </c>
      <c r="BW410" s="301"/>
      <c r="BX410" s="299" t="str">
        <f>IF(AV410="T Status",IF(AV410&lt;&gt;T410,"X",""),"")</f>
        <v/>
      </c>
      <c r="BY410" s="301"/>
      <c r="BZ410" s="299" t="str">
        <f>IF(X410&lt;&gt;"",IF(CC410="X","Driver Delay",IF(CA410="X","Paperwork Delay",IF(CB410="X","Late freight late sort",IF(CD410="X","Chiamare Control Room",IF(CE410="X","Chiamare Control Room",IF(CF410="X","Chiamare Control Room","")))))),"")</f>
        <v/>
      </c>
      <c r="CA410" s="302" t="str">
        <f>IF(K410="",IF(IF(AND(G410&gt;(--"00:00:01"),G410&lt;(--"15:00:00")),IF(AND(AT410&gt;(--"08:00:00"),AT410&lt;(--"23:59:59")),G410+1-AT410,G410-AT410),G410-AT410)&gt;(--"00:20:00"),"","X"),"")</f>
        <v>X</v>
      </c>
      <c r="CB410" s="299" t="str">
        <f>IF(K410="",IF(BP410&gt;=(--"00:20:00"),"","X"),"")</f>
        <v>X</v>
      </c>
      <c r="CC410" s="299" t="str">
        <f>IF(OR(AV410="Autista non presente",AV410="Dati driver non presenti"),"X","")</f>
        <v/>
      </c>
      <c r="CD410" s="299" t="str">
        <f>IF(K410="",IF(AND(CC410="",BS410&lt;(--"00:20:00")),"X",""),"")</f>
        <v>X</v>
      </c>
      <c r="CE410" s="299" t="str">
        <f>IF(K410="",IF(BT410&gt;(--"00:15:00"),"X",""),IF(AZ410&lt;&gt;"",IF(G410-AZ410&gt;(--"00:30:00"),"X",""),""))</f>
        <v/>
      </c>
      <c r="CF410" s="299" t="str">
        <f>IF(AND(CA410="",CB410="",CC410="",CD410="",CE410=""),"X","")</f>
        <v/>
      </c>
      <c r="CG410" s="301"/>
      <c r="CH410" s="299" t="str">
        <f>IF(BT410&gt;(--"00:15:00"),"X","")</f>
        <v/>
      </c>
      <c r="CI410" s="302" t="str">
        <f>AY410</f>
        <v/>
      </c>
      <c r="CJ410" s="299" t="str">
        <f>IF(AND(CH410&lt;&gt;"",CI410&lt;&gt;"",LEFT(B410,3)="ITD"),AP410,"")</f>
        <v/>
      </c>
      <c r="CK410" s="305" t="str">
        <f>IF(CJ410&lt;&gt;"",BT410,"")</f>
        <v/>
      </c>
      <c r="CL410" s="301"/>
      <c r="CM410" s="305" t="str">
        <f>IFERROR(VLOOKUP(Q410,'Elenco Casse'!$D$4:$F$292,3,FALSE),"")</f>
        <v/>
      </c>
      <c r="CN410" s="301"/>
      <c r="CO410" s="305" t="str">
        <f>IFERROR(VLOOKUP(S410,'Elenco Casse'!$D$4:$F$292,3,FALSE),"")</f>
        <v/>
      </c>
      <c r="CP410" s="305" t="str">
        <f>IFERROR(IF(VLOOKUP($E410,Outlist!$A$5:$S$120,19,FALSE)&lt;&gt;0,"Y",""),"")</f>
        <v/>
      </c>
      <c r="CQ410" s="301"/>
      <c r="CR410" s="305" t="str">
        <f>CONCATENATE($B410,$E410,$G410)</f>
        <v>Mezzo a disposizione 8</v>
      </c>
      <c r="CS410" s="301"/>
      <c r="CT410" s="305" t="e">
        <f>VLOOKUP(Out_Table[[#This Row],[Destination             ORANGE (From Planning)]],Outlist!$A$5:$W$120,22,FALSE)</f>
        <v>#N/A</v>
      </c>
    </row>
    <row r="411" spans="1:98" s="20" customFormat="1" ht="30.75">
      <c r="A411" s="357" t="str">
        <f>$CR411</f>
        <v>Mezzo a disposizione 9</v>
      </c>
      <c r="B411" s="284" t="s">
        <v>1264</v>
      </c>
      <c r="C411" s="290" t="str">
        <f ca="1">IFERROR(IF(LEFT(B411,3)='STAT 77'!$X$2,_xlfn.XLOOKUP(B411,'STAT 77'!C:C,'STAT 77'!B:B),_xlfn.XLOOKUP(B411,'STAT 77'!B:B,'STAT 77'!C:C)),"NON TROVATO")</f>
        <v>NON TROVATO</v>
      </c>
      <c r="D411" s="25"/>
      <c r="E411" s="25"/>
      <c r="F411" s="290" t="str">
        <f>IFERROR(VLOOKUP(E411,'Cambio O2P'!C:E,2,FALSE),"")</f>
        <v/>
      </c>
      <c r="G411" s="285"/>
      <c r="H411" s="293" t="str">
        <f ca="1">IFERROR(IF(AND('INformazioni per calcoli'!$AB$3&lt;(--"14:30"),'INformazioni per calcoli'!$AB$3&gt;(--"10:00")),"",IF($B411="","",IF($X411&lt;&gt;"","Mezzo Chiuso",IF($W411="","Non al Carico",IF($G411-'INformazioni per calcoli'!$AB$5-'INformazioni per calcoli'!$AB$3+$J411&lt;0,"LFLS",IF($K411&lt;&gt;"","Safe Parking",IF($W411&lt;&gt;"",IF($E411="MXP",$G411-'INformazioni per calcoli'!$AB$6-'INformazioni per calcoli'!$AB$3+$J411,$G411-'INformazioni per calcoli'!$AB$5-'INformazioni per calcoli'!$AB$3+$J411),"Non al carico"))))))),"")</f>
        <v>Non al Carico</v>
      </c>
      <c r="I411" s="17" t="str">
        <f ca="1">IFERROR(IF($H411&lt;&gt;"",IF($H411="Safe Parking","",IF($W411&lt;&gt;"",IF(AND($U411="X",$V411="X"),$H411-(--"00:30"),""),IF($X411&lt;&gt;"","Mezzo Chiuso","Non al carico"))),""),"")</f>
        <v>Non al carico</v>
      </c>
      <c r="J411" s="306">
        <f ca="1">IFERROR(IF($B411&lt;&gt;"",IF(AND('INformazioni per calcoli'!$AB$3&lt;(--"15:00"),'INformazioni per calcoli'!$AB$3&gt;(--"00:00")),0,IF($G411&lt;(--"18:30"),"+1",0)),""),"")</f>
        <v>0</v>
      </c>
      <c r="K411" s="569"/>
      <c r="L411" s="25"/>
      <c r="M411" s="25">
        <f>IFERROR(_xlfn.XLOOKUP($Q411,'Elenco Casse'!$D:$D,'Elenco Casse'!$E:$E),"")</f>
        <v>0</v>
      </c>
      <c r="N411" s="25">
        <f>IFERROR(_xlfn.XLOOKUP($Q411,'Elenco Casse'!$D:$D,'Elenco Casse'!$F:$F),"")</f>
        <v>0</v>
      </c>
      <c r="O411" s="286"/>
      <c r="P411" s="295">
        <f>IFERROR(_xlfn.XLOOKUP($Q411,'Elenco Casse'!$D:$D,'Elenco Casse'!$G:$G),"")</f>
        <v>0</v>
      </c>
      <c r="Q411" s="355"/>
      <c r="R411" s="23"/>
      <c r="S411" s="25"/>
      <c r="T411" s="25"/>
      <c r="U411" s="23" t="str">
        <f>IF(ISNUMBER(SEARCH("Parcel",$T411)),"X","")</f>
        <v/>
      </c>
      <c r="V411" s="23" t="str">
        <f>IF(ISNUMBER(SEARCH("Freight",$T411)),"X","")</f>
        <v/>
      </c>
      <c r="W411" s="26"/>
      <c r="X411" s="27"/>
      <c r="Y411" s="25"/>
      <c r="Z411" s="25"/>
      <c r="AA411" s="25"/>
      <c r="AB411" s="57"/>
      <c r="AC411" s="25"/>
      <c r="AD411" s="25"/>
      <c r="AE411" s="57"/>
      <c r="AF411" s="57"/>
      <c r="AG411" s="25"/>
      <c r="AH411" s="57"/>
      <c r="AI411" s="339"/>
      <c r="AJ411" s="339"/>
      <c r="AK411" s="297" t="str">
        <f>IF(X411&lt;&gt;"",CONCATENATE(IF(AA411&lt;&gt;"",CONCATENATE(Z411," ",AA411," ",BI411),""),IF(AD411&lt;&gt;"",CONCATENATE(","," ",AC411," ",AD411," ",BJ411),""),IF(AG411&lt;&gt;"",CONCATENATE(","," ",AF411," ",AG411," ",BK411),""),IF(AJ411&lt;&gt;"",CONCATENATE(","," ","DD"," ",BL411),"")," ",IF(AI411&lt;&gt;"",CONCATENATE(" - ",AI411," Bag"),"")),"")</f>
        <v/>
      </c>
      <c r="AL411" s="287"/>
      <c r="AM411" s="287"/>
      <c r="AN411" s="287"/>
      <c r="AO411" s="287"/>
      <c r="AP411" s="370" t="str">
        <f>IFERROR(VLOOKUP($E411,Outlist!$A$5:$V$120,20,FALSE),"")</f>
        <v/>
      </c>
      <c r="AQ411" s="288" t="str">
        <f>IFERROR(IF(VLOOKUP($A411,#REF!,8,FALSE)&lt;&gt;"",VLOOKUP($A411,#REF!,8,FALSE),""),"")</f>
        <v/>
      </c>
      <c r="AS411" s="24"/>
      <c r="AT411" s="24"/>
      <c r="AU411" s="27"/>
      <c r="AV411" s="27"/>
      <c r="AX411" s="20" t="str">
        <f>IFERROR(IF(Out_Table[[#This Row],[Cancellazione linea]]="Cancellata","yes",""),"")</f>
        <v/>
      </c>
      <c r="AY411" s="72" t="str">
        <f>IF(BA411="",BZ411,IF(AND(BA411&lt;(--"23:59:59"),BA411&gt;(--"15:00:00"),G411&lt;(--"14:00:00"),G411&gt;(--"00:00:01")),"",IF(BA411&gt;G411,BZ411,"")))</f>
        <v/>
      </c>
      <c r="AZ411" s="27"/>
      <c r="BA411" s="32"/>
      <c r="BB411" s="72"/>
      <c r="BC411" s="72" t="str">
        <f>IFERROR(VLOOKUP(Out_Table[[#This Row],[Aggiornamento STATUS]],'INformazioni per calcoli'!$Y$70:$AA$76,2,FALSE),"")</f>
        <v/>
      </c>
      <c r="BD411" s="289"/>
      <c r="BE411" s="289"/>
      <c r="BF411" s="47" t="str">
        <f>LEFT($E411,3)</f>
        <v/>
      </c>
      <c r="BG411" s="298" t="str">
        <f>IF(Out_Table[[#This Row],[Ora Uscita    (GH)]]&lt;&gt;"","x","")</f>
        <v/>
      </c>
      <c r="BH411" s="299" t="e">
        <f>VLOOKUP($O411,'INformazioni per calcoli'!$Y$20:$AA$23,3,FALSE)</f>
        <v>#N/A</v>
      </c>
      <c r="BI411" s="299" t="e">
        <f>MROUND(Out_Table[[#This Row],[Mtr. Trailer]]*AB411,0.5)</f>
        <v>#N/A</v>
      </c>
      <c r="BJ411" s="299" t="e">
        <f>MROUND(Out_Table[[#This Row],[Mtr. Trailer]]*AE411,0.5)</f>
        <v>#N/A</v>
      </c>
      <c r="BK411" s="299" t="e">
        <f>MROUND(Out_Table[[#This Row],[Mtr. Trailer]]*AH411,0.5)</f>
        <v>#N/A</v>
      </c>
      <c r="BL411" s="300">
        <f>Out_Table[[#This Row],[Double Deck trailer N° bumpers]]</f>
        <v>0</v>
      </c>
      <c r="BM411" s="301"/>
      <c r="BN411" s="299" t="str">
        <f>B411</f>
        <v>Mezzo a disposizione 9</v>
      </c>
      <c r="BO411" s="299">
        <f>E411</f>
        <v>0</v>
      </c>
      <c r="BP411" s="302">
        <f>IF(AND(G411&gt;(--"00:00:01"),G411&lt;(--"15:00:00")),IF(AND(X411&gt;(--"00:00:01"),X411&lt;(--"15:00:00")),G411-X411,G411+1-X411),G411-X411)</f>
        <v>0</v>
      </c>
      <c r="BQ411" s="303">
        <f>AE411+AF411+AH411+AJ411</f>
        <v>0</v>
      </c>
      <c r="BR411" s="304" t="str">
        <f>IF(OR(BP411&lt;=(--"00:20:00"),BQ411&gt;=100%),"OK","Not OK")</f>
        <v>OK</v>
      </c>
      <c r="BS411" s="302">
        <f>IF(AND(G411&gt;(--"00:00:01"),G411&lt;(--"15:00:00")),IF(AND(AU411&gt;(--"00:00:01"),AU411&lt;(--"15:00:00")),G411-AU411,G411+1-AU411),G411-AU411)</f>
        <v>0</v>
      </c>
      <c r="BT411" s="302">
        <f>IF(AND(AZ411&gt;(--"00:00:01"),AZ411&lt;(--"15:00:00")),IF(AND(AU411&gt;(--"00:00:01"),AU411&lt;(--"15:00:00")),AZ411-AU411,AZ411+1-AU411),AZ411-AU411)</f>
        <v>0</v>
      </c>
      <c r="BU411" s="302">
        <f>IF(AND(BA411&gt;(--"00:00:01"),BA411&lt;(--"15:00:00")),IF(AND(AZ411&gt;(--"00:00:01"),AZ411&lt;(--"15:00:00")),BA411-AZ411,BA411+1-AZ411),BA411-AZ411)</f>
        <v>0</v>
      </c>
      <c r="BV411" s="299">
        <f>AV411</f>
        <v>0</v>
      </c>
      <c r="BW411" s="301"/>
      <c r="BX411" s="299" t="str">
        <f>IF(AV411="T Status",IF(AV411&lt;&gt;T411,"X",""),"")</f>
        <v/>
      </c>
      <c r="BY411" s="301"/>
      <c r="BZ411" s="299" t="str">
        <f>IF(X411&lt;&gt;"",IF(CC411="X","Driver Delay",IF(CA411="X","Paperwork Delay",IF(CB411="X","Late freight late sort",IF(CD411="X","Chiamare Control Room",IF(CE411="X","Chiamare Control Room",IF(CF411="X","Chiamare Control Room","")))))),"")</f>
        <v/>
      </c>
      <c r="CA411" s="302" t="str">
        <f>IF(K411="",IF(IF(AND(G411&gt;(--"00:00:01"),G411&lt;(--"15:00:00")),IF(AND(AT411&gt;(--"08:00:00"),AT411&lt;(--"23:59:59")),G411+1-AT411,G411-AT411),G411-AT411)&gt;(--"00:20:00"),"","X"),"")</f>
        <v>X</v>
      </c>
      <c r="CB411" s="299" t="str">
        <f>IF(K411="",IF(BP411&gt;=(--"00:20:00"),"","X"),"")</f>
        <v>X</v>
      </c>
      <c r="CC411" s="299" t="str">
        <f>IF(OR(AV411="Autista non presente",AV411="Dati driver non presenti"),"X","")</f>
        <v/>
      </c>
      <c r="CD411" s="299" t="str">
        <f>IF(K411="",IF(AND(CC411="",BS411&lt;(--"00:20:00")),"X",""),"")</f>
        <v>X</v>
      </c>
      <c r="CE411" s="299" t="str">
        <f>IF(K411="",IF(BT411&gt;(--"00:15:00"),"X",""),IF(AZ411&lt;&gt;"",IF(G411-AZ411&gt;(--"00:30:00"),"X",""),""))</f>
        <v/>
      </c>
      <c r="CF411" s="299" t="str">
        <f>IF(AND(CA411="",CB411="",CC411="",CD411="",CE411=""),"X","")</f>
        <v/>
      </c>
      <c r="CG411" s="301"/>
      <c r="CH411" s="299" t="str">
        <f>IF(BT411&gt;(--"00:15:00"),"X","")</f>
        <v/>
      </c>
      <c r="CI411" s="302" t="str">
        <f>AY411</f>
        <v/>
      </c>
      <c r="CJ411" s="299" t="str">
        <f>IF(AND(CH411&lt;&gt;"",CI411&lt;&gt;"",LEFT(B411,3)="ITD"),AP411,"")</f>
        <v/>
      </c>
      <c r="CK411" s="305" t="str">
        <f>IF(CJ411&lt;&gt;"",BT411,"")</f>
        <v/>
      </c>
      <c r="CL411" s="301"/>
      <c r="CM411" s="305" t="str">
        <f>IFERROR(VLOOKUP(Q411,'Elenco Casse'!$D$4:$F$292,3,FALSE),"")</f>
        <v/>
      </c>
      <c r="CN411" s="301"/>
      <c r="CO411" s="305" t="str">
        <f>IFERROR(VLOOKUP(S411,'Elenco Casse'!$D$4:$F$292,3,FALSE),"")</f>
        <v/>
      </c>
      <c r="CP411" s="305" t="str">
        <f>IFERROR(IF(VLOOKUP($E411,Outlist!$A$5:$S$120,19,FALSE)&lt;&gt;0,"Y",""),"")</f>
        <v/>
      </c>
      <c r="CQ411" s="301"/>
      <c r="CR411" s="357" t="str">
        <f>CONCATENATE($B411,$E411,$G411)</f>
        <v>Mezzo a disposizione 9</v>
      </c>
      <c r="CS411" s="301"/>
      <c r="CT411" s="357" t="e">
        <f>VLOOKUP(Out_Table[[#This Row],[Destination             ORANGE (From Planning)]],Outlist!$A$5:$W$120,22,FALSE)</f>
        <v>#N/A</v>
      </c>
    </row>
    <row r="412" spans="1:98" ht="54.75" customHeight="1">
      <c r="Y412" s="58"/>
      <c r="Z412" s="58"/>
      <c r="AA412" s="58"/>
      <c r="AB412" s="58"/>
      <c r="AC412" s="58"/>
      <c r="AD412" s="58"/>
    </row>
    <row r="413" spans="1:98" ht="54.75" customHeight="1">
      <c r="Y413" s="58"/>
      <c r="Z413" s="58"/>
      <c r="AA413" s="58"/>
      <c r="AB413" s="58"/>
      <c r="AC413" s="58"/>
      <c r="AD413" s="58"/>
    </row>
    <row r="414" spans="1:98" ht="54.75" customHeight="1">
      <c r="Y414" s="58"/>
      <c r="Z414" s="58"/>
      <c r="AA414" s="58"/>
      <c r="AB414" s="58"/>
      <c r="AC414" s="58"/>
      <c r="AD414" s="58"/>
    </row>
    <row r="415" spans="1:98" ht="54.75" customHeight="1">
      <c r="Y415" s="58"/>
      <c r="Z415" s="58"/>
      <c r="AA415" s="58"/>
      <c r="AB415" s="58"/>
      <c r="AC415" s="58"/>
      <c r="AD415" s="58"/>
    </row>
    <row r="416" spans="1:98" ht="54.75" customHeight="1">
      <c r="Y416" s="58"/>
      <c r="Z416" s="58"/>
      <c r="AA416" s="58"/>
      <c r="AB416" s="58"/>
      <c r="AC416" s="58"/>
      <c r="AD416" s="58"/>
    </row>
    <row r="417" spans="25:30" ht="54.75" customHeight="1">
      <c r="Y417" s="58"/>
      <c r="Z417" s="58"/>
      <c r="AA417" s="58"/>
      <c r="AB417" s="58"/>
      <c r="AC417" s="58"/>
      <c r="AD417" s="58"/>
    </row>
    <row r="418" spans="25:30" ht="54.75" customHeight="1">
      <c r="Y418" s="58"/>
      <c r="Z418" s="58"/>
      <c r="AA418" s="58"/>
      <c r="AB418" s="58"/>
      <c r="AC418" s="58"/>
      <c r="AD418" s="58"/>
    </row>
    <row r="419" spans="25:30" ht="54.75" customHeight="1">
      <c r="Y419" s="58"/>
      <c r="Z419" s="58"/>
      <c r="AA419" s="58"/>
      <c r="AB419" s="58"/>
      <c r="AC419" s="58"/>
      <c r="AD419" s="58"/>
    </row>
    <row r="420" spans="25:30" ht="54.75" customHeight="1">
      <c r="Y420" s="58"/>
      <c r="Z420" s="58"/>
      <c r="AA420" s="58"/>
      <c r="AB420" s="58"/>
      <c r="AC420" s="58"/>
      <c r="AD420" s="58"/>
    </row>
    <row r="421" spans="25:30" ht="54.75" customHeight="1">
      <c r="Y421" s="58"/>
      <c r="Z421" s="58"/>
      <c r="AA421" s="58"/>
      <c r="AB421" s="58"/>
      <c r="AC421" s="58"/>
      <c r="AD421" s="58"/>
    </row>
    <row r="422" spans="25:30" ht="54.75" customHeight="1">
      <c r="Y422" s="58"/>
      <c r="Z422" s="58"/>
      <c r="AA422" s="58"/>
      <c r="AB422" s="58"/>
      <c r="AC422" s="58"/>
      <c r="AD422" s="58"/>
    </row>
    <row r="423" spans="25:30" ht="54.75" customHeight="1">
      <c r="Y423" s="58"/>
      <c r="Z423" s="58"/>
      <c r="AA423" s="58"/>
      <c r="AB423" s="58"/>
      <c r="AC423" s="58"/>
      <c r="AD423" s="58"/>
    </row>
    <row r="424" spans="25:30" ht="54.75" customHeight="1">
      <c r="Y424" s="58"/>
      <c r="Z424" s="58"/>
      <c r="AA424" s="58"/>
      <c r="AB424" s="58"/>
      <c r="AC424" s="58"/>
      <c r="AD424" s="58"/>
    </row>
    <row r="425" spans="25:30" ht="54.75" customHeight="1">
      <c r="Y425" s="58"/>
      <c r="Z425" s="58"/>
      <c r="AA425" s="58"/>
      <c r="AB425" s="58"/>
      <c r="AC425" s="58"/>
      <c r="AD425" s="58"/>
    </row>
    <row r="426" spans="25:30" ht="54.75" customHeight="1">
      <c r="Y426" s="58"/>
      <c r="Z426" s="58"/>
      <c r="AA426" s="58"/>
      <c r="AB426" s="58"/>
      <c r="AC426" s="58"/>
      <c r="AD426" s="58"/>
    </row>
    <row r="427" spans="25:30" ht="54.75" customHeight="1">
      <c r="Y427" s="58"/>
      <c r="Z427" s="58"/>
      <c r="AA427" s="58"/>
      <c r="AB427" s="58"/>
      <c r="AC427" s="58"/>
      <c r="AD427" s="58"/>
    </row>
    <row r="428" spans="25:30" ht="54.75" customHeight="1">
      <c r="Y428" s="58"/>
      <c r="Z428" s="58"/>
      <c r="AA428" s="58"/>
      <c r="AB428" s="58"/>
      <c r="AC428" s="58"/>
      <c r="AD428" s="58"/>
    </row>
    <row r="429" spans="25:30" ht="54.75" customHeight="1">
      <c r="Y429" s="58"/>
      <c r="Z429" s="58"/>
      <c r="AA429" s="58"/>
      <c r="AB429" s="58"/>
      <c r="AC429" s="58"/>
      <c r="AD429" s="58"/>
    </row>
    <row r="430" spans="25:30" ht="54.75" customHeight="1">
      <c r="Y430" s="58"/>
      <c r="Z430" s="58"/>
      <c r="AA430" s="58"/>
      <c r="AB430" s="58"/>
      <c r="AC430" s="58"/>
      <c r="AD430" s="58"/>
    </row>
    <row r="431" spans="25:30" ht="54.75" customHeight="1">
      <c r="Y431" s="58"/>
      <c r="Z431" s="58"/>
      <c r="AA431" s="58"/>
      <c r="AB431" s="58"/>
      <c r="AC431" s="58"/>
      <c r="AD431" s="58"/>
    </row>
    <row r="432" spans="25:30" ht="54.75" customHeight="1">
      <c r="Y432" s="58"/>
      <c r="Z432" s="58"/>
      <c r="AA432" s="58"/>
      <c r="AB432" s="58"/>
      <c r="AC432" s="58"/>
      <c r="AD432" s="58"/>
    </row>
    <row r="433" spans="25:30" ht="54.75" customHeight="1">
      <c r="Y433" s="58"/>
      <c r="Z433" s="58"/>
      <c r="AA433" s="58"/>
      <c r="AB433" s="58"/>
      <c r="AC433" s="58"/>
      <c r="AD433" s="58"/>
    </row>
    <row r="434" spans="25:30" ht="54.75" customHeight="1">
      <c r="Y434" s="58"/>
      <c r="Z434" s="58"/>
      <c r="AA434" s="58"/>
      <c r="AB434" s="58"/>
      <c r="AC434" s="58"/>
      <c r="AD434" s="58"/>
    </row>
    <row r="435" spans="25:30" ht="54.75" customHeight="1">
      <c r="Y435" s="58"/>
      <c r="Z435" s="58"/>
      <c r="AA435" s="58"/>
      <c r="AB435" s="58"/>
      <c r="AC435" s="58"/>
      <c r="AD435" s="58"/>
    </row>
    <row r="436" spans="25:30" ht="54.75" customHeight="1">
      <c r="Y436" s="58"/>
      <c r="Z436" s="58"/>
      <c r="AA436" s="58"/>
      <c r="AB436" s="58"/>
      <c r="AC436" s="58"/>
      <c r="AD436" s="58"/>
    </row>
    <row r="437" spans="25:30" ht="54.75" customHeight="1">
      <c r="Y437" s="58"/>
      <c r="Z437" s="58"/>
      <c r="AA437" s="58"/>
      <c r="AB437" s="58"/>
      <c r="AC437" s="58"/>
      <c r="AD437" s="58"/>
    </row>
    <row r="438" spans="25:30" ht="54.75" customHeight="1">
      <c r="Y438" s="58"/>
      <c r="Z438" s="58"/>
      <c r="AA438" s="58"/>
      <c r="AB438" s="58"/>
      <c r="AC438" s="58"/>
      <c r="AD438" s="58"/>
    </row>
    <row r="439" spans="25:30" ht="54.75" customHeight="1">
      <c r="Y439" s="58"/>
      <c r="Z439" s="58"/>
      <c r="AA439" s="58"/>
      <c r="AB439" s="58"/>
      <c r="AC439" s="58"/>
      <c r="AD439" s="58"/>
    </row>
    <row r="440" spans="25:30" ht="54.75" customHeight="1">
      <c r="Y440" s="58"/>
      <c r="Z440" s="58"/>
      <c r="AA440" s="58"/>
      <c r="AB440" s="58"/>
      <c r="AC440" s="58"/>
      <c r="AD440" s="58"/>
    </row>
    <row r="441" spans="25:30" ht="54.75" customHeight="1">
      <c r="Y441" s="58"/>
      <c r="Z441" s="58"/>
      <c r="AA441" s="58"/>
      <c r="AB441" s="58"/>
      <c r="AC441" s="58"/>
      <c r="AD441" s="58"/>
    </row>
    <row r="442" spans="25:30" ht="54.75" customHeight="1">
      <c r="Y442" s="58"/>
      <c r="Z442" s="58"/>
      <c r="AA442" s="58"/>
      <c r="AB442" s="58"/>
      <c r="AC442" s="58"/>
      <c r="AD442" s="58"/>
    </row>
    <row r="443" spans="25:30" ht="54.75" customHeight="1">
      <c r="Y443" s="58"/>
      <c r="Z443" s="58"/>
      <c r="AA443" s="58"/>
      <c r="AB443" s="58"/>
      <c r="AC443" s="58"/>
      <c r="AD443" s="58"/>
    </row>
    <row r="444" spans="25:30" ht="54.75" customHeight="1">
      <c r="Y444" s="58"/>
      <c r="Z444" s="58"/>
      <c r="AA444" s="58"/>
      <c r="AB444" s="58"/>
      <c r="AC444" s="58"/>
      <c r="AD444" s="58"/>
    </row>
    <row r="445" spans="25:30" ht="54.75" customHeight="1">
      <c r="Y445" s="58"/>
      <c r="Z445" s="58"/>
      <c r="AA445" s="58"/>
      <c r="AB445" s="58"/>
      <c r="AC445" s="58"/>
      <c r="AD445" s="58"/>
    </row>
    <row r="446" spans="25:30" ht="54.75" customHeight="1">
      <c r="Y446" s="58"/>
      <c r="Z446" s="58"/>
      <c r="AA446" s="58"/>
      <c r="AB446" s="58"/>
      <c r="AC446" s="58"/>
      <c r="AD446" s="58"/>
    </row>
    <row r="447" spans="25:30" ht="54.75" customHeight="1">
      <c r="Y447" s="58"/>
      <c r="Z447" s="58"/>
      <c r="AA447" s="58"/>
      <c r="AB447" s="58"/>
      <c r="AC447" s="58"/>
      <c r="AD447" s="58"/>
    </row>
    <row r="448" spans="25:30" ht="54.75" customHeight="1">
      <c r="Y448" s="58"/>
      <c r="Z448" s="58"/>
      <c r="AA448" s="58"/>
      <c r="AB448" s="58"/>
      <c r="AC448" s="58"/>
      <c r="AD448" s="58"/>
    </row>
    <row r="449" spans="25:30" ht="54.75" customHeight="1">
      <c r="Y449" s="58"/>
      <c r="Z449" s="58"/>
      <c r="AA449" s="58"/>
      <c r="AB449" s="58"/>
      <c r="AC449" s="58"/>
      <c r="AD449" s="58"/>
    </row>
    <row r="450" spans="25:30" ht="54.75" customHeight="1">
      <c r="Y450" s="58"/>
      <c r="Z450" s="58"/>
      <c r="AA450" s="58"/>
      <c r="AB450" s="58"/>
      <c r="AC450" s="58"/>
      <c r="AD450" s="58"/>
    </row>
    <row r="451" spans="25:30" ht="54.75" customHeight="1">
      <c r="Y451" s="58"/>
      <c r="Z451" s="58"/>
      <c r="AA451" s="58"/>
      <c r="AB451" s="58"/>
      <c r="AC451" s="58"/>
      <c r="AD451" s="58"/>
    </row>
    <row r="452" spans="25:30" ht="54.75" customHeight="1">
      <c r="Y452" s="58"/>
      <c r="Z452" s="58"/>
      <c r="AA452" s="58"/>
      <c r="AB452" s="58"/>
      <c r="AC452" s="58"/>
      <c r="AD452" s="58"/>
    </row>
    <row r="453" spans="25:30" ht="54.75" customHeight="1">
      <c r="Y453" s="58"/>
      <c r="Z453" s="58"/>
      <c r="AA453" s="58"/>
      <c r="AB453" s="58"/>
      <c r="AC453" s="58"/>
      <c r="AD453" s="58"/>
    </row>
    <row r="454" spans="25:30" ht="54.75" customHeight="1">
      <c r="Y454" s="58"/>
      <c r="Z454" s="58"/>
      <c r="AA454" s="58"/>
      <c r="AB454" s="58"/>
      <c r="AC454" s="58"/>
      <c r="AD454" s="58"/>
    </row>
    <row r="455" spans="25:30" ht="54.75" customHeight="1">
      <c r="Y455" s="58"/>
      <c r="Z455" s="58"/>
      <c r="AA455" s="58"/>
      <c r="AB455" s="58"/>
      <c r="AC455" s="58"/>
      <c r="AD455" s="58"/>
    </row>
    <row r="456" spans="25:30" ht="54.75" customHeight="1">
      <c r="Y456" s="58"/>
      <c r="Z456" s="58"/>
      <c r="AA456" s="58"/>
      <c r="AB456" s="58"/>
      <c r="AC456" s="58"/>
      <c r="AD456" s="58"/>
    </row>
    <row r="457" spans="25:30" ht="54.75" customHeight="1">
      <c r="Y457" s="58"/>
      <c r="Z457" s="58"/>
      <c r="AA457" s="58"/>
      <c r="AB457" s="58"/>
      <c r="AC457" s="58"/>
      <c r="AD457" s="58"/>
    </row>
    <row r="458" spans="25:30" ht="54.75" customHeight="1">
      <c r="Y458" s="58"/>
      <c r="Z458" s="58"/>
      <c r="AA458" s="58"/>
      <c r="AB458" s="58"/>
      <c r="AC458" s="58"/>
      <c r="AD458" s="58"/>
    </row>
    <row r="459" spans="25:30" ht="54.75" customHeight="1">
      <c r="Y459" s="58"/>
      <c r="Z459" s="58"/>
      <c r="AA459" s="58"/>
      <c r="AB459" s="58"/>
      <c r="AC459" s="58"/>
      <c r="AD459" s="58"/>
    </row>
    <row r="460" spans="25:30" ht="54.75" customHeight="1">
      <c r="Y460" s="58"/>
      <c r="Z460" s="58"/>
      <c r="AA460" s="58"/>
      <c r="AB460" s="58"/>
      <c r="AC460" s="58"/>
      <c r="AD460" s="58"/>
    </row>
    <row r="461" spans="25:30" ht="54.75" customHeight="1">
      <c r="Y461" s="58"/>
      <c r="Z461" s="58"/>
      <c r="AA461" s="58"/>
      <c r="AB461" s="58"/>
      <c r="AC461" s="58"/>
      <c r="AD461" s="58"/>
    </row>
    <row r="462" spans="25:30" ht="54.75" customHeight="1">
      <c r="Y462" s="58"/>
      <c r="Z462" s="58"/>
      <c r="AA462" s="58"/>
      <c r="AB462" s="58"/>
      <c r="AC462" s="58"/>
      <c r="AD462" s="58"/>
    </row>
    <row r="463" spans="25:30" ht="54.75" customHeight="1">
      <c r="Y463" s="58"/>
      <c r="Z463" s="58"/>
      <c r="AA463" s="58"/>
      <c r="AB463" s="58"/>
      <c r="AC463" s="58"/>
      <c r="AD463" s="58"/>
    </row>
    <row r="464" spans="25:30" ht="54.75" customHeight="1">
      <c r="Y464" s="58"/>
      <c r="Z464" s="58"/>
      <c r="AA464" s="58"/>
      <c r="AB464" s="58"/>
      <c r="AC464" s="58"/>
      <c r="AD464" s="58"/>
    </row>
    <row r="465" spans="25:30" ht="54.75" customHeight="1">
      <c r="Y465" s="58"/>
      <c r="Z465" s="58"/>
      <c r="AA465" s="58"/>
      <c r="AB465" s="58"/>
      <c r="AC465" s="58"/>
      <c r="AD465" s="58"/>
    </row>
    <row r="466" spans="25:30" ht="54.75" customHeight="1">
      <c r="Y466" s="58"/>
      <c r="Z466" s="58"/>
      <c r="AA466" s="58"/>
      <c r="AB466" s="58"/>
      <c r="AC466" s="58"/>
      <c r="AD466" s="58"/>
    </row>
    <row r="467" spans="25:30" ht="54.75" customHeight="1">
      <c r="Y467" s="58"/>
      <c r="Z467" s="58"/>
      <c r="AA467" s="58"/>
      <c r="AB467" s="58"/>
      <c r="AC467" s="58"/>
      <c r="AD467" s="58"/>
    </row>
    <row r="468" spans="25:30" ht="54.75" customHeight="1">
      <c r="Y468" s="58"/>
      <c r="Z468" s="58"/>
      <c r="AA468" s="58"/>
      <c r="AB468" s="58"/>
      <c r="AC468" s="58"/>
      <c r="AD468" s="58"/>
    </row>
    <row r="469" spans="25:30" ht="54.75" customHeight="1">
      <c r="Y469" s="58"/>
      <c r="Z469" s="58"/>
      <c r="AA469" s="58"/>
      <c r="AB469" s="58"/>
      <c r="AC469" s="58"/>
      <c r="AD469" s="58"/>
    </row>
    <row r="470" spans="25:30" ht="54.75" customHeight="1">
      <c r="Y470" s="58"/>
      <c r="Z470" s="58"/>
      <c r="AA470" s="58"/>
      <c r="AB470" s="58"/>
      <c r="AC470" s="58"/>
      <c r="AD470" s="58"/>
    </row>
    <row r="471" spans="25:30" ht="54.75" customHeight="1">
      <c r="Y471" s="58"/>
      <c r="Z471" s="58"/>
      <c r="AA471" s="58"/>
      <c r="AB471" s="58"/>
      <c r="AC471" s="58"/>
      <c r="AD471" s="58"/>
    </row>
    <row r="472" spans="25:30" ht="54.75" customHeight="1">
      <c r="Y472" s="58"/>
      <c r="Z472" s="58"/>
      <c r="AA472" s="58"/>
      <c r="AB472" s="58"/>
      <c r="AC472" s="58"/>
      <c r="AD472" s="58"/>
    </row>
    <row r="473" spans="25:30" ht="54.75" customHeight="1">
      <c r="Y473" s="58"/>
      <c r="Z473" s="58"/>
      <c r="AA473" s="58"/>
      <c r="AB473" s="58"/>
      <c r="AC473" s="58"/>
      <c r="AD473" s="58"/>
    </row>
    <row r="474" spans="25:30" ht="54.75" customHeight="1">
      <c r="Y474" s="58"/>
      <c r="Z474" s="58"/>
      <c r="AA474" s="58"/>
      <c r="AB474" s="58"/>
      <c r="AC474" s="58"/>
      <c r="AD474" s="58"/>
    </row>
    <row r="475" spans="25:30" ht="54.75" customHeight="1">
      <c r="Y475" s="58"/>
      <c r="Z475" s="58"/>
      <c r="AA475" s="58"/>
      <c r="AB475" s="58"/>
      <c r="AC475" s="58"/>
      <c r="AD475" s="58"/>
    </row>
    <row r="476" spans="25:30" ht="54.75" customHeight="1">
      <c r="Y476" s="58"/>
      <c r="Z476" s="58"/>
      <c r="AA476" s="58"/>
      <c r="AB476" s="58"/>
      <c r="AC476" s="58"/>
      <c r="AD476" s="58"/>
    </row>
    <row r="477" spans="25:30" ht="54.75" customHeight="1">
      <c r="Y477" s="58"/>
      <c r="Z477" s="58"/>
      <c r="AA477" s="58"/>
      <c r="AB477" s="58"/>
      <c r="AC477" s="58"/>
      <c r="AD477" s="58"/>
    </row>
    <row r="478" spans="25:30" ht="54.75" customHeight="1">
      <c r="Y478" s="58"/>
      <c r="Z478" s="58"/>
      <c r="AA478" s="58"/>
      <c r="AB478" s="58"/>
      <c r="AC478" s="58"/>
      <c r="AD478" s="58"/>
    </row>
    <row r="479" spans="25:30" ht="54.75" customHeight="1">
      <c r="Y479" s="58"/>
      <c r="Z479" s="58"/>
      <c r="AA479" s="58"/>
      <c r="AB479" s="58"/>
      <c r="AC479" s="58"/>
      <c r="AD479" s="58"/>
    </row>
    <row r="480" spans="25:30" ht="54.75" customHeight="1">
      <c r="Y480" s="58"/>
      <c r="Z480" s="58"/>
      <c r="AA480" s="58"/>
      <c r="AB480" s="58"/>
      <c r="AC480" s="58"/>
      <c r="AD480" s="58"/>
    </row>
    <row r="481" spans="25:30" ht="54.75" customHeight="1">
      <c r="Y481" s="58"/>
      <c r="Z481" s="58"/>
      <c r="AA481" s="58"/>
      <c r="AB481" s="58"/>
      <c r="AC481" s="58"/>
      <c r="AD481" s="58"/>
    </row>
    <row r="482" spans="25:30" ht="54.75" customHeight="1">
      <c r="Y482" s="58"/>
      <c r="Z482" s="58"/>
      <c r="AA482" s="58"/>
      <c r="AB482" s="58"/>
      <c r="AC482" s="58"/>
      <c r="AD482" s="58"/>
    </row>
    <row r="483" spans="25:30" ht="54.75" customHeight="1">
      <c r="Y483" s="58"/>
      <c r="Z483" s="58"/>
      <c r="AA483" s="58"/>
      <c r="AB483" s="58"/>
      <c r="AC483" s="58"/>
      <c r="AD483" s="58"/>
    </row>
    <row r="484" spans="25:30" ht="54.75" customHeight="1">
      <c r="Y484" s="58"/>
      <c r="Z484" s="58"/>
      <c r="AA484" s="58"/>
      <c r="AB484" s="58"/>
      <c r="AC484" s="58"/>
      <c r="AD484" s="58"/>
    </row>
    <row r="485" spans="25:30" ht="54.75" customHeight="1">
      <c r="Y485" s="58"/>
      <c r="Z485" s="58"/>
      <c r="AA485" s="58"/>
      <c r="AB485" s="58"/>
      <c r="AC485" s="58"/>
      <c r="AD485" s="58"/>
    </row>
    <row r="486" spans="25:30" ht="54.75" customHeight="1">
      <c r="Y486" s="58"/>
      <c r="Z486" s="58"/>
      <c r="AA486" s="58"/>
      <c r="AB486" s="58"/>
      <c r="AC486" s="58"/>
      <c r="AD486" s="58"/>
    </row>
    <row r="487" spans="25:30" ht="54.75" customHeight="1">
      <c r="Y487" s="58"/>
      <c r="Z487" s="58"/>
      <c r="AA487" s="58"/>
      <c r="AB487" s="58"/>
      <c r="AC487" s="58"/>
      <c r="AD487" s="58"/>
    </row>
    <row r="488" spans="25:30" ht="54.75" customHeight="1">
      <c r="Y488" s="58"/>
      <c r="Z488" s="58"/>
      <c r="AA488" s="58"/>
      <c r="AB488" s="58"/>
      <c r="AC488" s="58"/>
      <c r="AD488" s="58"/>
    </row>
    <row r="489" spans="25:30" ht="54.75" customHeight="1">
      <c r="Y489" s="58"/>
      <c r="Z489" s="58"/>
      <c r="AA489" s="58"/>
      <c r="AB489" s="58"/>
      <c r="AC489" s="58"/>
      <c r="AD489" s="58"/>
    </row>
    <row r="490" spans="25:30" ht="54.75" customHeight="1">
      <c r="Y490" s="58"/>
      <c r="Z490" s="58"/>
      <c r="AA490" s="58"/>
      <c r="AB490" s="58"/>
      <c r="AC490" s="58"/>
      <c r="AD490" s="58"/>
    </row>
    <row r="491" spans="25:30" ht="54.75" customHeight="1">
      <c r="Y491" s="58"/>
      <c r="Z491" s="58"/>
      <c r="AA491" s="58"/>
      <c r="AB491" s="58"/>
      <c r="AC491" s="58"/>
      <c r="AD491" s="58"/>
    </row>
    <row r="492" spans="25:30" ht="54.75" customHeight="1">
      <c r="Y492" s="58"/>
      <c r="Z492" s="58"/>
      <c r="AA492" s="58"/>
      <c r="AB492" s="58"/>
      <c r="AC492" s="58"/>
      <c r="AD492" s="58"/>
    </row>
    <row r="493" spans="25:30" ht="54.75" customHeight="1">
      <c r="Y493" s="58"/>
      <c r="Z493" s="58"/>
      <c r="AA493" s="58"/>
      <c r="AB493" s="58"/>
      <c r="AC493" s="58"/>
      <c r="AD493" s="58"/>
    </row>
    <row r="494" spans="25:30" ht="54.75" customHeight="1">
      <c r="Y494" s="58"/>
      <c r="Z494" s="58"/>
      <c r="AA494" s="58"/>
      <c r="AB494" s="58"/>
      <c r="AC494" s="58"/>
      <c r="AD494" s="58"/>
    </row>
    <row r="495" spans="25:30" ht="54.75" customHeight="1">
      <c r="Y495" s="58"/>
      <c r="Z495" s="58"/>
      <c r="AA495" s="58"/>
      <c r="AB495" s="58"/>
      <c r="AC495" s="58"/>
      <c r="AD495" s="58"/>
    </row>
    <row r="496" spans="25:30" ht="54.75" customHeight="1">
      <c r="Y496" s="58"/>
      <c r="Z496" s="58"/>
      <c r="AA496" s="58"/>
      <c r="AB496" s="58"/>
      <c r="AC496" s="58"/>
      <c r="AD496" s="58"/>
    </row>
    <row r="497" spans="25:30" ht="54.75" customHeight="1">
      <c r="Y497" s="58"/>
      <c r="Z497" s="58"/>
      <c r="AA497" s="58"/>
      <c r="AB497" s="58"/>
      <c r="AC497" s="58"/>
      <c r="AD497" s="58"/>
    </row>
    <row r="498" spans="25:30" ht="54.75" customHeight="1">
      <c r="Y498" s="58"/>
      <c r="Z498" s="58"/>
      <c r="AA498" s="58"/>
      <c r="AB498" s="58"/>
      <c r="AC498" s="58"/>
      <c r="AD498" s="58"/>
    </row>
    <row r="499" spans="25:30" ht="54.75" customHeight="1">
      <c r="Y499" s="58"/>
      <c r="Z499" s="58"/>
      <c r="AA499" s="58"/>
      <c r="AB499" s="58"/>
      <c r="AC499" s="58"/>
      <c r="AD499" s="58"/>
    </row>
    <row r="500" spans="25:30" ht="54.75" customHeight="1">
      <c r="Y500" s="58"/>
      <c r="Z500" s="58"/>
      <c r="AA500" s="58"/>
      <c r="AB500" s="58"/>
      <c r="AC500" s="58"/>
      <c r="AD500" s="58"/>
    </row>
    <row r="501" spans="25:30" ht="54.75" customHeight="1">
      <c r="Y501" s="58"/>
      <c r="Z501" s="58"/>
      <c r="AA501" s="58"/>
      <c r="AB501" s="58"/>
      <c r="AC501" s="58"/>
      <c r="AD501" s="58"/>
    </row>
    <row r="502" spans="25:30" ht="54.75" customHeight="1">
      <c r="Y502" s="58"/>
      <c r="Z502" s="58"/>
      <c r="AA502" s="58"/>
      <c r="AB502" s="58"/>
      <c r="AC502" s="58"/>
      <c r="AD502" s="58"/>
    </row>
    <row r="503" spans="25:30" ht="54.75" customHeight="1">
      <c r="Y503" s="58"/>
      <c r="Z503" s="58"/>
      <c r="AA503" s="58"/>
      <c r="AB503" s="58"/>
      <c r="AC503" s="58"/>
      <c r="AD503" s="58"/>
    </row>
    <row r="504" spans="25:30" ht="54.75" customHeight="1">
      <c r="Y504" s="58"/>
      <c r="Z504" s="58"/>
      <c r="AA504" s="58"/>
      <c r="AB504" s="58"/>
      <c r="AC504" s="58"/>
      <c r="AD504" s="58"/>
    </row>
    <row r="505" spans="25:30" ht="54.75" customHeight="1">
      <c r="Y505" s="58"/>
      <c r="Z505" s="58"/>
      <c r="AA505" s="58"/>
      <c r="AB505" s="58"/>
      <c r="AC505" s="58"/>
      <c r="AD505" s="58"/>
    </row>
    <row r="506" spans="25:30" ht="54.75" customHeight="1">
      <c r="Y506" s="58"/>
      <c r="Z506" s="58"/>
      <c r="AA506" s="58"/>
      <c r="AB506" s="58"/>
      <c r="AC506" s="58"/>
      <c r="AD506" s="58"/>
    </row>
    <row r="507" spans="25:30" ht="54.75" customHeight="1">
      <c r="Y507" s="58"/>
      <c r="Z507" s="58"/>
      <c r="AA507" s="58"/>
      <c r="AB507" s="58"/>
      <c r="AC507" s="58"/>
      <c r="AD507" s="58"/>
    </row>
    <row r="508" spans="25:30" ht="54.75" customHeight="1">
      <c r="Y508" s="58"/>
      <c r="Z508" s="58"/>
      <c r="AA508" s="58"/>
      <c r="AB508" s="58"/>
      <c r="AC508" s="58"/>
      <c r="AD508" s="58"/>
    </row>
    <row r="509" spans="25:30" ht="54.75" customHeight="1">
      <c r="Y509" s="58"/>
      <c r="Z509" s="58"/>
      <c r="AA509" s="58"/>
      <c r="AB509" s="58"/>
      <c r="AC509" s="58"/>
      <c r="AD509" s="58"/>
    </row>
    <row r="510" spans="25:30" ht="54.75" customHeight="1">
      <c r="Y510" s="58"/>
      <c r="Z510" s="58"/>
      <c r="AA510" s="58"/>
      <c r="AB510" s="58"/>
      <c r="AC510" s="58"/>
      <c r="AD510" s="58"/>
    </row>
    <row r="511" spans="25:30" ht="54.75" customHeight="1">
      <c r="Y511" s="58"/>
      <c r="Z511" s="58"/>
      <c r="AA511" s="58"/>
      <c r="AB511" s="58"/>
      <c r="AC511" s="58"/>
      <c r="AD511" s="58"/>
    </row>
    <row r="512" spans="25:30" ht="54.75" customHeight="1">
      <c r="Y512" s="58"/>
      <c r="Z512" s="58"/>
      <c r="AA512" s="58"/>
      <c r="AB512" s="58"/>
      <c r="AC512" s="58"/>
      <c r="AD512" s="58"/>
    </row>
    <row r="513" spans="25:30" ht="54.75" customHeight="1">
      <c r="Y513" s="58"/>
      <c r="Z513" s="58"/>
      <c r="AA513" s="58"/>
      <c r="AB513" s="58"/>
      <c r="AC513" s="58"/>
      <c r="AD513" s="58"/>
    </row>
    <row r="514" spans="25:30" ht="54.75" customHeight="1">
      <c r="Y514" s="58"/>
      <c r="Z514" s="58"/>
      <c r="AA514" s="58"/>
      <c r="AB514" s="58"/>
      <c r="AC514" s="58"/>
      <c r="AD514" s="58"/>
    </row>
    <row r="515" spans="25:30" ht="54.75" customHeight="1">
      <c r="Y515" s="58"/>
      <c r="Z515" s="58"/>
      <c r="AA515" s="58"/>
      <c r="AB515" s="58"/>
      <c r="AC515" s="58"/>
      <c r="AD515" s="58"/>
    </row>
    <row r="516" spans="25:30" ht="54.75" customHeight="1">
      <c r="Y516" s="58"/>
      <c r="Z516" s="58"/>
      <c r="AA516" s="58"/>
      <c r="AB516" s="58"/>
      <c r="AC516" s="58"/>
      <c r="AD516" s="58"/>
    </row>
    <row r="517" spans="25:30" ht="54.75" customHeight="1">
      <c r="Y517" s="58"/>
      <c r="Z517" s="58"/>
      <c r="AA517" s="58"/>
      <c r="AB517" s="58"/>
      <c r="AC517" s="58"/>
      <c r="AD517" s="58"/>
    </row>
    <row r="518" spans="25:30" ht="54.75" customHeight="1">
      <c r="Y518" s="58"/>
      <c r="Z518" s="58"/>
      <c r="AA518" s="58"/>
      <c r="AB518" s="58"/>
      <c r="AC518" s="58"/>
      <c r="AD518" s="58"/>
    </row>
    <row r="519" spans="25:30" ht="54.75" customHeight="1">
      <c r="Y519" s="58"/>
      <c r="Z519" s="58"/>
      <c r="AA519" s="58"/>
      <c r="AB519" s="58"/>
      <c r="AC519" s="58"/>
      <c r="AD519" s="58"/>
    </row>
    <row r="520" spans="25:30" ht="54.75" customHeight="1">
      <c r="Y520" s="58"/>
      <c r="Z520" s="58"/>
      <c r="AA520" s="58"/>
      <c r="AB520" s="58"/>
      <c r="AC520" s="58"/>
      <c r="AD520" s="58"/>
    </row>
    <row r="521" spans="25:30" ht="54.75" customHeight="1">
      <c r="Y521" s="58"/>
      <c r="Z521" s="58"/>
      <c r="AA521" s="58"/>
      <c r="AB521" s="58"/>
      <c r="AC521" s="58"/>
      <c r="AD521" s="58"/>
    </row>
    <row r="522" spans="25:30" ht="54.75" customHeight="1">
      <c r="Y522" s="58"/>
      <c r="Z522" s="58"/>
      <c r="AA522" s="58"/>
      <c r="AB522" s="58"/>
      <c r="AC522" s="58"/>
      <c r="AD522" s="58"/>
    </row>
    <row r="523" spans="25:30" ht="54.75" customHeight="1">
      <c r="Y523" s="58"/>
      <c r="Z523" s="58"/>
      <c r="AA523" s="58"/>
      <c r="AB523" s="58"/>
      <c r="AC523" s="58"/>
      <c r="AD523" s="58"/>
    </row>
    <row r="524" spans="25:30" ht="54.75" customHeight="1">
      <c r="Y524" s="58"/>
      <c r="Z524" s="58"/>
      <c r="AA524" s="58"/>
      <c r="AB524" s="58"/>
      <c r="AC524" s="58"/>
      <c r="AD524" s="58"/>
    </row>
    <row r="525" spans="25:30" ht="54.75" customHeight="1">
      <c r="Y525" s="58"/>
      <c r="Z525" s="58"/>
      <c r="AA525" s="58"/>
      <c r="AB525" s="58"/>
      <c r="AC525" s="58"/>
      <c r="AD525" s="58"/>
    </row>
    <row r="526" spans="25:30" ht="54.75" customHeight="1">
      <c r="Y526" s="58"/>
      <c r="Z526" s="58"/>
      <c r="AA526" s="58"/>
      <c r="AB526" s="58"/>
      <c r="AC526" s="58"/>
      <c r="AD526" s="58"/>
    </row>
    <row r="527" spans="25:30" ht="54.75" customHeight="1">
      <c r="Y527" s="58"/>
      <c r="Z527" s="58"/>
      <c r="AA527" s="58"/>
      <c r="AB527" s="58"/>
      <c r="AC527" s="58"/>
      <c r="AD527" s="58"/>
    </row>
    <row r="528" spans="25:30" ht="54.75" customHeight="1">
      <c r="Y528" s="58"/>
      <c r="Z528" s="58"/>
      <c r="AA528" s="58"/>
      <c r="AB528" s="58"/>
      <c r="AC528" s="58"/>
      <c r="AD528" s="58"/>
    </row>
    <row r="529" spans="25:30" ht="54.75" customHeight="1">
      <c r="Y529" s="58"/>
      <c r="Z529" s="58"/>
      <c r="AA529" s="58"/>
      <c r="AB529" s="58"/>
      <c r="AC529" s="58"/>
      <c r="AD529" s="58"/>
    </row>
    <row r="530" spans="25:30" ht="54.75" customHeight="1">
      <c r="Y530" s="58"/>
      <c r="Z530" s="58"/>
      <c r="AA530" s="58"/>
      <c r="AB530" s="58"/>
      <c r="AC530" s="58"/>
      <c r="AD530" s="58"/>
    </row>
    <row r="531" spans="25:30" ht="54.75" customHeight="1">
      <c r="Y531" s="58"/>
      <c r="Z531" s="58"/>
      <c r="AA531" s="58"/>
      <c r="AB531" s="58"/>
      <c r="AC531" s="58"/>
      <c r="AD531" s="58"/>
    </row>
    <row r="532" spans="25:30" ht="54.75" customHeight="1">
      <c r="Y532" s="58"/>
      <c r="Z532" s="58"/>
      <c r="AA532" s="58"/>
      <c r="AB532" s="58"/>
      <c r="AC532" s="58"/>
      <c r="AD532" s="58"/>
    </row>
    <row r="533" spans="25:30" ht="54.75" customHeight="1">
      <c r="Y533" s="58"/>
      <c r="Z533" s="58"/>
      <c r="AA533" s="58"/>
      <c r="AB533" s="58"/>
      <c r="AC533" s="58"/>
      <c r="AD533" s="58"/>
    </row>
    <row r="534" spans="25:30" ht="54.75" customHeight="1">
      <c r="Y534" s="58"/>
      <c r="Z534" s="58"/>
      <c r="AA534" s="58"/>
      <c r="AB534" s="58"/>
      <c r="AC534" s="58"/>
      <c r="AD534" s="58"/>
    </row>
    <row r="535" spans="25:30" ht="54.75" customHeight="1">
      <c r="Y535" s="58"/>
      <c r="Z535" s="58"/>
      <c r="AA535" s="58"/>
      <c r="AB535" s="58"/>
      <c r="AC535" s="58"/>
      <c r="AD535" s="58"/>
    </row>
    <row r="536" spans="25:30" ht="54.75" customHeight="1">
      <c r="Y536" s="58"/>
      <c r="Z536" s="58"/>
      <c r="AA536" s="58"/>
      <c r="AB536" s="58"/>
      <c r="AC536" s="58"/>
      <c r="AD536" s="58"/>
    </row>
    <row r="537" spans="25:30" ht="54.75" customHeight="1">
      <c r="Y537" s="58"/>
      <c r="Z537" s="58"/>
      <c r="AA537" s="58"/>
      <c r="AB537" s="58"/>
      <c r="AC537" s="58"/>
      <c r="AD537" s="58"/>
    </row>
    <row r="538" spans="25:30" ht="54.75" customHeight="1">
      <c r="Y538" s="58"/>
      <c r="Z538" s="58"/>
      <c r="AA538" s="58"/>
      <c r="AB538" s="58"/>
      <c r="AC538" s="58"/>
      <c r="AD538" s="58"/>
    </row>
    <row r="539" spans="25:30" ht="54.75" customHeight="1">
      <c r="Y539" s="58"/>
      <c r="Z539" s="58"/>
      <c r="AA539" s="58"/>
      <c r="AB539" s="58"/>
      <c r="AC539" s="58"/>
      <c r="AD539" s="58"/>
    </row>
    <row r="540" spans="25:30" ht="54.75" customHeight="1">
      <c r="Y540" s="58"/>
      <c r="Z540" s="58"/>
      <c r="AA540" s="58"/>
      <c r="AB540" s="58"/>
      <c r="AC540" s="58"/>
      <c r="AD540" s="58"/>
    </row>
    <row r="541" spans="25:30" ht="54.75" customHeight="1">
      <c r="Y541" s="58"/>
      <c r="Z541" s="58"/>
      <c r="AA541" s="58"/>
      <c r="AB541" s="58"/>
      <c r="AC541" s="58"/>
      <c r="AD541" s="58"/>
    </row>
    <row r="542" spans="25:30" ht="54.75" customHeight="1">
      <c r="Y542" s="58"/>
      <c r="Z542" s="58"/>
      <c r="AA542" s="58"/>
      <c r="AB542" s="58"/>
      <c r="AC542" s="58"/>
      <c r="AD542" s="58"/>
    </row>
    <row r="543" spans="25:30" ht="54.75" customHeight="1">
      <c r="Y543" s="58"/>
      <c r="Z543" s="58"/>
      <c r="AA543" s="58"/>
      <c r="AB543" s="58"/>
      <c r="AC543" s="58"/>
      <c r="AD543" s="58"/>
    </row>
    <row r="544" spans="25:30" ht="54.75" customHeight="1">
      <c r="Y544" s="58"/>
      <c r="Z544" s="58"/>
      <c r="AA544" s="58"/>
      <c r="AB544" s="58"/>
      <c r="AC544" s="58"/>
      <c r="AD544" s="58"/>
    </row>
    <row r="545" spans="25:30" ht="54.75" customHeight="1">
      <c r="Y545" s="58"/>
      <c r="Z545" s="58"/>
      <c r="AA545" s="58"/>
      <c r="AB545" s="58"/>
      <c r="AC545" s="58"/>
      <c r="AD545" s="58"/>
    </row>
    <row r="546" spans="25:30" ht="54.75" customHeight="1">
      <c r="Y546" s="58"/>
      <c r="Z546" s="58"/>
      <c r="AA546" s="58"/>
      <c r="AB546" s="58"/>
      <c r="AC546" s="58"/>
      <c r="AD546" s="58"/>
    </row>
    <row r="547" spans="25:30" ht="54.75" customHeight="1">
      <c r="Y547" s="58"/>
      <c r="Z547" s="58"/>
      <c r="AA547" s="58"/>
      <c r="AB547" s="58"/>
      <c r="AC547" s="58"/>
      <c r="AD547" s="58"/>
    </row>
    <row r="548" spans="25:30" ht="54.75" customHeight="1">
      <c r="Y548" s="58"/>
      <c r="Z548" s="58"/>
      <c r="AA548" s="58"/>
      <c r="AB548" s="58"/>
      <c r="AC548" s="58"/>
      <c r="AD548" s="58"/>
    </row>
    <row r="549" spans="25:30" ht="54.75" customHeight="1">
      <c r="Y549" s="58"/>
      <c r="Z549" s="58"/>
      <c r="AA549" s="58"/>
      <c r="AB549" s="58"/>
      <c r="AC549" s="58"/>
      <c r="AD549" s="58"/>
    </row>
    <row r="550" spans="25:30" ht="54.75" customHeight="1">
      <c r="Y550" s="58"/>
      <c r="Z550" s="58"/>
      <c r="AA550" s="58"/>
      <c r="AB550" s="58"/>
      <c r="AC550" s="58"/>
      <c r="AD550" s="58"/>
    </row>
    <row r="551" spans="25:30" ht="54.75" customHeight="1">
      <c r="Y551" s="58"/>
      <c r="Z551" s="58"/>
      <c r="AA551" s="58"/>
      <c r="AB551" s="58"/>
      <c r="AC551" s="58"/>
      <c r="AD551" s="58"/>
    </row>
    <row r="552" spans="25:30" ht="54.75" customHeight="1">
      <c r="Y552" s="58"/>
      <c r="Z552" s="58"/>
      <c r="AA552" s="58"/>
      <c r="AB552" s="58"/>
      <c r="AC552" s="58"/>
      <c r="AD552" s="58"/>
    </row>
    <row r="553" spans="25:30" ht="54.75" customHeight="1">
      <c r="Y553" s="58"/>
      <c r="Z553" s="58"/>
      <c r="AA553" s="58"/>
      <c r="AB553" s="58"/>
      <c r="AC553" s="58"/>
      <c r="AD553" s="58"/>
    </row>
    <row r="554" spans="25:30" ht="54.75" customHeight="1">
      <c r="Y554" s="58"/>
      <c r="Z554" s="58"/>
      <c r="AA554" s="58"/>
      <c r="AB554" s="58"/>
      <c r="AC554" s="58"/>
      <c r="AD554" s="58"/>
    </row>
    <row r="555" spans="25:30" ht="54.75" customHeight="1">
      <c r="Y555" s="58"/>
      <c r="Z555" s="58"/>
      <c r="AA555" s="58"/>
      <c r="AB555" s="58"/>
      <c r="AC555" s="58"/>
      <c r="AD555" s="58"/>
    </row>
    <row r="556" spans="25:30" ht="54.75" customHeight="1">
      <c r="Y556" s="58"/>
      <c r="Z556" s="58"/>
      <c r="AA556" s="58"/>
      <c r="AB556" s="58"/>
      <c r="AC556" s="58"/>
      <c r="AD556" s="58"/>
    </row>
    <row r="557" spans="25:30" ht="54.75" customHeight="1">
      <c r="Y557" s="58"/>
      <c r="Z557" s="58"/>
      <c r="AA557" s="58"/>
      <c r="AB557" s="58"/>
      <c r="AC557" s="58"/>
      <c r="AD557" s="58"/>
    </row>
    <row r="558" spans="25:30" ht="54.75" customHeight="1">
      <c r="Y558" s="58"/>
      <c r="Z558" s="58"/>
      <c r="AA558" s="58"/>
      <c r="AB558" s="58"/>
      <c r="AC558" s="58"/>
      <c r="AD558" s="58"/>
    </row>
    <row r="559" spans="25:30" ht="54.75" customHeight="1">
      <c r="Y559" s="58"/>
      <c r="Z559" s="58"/>
      <c r="AA559" s="58"/>
      <c r="AB559" s="58"/>
      <c r="AC559" s="58"/>
      <c r="AD559" s="58"/>
    </row>
    <row r="560" spans="25:30" ht="54.75" customHeight="1">
      <c r="Y560" s="58"/>
      <c r="Z560" s="58"/>
      <c r="AA560" s="58"/>
      <c r="AB560" s="58"/>
      <c r="AC560" s="58"/>
      <c r="AD560" s="58"/>
    </row>
    <row r="561" spans="25:30" ht="54.75" customHeight="1">
      <c r="Y561" s="58"/>
      <c r="Z561" s="58"/>
      <c r="AA561" s="58"/>
      <c r="AB561" s="58"/>
      <c r="AC561" s="58"/>
      <c r="AD561" s="58"/>
    </row>
    <row r="562" spans="25:30" ht="54.75" customHeight="1">
      <c r="Y562" s="58"/>
      <c r="Z562" s="58"/>
      <c r="AA562" s="58"/>
      <c r="AB562" s="58"/>
      <c r="AC562" s="58"/>
      <c r="AD562" s="58"/>
    </row>
    <row r="563" spans="25:30" ht="54.75" customHeight="1">
      <c r="Y563" s="58"/>
      <c r="Z563" s="58"/>
      <c r="AA563" s="58"/>
      <c r="AB563" s="58"/>
      <c r="AC563" s="58"/>
      <c r="AD563" s="58"/>
    </row>
    <row r="564" spans="25:30" ht="54.75" customHeight="1">
      <c r="Y564" s="58"/>
      <c r="Z564" s="58"/>
      <c r="AA564" s="58"/>
      <c r="AB564" s="58"/>
      <c r="AC564" s="58"/>
      <c r="AD564" s="58"/>
    </row>
    <row r="565" spans="25:30" ht="54.75" customHeight="1">
      <c r="Y565" s="58"/>
      <c r="Z565" s="58"/>
      <c r="AA565" s="58"/>
      <c r="AB565" s="58"/>
      <c r="AC565" s="58"/>
      <c r="AD565" s="58"/>
    </row>
    <row r="566" spans="25:30" ht="54.75" customHeight="1">
      <c r="Y566" s="58"/>
      <c r="Z566" s="58"/>
      <c r="AA566" s="58"/>
      <c r="AB566" s="58"/>
      <c r="AC566" s="58"/>
      <c r="AD566" s="58"/>
    </row>
    <row r="567" spans="25:30" ht="54.75" customHeight="1">
      <c r="Y567" s="58"/>
      <c r="Z567" s="58"/>
      <c r="AA567" s="58"/>
      <c r="AB567" s="58"/>
      <c r="AC567" s="58"/>
      <c r="AD567" s="58"/>
    </row>
    <row r="568" spans="25:30" ht="54.75" customHeight="1">
      <c r="Y568" s="58"/>
      <c r="Z568" s="58"/>
      <c r="AA568" s="58"/>
      <c r="AB568" s="58"/>
      <c r="AC568" s="58"/>
      <c r="AD568" s="58"/>
    </row>
    <row r="569" spans="25:30" ht="54.75" customHeight="1">
      <c r="Y569" s="58"/>
      <c r="Z569" s="58"/>
      <c r="AA569" s="58"/>
      <c r="AB569" s="58"/>
      <c r="AC569" s="58"/>
      <c r="AD569" s="58"/>
    </row>
    <row r="570" spans="25:30" ht="54.75" customHeight="1">
      <c r="Y570" s="58"/>
      <c r="Z570" s="58"/>
      <c r="AA570" s="58"/>
      <c r="AB570" s="58"/>
      <c r="AC570" s="58"/>
      <c r="AD570" s="58"/>
    </row>
    <row r="571" spans="25:30" ht="54.75" customHeight="1">
      <c r="Y571" s="58"/>
      <c r="Z571" s="58"/>
      <c r="AA571" s="58"/>
      <c r="AB571" s="58"/>
      <c r="AC571" s="58"/>
      <c r="AD571" s="58"/>
    </row>
    <row r="572" spans="25:30" ht="54.75" customHeight="1">
      <c r="Y572" s="58"/>
      <c r="Z572" s="58"/>
      <c r="AA572" s="58"/>
      <c r="AB572" s="58"/>
      <c r="AC572" s="58"/>
      <c r="AD572" s="58"/>
    </row>
    <row r="573" spans="25:30" ht="54.75" customHeight="1">
      <c r="Y573" s="58"/>
      <c r="Z573" s="58"/>
      <c r="AA573" s="58"/>
      <c r="AB573" s="58"/>
      <c r="AC573" s="58"/>
      <c r="AD573" s="58"/>
    </row>
    <row r="574" spans="25:30" ht="54.75" customHeight="1">
      <c r="Y574" s="58"/>
      <c r="Z574" s="58"/>
      <c r="AA574" s="58"/>
      <c r="AB574" s="58"/>
      <c r="AC574" s="58"/>
      <c r="AD574" s="58"/>
    </row>
    <row r="575" spans="25:30" ht="54.75" customHeight="1">
      <c r="Y575" s="58"/>
      <c r="Z575" s="58"/>
      <c r="AA575" s="58"/>
      <c r="AB575" s="58"/>
      <c r="AC575" s="58"/>
      <c r="AD575" s="58"/>
    </row>
    <row r="576" spans="25:30" ht="54.75" customHeight="1">
      <c r="Y576" s="58"/>
      <c r="Z576" s="58"/>
      <c r="AA576" s="58"/>
      <c r="AB576" s="58"/>
      <c r="AC576" s="58"/>
      <c r="AD576" s="58"/>
    </row>
    <row r="577" spans="25:30" ht="54.75" customHeight="1">
      <c r="Y577" s="58"/>
      <c r="Z577" s="58"/>
      <c r="AA577" s="58"/>
      <c r="AB577" s="58"/>
      <c r="AC577" s="58"/>
      <c r="AD577" s="58"/>
    </row>
    <row r="578" spans="25:30" ht="54.75" customHeight="1">
      <c r="Y578" s="58"/>
      <c r="Z578" s="58"/>
      <c r="AA578" s="58"/>
      <c r="AB578" s="58"/>
      <c r="AC578" s="58"/>
      <c r="AD578" s="58"/>
    </row>
    <row r="579" spans="25:30" ht="54.75" customHeight="1">
      <c r="Y579" s="58"/>
      <c r="Z579" s="58"/>
      <c r="AA579" s="58"/>
      <c r="AB579" s="58"/>
      <c r="AC579" s="58"/>
      <c r="AD579" s="58"/>
    </row>
    <row r="580" spans="25:30" ht="54.75" customHeight="1">
      <c r="Y580" s="58"/>
      <c r="Z580" s="58"/>
      <c r="AA580" s="58"/>
      <c r="AB580" s="58"/>
      <c r="AC580" s="58"/>
      <c r="AD580" s="58"/>
    </row>
    <row r="581" spans="25:30" ht="54.75" customHeight="1">
      <c r="Y581" s="58"/>
      <c r="Z581" s="58"/>
      <c r="AA581" s="58"/>
      <c r="AB581" s="58"/>
      <c r="AC581" s="58"/>
      <c r="AD581" s="58"/>
    </row>
    <row r="582" spans="25:30" ht="54.75" customHeight="1">
      <c r="Y582" s="58"/>
      <c r="Z582" s="58"/>
      <c r="AA582" s="58"/>
      <c r="AB582" s="58"/>
      <c r="AC582" s="58"/>
      <c r="AD582" s="58"/>
    </row>
    <row r="583" spans="25:30" ht="54.75" customHeight="1">
      <c r="Y583" s="58"/>
      <c r="Z583" s="58"/>
      <c r="AA583" s="58"/>
      <c r="AB583" s="58"/>
      <c r="AC583" s="58"/>
      <c r="AD583" s="58"/>
    </row>
    <row r="584" spans="25:30" ht="54.75" customHeight="1">
      <c r="Y584" s="58"/>
      <c r="Z584" s="58"/>
      <c r="AA584" s="58"/>
      <c r="AB584" s="58"/>
      <c r="AC584" s="58"/>
      <c r="AD584" s="58"/>
    </row>
    <row r="585" spans="25:30" ht="54.75" customHeight="1">
      <c r="Y585" s="58"/>
      <c r="Z585" s="58"/>
      <c r="AA585" s="58"/>
      <c r="AB585" s="58"/>
      <c r="AC585" s="58"/>
      <c r="AD585" s="58"/>
    </row>
    <row r="586" spans="25:30" ht="54.75" customHeight="1">
      <c r="Y586" s="58"/>
      <c r="Z586" s="58"/>
      <c r="AA586" s="58"/>
      <c r="AB586" s="58"/>
      <c r="AC586" s="58"/>
      <c r="AD586" s="58"/>
    </row>
    <row r="587" spans="25:30" ht="54.75" customHeight="1">
      <c r="Y587" s="58"/>
      <c r="Z587" s="58"/>
      <c r="AA587" s="58"/>
      <c r="AB587" s="58"/>
      <c r="AC587" s="58"/>
      <c r="AD587" s="58"/>
    </row>
    <row r="588" spans="25:30" ht="54.75" customHeight="1">
      <c r="Y588" s="58"/>
      <c r="Z588" s="58"/>
      <c r="AA588" s="58"/>
      <c r="AB588" s="58"/>
      <c r="AC588" s="58"/>
      <c r="AD588" s="58"/>
    </row>
    <row r="589" spans="25:30" ht="54.75" customHeight="1">
      <c r="Y589" s="58"/>
      <c r="Z589" s="58"/>
      <c r="AA589" s="58"/>
      <c r="AB589" s="58"/>
      <c r="AC589" s="58"/>
      <c r="AD589" s="58"/>
    </row>
    <row r="590" spans="25:30" ht="54.75" customHeight="1">
      <c r="Y590" s="58"/>
      <c r="Z590" s="58"/>
      <c r="AA590" s="58"/>
      <c r="AB590" s="58"/>
      <c r="AC590" s="58"/>
      <c r="AD590" s="58"/>
    </row>
    <row r="591" spans="25:30" ht="54.75" customHeight="1">
      <c r="Y591" s="58"/>
      <c r="Z591" s="58"/>
      <c r="AA591" s="58"/>
      <c r="AB591" s="58"/>
      <c r="AC591" s="58"/>
      <c r="AD591" s="58"/>
    </row>
    <row r="592" spans="25:30" ht="54.75" customHeight="1">
      <c r="Y592" s="58"/>
      <c r="Z592" s="58"/>
      <c r="AA592" s="58"/>
      <c r="AB592" s="58"/>
      <c r="AC592" s="58"/>
      <c r="AD592" s="58"/>
    </row>
    <row r="593" spans="25:30" ht="54.75" customHeight="1">
      <c r="Y593" s="58"/>
      <c r="Z593" s="58"/>
      <c r="AA593" s="58"/>
      <c r="AB593" s="58"/>
      <c r="AC593" s="58"/>
      <c r="AD593" s="58"/>
    </row>
    <row r="594" spans="25:30" ht="54.75" customHeight="1">
      <c r="Y594" s="58"/>
      <c r="Z594" s="58"/>
      <c r="AA594" s="58"/>
      <c r="AB594" s="58"/>
      <c r="AC594" s="58"/>
      <c r="AD594" s="58"/>
    </row>
    <row r="595" spans="25:30" ht="54.75" customHeight="1">
      <c r="Y595" s="58"/>
      <c r="Z595" s="58"/>
      <c r="AA595" s="58"/>
      <c r="AB595" s="58"/>
      <c r="AC595" s="58"/>
      <c r="AD595" s="58"/>
    </row>
    <row r="596" spans="25:30" ht="54.75" customHeight="1">
      <c r="Y596" s="58"/>
      <c r="Z596" s="58"/>
      <c r="AA596" s="58"/>
      <c r="AB596" s="58"/>
      <c r="AC596" s="58"/>
      <c r="AD596" s="58"/>
    </row>
    <row r="597" spans="25:30" ht="54.75" customHeight="1">
      <c r="Y597" s="58"/>
      <c r="Z597" s="58"/>
      <c r="AA597" s="58"/>
      <c r="AB597" s="58"/>
      <c r="AC597" s="58"/>
      <c r="AD597" s="58"/>
    </row>
    <row r="598" spans="25:30" ht="54.75" customHeight="1">
      <c r="Y598" s="58"/>
      <c r="Z598" s="58"/>
      <c r="AA598" s="58"/>
      <c r="AB598" s="58"/>
      <c r="AC598" s="58"/>
      <c r="AD598" s="58"/>
    </row>
    <row r="599" spans="25:30" ht="54.75" customHeight="1">
      <c r="Y599" s="58"/>
      <c r="Z599" s="58"/>
      <c r="AA599" s="58"/>
      <c r="AB599" s="58"/>
      <c r="AC599" s="58"/>
      <c r="AD599" s="58"/>
    </row>
    <row r="600" spans="25:30" ht="54.75" customHeight="1">
      <c r="Y600" s="58"/>
      <c r="Z600" s="58"/>
      <c r="AA600" s="58"/>
      <c r="AB600" s="58"/>
      <c r="AC600" s="58"/>
      <c r="AD600" s="58"/>
    </row>
    <row r="601" spans="25:30" ht="54.75" customHeight="1">
      <c r="Y601" s="58"/>
      <c r="Z601" s="58"/>
      <c r="AA601" s="58"/>
      <c r="AB601" s="58"/>
      <c r="AC601" s="58"/>
      <c r="AD601" s="58"/>
    </row>
    <row r="602" spans="25:30" ht="54.75" customHeight="1">
      <c r="Y602" s="58"/>
      <c r="Z602" s="58"/>
      <c r="AA602" s="58"/>
      <c r="AB602" s="58"/>
      <c r="AC602" s="58"/>
      <c r="AD602" s="58"/>
    </row>
    <row r="603" spans="25:30" ht="54.75" customHeight="1">
      <c r="Y603" s="58"/>
      <c r="Z603" s="58"/>
      <c r="AA603" s="58"/>
      <c r="AB603" s="58"/>
      <c r="AC603" s="58"/>
      <c r="AD603" s="58"/>
    </row>
    <row r="604" spans="25:30" ht="54.75" customHeight="1">
      <c r="Y604" s="58"/>
      <c r="Z604" s="58"/>
      <c r="AA604" s="58"/>
      <c r="AB604" s="58"/>
      <c r="AC604" s="58"/>
      <c r="AD604" s="58"/>
    </row>
    <row r="605" spans="25:30" ht="54.75" customHeight="1">
      <c r="Y605" s="58"/>
      <c r="Z605" s="58"/>
      <c r="AA605" s="58"/>
      <c r="AB605" s="58"/>
      <c r="AC605" s="58"/>
      <c r="AD605" s="58"/>
    </row>
    <row r="606" spans="25:30" ht="54.75" customHeight="1">
      <c r="Y606" s="58"/>
      <c r="Z606" s="58"/>
      <c r="AA606" s="58"/>
      <c r="AB606" s="58"/>
      <c r="AC606" s="58"/>
      <c r="AD606" s="58"/>
    </row>
    <row r="607" spans="25:30" ht="54.75" customHeight="1">
      <c r="Y607" s="58"/>
      <c r="Z607" s="58"/>
      <c r="AA607" s="58"/>
      <c r="AB607" s="58"/>
      <c r="AC607" s="58"/>
      <c r="AD607" s="58"/>
    </row>
    <row r="608" spans="25:30" ht="54.75" customHeight="1">
      <c r="Y608" s="58"/>
      <c r="Z608" s="58"/>
      <c r="AA608" s="58"/>
      <c r="AB608" s="58"/>
      <c r="AC608" s="58"/>
      <c r="AD608" s="58"/>
    </row>
    <row r="609" spans="25:30" ht="54.75" customHeight="1">
      <c r="Y609" s="58"/>
      <c r="Z609" s="58"/>
      <c r="AA609" s="58"/>
      <c r="AB609" s="58"/>
      <c r="AC609" s="58"/>
      <c r="AD609" s="58"/>
    </row>
    <row r="610" spans="25:30" ht="54.75" customHeight="1">
      <c r="Y610" s="58"/>
      <c r="Z610" s="58"/>
      <c r="AA610" s="58"/>
      <c r="AB610" s="58"/>
      <c r="AC610" s="58"/>
      <c r="AD610" s="58"/>
    </row>
    <row r="611" spans="25:30" ht="54.75" customHeight="1">
      <c r="Y611" s="58"/>
      <c r="Z611" s="58"/>
      <c r="AA611" s="58"/>
      <c r="AB611" s="58"/>
      <c r="AC611" s="58"/>
      <c r="AD611" s="58"/>
    </row>
    <row r="612" spans="25:30" ht="54.75" customHeight="1">
      <c r="Y612" s="58"/>
      <c r="Z612" s="58"/>
      <c r="AA612" s="58"/>
      <c r="AB612" s="58"/>
      <c r="AC612" s="58"/>
      <c r="AD612" s="58"/>
    </row>
    <row r="613" spans="25:30" ht="54.75" customHeight="1">
      <c r="Y613" s="58"/>
      <c r="Z613" s="58"/>
      <c r="AA613" s="58"/>
      <c r="AB613" s="58"/>
      <c r="AC613" s="58"/>
      <c r="AD613" s="58"/>
    </row>
    <row r="614" spans="25:30" ht="54.75" customHeight="1">
      <c r="Y614" s="58"/>
      <c r="Z614" s="58"/>
      <c r="AA614" s="58"/>
      <c r="AB614" s="58"/>
      <c r="AC614" s="58"/>
      <c r="AD614" s="58"/>
    </row>
    <row r="615" spans="25:30" ht="54.75" customHeight="1">
      <c r="Y615" s="58"/>
      <c r="Z615" s="58"/>
      <c r="AA615" s="58"/>
      <c r="AB615" s="58"/>
      <c r="AC615" s="58"/>
      <c r="AD615" s="58"/>
    </row>
    <row r="616" spans="25:30" ht="54.75" customHeight="1">
      <c r="Y616" s="58"/>
      <c r="Z616" s="58"/>
      <c r="AA616" s="58"/>
      <c r="AB616" s="58"/>
      <c r="AC616" s="58"/>
      <c r="AD616" s="58"/>
    </row>
    <row r="617" spans="25:30" ht="54.75" customHeight="1">
      <c r="Y617" s="58"/>
      <c r="Z617" s="58"/>
      <c r="AA617" s="58"/>
      <c r="AB617" s="58"/>
      <c r="AC617" s="58"/>
      <c r="AD617" s="58"/>
    </row>
    <row r="618" spans="25:30" ht="54.75" customHeight="1">
      <c r="Y618" s="58"/>
      <c r="Z618" s="58"/>
      <c r="AA618" s="58"/>
      <c r="AB618" s="58"/>
      <c r="AC618" s="58"/>
      <c r="AD618" s="58"/>
    </row>
    <row r="619" spans="25:30" ht="54.75" customHeight="1">
      <c r="Y619" s="58"/>
      <c r="Z619" s="58"/>
      <c r="AA619" s="58"/>
      <c r="AB619" s="58"/>
      <c r="AC619" s="58"/>
      <c r="AD619" s="58"/>
    </row>
    <row r="620" spans="25:30" ht="54.75" customHeight="1">
      <c r="Y620" s="58"/>
      <c r="Z620" s="58"/>
      <c r="AA620" s="58"/>
      <c r="AB620" s="58"/>
      <c r="AC620" s="58"/>
      <c r="AD620" s="58"/>
    </row>
    <row r="621" spans="25:30" ht="54.75" customHeight="1">
      <c r="Y621" s="58"/>
      <c r="Z621" s="58"/>
      <c r="AA621" s="58"/>
      <c r="AB621" s="58"/>
      <c r="AC621" s="58"/>
      <c r="AD621" s="58"/>
    </row>
    <row r="622" spans="25:30" ht="54.75" customHeight="1">
      <c r="Y622" s="58"/>
      <c r="Z622" s="58"/>
      <c r="AA622" s="58"/>
      <c r="AB622" s="58"/>
      <c r="AC622" s="58"/>
      <c r="AD622" s="58"/>
    </row>
    <row r="623" spans="25:30" ht="54.75" customHeight="1">
      <c r="Y623" s="58"/>
      <c r="Z623" s="58"/>
      <c r="AA623" s="58"/>
      <c r="AB623" s="58"/>
      <c r="AC623" s="58"/>
      <c r="AD623" s="58"/>
    </row>
    <row r="624" spans="25:30" ht="54.75" customHeight="1">
      <c r="Y624" s="58"/>
      <c r="Z624" s="58"/>
      <c r="AA624" s="58"/>
      <c r="AB624" s="58"/>
      <c r="AC624" s="58"/>
      <c r="AD624" s="58"/>
    </row>
    <row r="625" spans="25:30" ht="54.75" customHeight="1">
      <c r="Y625" s="58"/>
      <c r="Z625" s="58"/>
      <c r="AA625" s="58"/>
      <c r="AB625" s="58"/>
      <c r="AC625" s="58"/>
      <c r="AD625" s="58"/>
    </row>
    <row r="626" spans="25:30" ht="54.75" customHeight="1">
      <c r="Y626" s="58"/>
      <c r="Z626" s="58"/>
      <c r="AA626" s="58"/>
      <c r="AB626" s="58"/>
      <c r="AC626" s="58"/>
      <c r="AD626" s="58"/>
    </row>
    <row r="627" spans="25:30" ht="54.75" customHeight="1">
      <c r="Y627" s="58"/>
      <c r="Z627" s="58"/>
      <c r="AA627" s="58"/>
      <c r="AB627" s="58"/>
      <c r="AC627" s="58"/>
      <c r="AD627" s="58"/>
    </row>
    <row r="628" spans="25:30" ht="54.75" customHeight="1">
      <c r="Y628" s="58"/>
      <c r="Z628" s="58"/>
      <c r="AA628" s="58"/>
      <c r="AB628" s="58"/>
      <c r="AC628" s="58"/>
      <c r="AD628" s="58"/>
    </row>
    <row r="629" spans="25:30" ht="54.75" customHeight="1">
      <c r="Y629" s="58"/>
      <c r="Z629" s="58"/>
      <c r="AA629" s="58"/>
      <c r="AB629" s="58"/>
      <c r="AC629" s="58"/>
      <c r="AD629" s="58"/>
    </row>
    <row r="630" spans="25:30" ht="54.75" customHeight="1">
      <c r="Y630" s="58"/>
      <c r="Z630" s="58"/>
      <c r="AA630" s="58"/>
      <c r="AB630" s="58"/>
      <c r="AC630" s="58"/>
      <c r="AD630" s="58"/>
    </row>
    <row r="631" spans="25:30" ht="54.75" customHeight="1">
      <c r="Y631" s="58"/>
      <c r="Z631" s="58"/>
      <c r="AA631" s="58"/>
      <c r="AB631" s="58"/>
      <c r="AC631" s="58"/>
      <c r="AD631" s="58"/>
    </row>
    <row r="632" spans="25:30" ht="54.75" customHeight="1">
      <c r="Y632" s="58"/>
      <c r="Z632" s="58"/>
      <c r="AA632" s="58"/>
      <c r="AB632" s="58"/>
      <c r="AC632" s="58"/>
      <c r="AD632" s="58"/>
    </row>
    <row r="633" spans="25:30" ht="54.75" customHeight="1">
      <c r="Y633" s="58"/>
      <c r="Z633" s="58"/>
      <c r="AA633" s="58"/>
      <c r="AB633" s="58"/>
      <c r="AC633" s="58"/>
      <c r="AD633" s="58"/>
    </row>
    <row r="634" spans="25:30" ht="54.75" customHeight="1">
      <c r="Y634" s="58"/>
      <c r="Z634" s="58"/>
      <c r="AA634" s="58"/>
      <c r="AB634" s="58"/>
      <c r="AC634" s="58"/>
      <c r="AD634" s="58"/>
    </row>
    <row r="635" spans="25:30" ht="54.75" customHeight="1">
      <c r="Y635" s="58"/>
      <c r="Z635" s="58"/>
      <c r="AA635" s="58"/>
      <c r="AB635" s="58"/>
      <c r="AC635" s="58"/>
      <c r="AD635" s="58"/>
    </row>
    <row r="636" spans="25:30" ht="54.75" customHeight="1">
      <c r="Y636" s="58"/>
      <c r="Z636" s="58"/>
      <c r="AA636" s="58"/>
      <c r="AB636" s="58"/>
      <c r="AC636" s="58"/>
      <c r="AD636" s="58"/>
    </row>
    <row r="637" spans="25:30" ht="54.75" customHeight="1">
      <c r="Y637" s="58"/>
      <c r="Z637" s="58"/>
      <c r="AA637" s="58"/>
      <c r="AB637" s="58"/>
      <c r="AC637" s="58"/>
      <c r="AD637" s="58"/>
    </row>
    <row r="638" spans="25:30" ht="54.75" customHeight="1">
      <c r="Y638" s="58"/>
      <c r="Z638" s="58"/>
      <c r="AA638" s="58"/>
      <c r="AB638" s="58"/>
      <c r="AC638" s="58"/>
      <c r="AD638" s="58"/>
    </row>
    <row r="639" spans="25:30" ht="54.75" customHeight="1">
      <c r="Y639" s="58"/>
      <c r="Z639" s="58"/>
      <c r="AA639" s="58"/>
      <c r="AB639" s="58"/>
      <c r="AC639" s="58"/>
      <c r="AD639" s="58"/>
    </row>
    <row r="640" spans="25:30" ht="54.75" customHeight="1">
      <c r="Y640" s="58"/>
      <c r="Z640" s="58"/>
      <c r="AA640" s="58"/>
      <c r="AB640" s="58"/>
      <c r="AC640" s="58"/>
      <c r="AD640" s="58"/>
    </row>
    <row r="641" spans="25:30" ht="54.75" customHeight="1">
      <c r="Y641" s="58"/>
      <c r="Z641" s="58"/>
      <c r="AA641" s="58"/>
      <c r="AB641" s="58"/>
      <c r="AC641" s="58"/>
      <c r="AD641" s="58"/>
    </row>
    <row r="642" spans="25:30" ht="54.75" customHeight="1">
      <c r="Y642" s="58"/>
      <c r="Z642" s="58"/>
      <c r="AA642" s="58"/>
      <c r="AB642" s="58"/>
      <c r="AC642" s="58"/>
      <c r="AD642" s="58"/>
    </row>
    <row r="643" spans="25:30" ht="54.75" customHeight="1">
      <c r="Y643" s="58"/>
      <c r="Z643" s="58"/>
      <c r="AA643" s="58"/>
      <c r="AB643" s="58"/>
      <c r="AC643" s="58"/>
      <c r="AD643" s="58"/>
    </row>
    <row r="644" spans="25:30" ht="54.75" customHeight="1">
      <c r="Y644" s="58"/>
      <c r="Z644" s="58"/>
      <c r="AA644" s="58"/>
      <c r="AB644" s="58"/>
      <c r="AC644" s="58"/>
      <c r="AD644" s="58"/>
    </row>
    <row r="645" spans="25:30" ht="54.75" customHeight="1">
      <c r="Y645" s="58"/>
      <c r="Z645" s="58"/>
      <c r="AA645" s="58"/>
      <c r="AB645" s="58"/>
      <c r="AC645" s="58"/>
      <c r="AD645" s="58"/>
    </row>
    <row r="646" spans="25:30" ht="54.75" customHeight="1">
      <c r="Y646" s="58"/>
      <c r="Z646" s="58"/>
      <c r="AA646" s="58"/>
      <c r="AB646" s="58"/>
      <c r="AC646" s="58"/>
      <c r="AD646" s="58"/>
    </row>
    <row r="647" spans="25:30" ht="54.75" customHeight="1">
      <c r="Y647" s="58"/>
      <c r="Z647" s="58"/>
      <c r="AA647" s="58"/>
      <c r="AB647" s="58"/>
      <c r="AC647" s="58"/>
      <c r="AD647" s="58"/>
    </row>
    <row r="648" spans="25:30" ht="54.75" customHeight="1">
      <c r="Y648" s="58"/>
      <c r="Z648" s="58"/>
      <c r="AA648" s="58"/>
      <c r="AB648" s="58"/>
      <c r="AC648" s="58"/>
      <c r="AD648" s="58"/>
    </row>
    <row r="649" spans="25:30" ht="54.75" customHeight="1">
      <c r="Y649" s="58"/>
      <c r="Z649" s="58"/>
      <c r="AA649" s="58"/>
      <c r="AB649" s="58"/>
      <c r="AC649" s="58"/>
      <c r="AD649" s="58"/>
    </row>
    <row r="650" spans="25:30" ht="54.75" customHeight="1">
      <c r="Y650" s="58"/>
      <c r="Z650" s="58"/>
      <c r="AA650" s="58"/>
      <c r="AB650" s="58"/>
      <c r="AC650" s="58"/>
      <c r="AD650" s="58"/>
    </row>
    <row r="651" spans="25:30" ht="54.75" customHeight="1">
      <c r="Y651" s="58"/>
      <c r="Z651" s="58"/>
      <c r="AA651" s="58"/>
      <c r="AB651" s="58"/>
      <c r="AC651" s="58"/>
      <c r="AD651" s="58"/>
    </row>
    <row r="652" spans="25:30" ht="54.75" customHeight="1">
      <c r="Y652" s="58"/>
      <c r="Z652" s="58"/>
      <c r="AA652" s="58"/>
      <c r="AB652" s="58"/>
      <c r="AC652" s="58"/>
      <c r="AD652" s="58"/>
    </row>
    <row r="653" spans="25:30" ht="54.75" customHeight="1">
      <c r="Y653" s="58"/>
      <c r="Z653" s="58"/>
      <c r="AA653" s="58"/>
      <c r="AB653" s="58"/>
      <c r="AC653" s="58"/>
      <c r="AD653" s="58"/>
    </row>
    <row r="654" spans="25:30" ht="54.75" customHeight="1">
      <c r="Y654" s="58"/>
      <c r="Z654" s="58"/>
      <c r="AA654" s="58"/>
      <c r="AB654" s="58"/>
      <c r="AC654" s="58"/>
      <c r="AD654" s="58"/>
    </row>
    <row r="655" spans="25:30" ht="54.75" customHeight="1">
      <c r="Y655" s="58"/>
      <c r="Z655" s="58"/>
      <c r="AA655" s="58"/>
      <c r="AB655" s="58"/>
      <c r="AC655" s="58"/>
      <c r="AD655" s="58"/>
    </row>
    <row r="656" spans="25:30" ht="54.75" customHeight="1">
      <c r="Y656" s="58"/>
      <c r="Z656" s="58"/>
      <c r="AA656" s="58"/>
      <c r="AB656" s="58"/>
      <c r="AC656" s="58"/>
      <c r="AD656" s="58"/>
    </row>
    <row r="657" spans="25:30" ht="54.75" customHeight="1">
      <c r="Y657" s="58"/>
      <c r="Z657" s="58"/>
      <c r="AA657" s="58"/>
      <c r="AB657" s="58"/>
      <c r="AC657" s="58"/>
      <c r="AD657" s="58"/>
    </row>
    <row r="658" spans="25:30" ht="54.75" customHeight="1">
      <c r="Y658" s="58"/>
      <c r="Z658" s="58"/>
      <c r="AA658" s="58"/>
      <c r="AB658" s="58"/>
      <c r="AC658" s="58"/>
      <c r="AD658" s="58"/>
    </row>
    <row r="659" spans="25:30" ht="54.75" customHeight="1">
      <c r="Y659" s="58"/>
      <c r="Z659" s="58"/>
      <c r="AA659" s="58"/>
      <c r="AB659" s="58"/>
      <c r="AC659" s="58"/>
      <c r="AD659" s="58"/>
    </row>
    <row r="660" spans="25:30" ht="54.75" customHeight="1">
      <c r="Y660" s="58"/>
      <c r="Z660" s="58"/>
      <c r="AA660" s="58"/>
      <c r="AB660" s="58"/>
      <c r="AC660" s="58"/>
      <c r="AD660" s="58"/>
    </row>
    <row r="661" spans="25:30" ht="54.75" customHeight="1">
      <c r="Y661" s="58"/>
      <c r="Z661" s="58"/>
      <c r="AA661" s="58"/>
      <c r="AB661" s="58"/>
      <c r="AC661" s="58"/>
      <c r="AD661" s="58"/>
    </row>
    <row r="662" spans="25:30" ht="54.75" customHeight="1">
      <c r="Y662" s="58"/>
      <c r="Z662" s="58"/>
      <c r="AA662" s="58"/>
      <c r="AB662" s="58"/>
      <c r="AC662" s="58"/>
      <c r="AD662" s="58"/>
    </row>
    <row r="663" spans="25:30" ht="54.75" customHeight="1">
      <c r="Y663" s="58"/>
      <c r="Z663" s="58"/>
      <c r="AA663" s="58"/>
      <c r="AB663" s="58"/>
      <c r="AC663" s="58"/>
      <c r="AD663" s="58"/>
    </row>
    <row r="664" spans="25:30" ht="54.75" customHeight="1">
      <c r="Y664" s="58"/>
      <c r="Z664" s="58"/>
      <c r="AA664" s="58"/>
      <c r="AB664" s="58"/>
      <c r="AC664" s="58"/>
      <c r="AD664" s="58"/>
    </row>
    <row r="665" spans="25:30" ht="54.75" customHeight="1">
      <c r="Y665" s="58"/>
      <c r="Z665" s="58"/>
      <c r="AA665" s="58"/>
      <c r="AB665" s="58"/>
      <c r="AC665" s="58"/>
      <c r="AD665" s="58"/>
    </row>
    <row r="666" spans="25:30" ht="54.75" customHeight="1">
      <c r="Y666" s="58"/>
      <c r="Z666" s="58"/>
      <c r="AA666" s="58"/>
      <c r="AB666" s="58"/>
      <c r="AC666" s="58"/>
      <c r="AD666" s="58"/>
    </row>
    <row r="667" spans="25:30" ht="54.75" customHeight="1">
      <c r="Y667" s="58"/>
      <c r="Z667" s="58"/>
      <c r="AA667" s="58"/>
      <c r="AB667" s="58"/>
      <c r="AC667" s="58"/>
      <c r="AD667" s="58"/>
    </row>
    <row r="668" spans="25:30" ht="54.75" customHeight="1">
      <c r="Y668" s="58"/>
      <c r="Z668" s="58"/>
      <c r="AA668" s="58"/>
      <c r="AB668" s="58"/>
      <c r="AC668" s="58"/>
      <c r="AD668" s="58"/>
    </row>
    <row r="669" spans="25:30" ht="54.75" customHeight="1">
      <c r="Y669" s="58"/>
      <c r="Z669" s="58"/>
      <c r="AA669" s="58"/>
      <c r="AB669" s="58"/>
      <c r="AC669" s="58"/>
      <c r="AD669" s="58"/>
    </row>
    <row r="670" spans="25:30" ht="54.75" customHeight="1">
      <c r="Y670" s="58"/>
      <c r="Z670" s="58"/>
      <c r="AA670" s="58"/>
      <c r="AB670" s="58"/>
      <c r="AC670" s="58"/>
      <c r="AD670" s="58"/>
    </row>
    <row r="671" spans="25:30" ht="54.75" customHeight="1">
      <c r="Y671" s="58"/>
      <c r="Z671" s="58"/>
      <c r="AA671" s="58"/>
      <c r="AB671" s="58"/>
      <c r="AC671" s="58"/>
      <c r="AD671" s="58"/>
    </row>
    <row r="672" spans="25:30" ht="54.75" customHeight="1">
      <c r="Y672" s="58"/>
      <c r="Z672" s="58"/>
      <c r="AA672" s="58"/>
      <c r="AB672" s="58"/>
      <c r="AC672" s="58"/>
      <c r="AD672" s="58"/>
    </row>
    <row r="673" spans="25:30" ht="54.75" customHeight="1">
      <c r="Y673" s="58"/>
      <c r="Z673" s="58"/>
      <c r="AA673" s="58"/>
      <c r="AB673" s="58"/>
      <c r="AC673" s="58"/>
      <c r="AD673" s="58"/>
    </row>
    <row r="674" spans="25:30" ht="54.75" customHeight="1">
      <c r="Y674" s="58"/>
      <c r="Z674" s="58"/>
      <c r="AA674" s="58"/>
      <c r="AB674" s="58"/>
      <c r="AC674" s="58"/>
      <c r="AD674" s="58"/>
    </row>
    <row r="675" spans="25:30" ht="54.75" customHeight="1">
      <c r="Y675" s="58"/>
      <c r="Z675" s="58"/>
      <c r="AA675" s="58"/>
      <c r="AB675" s="58"/>
      <c r="AC675" s="58"/>
      <c r="AD675" s="58"/>
    </row>
    <row r="676" spans="25:30" ht="54.75" customHeight="1">
      <c r="Y676" s="58"/>
      <c r="Z676" s="58"/>
      <c r="AA676" s="58"/>
      <c r="AB676" s="58"/>
      <c r="AC676" s="58"/>
      <c r="AD676" s="58"/>
    </row>
    <row r="677" spans="25:30" ht="54.75" customHeight="1">
      <c r="Y677" s="58"/>
      <c r="Z677" s="58"/>
      <c r="AA677" s="58"/>
      <c r="AB677" s="58"/>
      <c r="AC677" s="58"/>
      <c r="AD677" s="58"/>
    </row>
    <row r="678" spans="25:30" ht="54.75" customHeight="1">
      <c r="Y678" s="58"/>
      <c r="Z678" s="58"/>
      <c r="AA678" s="58"/>
      <c r="AB678" s="58"/>
      <c r="AC678" s="58"/>
      <c r="AD678" s="58"/>
    </row>
    <row r="679" spans="25:30" ht="54.75" customHeight="1">
      <c r="Y679" s="58"/>
      <c r="Z679" s="58"/>
      <c r="AA679" s="58"/>
      <c r="AB679" s="58"/>
      <c r="AC679" s="58"/>
      <c r="AD679" s="58"/>
    </row>
    <row r="680" spans="25:30" ht="54.75" customHeight="1">
      <c r="Y680" s="58"/>
      <c r="Z680" s="58"/>
      <c r="AA680" s="58"/>
      <c r="AB680" s="58"/>
      <c r="AC680" s="58"/>
      <c r="AD680" s="58"/>
    </row>
    <row r="681" spans="25:30" ht="54.75" customHeight="1">
      <c r="Y681" s="58"/>
      <c r="Z681" s="58"/>
      <c r="AA681" s="58"/>
      <c r="AB681" s="58"/>
      <c r="AC681" s="58"/>
      <c r="AD681" s="58"/>
    </row>
    <row r="682" spans="25:30" ht="54.75" customHeight="1">
      <c r="Y682" s="58"/>
      <c r="Z682" s="58"/>
      <c r="AA682" s="58"/>
      <c r="AB682" s="58"/>
      <c r="AC682" s="58"/>
      <c r="AD682" s="58"/>
    </row>
    <row r="683" spans="25:30" ht="54.75" customHeight="1">
      <c r="Y683" s="58"/>
      <c r="Z683" s="58"/>
      <c r="AA683" s="58"/>
      <c r="AB683" s="58"/>
      <c r="AC683" s="58"/>
      <c r="AD683" s="58"/>
    </row>
    <row r="684" spans="25:30" ht="54.75" customHeight="1">
      <c r="Y684" s="58"/>
      <c r="Z684" s="58"/>
      <c r="AA684" s="58"/>
      <c r="AB684" s="58"/>
      <c r="AC684" s="58"/>
      <c r="AD684" s="58"/>
    </row>
    <row r="685" spans="25:30" ht="54.75" customHeight="1">
      <c r="Y685" s="58"/>
      <c r="Z685" s="58"/>
      <c r="AA685" s="58"/>
      <c r="AB685" s="58"/>
      <c r="AC685" s="58"/>
      <c r="AD685" s="58"/>
    </row>
    <row r="686" spans="25:30" ht="54.75" customHeight="1">
      <c r="Y686" s="58"/>
      <c r="Z686" s="58"/>
      <c r="AA686" s="58"/>
      <c r="AB686" s="58"/>
      <c r="AC686" s="58"/>
      <c r="AD686" s="58"/>
    </row>
    <row r="687" spans="25:30" ht="54.75" customHeight="1">
      <c r="Y687" s="58"/>
      <c r="Z687" s="58"/>
      <c r="AA687" s="58"/>
      <c r="AB687" s="58"/>
      <c r="AC687" s="58"/>
      <c r="AD687" s="58"/>
    </row>
    <row r="688" spans="25:30" ht="54.75" customHeight="1">
      <c r="Y688" s="58"/>
      <c r="Z688" s="58"/>
      <c r="AA688" s="58"/>
      <c r="AB688" s="58"/>
      <c r="AC688" s="58"/>
      <c r="AD688" s="58"/>
    </row>
    <row r="689" spans="25:30" ht="54.75" customHeight="1">
      <c r="Y689" s="58"/>
      <c r="Z689" s="58"/>
      <c r="AA689" s="58"/>
      <c r="AB689" s="58"/>
      <c r="AC689" s="58"/>
      <c r="AD689" s="58"/>
    </row>
    <row r="690" spans="25:30" ht="54.75" customHeight="1">
      <c r="Y690" s="58"/>
      <c r="Z690" s="58"/>
      <c r="AA690" s="58"/>
      <c r="AB690" s="58"/>
      <c r="AC690" s="58"/>
      <c r="AD690" s="58"/>
    </row>
    <row r="691" spans="25:30" ht="54.75" customHeight="1">
      <c r="Y691" s="58"/>
      <c r="Z691" s="58"/>
      <c r="AA691" s="58"/>
      <c r="AB691" s="58"/>
      <c r="AC691" s="58"/>
      <c r="AD691" s="58"/>
    </row>
    <row r="692" spans="25:30" ht="54.75" customHeight="1">
      <c r="Y692" s="58"/>
      <c r="Z692" s="58"/>
      <c r="AA692" s="58"/>
      <c r="AB692" s="58"/>
      <c r="AC692" s="58"/>
      <c r="AD692" s="58"/>
    </row>
    <row r="693" spans="25:30" ht="54.75" customHeight="1">
      <c r="Y693" s="58"/>
      <c r="Z693" s="58"/>
      <c r="AA693" s="58"/>
      <c r="AB693" s="58"/>
      <c r="AC693" s="58"/>
      <c r="AD693" s="58"/>
    </row>
    <row r="694" spans="25:30" ht="54.75" customHeight="1">
      <c r="Y694" s="58"/>
      <c r="Z694" s="58"/>
      <c r="AA694" s="58"/>
      <c r="AB694" s="58"/>
      <c r="AC694" s="58"/>
      <c r="AD694" s="58"/>
    </row>
    <row r="695" spans="25:30" ht="54.75" customHeight="1">
      <c r="Y695" s="58"/>
      <c r="Z695" s="58"/>
      <c r="AA695" s="58"/>
      <c r="AB695" s="58"/>
      <c r="AC695" s="58"/>
      <c r="AD695" s="58"/>
    </row>
    <row r="696" spans="25:30" ht="54.75" customHeight="1">
      <c r="Y696" s="58"/>
      <c r="Z696" s="58"/>
      <c r="AA696" s="58"/>
      <c r="AB696" s="58"/>
      <c r="AC696" s="58"/>
      <c r="AD696" s="58"/>
    </row>
    <row r="697" spans="25:30" ht="54.75" customHeight="1">
      <c r="Y697" s="58"/>
      <c r="Z697" s="58"/>
      <c r="AA697" s="58"/>
      <c r="AB697" s="58"/>
      <c r="AC697" s="58"/>
      <c r="AD697" s="58"/>
    </row>
    <row r="698" spans="25:30" ht="54.75" customHeight="1">
      <c r="Y698" s="58"/>
      <c r="Z698" s="58"/>
      <c r="AA698" s="58"/>
      <c r="AB698" s="58"/>
      <c r="AC698" s="58"/>
      <c r="AD698" s="58"/>
    </row>
    <row r="699" spans="25:30" ht="54.75" customHeight="1">
      <c r="Y699" s="58"/>
      <c r="Z699" s="58"/>
      <c r="AA699" s="58"/>
      <c r="AB699" s="58"/>
      <c r="AC699" s="58"/>
      <c r="AD699" s="58"/>
    </row>
    <row r="700" spans="25:30" ht="54.75" customHeight="1">
      <c r="Y700" s="58"/>
      <c r="Z700" s="58"/>
      <c r="AA700" s="58"/>
      <c r="AB700" s="58"/>
      <c r="AC700" s="58"/>
      <c r="AD700" s="58"/>
    </row>
    <row r="701" spans="25:30" ht="54.75" customHeight="1">
      <c r="Y701" s="58"/>
      <c r="Z701" s="58"/>
      <c r="AA701" s="58"/>
      <c r="AB701" s="58"/>
      <c r="AC701" s="58"/>
      <c r="AD701" s="58"/>
    </row>
    <row r="702" spans="25:30" ht="54.75" customHeight="1">
      <c r="Y702" s="58"/>
      <c r="Z702" s="58"/>
      <c r="AA702" s="58"/>
      <c r="AB702" s="58"/>
      <c r="AC702" s="58"/>
      <c r="AD702" s="58"/>
    </row>
    <row r="703" spans="25:30" ht="54.75" customHeight="1">
      <c r="Y703" s="58"/>
      <c r="Z703" s="58"/>
      <c r="AA703" s="58"/>
      <c r="AB703" s="58"/>
      <c r="AC703" s="58"/>
      <c r="AD703" s="58"/>
    </row>
    <row r="704" spans="25:30" ht="54.75" customHeight="1">
      <c r="Y704" s="58"/>
      <c r="Z704" s="58"/>
      <c r="AA704" s="58"/>
      <c r="AB704" s="58"/>
      <c r="AC704" s="58"/>
      <c r="AD704" s="58"/>
    </row>
    <row r="705" spans="25:30" ht="54.75" customHeight="1">
      <c r="Y705" s="58"/>
      <c r="Z705" s="58"/>
      <c r="AA705" s="58"/>
      <c r="AB705" s="58"/>
      <c r="AC705" s="58"/>
      <c r="AD705" s="58"/>
    </row>
    <row r="706" spans="25:30" ht="54.75" customHeight="1">
      <c r="Y706" s="58"/>
      <c r="Z706" s="58"/>
      <c r="AA706" s="58"/>
      <c r="AB706" s="58"/>
      <c r="AC706" s="58"/>
      <c r="AD706" s="58"/>
    </row>
    <row r="707" spans="25:30" ht="54.75" customHeight="1">
      <c r="Y707" s="58"/>
      <c r="Z707" s="58"/>
      <c r="AA707" s="58"/>
      <c r="AB707" s="58"/>
      <c r="AC707" s="58"/>
      <c r="AD707" s="58"/>
    </row>
    <row r="708" spans="25:30" ht="54.75" customHeight="1">
      <c r="Y708" s="58"/>
      <c r="Z708" s="58"/>
      <c r="AA708" s="58"/>
      <c r="AB708" s="58"/>
      <c r="AC708" s="58"/>
      <c r="AD708" s="58"/>
    </row>
    <row r="709" spans="25:30" ht="54.75" customHeight="1">
      <c r="Y709" s="58"/>
      <c r="Z709" s="58"/>
      <c r="AA709" s="58"/>
      <c r="AB709" s="58"/>
      <c r="AC709" s="58"/>
      <c r="AD709" s="58"/>
    </row>
    <row r="710" spans="25:30" ht="54.75" customHeight="1">
      <c r="Y710" s="58"/>
      <c r="Z710" s="58"/>
      <c r="AA710" s="58"/>
      <c r="AB710" s="58"/>
      <c r="AC710" s="58"/>
      <c r="AD710" s="58"/>
    </row>
    <row r="711" spans="25:30" ht="54.75" customHeight="1">
      <c r="Y711" s="58"/>
      <c r="Z711" s="58"/>
      <c r="AA711" s="58"/>
      <c r="AB711" s="58"/>
      <c r="AC711" s="58"/>
      <c r="AD711" s="58"/>
    </row>
    <row r="712" spans="25:30" ht="54.75" customHeight="1">
      <c r="Y712" s="58"/>
      <c r="Z712" s="58"/>
      <c r="AA712" s="58"/>
      <c r="AB712" s="58"/>
      <c r="AC712" s="58"/>
      <c r="AD712" s="58"/>
    </row>
    <row r="713" spans="25:30" ht="54.75" customHeight="1">
      <c r="Y713" s="58"/>
      <c r="Z713" s="58"/>
      <c r="AA713" s="58"/>
      <c r="AB713" s="58"/>
      <c r="AC713" s="58"/>
      <c r="AD713" s="58"/>
    </row>
    <row r="714" spans="25:30" ht="54.75" customHeight="1">
      <c r="Y714" s="58"/>
      <c r="Z714" s="58"/>
      <c r="AA714" s="58"/>
      <c r="AB714" s="58"/>
      <c r="AC714" s="58"/>
      <c r="AD714" s="58"/>
    </row>
    <row r="715" spans="25:30" ht="54.75" customHeight="1">
      <c r="Y715" s="58"/>
      <c r="Z715" s="58"/>
      <c r="AA715" s="58"/>
      <c r="AB715" s="58"/>
      <c r="AC715" s="58"/>
      <c r="AD715" s="58"/>
    </row>
    <row r="716" spans="25:30" ht="54.75" customHeight="1">
      <c r="Y716" s="58"/>
      <c r="Z716" s="58"/>
      <c r="AA716" s="58"/>
      <c r="AB716" s="58"/>
      <c r="AC716" s="58"/>
      <c r="AD716" s="58"/>
    </row>
    <row r="717" spans="25:30" ht="54.75" customHeight="1">
      <c r="Y717" s="58"/>
      <c r="Z717" s="58"/>
      <c r="AA717" s="58"/>
      <c r="AB717" s="58"/>
      <c r="AC717" s="58"/>
      <c r="AD717" s="58"/>
    </row>
    <row r="718" spans="25:30" ht="54.75" customHeight="1">
      <c r="Y718" s="58"/>
      <c r="Z718" s="58"/>
      <c r="AA718" s="58"/>
      <c r="AB718" s="58"/>
      <c r="AC718" s="58"/>
      <c r="AD718" s="58"/>
    </row>
    <row r="719" spans="25:30" ht="54.75" customHeight="1">
      <c r="Y719" s="58"/>
      <c r="Z719" s="58"/>
      <c r="AA719" s="58"/>
      <c r="AB719" s="58"/>
      <c r="AC719" s="58"/>
      <c r="AD719" s="58"/>
    </row>
    <row r="720" spans="25:30" ht="54.75" customHeight="1">
      <c r="Y720" s="58"/>
      <c r="Z720" s="58"/>
      <c r="AA720" s="58"/>
      <c r="AB720" s="58"/>
      <c r="AC720" s="58"/>
      <c r="AD720" s="58"/>
    </row>
    <row r="721" spans="25:30" ht="54.75" customHeight="1">
      <c r="Y721" s="58"/>
      <c r="Z721" s="58"/>
      <c r="AA721" s="58"/>
      <c r="AB721" s="58"/>
      <c r="AC721" s="58"/>
      <c r="AD721" s="58"/>
    </row>
    <row r="722" spans="25:30" ht="54.75" customHeight="1">
      <c r="Y722" s="58"/>
      <c r="Z722" s="58"/>
      <c r="AA722" s="58"/>
      <c r="AB722" s="58"/>
      <c r="AC722" s="58"/>
      <c r="AD722" s="58"/>
    </row>
    <row r="723" spans="25:30" ht="54.75" customHeight="1">
      <c r="Y723" s="58"/>
      <c r="Z723" s="58"/>
      <c r="AA723" s="58"/>
      <c r="AB723" s="58"/>
      <c r="AC723" s="58"/>
      <c r="AD723" s="58"/>
    </row>
    <row r="724" spans="25:30" ht="54.75" customHeight="1">
      <c r="Y724" s="58"/>
      <c r="Z724" s="58"/>
      <c r="AA724" s="58"/>
      <c r="AB724" s="58"/>
      <c r="AC724" s="58"/>
      <c r="AD724" s="58"/>
    </row>
    <row r="725" spans="25:30" ht="54.75" customHeight="1">
      <c r="Y725" s="58"/>
      <c r="Z725" s="58"/>
      <c r="AA725" s="58"/>
      <c r="AB725" s="58"/>
      <c r="AC725" s="58"/>
      <c r="AD725" s="58"/>
    </row>
    <row r="726" spans="25:30" ht="54.75" customHeight="1">
      <c r="Y726" s="58"/>
      <c r="Z726" s="58"/>
      <c r="AA726" s="58"/>
      <c r="AB726" s="58"/>
      <c r="AC726" s="58"/>
      <c r="AD726" s="58"/>
    </row>
    <row r="727" spans="25:30" ht="54.75" customHeight="1">
      <c r="Y727" s="58"/>
      <c r="Z727" s="58"/>
      <c r="AA727" s="58"/>
      <c r="AB727" s="58"/>
      <c r="AC727" s="58"/>
      <c r="AD727" s="58"/>
    </row>
    <row r="728" spans="25:30" ht="54.75" customHeight="1">
      <c r="Y728" s="58"/>
      <c r="Z728" s="58"/>
      <c r="AA728" s="58"/>
      <c r="AB728" s="58"/>
      <c r="AC728" s="58"/>
      <c r="AD728" s="58"/>
    </row>
    <row r="729" spans="25:30" ht="54.75" customHeight="1">
      <c r="Y729" s="58"/>
      <c r="Z729" s="58"/>
      <c r="AA729" s="58"/>
      <c r="AB729" s="58"/>
      <c r="AC729" s="58"/>
      <c r="AD729" s="58"/>
    </row>
    <row r="730" spans="25:30" ht="54.75" customHeight="1">
      <c r="Y730" s="58"/>
      <c r="Z730" s="58"/>
      <c r="AA730" s="58"/>
      <c r="AB730" s="58"/>
      <c r="AC730" s="58"/>
      <c r="AD730" s="58"/>
    </row>
    <row r="731" spans="25:30" ht="54.75" customHeight="1">
      <c r="Y731" s="58"/>
      <c r="Z731" s="58"/>
      <c r="AA731" s="58"/>
      <c r="AB731" s="58"/>
      <c r="AC731" s="58"/>
      <c r="AD731" s="58"/>
    </row>
    <row r="732" spans="25:30" ht="54.75" customHeight="1">
      <c r="Y732" s="58"/>
      <c r="Z732" s="58"/>
      <c r="AA732" s="58"/>
      <c r="AB732" s="58"/>
      <c r="AC732" s="58"/>
      <c r="AD732" s="58"/>
    </row>
    <row r="733" spans="25:30" ht="54.75" customHeight="1">
      <c r="Y733" s="58"/>
      <c r="Z733" s="58"/>
      <c r="AA733" s="58"/>
      <c r="AB733" s="58"/>
      <c r="AC733" s="58"/>
      <c r="AD733" s="58"/>
    </row>
    <row r="734" spans="25:30" ht="54.75" customHeight="1">
      <c r="Y734" s="58"/>
      <c r="Z734" s="58"/>
      <c r="AA734" s="58"/>
      <c r="AB734" s="58"/>
      <c r="AC734" s="58"/>
      <c r="AD734" s="58"/>
    </row>
    <row r="735" spans="25:30" ht="54.75" customHeight="1">
      <c r="Y735" s="58"/>
      <c r="Z735" s="58"/>
      <c r="AA735" s="58"/>
      <c r="AB735" s="58"/>
      <c r="AC735" s="58"/>
      <c r="AD735" s="58"/>
    </row>
    <row r="736" spans="25:30" ht="54.75" customHeight="1">
      <c r="Y736" s="58"/>
      <c r="Z736" s="58"/>
      <c r="AA736" s="58"/>
      <c r="AB736" s="58"/>
      <c r="AC736" s="58"/>
      <c r="AD736" s="58"/>
    </row>
    <row r="737" spans="25:30" ht="54.75" customHeight="1">
      <c r="Y737" s="58"/>
      <c r="Z737" s="58"/>
      <c r="AA737" s="58"/>
      <c r="AB737" s="58"/>
      <c r="AC737" s="58"/>
      <c r="AD737" s="58"/>
    </row>
    <row r="738" spans="25:30" ht="54.75" customHeight="1">
      <c r="Y738" s="58"/>
      <c r="Z738" s="58"/>
      <c r="AA738" s="58"/>
      <c r="AB738" s="58"/>
      <c r="AC738" s="58"/>
      <c r="AD738" s="58"/>
    </row>
    <row r="739" spans="25:30" ht="54.75" customHeight="1">
      <c r="Y739" s="58"/>
      <c r="Z739" s="58"/>
      <c r="AA739" s="58"/>
      <c r="AB739" s="58"/>
      <c r="AC739" s="58"/>
      <c r="AD739" s="58"/>
    </row>
    <row r="740" spans="25:30" ht="54.75" customHeight="1">
      <c r="Y740" s="58"/>
      <c r="Z740" s="58"/>
      <c r="AA740" s="58"/>
      <c r="AB740" s="58"/>
      <c r="AC740" s="58"/>
      <c r="AD740" s="58"/>
    </row>
    <row r="741" spans="25:30" ht="54.75" customHeight="1">
      <c r="Y741" s="58"/>
      <c r="Z741" s="58"/>
      <c r="AA741" s="58"/>
      <c r="AB741" s="58"/>
      <c r="AC741" s="58"/>
      <c r="AD741" s="58"/>
    </row>
    <row r="742" spans="25:30" ht="54.75" customHeight="1">
      <c r="Y742" s="58"/>
      <c r="Z742" s="58"/>
      <c r="AA742" s="58"/>
      <c r="AB742" s="58"/>
      <c r="AC742" s="58"/>
      <c r="AD742" s="58"/>
    </row>
    <row r="743" spans="25:30" ht="54.75" customHeight="1">
      <c r="Y743" s="58"/>
      <c r="Z743" s="58"/>
      <c r="AA743" s="58"/>
      <c r="AB743" s="58"/>
      <c r="AC743" s="58"/>
      <c r="AD743" s="58"/>
    </row>
    <row r="744" spans="25:30" ht="54.75" customHeight="1">
      <c r="Y744" s="58"/>
      <c r="Z744" s="58"/>
      <c r="AA744" s="58"/>
      <c r="AB744" s="58"/>
      <c r="AC744" s="58"/>
      <c r="AD744" s="58"/>
    </row>
    <row r="745" spans="25:30" ht="54.75" customHeight="1">
      <c r="Y745" s="58"/>
      <c r="Z745" s="58"/>
      <c r="AA745" s="58"/>
      <c r="AB745" s="58"/>
      <c r="AC745" s="58"/>
      <c r="AD745" s="58"/>
    </row>
    <row r="746" spans="25:30" ht="54.75" customHeight="1">
      <c r="Y746" s="58"/>
      <c r="Z746" s="58"/>
      <c r="AA746" s="58"/>
      <c r="AB746" s="58"/>
      <c r="AC746" s="58"/>
      <c r="AD746" s="58"/>
    </row>
    <row r="747" spans="25:30" ht="54.75" customHeight="1">
      <c r="Y747" s="58"/>
      <c r="Z747" s="58"/>
      <c r="AA747" s="58"/>
      <c r="AB747" s="58"/>
      <c r="AC747" s="58"/>
      <c r="AD747" s="58"/>
    </row>
    <row r="748" spans="25:30" ht="54.75" customHeight="1">
      <c r="Y748" s="58"/>
      <c r="Z748" s="58"/>
      <c r="AA748" s="58"/>
      <c r="AB748" s="58"/>
      <c r="AC748" s="58"/>
      <c r="AD748" s="58"/>
    </row>
    <row r="749" spans="25:30" ht="54.75" customHeight="1">
      <c r="Y749" s="58"/>
      <c r="Z749" s="58"/>
      <c r="AA749" s="58"/>
      <c r="AB749" s="58"/>
      <c r="AC749" s="58"/>
      <c r="AD749" s="58"/>
    </row>
    <row r="750" spans="25:30" ht="54.75" customHeight="1">
      <c r="Y750" s="58"/>
      <c r="Z750" s="58"/>
      <c r="AA750" s="58"/>
      <c r="AB750" s="58"/>
      <c r="AC750" s="58"/>
      <c r="AD750" s="58"/>
    </row>
    <row r="751" spans="25:30" ht="54.75" customHeight="1">
      <c r="Y751" s="58"/>
      <c r="Z751" s="58"/>
      <c r="AA751" s="58"/>
      <c r="AB751" s="58"/>
      <c r="AC751" s="58"/>
      <c r="AD751" s="58"/>
    </row>
    <row r="752" spans="25:30" ht="54.75" customHeight="1">
      <c r="Y752" s="58"/>
      <c r="Z752" s="58"/>
      <c r="AA752" s="58"/>
      <c r="AB752" s="58"/>
      <c r="AC752" s="58"/>
      <c r="AD752" s="58"/>
    </row>
    <row r="753" spans="25:30" ht="54.75" customHeight="1">
      <c r="Y753" s="58"/>
      <c r="Z753" s="58"/>
      <c r="AA753" s="58"/>
      <c r="AB753" s="58"/>
      <c r="AC753" s="58"/>
      <c r="AD753" s="58"/>
    </row>
    <row r="754" spans="25:30" ht="54.75" customHeight="1">
      <c r="Y754" s="58"/>
      <c r="Z754" s="58"/>
      <c r="AA754" s="58"/>
      <c r="AB754" s="58"/>
      <c r="AC754" s="58"/>
      <c r="AD754" s="58"/>
    </row>
    <row r="755" spans="25:30" ht="54.75" customHeight="1">
      <c r="Y755" s="58"/>
      <c r="Z755" s="58"/>
      <c r="AA755" s="58"/>
      <c r="AB755" s="58"/>
      <c r="AC755" s="58"/>
      <c r="AD755" s="58"/>
    </row>
    <row r="756" spans="25:30" ht="54.75" customHeight="1">
      <c r="Y756" s="58"/>
      <c r="Z756" s="58"/>
      <c r="AA756" s="58"/>
      <c r="AB756" s="58"/>
      <c r="AC756" s="58"/>
      <c r="AD756" s="58"/>
    </row>
    <row r="757" spans="25:30" ht="54.75" customHeight="1">
      <c r="Y757" s="58"/>
      <c r="Z757" s="58"/>
      <c r="AA757" s="58"/>
      <c r="AB757" s="58"/>
      <c r="AC757" s="58"/>
      <c r="AD757" s="58"/>
    </row>
    <row r="758" spans="25:30" ht="54.75" customHeight="1">
      <c r="Y758" s="58"/>
      <c r="Z758" s="58"/>
      <c r="AA758" s="58"/>
      <c r="AB758" s="58"/>
      <c r="AC758" s="58"/>
      <c r="AD758" s="58"/>
    </row>
    <row r="759" spans="25:30" ht="54.75" customHeight="1">
      <c r="Y759" s="58"/>
      <c r="Z759" s="58"/>
      <c r="AA759" s="58"/>
      <c r="AB759" s="58"/>
      <c r="AC759" s="58"/>
      <c r="AD759" s="58"/>
    </row>
    <row r="760" spans="25:30" ht="54.75" customHeight="1">
      <c r="Y760" s="58"/>
      <c r="Z760" s="58"/>
      <c r="AA760" s="58"/>
      <c r="AB760" s="58"/>
      <c r="AC760" s="58"/>
      <c r="AD760" s="58"/>
    </row>
    <row r="761" spans="25:30" ht="54.75" customHeight="1">
      <c r="Y761" s="58"/>
      <c r="Z761" s="58"/>
      <c r="AA761" s="58"/>
      <c r="AB761" s="58"/>
      <c r="AC761" s="58"/>
      <c r="AD761" s="58"/>
    </row>
    <row r="762" spans="25:30" ht="54.75" customHeight="1">
      <c r="Y762" s="58"/>
      <c r="Z762" s="58"/>
      <c r="AA762" s="58"/>
      <c r="AB762" s="58"/>
      <c r="AC762" s="58"/>
      <c r="AD762" s="58"/>
    </row>
    <row r="763" spans="25:30" ht="54.75" customHeight="1">
      <c r="Y763" s="58"/>
      <c r="Z763" s="58"/>
      <c r="AA763" s="58"/>
      <c r="AB763" s="58"/>
      <c r="AC763" s="58"/>
      <c r="AD763" s="58"/>
    </row>
    <row r="764" spans="25:30" ht="54.75" customHeight="1">
      <c r="Y764" s="58"/>
      <c r="Z764" s="58"/>
      <c r="AA764" s="58"/>
      <c r="AB764" s="58"/>
      <c r="AC764" s="58"/>
      <c r="AD764" s="58"/>
    </row>
    <row r="765" spans="25:30" ht="54.75" customHeight="1">
      <c r="Y765" s="58"/>
      <c r="Z765" s="58"/>
      <c r="AA765" s="58"/>
      <c r="AB765" s="58"/>
      <c r="AC765" s="58"/>
      <c r="AD765" s="58"/>
    </row>
    <row r="766" spans="25:30" ht="54.75" customHeight="1">
      <c r="Y766" s="58"/>
      <c r="Z766" s="58"/>
      <c r="AA766" s="58"/>
      <c r="AB766" s="58"/>
      <c r="AC766" s="58"/>
      <c r="AD766" s="58"/>
    </row>
    <row r="767" spans="25:30" ht="54.75" customHeight="1">
      <c r="Y767" s="58"/>
      <c r="Z767" s="58"/>
      <c r="AA767" s="58"/>
      <c r="AB767" s="58"/>
      <c r="AC767" s="58"/>
      <c r="AD767" s="58"/>
    </row>
    <row r="768" spans="25:30" ht="54.75" customHeight="1">
      <c r="Y768" s="58"/>
      <c r="Z768" s="58"/>
      <c r="AA768" s="58"/>
      <c r="AB768" s="58"/>
      <c r="AC768" s="58"/>
      <c r="AD768" s="58"/>
    </row>
    <row r="769" spans="25:30" ht="54.75" customHeight="1">
      <c r="Y769" s="58"/>
      <c r="Z769" s="58"/>
      <c r="AA769" s="58"/>
      <c r="AB769" s="58"/>
      <c r="AC769" s="58"/>
      <c r="AD769" s="58"/>
    </row>
    <row r="770" spans="25:30" ht="54.75" customHeight="1">
      <c r="Y770" s="58"/>
      <c r="Z770" s="58"/>
      <c r="AA770" s="58"/>
      <c r="AB770" s="58"/>
      <c r="AC770" s="58"/>
      <c r="AD770" s="58"/>
    </row>
    <row r="771" spans="25:30" ht="54.75" customHeight="1">
      <c r="Y771" s="58"/>
      <c r="Z771" s="58"/>
      <c r="AA771" s="58"/>
      <c r="AB771" s="58"/>
      <c r="AC771" s="58"/>
      <c r="AD771" s="58"/>
    </row>
    <row r="772" spans="25:30" ht="54.75" customHeight="1">
      <c r="Y772" s="58"/>
      <c r="Z772" s="58"/>
      <c r="AA772" s="58"/>
      <c r="AB772" s="58"/>
      <c r="AC772" s="58"/>
      <c r="AD772" s="58"/>
    </row>
    <row r="773" spans="25:30" ht="54.75" customHeight="1">
      <c r="Y773" s="58"/>
      <c r="Z773" s="58"/>
      <c r="AA773" s="58"/>
      <c r="AB773" s="58"/>
      <c r="AC773" s="58"/>
      <c r="AD773" s="58"/>
    </row>
    <row r="774" spans="25:30" ht="54.75" customHeight="1">
      <c r="Y774" s="58"/>
      <c r="Z774" s="58"/>
      <c r="AA774" s="58"/>
      <c r="AB774" s="58"/>
      <c r="AC774" s="58"/>
      <c r="AD774" s="58"/>
    </row>
    <row r="775" spans="25:30" ht="54.75" customHeight="1">
      <c r="Y775" s="58"/>
      <c r="Z775" s="58"/>
      <c r="AA775" s="58"/>
      <c r="AB775" s="58"/>
      <c r="AC775" s="58"/>
      <c r="AD775" s="58"/>
    </row>
    <row r="776" spans="25:30" ht="54.75" customHeight="1">
      <c r="Y776" s="58"/>
      <c r="Z776" s="58"/>
      <c r="AA776" s="58"/>
      <c r="AB776" s="58"/>
      <c r="AC776" s="58"/>
      <c r="AD776" s="58"/>
    </row>
    <row r="777" spans="25:30" ht="54.75" customHeight="1">
      <c r="Y777" s="58"/>
      <c r="Z777" s="58"/>
      <c r="AA777" s="58"/>
      <c r="AB777" s="58"/>
      <c r="AC777" s="58"/>
      <c r="AD777" s="58"/>
    </row>
    <row r="778" spans="25:30" ht="54.75" customHeight="1">
      <c r="Y778" s="58"/>
      <c r="Z778" s="58"/>
      <c r="AA778" s="58"/>
      <c r="AB778" s="58"/>
      <c r="AC778" s="58"/>
      <c r="AD778" s="58"/>
    </row>
    <row r="779" spans="25:30" ht="54.75" customHeight="1">
      <c r="Y779" s="58"/>
      <c r="Z779" s="58"/>
      <c r="AA779" s="58"/>
      <c r="AB779" s="58"/>
      <c r="AC779" s="58"/>
      <c r="AD779" s="58"/>
    </row>
    <row r="780" spans="25:30" ht="54.75" customHeight="1">
      <c r="Y780" s="58"/>
      <c r="Z780" s="58"/>
      <c r="AA780" s="58"/>
      <c r="AB780" s="58"/>
      <c r="AC780" s="58"/>
      <c r="AD780" s="58"/>
    </row>
    <row r="781" spans="25:30" ht="54.75" customHeight="1">
      <c r="Y781" s="58"/>
      <c r="Z781" s="58"/>
      <c r="AA781" s="58"/>
      <c r="AB781" s="58"/>
      <c r="AC781" s="58"/>
      <c r="AD781" s="58"/>
    </row>
    <row r="782" spans="25:30" ht="54.75" customHeight="1">
      <c r="Y782" s="58"/>
      <c r="Z782" s="58"/>
      <c r="AA782" s="58"/>
      <c r="AB782" s="58"/>
      <c r="AC782" s="58"/>
      <c r="AD782" s="58"/>
    </row>
    <row r="783" spans="25:30" ht="54.75" customHeight="1">
      <c r="Y783" s="58"/>
      <c r="Z783" s="58"/>
      <c r="AA783" s="58"/>
      <c r="AB783" s="58"/>
      <c r="AC783" s="58"/>
      <c r="AD783" s="58"/>
    </row>
    <row r="784" spans="25:30" ht="54.75" customHeight="1">
      <c r="Y784" s="58"/>
      <c r="Z784" s="58"/>
      <c r="AA784" s="58"/>
      <c r="AB784" s="58"/>
      <c r="AC784" s="58"/>
      <c r="AD784" s="58"/>
    </row>
    <row r="785" spans="25:30" ht="54.75" customHeight="1">
      <c r="Y785" s="58"/>
      <c r="Z785" s="58"/>
      <c r="AA785" s="58"/>
      <c r="AB785" s="58"/>
      <c r="AC785" s="58"/>
      <c r="AD785" s="58"/>
    </row>
    <row r="786" spans="25:30" ht="54.75" customHeight="1">
      <c r="Y786" s="58"/>
      <c r="Z786" s="58"/>
      <c r="AA786" s="58"/>
      <c r="AB786" s="58"/>
      <c r="AC786" s="58"/>
      <c r="AD786" s="58"/>
    </row>
    <row r="787" spans="25:30" ht="54.75" customHeight="1">
      <c r="Y787" s="58"/>
      <c r="Z787" s="58"/>
      <c r="AA787" s="58"/>
      <c r="AB787" s="58"/>
      <c r="AC787" s="58"/>
      <c r="AD787" s="58"/>
    </row>
    <row r="788" spans="25:30" ht="54.75" customHeight="1">
      <c r="Y788" s="58"/>
      <c r="Z788" s="58"/>
      <c r="AA788" s="58"/>
      <c r="AB788" s="58"/>
      <c r="AC788" s="58"/>
      <c r="AD788" s="58"/>
    </row>
    <row r="789" spans="25:30" ht="54.75" customHeight="1">
      <c r="Y789" s="58"/>
      <c r="Z789" s="58"/>
      <c r="AA789" s="58"/>
      <c r="AB789" s="58"/>
      <c r="AC789" s="58"/>
      <c r="AD789" s="58"/>
    </row>
    <row r="790" spans="25:30" ht="54.75" customHeight="1">
      <c r="Y790" s="58"/>
      <c r="Z790" s="58"/>
      <c r="AA790" s="58"/>
      <c r="AB790" s="58"/>
      <c r="AC790" s="58"/>
      <c r="AD790" s="58"/>
    </row>
    <row r="791" spans="25:30" ht="54.75" customHeight="1">
      <c r="Y791" s="58"/>
      <c r="Z791" s="58"/>
      <c r="AA791" s="58"/>
      <c r="AB791" s="58"/>
      <c r="AC791" s="58"/>
      <c r="AD791" s="58"/>
    </row>
    <row r="792" spans="25:30" ht="54.75" customHeight="1">
      <c r="Y792" s="58"/>
      <c r="Z792" s="58"/>
      <c r="AA792" s="58"/>
      <c r="AB792" s="58"/>
      <c r="AC792" s="58"/>
      <c r="AD792" s="58"/>
    </row>
    <row r="793" spans="25:30" ht="54.75" customHeight="1">
      <c r="Y793" s="58"/>
      <c r="Z793" s="58"/>
      <c r="AA793" s="58"/>
      <c r="AB793" s="58"/>
      <c r="AC793" s="58"/>
      <c r="AD793" s="58"/>
    </row>
    <row r="794" spans="25:30" ht="54.75" customHeight="1">
      <c r="Y794" s="58"/>
      <c r="Z794" s="58"/>
      <c r="AA794" s="58"/>
      <c r="AB794" s="58"/>
      <c r="AC794" s="58"/>
      <c r="AD794" s="58"/>
    </row>
    <row r="795" spans="25:30" ht="54.75" customHeight="1">
      <c r="Y795" s="58"/>
      <c r="Z795" s="58"/>
      <c r="AA795" s="58"/>
      <c r="AB795" s="58"/>
      <c r="AC795" s="58"/>
      <c r="AD795" s="58"/>
    </row>
    <row r="796" spans="25:30" ht="54.75" customHeight="1">
      <c r="Y796" s="58"/>
      <c r="Z796" s="58"/>
      <c r="AA796" s="58"/>
      <c r="AB796" s="58"/>
      <c r="AC796" s="58"/>
      <c r="AD796" s="58"/>
    </row>
    <row r="797" spans="25:30" ht="54.75" customHeight="1">
      <c r="Y797" s="58"/>
      <c r="Z797" s="58"/>
      <c r="AA797" s="58"/>
      <c r="AB797" s="58"/>
      <c r="AC797" s="58"/>
      <c r="AD797" s="58"/>
    </row>
    <row r="798" spans="25:30" ht="54.75" customHeight="1">
      <c r="Y798" s="58"/>
      <c r="Z798" s="58"/>
      <c r="AA798" s="58"/>
      <c r="AB798" s="58"/>
      <c r="AC798" s="58"/>
      <c r="AD798" s="58"/>
    </row>
    <row r="799" spans="25:30" ht="54.75" customHeight="1">
      <c r="Y799" s="58"/>
      <c r="Z799" s="58"/>
      <c r="AA799" s="58"/>
      <c r="AB799" s="58"/>
      <c r="AC799" s="58"/>
      <c r="AD799" s="58"/>
    </row>
    <row r="800" spans="25:30" ht="54.75" customHeight="1">
      <c r="Y800" s="58"/>
      <c r="Z800" s="58"/>
      <c r="AA800" s="58"/>
      <c r="AB800" s="58"/>
      <c r="AC800" s="58"/>
      <c r="AD800" s="58"/>
    </row>
    <row r="801" spans="25:30" ht="54.75" customHeight="1">
      <c r="Y801" s="58"/>
      <c r="Z801" s="58"/>
      <c r="AA801" s="58"/>
      <c r="AB801" s="58"/>
      <c r="AC801" s="58"/>
      <c r="AD801" s="58"/>
    </row>
    <row r="802" spans="25:30" ht="54.75" customHeight="1">
      <c r="Y802" s="58"/>
      <c r="Z802" s="58"/>
      <c r="AA802" s="58"/>
      <c r="AB802" s="58"/>
      <c r="AC802" s="58"/>
      <c r="AD802" s="58"/>
    </row>
    <row r="803" spans="25:30" ht="54.75" customHeight="1">
      <c r="Y803" s="58"/>
      <c r="Z803" s="58"/>
      <c r="AA803" s="58"/>
      <c r="AB803" s="58"/>
      <c r="AC803" s="58"/>
      <c r="AD803" s="58"/>
    </row>
    <row r="804" spans="25:30" ht="54.75" customHeight="1">
      <c r="Y804" s="58"/>
      <c r="Z804" s="58"/>
      <c r="AA804" s="58"/>
      <c r="AB804" s="58"/>
      <c r="AC804" s="58"/>
      <c r="AD804" s="58"/>
    </row>
    <row r="805" spans="25:30" ht="54.75" customHeight="1">
      <c r="Y805" s="58"/>
      <c r="Z805" s="58"/>
      <c r="AA805" s="58"/>
      <c r="AB805" s="58"/>
      <c r="AC805" s="58"/>
      <c r="AD805" s="58"/>
    </row>
    <row r="806" spans="25:30" ht="54.75" customHeight="1">
      <c r="Y806" s="58"/>
      <c r="Z806" s="58"/>
      <c r="AA806" s="58"/>
      <c r="AB806" s="58"/>
      <c r="AC806" s="58"/>
      <c r="AD806" s="58"/>
    </row>
    <row r="807" spans="25:30" ht="54.75" customHeight="1">
      <c r="Y807" s="58"/>
      <c r="Z807" s="58"/>
      <c r="AA807" s="58"/>
      <c r="AB807" s="58"/>
      <c r="AC807" s="58"/>
      <c r="AD807" s="58"/>
    </row>
    <row r="808" spans="25:30" ht="54.75" customHeight="1">
      <c r="Y808" s="58"/>
      <c r="Z808" s="58"/>
      <c r="AA808" s="58"/>
      <c r="AB808" s="58"/>
      <c r="AC808" s="58"/>
      <c r="AD808" s="58"/>
    </row>
    <row r="809" spans="25:30" ht="54.75" customHeight="1">
      <c r="Y809" s="58"/>
      <c r="Z809" s="58"/>
      <c r="AA809" s="58"/>
      <c r="AB809" s="58"/>
      <c r="AC809" s="58"/>
      <c r="AD809" s="58"/>
    </row>
    <row r="810" spans="25:30" ht="54.75" customHeight="1">
      <c r="Y810" s="58"/>
      <c r="Z810" s="58"/>
      <c r="AA810" s="58"/>
      <c r="AB810" s="58"/>
      <c r="AC810" s="58"/>
      <c r="AD810" s="58"/>
    </row>
    <row r="811" spans="25:30" ht="54.75" customHeight="1">
      <c r="Y811" s="58"/>
      <c r="Z811" s="58"/>
      <c r="AA811" s="58"/>
      <c r="AB811" s="58"/>
      <c r="AC811" s="58"/>
      <c r="AD811" s="58"/>
    </row>
    <row r="812" spans="25:30" ht="54.75" customHeight="1">
      <c r="Y812" s="58"/>
      <c r="Z812" s="58"/>
      <c r="AA812" s="58"/>
      <c r="AB812" s="58"/>
      <c r="AC812" s="58"/>
      <c r="AD812" s="58"/>
    </row>
    <row r="813" spans="25:30" ht="54.75" customHeight="1">
      <c r="Y813" s="58"/>
      <c r="Z813" s="58"/>
      <c r="AA813" s="58"/>
      <c r="AB813" s="58"/>
      <c r="AC813" s="58"/>
      <c r="AD813" s="58"/>
    </row>
    <row r="814" spans="25:30" ht="54.75" customHeight="1">
      <c r="Y814" s="58"/>
      <c r="Z814" s="58"/>
      <c r="AA814" s="58"/>
      <c r="AB814" s="58"/>
      <c r="AC814" s="58"/>
      <c r="AD814" s="58"/>
    </row>
    <row r="815" spans="25:30" ht="54.75" customHeight="1">
      <c r="Y815" s="58"/>
      <c r="Z815" s="58"/>
      <c r="AA815" s="58"/>
      <c r="AB815" s="58"/>
      <c r="AC815" s="58"/>
      <c r="AD815" s="58"/>
    </row>
    <row r="816" spans="25:30" ht="54.75" customHeight="1">
      <c r="Y816" s="58"/>
      <c r="Z816" s="58"/>
      <c r="AA816" s="58"/>
      <c r="AB816" s="58"/>
      <c r="AC816" s="58"/>
      <c r="AD816" s="58"/>
    </row>
    <row r="817" spans="25:30" ht="54.75" customHeight="1">
      <c r="Y817" s="58"/>
      <c r="Z817" s="58"/>
      <c r="AA817" s="58"/>
      <c r="AB817" s="58"/>
      <c r="AC817" s="58"/>
      <c r="AD817" s="58"/>
    </row>
    <row r="818" spans="25:30" ht="54.75" customHeight="1">
      <c r="Y818" s="58"/>
      <c r="Z818" s="58"/>
      <c r="AA818" s="58"/>
      <c r="AB818" s="58"/>
      <c r="AC818" s="58"/>
      <c r="AD818" s="58"/>
    </row>
    <row r="819" spans="25:30" ht="54.75" customHeight="1">
      <c r="Y819" s="58"/>
      <c r="Z819" s="58"/>
      <c r="AA819" s="58"/>
      <c r="AB819" s="58"/>
      <c r="AC819" s="58"/>
      <c r="AD819" s="58"/>
    </row>
    <row r="820" spans="25:30" ht="54.75" customHeight="1">
      <c r="Y820" s="58"/>
      <c r="Z820" s="58"/>
      <c r="AA820" s="58"/>
      <c r="AB820" s="58"/>
      <c r="AC820" s="58"/>
      <c r="AD820" s="58"/>
    </row>
    <row r="821" spans="25:30" ht="54.75" customHeight="1">
      <c r="Y821" s="58"/>
      <c r="Z821" s="58"/>
      <c r="AA821" s="58"/>
      <c r="AB821" s="58"/>
      <c r="AC821" s="58"/>
      <c r="AD821" s="58"/>
    </row>
    <row r="822" spans="25:30" ht="54.75" customHeight="1">
      <c r="Y822" s="58"/>
      <c r="Z822" s="58"/>
      <c r="AA822" s="58"/>
      <c r="AB822" s="58"/>
      <c r="AC822" s="58"/>
      <c r="AD822" s="58"/>
    </row>
    <row r="823" spans="25:30" ht="54.75" customHeight="1">
      <c r="Y823" s="58"/>
      <c r="Z823" s="58"/>
      <c r="AA823" s="58"/>
      <c r="AB823" s="58"/>
      <c r="AC823" s="58"/>
      <c r="AD823" s="58"/>
    </row>
    <row r="824" spans="25:30" ht="54.75" customHeight="1">
      <c r="Y824" s="58"/>
      <c r="Z824" s="58"/>
      <c r="AA824" s="58"/>
      <c r="AB824" s="58"/>
      <c r="AC824" s="58"/>
      <c r="AD824" s="58"/>
    </row>
    <row r="825" spans="25:30" ht="54.75" customHeight="1">
      <c r="Y825" s="58"/>
      <c r="Z825" s="58"/>
      <c r="AA825" s="58"/>
      <c r="AB825" s="58"/>
      <c r="AC825" s="58"/>
      <c r="AD825" s="58"/>
    </row>
    <row r="826" spans="25:30" ht="54.75" customHeight="1">
      <c r="Y826" s="58"/>
      <c r="Z826" s="58"/>
      <c r="AA826" s="58"/>
      <c r="AB826" s="58"/>
      <c r="AC826" s="58"/>
      <c r="AD826" s="58"/>
    </row>
    <row r="827" spans="25:30" ht="54.75" customHeight="1">
      <c r="Y827" s="58"/>
      <c r="Z827" s="58"/>
      <c r="AA827" s="58"/>
      <c r="AB827" s="58"/>
      <c r="AC827" s="58"/>
      <c r="AD827" s="58"/>
    </row>
    <row r="828" spans="25:30" ht="54.75" customHeight="1">
      <c r="Y828" s="58"/>
      <c r="Z828" s="58"/>
      <c r="AA828" s="58"/>
      <c r="AB828" s="58"/>
      <c r="AC828" s="58"/>
      <c r="AD828" s="58"/>
    </row>
    <row r="829" spans="25:30" ht="54.75" customHeight="1">
      <c r="Y829" s="58"/>
      <c r="Z829" s="58"/>
      <c r="AA829" s="58"/>
      <c r="AB829" s="58"/>
      <c r="AC829" s="58"/>
      <c r="AD829" s="58"/>
    </row>
    <row r="830" spans="25:30" ht="54.75" customHeight="1">
      <c r="Y830" s="58"/>
      <c r="Z830" s="58"/>
      <c r="AA830" s="58"/>
      <c r="AB830" s="58"/>
      <c r="AC830" s="58"/>
      <c r="AD830" s="58"/>
    </row>
    <row r="831" spans="25:30" ht="54.75" customHeight="1">
      <c r="Y831" s="58"/>
      <c r="Z831" s="58"/>
      <c r="AA831" s="58"/>
      <c r="AB831" s="58"/>
      <c r="AC831" s="58"/>
      <c r="AD831" s="58"/>
    </row>
    <row r="832" spans="25:30" ht="54.75" customHeight="1">
      <c r="Y832" s="58"/>
      <c r="Z832" s="58"/>
      <c r="AA832" s="58"/>
      <c r="AB832" s="58"/>
      <c r="AC832" s="58"/>
      <c r="AD832" s="58"/>
    </row>
    <row r="833" spans="25:30" ht="54.75" customHeight="1">
      <c r="Y833" s="58"/>
      <c r="Z833" s="58"/>
      <c r="AA833" s="58"/>
      <c r="AB833" s="58"/>
      <c r="AC833" s="58"/>
      <c r="AD833" s="58"/>
    </row>
    <row r="834" spans="25:30" ht="54.75" customHeight="1">
      <c r="Y834" s="58"/>
      <c r="Z834" s="58"/>
      <c r="AA834" s="58"/>
      <c r="AB834" s="58"/>
      <c r="AC834" s="58"/>
      <c r="AD834" s="58"/>
    </row>
    <row r="835" spans="25:30" ht="54.75" customHeight="1">
      <c r="Y835" s="58"/>
      <c r="Z835" s="58"/>
      <c r="AA835" s="58"/>
      <c r="AB835" s="58"/>
      <c r="AC835" s="58"/>
      <c r="AD835" s="58"/>
    </row>
    <row r="836" spans="25:30" ht="54.75" customHeight="1">
      <c r="Y836" s="58"/>
      <c r="Z836" s="58"/>
      <c r="AA836" s="58"/>
      <c r="AB836" s="58"/>
      <c r="AC836" s="58"/>
      <c r="AD836" s="58"/>
    </row>
    <row r="837" spans="25:30" ht="54.75" customHeight="1">
      <c r="Y837" s="58"/>
      <c r="Z837" s="58"/>
      <c r="AA837" s="58"/>
      <c r="AB837" s="58"/>
      <c r="AC837" s="58"/>
      <c r="AD837" s="58"/>
    </row>
    <row r="838" spans="25:30" ht="54.75" customHeight="1">
      <c r="Y838" s="58"/>
      <c r="Z838" s="58"/>
      <c r="AA838" s="58"/>
      <c r="AB838" s="58"/>
      <c r="AC838" s="58"/>
      <c r="AD838" s="58"/>
    </row>
    <row r="839" spans="25:30" ht="54.75" customHeight="1">
      <c r="Y839" s="58"/>
      <c r="Z839" s="58"/>
      <c r="AA839" s="58"/>
      <c r="AB839" s="58"/>
      <c r="AC839" s="58"/>
      <c r="AD839" s="58"/>
    </row>
    <row r="840" spans="25:30" ht="54.75" customHeight="1">
      <c r="Y840" s="58"/>
      <c r="Z840" s="58"/>
      <c r="AA840" s="58"/>
      <c r="AB840" s="58"/>
      <c r="AC840" s="58"/>
      <c r="AD840" s="58"/>
    </row>
    <row r="841" spans="25:30" ht="54.75" customHeight="1">
      <c r="Y841" s="58"/>
      <c r="Z841" s="58"/>
      <c r="AA841" s="58"/>
      <c r="AB841" s="58"/>
      <c r="AC841" s="58"/>
      <c r="AD841" s="58"/>
    </row>
    <row r="842" spans="25:30" ht="54.75" customHeight="1">
      <c r="Y842" s="58"/>
      <c r="Z842" s="58"/>
      <c r="AA842" s="58"/>
      <c r="AB842" s="58"/>
      <c r="AC842" s="58"/>
      <c r="AD842" s="58"/>
    </row>
    <row r="843" spans="25:30" ht="54.75" customHeight="1">
      <c r="Y843" s="58"/>
      <c r="Z843" s="58"/>
      <c r="AA843" s="58"/>
      <c r="AB843" s="58"/>
      <c r="AC843" s="58"/>
      <c r="AD843" s="58"/>
    </row>
    <row r="844" spans="25:30" ht="54.75" customHeight="1">
      <c r="Y844" s="58"/>
      <c r="Z844" s="58"/>
      <c r="AA844" s="58"/>
      <c r="AB844" s="58"/>
      <c r="AC844" s="58"/>
      <c r="AD844" s="58"/>
    </row>
    <row r="845" spans="25:30" ht="54.75" customHeight="1">
      <c r="Y845" s="58"/>
      <c r="Z845" s="58"/>
      <c r="AA845" s="58"/>
      <c r="AB845" s="58"/>
      <c r="AC845" s="58"/>
      <c r="AD845" s="58"/>
    </row>
    <row r="846" spans="25:30" ht="54.75" customHeight="1">
      <c r="Y846" s="58"/>
      <c r="Z846" s="58"/>
      <c r="AA846" s="58"/>
      <c r="AB846" s="58"/>
      <c r="AC846" s="58"/>
      <c r="AD846" s="58"/>
    </row>
    <row r="847" spans="25:30" ht="54.75" customHeight="1">
      <c r="Y847" s="58"/>
      <c r="Z847" s="58"/>
      <c r="AA847" s="58"/>
      <c r="AB847" s="58"/>
      <c r="AC847" s="58"/>
      <c r="AD847" s="58"/>
    </row>
    <row r="848" spans="25:30" ht="54.75" customHeight="1">
      <c r="Y848" s="58"/>
      <c r="Z848" s="58"/>
      <c r="AA848" s="58"/>
      <c r="AB848" s="58"/>
      <c r="AC848" s="58"/>
      <c r="AD848" s="58"/>
    </row>
    <row r="849" spans="25:30" ht="54.75" customHeight="1">
      <c r="Y849" s="58"/>
      <c r="Z849" s="58"/>
      <c r="AA849" s="58"/>
      <c r="AB849" s="58"/>
      <c r="AC849" s="58"/>
      <c r="AD849" s="58"/>
    </row>
    <row r="850" spans="25:30" ht="54.75" customHeight="1">
      <c r="Y850" s="58"/>
      <c r="Z850" s="58"/>
      <c r="AA850" s="58"/>
      <c r="AB850" s="58"/>
      <c r="AC850" s="58"/>
      <c r="AD850" s="58"/>
    </row>
    <row r="851" spans="25:30" ht="54.75" customHeight="1">
      <c r="Y851" s="58"/>
      <c r="Z851" s="58"/>
      <c r="AA851" s="58"/>
      <c r="AB851" s="58"/>
      <c r="AC851" s="58"/>
      <c r="AD851" s="58"/>
    </row>
    <row r="852" spans="25:30" ht="54.75" customHeight="1">
      <c r="Y852" s="58"/>
      <c r="Z852" s="58"/>
      <c r="AA852" s="58"/>
      <c r="AB852" s="58"/>
      <c r="AC852" s="58"/>
      <c r="AD852" s="58"/>
    </row>
    <row r="853" spans="25:30" ht="54.75" customHeight="1">
      <c r="Y853" s="58"/>
      <c r="Z853" s="58"/>
      <c r="AA853" s="58"/>
      <c r="AB853" s="58"/>
      <c r="AC853" s="58"/>
      <c r="AD853" s="58"/>
    </row>
    <row r="854" spans="25:30" ht="54.75" customHeight="1">
      <c r="Y854" s="58"/>
      <c r="Z854" s="58"/>
      <c r="AA854" s="58"/>
      <c r="AB854" s="58"/>
      <c r="AC854" s="58"/>
      <c r="AD854" s="58"/>
    </row>
    <row r="855" spans="25:30" ht="54.75" customHeight="1">
      <c r="Y855" s="58"/>
      <c r="Z855" s="58"/>
      <c r="AA855" s="58"/>
      <c r="AB855" s="58"/>
      <c r="AC855" s="58"/>
      <c r="AD855" s="58"/>
    </row>
    <row r="856" spans="25:30" ht="54.75" customHeight="1">
      <c r="Y856" s="58"/>
      <c r="Z856" s="58"/>
      <c r="AA856" s="58"/>
      <c r="AB856" s="58"/>
      <c r="AC856" s="58"/>
      <c r="AD856" s="58"/>
    </row>
    <row r="857" spans="25:30" ht="54.75" customHeight="1">
      <c r="Y857" s="58"/>
      <c r="Z857" s="58"/>
      <c r="AA857" s="58"/>
      <c r="AB857" s="58"/>
      <c r="AC857" s="58"/>
      <c r="AD857" s="58"/>
    </row>
    <row r="858" spans="25:30" ht="54.75" customHeight="1">
      <c r="Y858" s="58"/>
      <c r="Z858" s="58"/>
      <c r="AA858" s="58"/>
      <c r="AB858" s="58"/>
      <c r="AC858" s="58"/>
      <c r="AD858" s="58"/>
    </row>
    <row r="859" spans="25:30" ht="54.75" customHeight="1">
      <c r="Y859" s="58"/>
      <c r="Z859" s="58"/>
      <c r="AA859" s="58"/>
      <c r="AB859" s="58"/>
      <c r="AC859" s="58"/>
      <c r="AD859" s="58"/>
    </row>
    <row r="860" spans="25:30" ht="54.75" customHeight="1">
      <c r="Y860" s="58"/>
      <c r="Z860" s="58"/>
      <c r="AA860" s="58"/>
      <c r="AB860" s="58"/>
      <c r="AC860" s="58"/>
      <c r="AD860" s="58"/>
    </row>
    <row r="861" spans="25:30" ht="54.75" customHeight="1">
      <c r="Y861" s="58"/>
      <c r="Z861" s="58"/>
      <c r="AA861" s="58"/>
      <c r="AB861" s="58"/>
      <c r="AC861" s="58"/>
      <c r="AD861" s="58"/>
    </row>
    <row r="862" spans="25:30" ht="54.75" customHeight="1">
      <c r="Y862" s="58"/>
      <c r="Z862" s="58"/>
      <c r="AA862" s="58"/>
      <c r="AB862" s="58"/>
      <c r="AC862" s="58"/>
      <c r="AD862" s="58"/>
    </row>
    <row r="863" spans="25:30" ht="54.75" customHeight="1">
      <c r="Y863" s="58"/>
      <c r="Z863" s="58"/>
      <c r="AA863" s="58"/>
      <c r="AB863" s="58"/>
      <c r="AC863" s="58"/>
      <c r="AD863" s="58"/>
    </row>
    <row r="864" spans="25:30" ht="54.75" customHeight="1">
      <c r="Y864" s="58"/>
      <c r="Z864" s="58"/>
      <c r="AA864" s="58"/>
      <c r="AB864" s="58"/>
      <c r="AC864" s="58"/>
      <c r="AD864" s="58"/>
    </row>
    <row r="865" spans="25:30" ht="54.75" customHeight="1">
      <c r="Y865" s="58"/>
      <c r="Z865" s="58"/>
      <c r="AA865" s="58"/>
      <c r="AB865" s="58"/>
      <c r="AC865" s="58"/>
      <c r="AD865" s="58"/>
    </row>
    <row r="866" spans="25:30" ht="54.75" customHeight="1">
      <c r="Y866" s="58"/>
      <c r="Z866" s="58"/>
      <c r="AA866" s="58"/>
      <c r="AB866" s="58"/>
      <c r="AC866" s="58"/>
      <c r="AD866" s="58"/>
    </row>
    <row r="867" spans="25:30" ht="54.75" customHeight="1">
      <c r="Y867" s="58"/>
      <c r="Z867" s="58"/>
      <c r="AA867" s="58"/>
      <c r="AB867" s="58"/>
      <c r="AC867" s="58"/>
      <c r="AD867" s="58"/>
    </row>
    <row r="868" spans="25:30" ht="54.75" customHeight="1">
      <c r="Y868" s="58"/>
      <c r="Z868" s="58"/>
      <c r="AA868" s="58"/>
      <c r="AB868" s="58"/>
      <c r="AC868" s="58"/>
      <c r="AD868" s="58"/>
    </row>
    <row r="869" spans="25:30" ht="54.75" customHeight="1">
      <c r="Y869" s="58"/>
      <c r="Z869" s="58"/>
      <c r="AA869" s="58"/>
      <c r="AB869" s="58"/>
      <c r="AC869" s="58"/>
      <c r="AD869" s="58"/>
    </row>
    <row r="870" spans="25:30" ht="54.75" customHeight="1">
      <c r="Y870" s="58"/>
      <c r="Z870" s="58"/>
      <c r="AA870" s="58"/>
      <c r="AB870" s="58"/>
      <c r="AC870" s="58"/>
      <c r="AD870" s="58"/>
    </row>
    <row r="871" spans="25:30" ht="54.75" customHeight="1">
      <c r="Y871" s="58"/>
      <c r="Z871" s="58"/>
      <c r="AA871" s="58"/>
      <c r="AB871" s="58"/>
      <c r="AC871" s="58"/>
      <c r="AD871" s="58"/>
    </row>
    <row r="872" spans="25:30" ht="54.75" customHeight="1">
      <c r="Y872" s="58"/>
      <c r="Z872" s="58"/>
      <c r="AA872" s="58"/>
      <c r="AB872" s="58"/>
      <c r="AC872" s="58"/>
      <c r="AD872" s="58"/>
    </row>
    <row r="873" spans="25:30" ht="54.75" customHeight="1">
      <c r="Y873" s="58"/>
      <c r="Z873" s="58"/>
      <c r="AA873" s="58"/>
      <c r="AB873" s="58"/>
      <c r="AC873" s="58"/>
      <c r="AD873" s="58"/>
    </row>
    <row r="874" spans="25:30" ht="54.75" customHeight="1">
      <c r="Y874" s="58"/>
      <c r="Z874" s="58"/>
      <c r="AA874" s="58"/>
      <c r="AB874" s="58"/>
      <c r="AC874" s="58"/>
      <c r="AD874" s="58"/>
    </row>
    <row r="875" spans="25:30" ht="54.75" customHeight="1">
      <c r="Y875" s="58"/>
      <c r="Z875" s="58"/>
      <c r="AA875" s="58"/>
      <c r="AB875" s="58"/>
      <c r="AC875" s="58"/>
      <c r="AD875" s="58"/>
    </row>
    <row r="876" spans="25:30" ht="54.75" customHeight="1">
      <c r="Y876" s="58"/>
      <c r="Z876" s="58"/>
      <c r="AA876" s="58"/>
      <c r="AB876" s="58"/>
      <c r="AC876" s="58"/>
      <c r="AD876" s="58"/>
    </row>
    <row r="877" spans="25:30" ht="54.75" customHeight="1">
      <c r="Y877" s="58"/>
      <c r="Z877" s="58"/>
      <c r="AA877" s="58"/>
      <c r="AB877" s="58"/>
      <c r="AC877" s="58"/>
      <c r="AD877" s="58"/>
    </row>
    <row r="878" spans="25:30" ht="54.75" customHeight="1">
      <c r="Y878" s="58"/>
      <c r="Z878" s="58"/>
      <c r="AA878" s="58"/>
      <c r="AB878" s="58"/>
      <c r="AC878" s="58"/>
      <c r="AD878" s="58"/>
    </row>
    <row r="879" spans="25:30" ht="54.75" customHeight="1">
      <c r="Y879" s="58"/>
      <c r="Z879" s="58"/>
      <c r="AA879" s="58"/>
      <c r="AB879" s="58"/>
      <c r="AC879" s="58"/>
      <c r="AD879" s="58"/>
    </row>
    <row r="880" spans="25:30" ht="54.75" customHeight="1">
      <c r="Y880" s="58"/>
      <c r="Z880" s="58"/>
      <c r="AA880" s="58"/>
      <c r="AB880" s="58"/>
      <c r="AC880" s="58"/>
      <c r="AD880" s="58"/>
    </row>
    <row r="881" spans="25:30" ht="54.75" customHeight="1">
      <c r="Y881" s="58"/>
      <c r="Z881" s="58"/>
      <c r="AA881" s="58"/>
      <c r="AB881" s="58"/>
      <c r="AC881" s="58"/>
      <c r="AD881" s="58"/>
    </row>
    <row r="882" spans="25:30" ht="54.75" customHeight="1">
      <c r="Y882" s="58"/>
      <c r="Z882" s="58"/>
      <c r="AA882" s="58"/>
      <c r="AB882" s="58"/>
      <c r="AC882" s="58"/>
      <c r="AD882" s="58"/>
    </row>
    <row r="883" spans="25:30" ht="54.75" customHeight="1">
      <c r="Y883" s="58"/>
      <c r="Z883" s="58"/>
      <c r="AA883" s="58"/>
      <c r="AB883" s="58"/>
      <c r="AC883" s="58"/>
      <c r="AD883" s="58"/>
    </row>
    <row r="884" spans="25:30" ht="54.75" customHeight="1">
      <c r="Y884" s="58"/>
      <c r="Z884" s="58"/>
      <c r="AA884" s="58"/>
      <c r="AB884" s="58"/>
      <c r="AC884" s="58"/>
      <c r="AD884" s="58"/>
    </row>
    <row r="885" spans="25:30" ht="54.75" customHeight="1">
      <c r="Y885" s="58"/>
      <c r="Z885" s="58"/>
      <c r="AA885" s="58"/>
      <c r="AB885" s="58"/>
      <c r="AC885" s="58"/>
      <c r="AD885" s="58"/>
    </row>
    <row r="886" spans="25:30" ht="54.75" customHeight="1">
      <c r="Y886" s="58"/>
      <c r="Z886" s="58"/>
      <c r="AA886" s="58"/>
      <c r="AB886" s="58"/>
      <c r="AC886" s="58"/>
      <c r="AD886" s="58"/>
    </row>
    <row r="887" spans="25:30" ht="54.75" customHeight="1">
      <c r="Y887" s="58"/>
      <c r="Z887" s="58"/>
      <c r="AA887" s="58"/>
      <c r="AB887" s="58"/>
      <c r="AC887" s="58"/>
      <c r="AD887" s="58"/>
    </row>
    <row r="888" spans="25:30" ht="54.75" customHeight="1">
      <c r="Y888" s="58"/>
      <c r="Z888" s="58"/>
      <c r="AA888" s="58"/>
      <c r="AB888" s="58"/>
      <c r="AC888" s="58"/>
      <c r="AD888" s="58"/>
    </row>
    <row r="889" spans="25:30" ht="54.75" customHeight="1">
      <c r="Y889" s="58"/>
      <c r="Z889" s="58"/>
      <c r="AA889" s="58"/>
      <c r="AB889" s="58"/>
      <c r="AC889" s="58"/>
      <c r="AD889" s="58"/>
    </row>
    <row r="890" spans="25:30" ht="54.75" customHeight="1">
      <c r="Y890" s="58"/>
      <c r="Z890" s="58"/>
      <c r="AA890" s="58"/>
      <c r="AB890" s="58"/>
      <c r="AC890" s="58"/>
      <c r="AD890" s="58"/>
    </row>
    <row r="891" spans="25:30" ht="54.75" customHeight="1">
      <c r="Y891" s="58"/>
      <c r="Z891" s="58"/>
      <c r="AA891" s="58"/>
      <c r="AB891" s="58"/>
      <c r="AC891" s="58"/>
      <c r="AD891" s="58"/>
    </row>
    <row r="892" spans="25:30" ht="54.75" customHeight="1">
      <c r="Y892" s="58"/>
      <c r="Z892" s="58"/>
      <c r="AA892" s="58"/>
      <c r="AB892" s="58"/>
      <c r="AC892" s="58"/>
      <c r="AD892" s="58"/>
    </row>
    <row r="893" spans="25:30" ht="54.75" customHeight="1">
      <c r="Y893" s="58"/>
      <c r="Z893" s="58"/>
      <c r="AA893" s="58"/>
      <c r="AB893" s="58"/>
      <c r="AC893" s="58"/>
      <c r="AD893" s="58"/>
    </row>
    <row r="894" spans="25:30" ht="54.75" customHeight="1">
      <c r="Y894" s="58"/>
      <c r="Z894" s="58"/>
      <c r="AA894" s="58"/>
      <c r="AB894" s="58"/>
      <c r="AC894" s="58"/>
      <c r="AD894" s="58"/>
    </row>
    <row r="895" spans="25:30" ht="54.75" customHeight="1">
      <c r="Y895" s="58"/>
      <c r="Z895" s="58"/>
      <c r="AA895" s="58"/>
      <c r="AB895" s="58"/>
      <c r="AC895" s="58"/>
      <c r="AD895" s="58"/>
    </row>
    <row r="896" spans="25:30" ht="54.75" customHeight="1">
      <c r="Y896" s="58"/>
      <c r="Z896" s="58"/>
      <c r="AA896" s="58"/>
      <c r="AB896" s="58"/>
      <c r="AC896" s="58"/>
      <c r="AD896" s="58"/>
    </row>
    <row r="897" spans="25:30" ht="54.75" customHeight="1">
      <c r="Y897" s="58"/>
      <c r="Z897" s="58"/>
      <c r="AA897" s="58"/>
      <c r="AB897" s="58"/>
      <c r="AC897" s="58"/>
      <c r="AD897" s="58"/>
    </row>
    <row r="898" spans="25:30" ht="54.75" customHeight="1">
      <c r="Y898" s="58"/>
      <c r="Z898" s="58"/>
      <c r="AA898" s="58"/>
      <c r="AB898" s="58"/>
      <c r="AC898" s="58"/>
      <c r="AD898" s="58"/>
    </row>
    <row r="899" spans="25:30" ht="54.75" customHeight="1">
      <c r="Y899" s="58"/>
      <c r="Z899" s="58"/>
      <c r="AA899" s="58"/>
      <c r="AB899" s="58"/>
      <c r="AC899" s="58"/>
      <c r="AD899" s="58"/>
    </row>
    <row r="900" spans="25:30" ht="54.75" customHeight="1">
      <c r="Y900" s="58"/>
      <c r="Z900" s="58"/>
      <c r="AA900" s="58"/>
      <c r="AB900" s="58"/>
      <c r="AC900" s="58"/>
      <c r="AD900" s="58"/>
    </row>
    <row r="901" spans="25:30" ht="54.75" customHeight="1">
      <c r="Y901" s="58"/>
      <c r="Z901" s="58"/>
      <c r="AA901" s="58"/>
      <c r="AB901" s="58"/>
      <c r="AC901" s="58"/>
      <c r="AD901" s="58"/>
    </row>
    <row r="902" spans="25:30" ht="54.75" customHeight="1">
      <c r="Y902" s="58"/>
      <c r="Z902" s="58"/>
      <c r="AA902" s="58"/>
      <c r="AB902" s="58"/>
      <c r="AC902" s="58"/>
      <c r="AD902" s="58"/>
    </row>
    <row r="903" spans="25:30" ht="54.75" customHeight="1">
      <c r="Y903" s="58"/>
      <c r="Z903" s="58"/>
      <c r="AA903" s="58"/>
      <c r="AB903" s="58"/>
      <c r="AC903" s="58"/>
      <c r="AD903" s="58"/>
    </row>
    <row r="904" spans="25:30" ht="54.75" customHeight="1">
      <c r="Y904" s="58"/>
      <c r="Z904" s="58"/>
      <c r="AA904" s="58"/>
      <c r="AB904" s="58"/>
      <c r="AC904" s="58"/>
      <c r="AD904" s="58"/>
    </row>
    <row r="905" spans="25:30" ht="54.75" customHeight="1">
      <c r="Y905" s="58"/>
      <c r="Z905" s="58"/>
      <c r="AA905" s="58"/>
      <c r="AB905" s="58"/>
      <c r="AC905" s="58"/>
      <c r="AD905" s="58"/>
    </row>
    <row r="906" spans="25:30" ht="54.75" customHeight="1">
      <c r="Y906" s="58"/>
      <c r="Z906" s="58"/>
      <c r="AA906" s="58"/>
      <c r="AB906" s="58"/>
      <c r="AC906" s="58"/>
      <c r="AD906" s="58"/>
    </row>
    <row r="907" spans="25:30" ht="54.75" customHeight="1">
      <c r="Y907" s="58"/>
      <c r="Z907" s="58"/>
      <c r="AA907" s="58"/>
      <c r="AB907" s="58"/>
      <c r="AC907" s="58"/>
      <c r="AD907" s="58"/>
    </row>
    <row r="908" spans="25:30" ht="54.75" customHeight="1">
      <c r="Y908" s="58"/>
      <c r="Z908" s="58"/>
      <c r="AA908" s="58"/>
      <c r="AB908" s="58"/>
      <c r="AC908" s="58"/>
      <c r="AD908" s="58"/>
    </row>
    <row r="909" spans="25:30" ht="54.75" customHeight="1">
      <c r="Y909" s="58"/>
      <c r="Z909" s="58"/>
      <c r="AA909" s="58"/>
      <c r="AB909" s="58"/>
      <c r="AC909" s="58"/>
      <c r="AD909" s="58"/>
    </row>
    <row r="910" spans="25:30" ht="54.75" customHeight="1">
      <c r="Y910" s="58"/>
      <c r="Z910" s="58"/>
      <c r="AA910" s="58"/>
      <c r="AB910" s="58"/>
      <c r="AC910" s="58"/>
      <c r="AD910" s="58"/>
    </row>
    <row r="911" spans="25:30" ht="54.75" customHeight="1">
      <c r="Y911" s="58"/>
      <c r="Z911" s="58"/>
      <c r="AA911" s="58"/>
      <c r="AB911" s="58"/>
      <c r="AC911" s="58"/>
      <c r="AD911" s="58"/>
    </row>
    <row r="912" spans="25:30" ht="54.75" customHeight="1">
      <c r="Y912" s="58"/>
      <c r="Z912" s="58"/>
      <c r="AA912" s="58"/>
      <c r="AB912" s="58"/>
      <c r="AC912" s="58"/>
      <c r="AD912" s="58"/>
    </row>
    <row r="913" spans="25:30" ht="54.75" customHeight="1">
      <c r="Y913" s="58"/>
      <c r="Z913" s="58"/>
      <c r="AA913" s="58"/>
      <c r="AB913" s="58"/>
      <c r="AC913" s="58"/>
      <c r="AD913" s="58"/>
    </row>
    <row r="914" spans="25:30" ht="54.75" customHeight="1">
      <c r="Y914" s="58"/>
      <c r="Z914" s="58"/>
      <c r="AA914" s="58"/>
      <c r="AB914" s="58"/>
      <c r="AC914" s="58"/>
      <c r="AD914" s="58"/>
    </row>
    <row r="915" spans="25:30" ht="54.75" customHeight="1">
      <c r="Y915" s="58"/>
      <c r="Z915" s="58"/>
      <c r="AA915" s="58"/>
      <c r="AB915" s="58"/>
      <c r="AC915" s="58"/>
      <c r="AD915" s="58"/>
    </row>
    <row r="916" spans="25:30" ht="54.75" customHeight="1">
      <c r="Y916" s="58"/>
      <c r="Z916" s="58"/>
      <c r="AA916" s="58"/>
      <c r="AB916" s="58"/>
      <c r="AC916" s="58"/>
      <c r="AD916" s="58"/>
    </row>
    <row r="917" spans="25:30" ht="54.75" customHeight="1">
      <c r="Y917" s="58"/>
      <c r="Z917" s="58"/>
      <c r="AA917" s="58"/>
      <c r="AB917" s="58"/>
      <c r="AC917" s="58"/>
      <c r="AD917" s="58"/>
    </row>
    <row r="918" spans="25:30" ht="54.75" customHeight="1">
      <c r="Y918" s="58"/>
      <c r="Z918" s="58"/>
      <c r="AA918" s="58"/>
      <c r="AB918" s="58"/>
      <c r="AC918" s="58"/>
      <c r="AD918" s="58"/>
    </row>
    <row r="919" spans="25:30" ht="54.75" customHeight="1">
      <c r="Y919" s="58"/>
      <c r="Z919" s="58"/>
      <c r="AA919" s="58"/>
      <c r="AB919" s="58"/>
      <c r="AC919" s="58"/>
      <c r="AD919" s="58"/>
    </row>
    <row r="920" spans="25:30" ht="54.75" customHeight="1">
      <c r="Y920" s="58"/>
      <c r="Z920" s="58"/>
      <c r="AA920" s="58"/>
      <c r="AB920" s="58"/>
      <c r="AC920" s="58"/>
      <c r="AD920" s="58"/>
    </row>
    <row r="921" spans="25:30" ht="54.75" customHeight="1">
      <c r="Y921" s="58"/>
      <c r="Z921" s="58"/>
      <c r="AA921" s="58"/>
      <c r="AB921" s="58"/>
      <c r="AC921" s="58"/>
      <c r="AD921" s="58"/>
    </row>
    <row r="922" spans="25:30" ht="54.75" customHeight="1">
      <c r="Y922" s="58"/>
      <c r="Z922" s="58"/>
      <c r="AA922" s="58"/>
      <c r="AB922" s="58"/>
      <c r="AC922" s="58"/>
      <c r="AD922" s="58"/>
    </row>
    <row r="923" spans="25:30" ht="54.75" customHeight="1">
      <c r="Y923" s="58"/>
      <c r="Z923" s="58"/>
      <c r="AA923" s="58"/>
      <c r="AB923" s="58"/>
      <c r="AC923" s="58"/>
      <c r="AD923" s="58"/>
    </row>
    <row r="924" spans="25:30" ht="54.75" customHeight="1">
      <c r="Y924" s="58"/>
      <c r="Z924" s="58"/>
      <c r="AA924" s="58"/>
      <c r="AB924" s="58"/>
      <c r="AC924" s="58"/>
      <c r="AD924" s="58"/>
    </row>
    <row r="925" spans="25:30" ht="54.75" customHeight="1">
      <c r="Y925" s="58"/>
      <c r="Z925" s="58"/>
      <c r="AA925" s="58"/>
      <c r="AB925" s="58"/>
      <c r="AC925" s="58"/>
      <c r="AD925" s="58"/>
    </row>
    <row r="926" spans="25:30" ht="54.75" customHeight="1">
      <c r="Y926" s="58"/>
      <c r="Z926" s="58"/>
      <c r="AA926" s="58"/>
      <c r="AB926" s="58"/>
      <c r="AC926" s="58"/>
      <c r="AD926" s="58"/>
    </row>
    <row r="927" spans="25:30" ht="54.75" customHeight="1">
      <c r="Y927" s="58"/>
      <c r="Z927" s="58"/>
      <c r="AA927" s="58"/>
      <c r="AB927" s="58"/>
      <c r="AC927" s="58"/>
      <c r="AD927" s="58"/>
    </row>
    <row r="928" spans="25:30" ht="54.75" customHeight="1">
      <c r="Y928" s="58"/>
      <c r="Z928" s="58"/>
      <c r="AA928" s="58"/>
      <c r="AB928" s="58"/>
      <c r="AC928" s="58"/>
      <c r="AD928" s="58"/>
    </row>
    <row r="929" spans="25:30" ht="54.75" customHeight="1">
      <c r="Y929" s="58"/>
      <c r="Z929" s="58"/>
      <c r="AA929" s="58"/>
      <c r="AB929" s="58"/>
      <c r="AC929" s="58"/>
      <c r="AD929" s="58"/>
    </row>
    <row r="930" spans="25:30" ht="54.75" customHeight="1">
      <c r="Y930" s="58"/>
      <c r="Z930" s="58"/>
      <c r="AA930" s="58"/>
      <c r="AB930" s="58"/>
      <c r="AC930" s="58"/>
      <c r="AD930" s="58"/>
    </row>
    <row r="931" spans="25:30" ht="54.75" customHeight="1">
      <c r="Y931" s="58"/>
      <c r="Z931" s="58"/>
      <c r="AA931" s="58"/>
      <c r="AB931" s="58"/>
      <c r="AC931" s="58"/>
      <c r="AD931" s="58"/>
    </row>
    <row r="932" spans="25:30" ht="54.75" customHeight="1">
      <c r="Y932" s="58"/>
      <c r="Z932" s="58"/>
      <c r="AA932" s="58"/>
      <c r="AB932" s="58"/>
      <c r="AC932" s="58"/>
      <c r="AD932" s="58"/>
    </row>
    <row r="933" spans="25:30" ht="54.75" customHeight="1">
      <c r="Y933" s="58"/>
      <c r="Z933" s="58"/>
      <c r="AA933" s="58"/>
      <c r="AB933" s="58"/>
      <c r="AC933" s="58"/>
      <c r="AD933" s="58"/>
    </row>
    <row r="934" spans="25:30" ht="54.75" customHeight="1">
      <c r="Y934" s="58"/>
      <c r="Z934" s="58"/>
      <c r="AA934" s="58"/>
      <c r="AB934" s="58"/>
      <c r="AC934" s="58"/>
      <c r="AD934" s="58"/>
    </row>
    <row r="935" spans="25:30" ht="54.75" customHeight="1">
      <c r="Y935" s="58"/>
      <c r="Z935" s="58"/>
      <c r="AA935" s="58"/>
      <c r="AB935" s="58"/>
      <c r="AC935" s="58"/>
      <c r="AD935" s="58"/>
    </row>
    <row r="936" spans="25:30" ht="54.75" customHeight="1">
      <c r="Y936" s="58"/>
      <c r="Z936" s="58"/>
      <c r="AA936" s="58"/>
      <c r="AB936" s="58"/>
      <c r="AC936" s="58"/>
      <c r="AD936" s="58"/>
    </row>
    <row r="937" spans="25:30" ht="54.75" customHeight="1">
      <c r="Y937" s="58"/>
      <c r="Z937" s="58"/>
      <c r="AA937" s="58"/>
      <c r="AB937" s="58"/>
      <c r="AC937" s="58"/>
      <c r="AD937" s="58"/>
    </row>
    <row r="938" spans="25:30" ht="54.75" customHeight="1">
      <c r="Y938" s="58"/>
      <c r="Z938" s="58"/>
      <c r="AA938" s="58"/>
      <c r="AB938" s="58"/>
      <c r="AC938" s="58"/>
      <c r="AD938" s="58"/>
    </row>
    <row r="939" spans="25:30" ht="54.75" customHeight="1">
      <c r="Y939" s="58"/>
      <c r="Z939" s="58"/>
      <c r="AA939" s="58"/>
      <c r="AB939" s="58"/>
      <c r="AC939" s="58"/>
      <c r="AD939" s="58"/>
    </row>
    <row r="940" spans="25:30" ht="54.75" customHeight="1">
      <c r="Y940" s="58"/>
      <c r="Z940" s="58"/>
      <c r="AA940" s="58"/>
      <c r="AB940" s="58"/>
      <c r="AC940" s="58"/>
      <c r="AD940" s="58"/>
    </row>
    <row r="941" spans="25:30" ht="54.75" customHeight="1">
      <c r="Y941" s="58"/>
      <c r="Z941" s="58"/>
      <c r="AA941" s="58"/>
      <c r="AB941" s="58"/>
      <c r="AC941" s="58"/>
      <c r="AD941" s="58"/>
    </row>
    <row r="942" spans="25:30" ht="54.75" customHeight="1">
      <c r="Y942" s="58"/>
      <c r="Z942" s="58"/>
      <c r="AA942" s="58"/>
      <c r="AB942" s="58"/>
      <c r="AC942" s="58"/>
      <c r="AD942" s="58"/>
    </row>
    <row r="943" spans="25:30" ht="54.75" customHeight="1">
      <c r="Y943" s="58"/>
      <c r="Z943" s="58"/>
      <c r="AA943" s="58"/>
      <c r="AB943" s="58"/>
      <c r="AC943" s="58"/>
      <c r="AD943" s="58"/>
    </row>
    <row r="944" spans="25:30" ht="54.75" customHeight="1">
      <c r="Y944" s="58"/>
      <c r="Z944" s="58"/>
      <c r="AA944" s="58"/>
      <c r="AB944" s="58"/>
      <c r="AC944" s="58"/>
      <c r="AD944" s="58"/>
    </row>
    <row r="945" spans="25:30" ht="54.75" customHeight="1">
      <c r="Y945" s="58"/>
      <c r="Z945" s="58"/>
      <c r="AA945" s="58"/>
      <c r="AB945" s="58"/>
      <c r="AC945" s="58"/>
      <c r="AD945" s="58"/>
    </row>
    <row r="946" spans="25:30" ht="54.75" customHeight="1">
      <c r="Y946" s="58"/>
      <c r="Z946" s="58"/>
      <c r="AA946" s="58"/>
      <c r="AB946" s="58"/>
      <c r="AC946" s="58"/>
      <c r="AD946" s="58"/>
    </row>
    <row r="947" spans="25:30" ht="54.75" customHeight="1">
      <c r="Y947" s="58"/>
      <c r="Z947" s="58"/>
      <c r="AA947" s="58"/>
      <c r="AB947" s="58"/>
      <c r="AC947" s="58"/>
      <c r="AD947" s="58"/>
    </row>
    <row r="948" spans="25:30" ht="54.75" customHeight="1">
      <c r="Y948" s="58"/>
      <c r="Z948" s="58"/>
      <c r="AA948" s="58"/>
      <c r="AB948" s="58"/>
      <c r="AC948" s="58"/>
      <c r="AD948" s="58"/>
    </row>
    <row r="949" spans="25:30" ht="54.75" customHeight="1">
      <c r="Y949" s="58"/>
      <c r="Z949" s="58"/>
      <c r="AA949" s="58"/>
      <c r="AB949" s="58"/>
      <c r="AC949" s="58"/>
      <c r="AD949" s="58"/>
    </row>
    <row r="950" spans="25:30" ht="54.75" customHeight="1">
      <c r="Y950" s="58"/>
      <c r="Z950" s="58"/>
      <c r="AA950" s="58"/>
      <c r="AB950" s="58"/>
      <c r="AC950" s="58"/>
      <c r="AD950" s="58"/>
    </row>
    <row r="951" spans="25:30" ht="54.75" customHeight="1">
      <c r="Y951" s="58"/>
      <c r="Z951" s="58"/>
      <c r="AA951" s="58"/>
      <c r="AB951" s="58"/>
      <c r="AC951" s="58"/>
      <c r="AD951" s="58"/>
    </row>
    <row r="952" spans="25:30" ht="54.75" customHeight="1">
      <c r="Y952" s="58"/>
      <c r="Z952" s="58"/>
      <c r="AA952" s="58"/>
      <c r="AB952" s="58"/>
      <c r="AC952" s="58"/>
      <c r="AD952" s="58"/>
    </row>
    <row r="953" spans="25:30" ht="54.75" customHeight="1">
      <c r="Y953" s="58"/>
      <c r="Z953" s="58"/>
      <c r="AA953" s="58"/>
      <c r="AB953" s="58"/>
      <c r="AC953" s="58"/>
      <c r="AD953" s="58"/>
    </row>
    <row r="954" spans="25:30" ht="54.75" customHeight="1">
      <c r="Y954" s="58"/>
      <c r="Z954" s="58"/>
      <c r="AA954" s="58"/>
      <c r="AB954" s="58"/>
      <c r="AC954" s="58"/>
      <c r="AD954" s="58"/>
    </row>
    <row r="955" spans="25:30" ht="54.75" customHeight="1">
      <c r="Y955" s="58"/>
      <c r="Z955" s="58"/>
      <c r="AA955" s="58"/>
      <c r="AB955" s="58"/>
      <c r="AC955" s="58"/>
      <c r="AD955" s="58"/>
    </row>
    <row r="956" spans="25:30" ht="54.75" customHeight="1">
      <c r="Y956" s="58"/>
      <c r="Z956" s="58"/>
      <c r="AA956" s="58"/>
      <c r="AB956" s="58"/>
      <c r="AC956" s="58"/>
      <c r="AD956" s="58"/>
    </row>
    <row r="957" spans="25:30" ht="54.75" customHeight="1">
      <c r="Y957" s="58"/>
      <c r="Z957" s="58"/>
      <c r="AA957" s="58"/>
      <c r="AB957" s="58"/>
      <c r="AC957" s="58"/>
      <c r="AD957" s="58"/>
    </row>
    <row r="958" spans="25:30" ht="54.75" customHeight="1">
      <c r="Y958" s="58"/>
      <c r="Z958" s="58"/>
      <c r="AA958" s="58"/>
      <c r="AB958" s="58"/>
      <c r="AC958" s="58"/>
      <c r="AD958" s="58"/>
    </row>
    <row r="959" spans="25:30" ht="54.75" customHeight="1">
      <c r="Y959" s="58"/>
      <c r="Z959" s="58"/>
      <c r="AA959" s="58"/>
      <c r="AB959" s="58"/>
      <c r="AC959" s="58"/>
      <c r="AD959" s="58"/>
    </row>
    <row r="960" spans="25:30" ht="54.75" customHeight="1">
      <c r="Y960" s="58"/>
      <c r="Z960" s="58"/>
      <c r="AA960" s="58"/>
      <c r="AB960" s="58"/>
      <c r="AC960" s="58"/>
      <c r="AD960" s="58"/>
    </row>
    <row r="961" spans="25:30" ht="54.75" customHeight="1">
      <c r="Y961" s="58"/>
      <c r="Z961" s="58"/>
      <c r="AA961" s="58"/>
      <c r="AB961" s="58"/>
      <c r="AC961" s="58"/>
      <c r="AD961" s="58"/>
    </row>
    <row r="962" spans="25:30" ht="54.75" customHeight="1">
      <c r="Y962" s="58"/>
      <c r="Z962" s="58"/>
      <c r="AA962" s="58"/>
      <c r="AB962" s="58"/>
      <c r="AC962" s="58"/>
      <c r="AD962" s="58"/>
    </row>
    <row r="963" spans="25:30" ht="54.75" customHeight="1">
      <c r="Y963" s="58"/>
      <c r="Z963" s="58"/>
      <c r="AA963" s="58"/>
      <c r="AB963" s="58"/>
      <c r="AC963" s="58"/>
      <c r="AD963" s="58"/>
    </row>
    <row r="964" spans="25:30" ht="54.75" customHeight="1">
      <c r="Y964" s="58"/>
      <c r="Z964" s="58"/>
      <c r="AA964" s="58"/>
      <c r="AB964" s="58"/>
      <c r="AC964" s="58"/>
      <c r="AD964" s="58"/>
    </row>
    <row r="965" spans="25:30" ht="54.75" customHeight="1">
      <c r="Y965" s="58"/>
      <c r="Z965" s="58"/>
      <c r="AA965" s="58"/>
      <c r="AB965" s="58"/>
      <c r="AC965" s="58"/>
      <c r="AD965" s="58"/>
    </row>
    <row r="966" spans="25:30" ht="54.75" customHeight="1">
      <c r="Y966" s="58"/>
      <c r="Z966" s="58"/>
      <c r="AA966" s="58"/>
      <c r="AB966" s="58"/>
      <c r="AC966" s="58"/>
      <c r="AD966" s="58"/>
    </row>
    <row r="967" spans="25:30" ht="54.75" customHeight="1">
      <c r="Y967" s="58"/>
      <c r="Z967" s="58"/>
      <c r="AA967" s="58"/>
      <c r="AB967" s="58"/>
      <c r="AC967" s="58"/>
      <c r="AD967" s="58"/>
    </row>
    <row r="968" spans="25:30" ht="54.75" customHeight="1">
      <c r="Y968" s="58"/>
      <c r="Z968" s="58"/>
      <c r="AA968" s="58"/>
      <c r="AB968" s="58"/>
      <c r="AC968" s="58"/>
      <c r="AD968" s="58"/>
    </row>
    <row r="969" spans="25:30" ht="54.75" customHeight="1">
      <c r="Y969" s="58"/>
      <c r="Z969" s="58"/>
      <c r="AA969" s="58"/>
      <c r="AB969" s="58"/>
      <c r="AC969" s="58"/>
      <c r="AD969" s="58"/>
    </row>
    <row r="970" spans="25:30" ht="54.75" customHeight="1">
      <c r="Y970" s="58"/>
      <c r="Z970" s="58"/>
      <c r="AA970" s="58"/>
      <c r="AB970" s="58"/>
      <c r="AC970" s="58"/>
      <c r="AD970" s="58"/>
    </row>
    <row r="971" spans="25:30" ht="54.75" customHeight="1">
      <c r="Y971" s="58"/>
      <c r="Z971" s="58"/>
      <c r="AA971" s="58"/>
      <c r="AB971" s="58"/>
      <c r="AC971" s="58"/>
      <c r="AD971" s="58"/>
    </row>
    <row r="972" spans="25:30" ht="54.75" customHeight="1">
      <c r="Y972" s="58"/>
      <c r="Z972" s="58"/>
      <c r="AA972" s="58"/>
      <c r="AB972" s="58"/>
      <c r="AC972" s="58"/>
      <c r="AD972" s="58"/>
    </row>
    <row r="973" spans="25:30" ht="54.75" customHeight="1">
      <c r="Y973" s="58"/>
      <c r="Z973" s="58"/>
      <c r="AA973" s="58"/>
      <c r="AB973" s="58"/>
      <c r="AC973" s="58"/>
      <c r="AD973" s="58"/>
    </row>
    <row r="974" spans="25:30" ht="54.75" customHeight="1">
      <c r="Y974" s="58"/>
      <c r="Z974" s="58"/>
      <c r="AA974" s="58"/>
      <c r="AB974" s="58"/>
      <c r="AC974" s="58"/>
      <c r="AD974" s="58"/>
    </row>
    <row r="975" spans="25:30" ht="54.75" customHeight="1">
      <c r="Y975" s="58"/>
      <c r="Z975" s="58"/>
      <c r="AA975" s="58"/>
      <c r="AB975" s="58"/>
      <c r="AC975" s="58"/>
      <c r="AD975" s="58"/>
    </row>
    <row r="976" spans="25:30" ht="54.75" customHeight="1">
      <c r="Y976" s="58"/>
      <c r="Z976" s="58"/>
      <c r="AA976" s="58"/>
      <c r="AB976" s="58"/>
      <c r="AC976" s="58"/>
      <c r="AD976" s="58"/>
    </row>
    <row r="977" spans="25:30" ht="54.75" customHeight="1">
      <c r="Y977" s="58"/>
      <c r="Z977" s="58"/>
      <c r="AA977" s="58"/>
      <c r="AB977" s="58"/>
      <c r="AC977" s="58"/>
      <c r="AD977" s="58"/>
    </row>
    <row r="978" spans="25:30" ht="54.75" customHeight="1">
      <c r="Y978" s="58"/>
      <c r="Z978" s="58"/>
      <c r="AA978" s="58"/>
      <c r="AB978" s="58"/>
      <c r="AC978" s="58"/>
      <c r="AD978" s="58"/>
    </row>
    <row r="979" spans="25:30" ht="54.75" customHeight="1">
      <c r="Y979" s="58"/>
      <c r="Z979" s="58"/>
      <c r="AA979" s="58"/>
      <c r="AB979" s="58"/>
      <c r="AC979" s="58"/>
      <c r="AD979" s="58"/>
    </row>
    <row r="980" spans="25:30" ht="54.75" customHeight="1">
      <c r="Y980" s="58"/>
      <c r="Z980" s="58"/>
      <c r="AA980" s="58"/>
      <c r="AB980" s="58"/>
      <c r="AC980" s="58"/>
      <c r="AD980" s="58"/>
    </row>
    <row r="981" spans="25:30" ht="54.75" customHeight="1">
      <c r="Y981" s="58"/>
      <c r="Z981" s="58"/>
      <c r="AA981" s="58"/>
      <c r="AB981" s="58"/>
      <c r="AC981" s="58"/>
      <c r="AD981" s="58"/>
    </row>
    <row r="982" spans="25:30" ht="54.75" customHeight="1">
      <c r="Y982" s="58"/>
      <c r="Z982" s="58"/>
      <c r="AA982" s="58"/>
      <c r="AB982" s="58"/>
      <c r="AC982" s="58"/>
      <c r="AD982" s="58"/>
    </row>
    <row r="983" spans="25:30" ht="54.75" customHeight="1">
      <c r="Y983" s="58"/>
      <c r="Z983" s="58"/>
      <c r="AA983" s="58"/>
      <c r="AB983" s="58"/>
      <c r="AC983" s="58"/>
      <c r="AD983" s="58"/>
    </row>
    <row r="984" spans="25:30" ht="54.75" customHeight="1">
      <c r="Y984" s="58"/>
      <c r="Z984" s="58"/>
      <c r="AA984" s="58"/>
      <c r="AB984" s="58"/>
      <c r="AC984" s="58"/>
      <c r="AD984" s="58"/>
    </row>
    <row r="985" spans="25:30" ht="54.75" customHeight="1">
      <c r="Y985" s="58"/>
      <c r="Z985" s="58"/>
      <c r="AA985" s="58"/>
      <c r="AB985" s="58"/>
      <c r="AC985" s="58"/>
      <c r="AD985" s="58"/>
    </row>
    <row r="986" spans="25:30" ht="54.75" customHeight="1">
      <c r="Y986" s="58"/>
      <c r="Z986" s="58"/>
      <c r="AA986" s="58"/>
      <c r="AB986" s="58"/>
      <c r="AC986" s="58"/>
      <c r="AD986" s="58"/>
    </row>
    <row r="987" spans="25:30" ht="54.75" customHeight="1">
      <c r="Y987" s="58"/>
      <c r="Z987" s="58"/>
      <c r="AA987" s="58"/>
      <c r="AB987" s="58"/>
      <c r="AC987" s="58"/>
      <c r="AD987" s="58"/>
    </row>
    <row r="988" spans="25:30" ht="54.75" customHeight="1">
      <c r="Y988" s="58"/>
      <c r="Z988" s="58"/>
      <c r="AA988" s="58"/>
      <c r="AB988" s="58"/>
      <c r="AC988" s="58"/>
      <c r="AD988" s="58"/>
    </row>
    <row r="989" spans="25:30" ht="54.75" customHeight="1">
      <c r="Y989" s="58"/>
      <c r="Z989" s="58"/>
      <c r="AA989" s="58"/>
      <c r="AB989" s="58"/>
      <c r="AC989" s="58"/>
      <c r="AD989" s="58"/>
    </row>
    <row r="990" spans="25:30" ht="54.75" customHeight="1">
      <c r="Y990" s="58"/>
      <c r="Z990" s="58"/>
      <c r="AA990" s="58"/>
      <c r="AB990" s="58"/>
      <c r="AC990" s="58"/>
      <c r="AD990" s="58"/>
    </row>
    <row r="991" spans="25:30" ht="54.75" customHeight="1">
      <c r="Y991" s="58"/>
      <c r="Z991" s="58"/>
      <c r="AA991" s="58"/>
      <c r="AB991" s="58"/>
      <c r="AC991" s="58"/>
      <c r="AD991" s="58"/>
    </row>
    <row r="992" spans="25:30" ht="54.75" customHeight="1">
      <c r="Y992" s="58"/>
      <c r="Z992" s="58"/>
      <c r="AA992" s="58"/>
      <c r="AB992" s="58"/>
      <c r="AC992" s="58"/>
      <c r="AD992" s="58"/>
    </row>
    <row r="993" spans="25:30" ht="54.75" customHeight="1">
      <c r="Y993" s="58"/>
      <c r="Z993" s="58"/>
      <c r="AA993" s="58"/>
      <c r="AB993" s="58"/>
      <c r="AC993" s="58"/>
      <c r="AD993" s="58"/>
    </row>
    <row r="994" spans="25:30" ht="54.75" customHeight="1">
      <c r="Y994" s="58"/>
      <c r="Z994" s="58"/>
      <c r="AA994" s="58"/>
      <c r="AB994" s="58"/>
      <c r="AC994" s="58"/>
      <c r="AD994" s="58"/>
    </row>
    <row r="995" spans="25:30" ht="54.75" customHeight="1">
      <c r="Y995" s="58"/>
      <c r="Z995" s="58"/>
      <c r="AA995" s="58"/>
      <c r="AB995" s="58"/>
      <c r="AC995" s="58"/>
      <c r="AD995" s="58"/>
    </row>
    <row r="996" spans="25:30" ht="54.75" customHeight="1">
      <c r="Y996" s="58"/>
      <c r="Z996" s="58"/>
      <c r="AA996" s="58"/>
      <c r="AB996" s="58"/>
      <c r="AC996" s="58"/>
      <c r="AD996" s="58"/>
    </row>
    <row r="997" spans="25:30" ht="54.75" customHeight="1">
      <c r="Y997" s="58"/>
      <c r="Z997" s="58"/>
      <c r="AA997" s="58"/>
      <c r="AB997" s="58"/>
      <c r="AC997" s="58"/>
      <c r="AD997" s="58"/>
    </row>
    <row r="998" spans="25:30" ht="54.75" customHeight="1">
      <c r="Y998" s="58"/>
      <c r="Z998" s="58"/>
      <c r="AA998" s="58"/>
      <c r="AB998" s="58"/>
      <c r="AC998" s="58"/>
      <c r="AD998" s="58"/>
    </row>
    <row r="999" spans="25:30" ht="54.75" customHeight="1">
      <c r="Y999" s="58"/>
      <c r="Z999" s="58"/>
      <c r="AA999" s="58"/>
      <c r="AB999" s="58"/>
      <c r="AC999" s="58"/>
      <c r="AD999" s="58"/>
    </row>
    <row r="1000" spans="25:30" ht="54.75" customHeight="1">
      <c r="Y1000" s="58"/>
      <c r="Z1000" s="58"/>
      <c r="AA1000" s="58"/>
      <c r="AB1000" s="58"/>
      <c r="AC1000" s="58"/>
      <c r="AD1000" s="58"/>
    </row>
    <row r="1001" spans="25:30" ht="54.75" customHeight="1">
      <c r="Y1001" s="58"/>
      <c r="Z1001" s="58"/>
      <c r="AA1001" s="58"/>
      <c r="AB1001" s="58"/>
      <c r="AC1001" s="58"/>
      <c r="AD1001" s="58"/>
    </row>
    <row r="1002" spans="25:30" ht="54.75" customHeight="1">
      <c r="Y1002" s="58"/>
      <c r="Z1002" s="58"/>
      <c r="AA1002" s="58"/>
      <c r="AB1002" s="58"/>
      <c r="AC1002" s="58"/>
      <c r="AD1002" s="58"/>
    </row>
    <row r="1003" spans="25:30" ht="54.75" customHeight="1">
      <c r="Y1003" s="58"/>
      <c r="Z1003" s="58"/>
      <c r="AA1003" s="58"/>
      <c r="AB1003" s="58"/>
      <c r="AC1003" s="58"/>
      <c r="AD1003" s="58"/>
    </row>
    <row r="1004" spans="25:30" ht="54.75" customHeight="1">
      <c r="Y1004" s="58"/>
      <c r="Z1004" s="58"/>
      <c r="AA1004" s="58"/>
      <c r="AB1004" s="58"/>
      <c r="AC1004" s="58"/>
      <c r="AD1004" s="58"/>
    </row>
    <row r="1005" spans="25:30" ht="54.75" customHeight="1">
      <c r="Y1005" s="58"/>
      <c r="Z1005" s="58"/>
      <c r="AA1005" s="58"/>
      <c r="AB1005" s="58"/>
      <c r="AC1005" s="58"/>
      <c r="AD1005" s="58"/>
    </row>
    <row r="1006" spans="25:30" ht="54.75" customHeight="1">
      <c r="Y1006" s="58"/>
      <c r="Z1006" s="58"/>
      <c r="AA1006" s="58"/>
      <c r="AB1006" s="58"/>
      <c r="AC1006" s="58"/>
      <c r="AD1006" s="58"/>
    </row>
    <row r="1007" spans="25:30" ht="54.75" customHeight="1">
      <c r="Y1007" s="58"/>
      <c r="Z1007" s="58"/>
      <c r="AA1007" s="58"/>
      <c r="AB1007" s="58"/>
      <c r="AC1007" s="58"/>
      <c r="AD1007" s="58"/>
    </row>
    <row r="1008" spans="25:30" ht="54.75" customHeight="1">
      <c r="Y1008" s="58"/>
      <c r="Z1008" s="58"/>
      <c r="AA1008" s="58"/>
      <c r="AB1008" s="58"/>
      <c r="AC1008" s="58"/>
      <c r="AD1008" s="58"/>
    </row>
    <row r="1009" spans="25:30" ht="54.75" customHeight="1">
      <c r="Y1009" s="58"/>
      <c r="Z1009" s="58"/>
      <c r="AA1009" s="58"/>
      <c r="AB1009" s="58"/>
      <c r="AC1009" s="58"/>
      <c r="AD1009" s="58"/>
    </row>
    <row r="1010" spans="25:30" ht="54.75" customHeight="1">
      <c r="Y1010" s="58"/>
      <c r="Z1010" s="58"/>
      <c r="AA1010" s="58"/>
      <c r="AB1010" s="58"/>
      <c r="AC1010" s="58"/>
      <c r="AD1010" s="58"/>
    </row>
    <row r="1011" spans="25:30" ht="54.75" customHeight="1">
      <c r="Y1011" s="58"/>
      <c r="Z1011" s="58"/>
      <c r="AA1011" s="58"/>
      <c r="AB1011" s="58"/>
      <c r="AC1011" s="58"/>
      <c r="AD1011" s="58"/>
    </row>
    <row r="1012" spans="25:30" ht="54.75" customHeight="1">
      <c r="Y1012" s="58"/>
      <c r="Z1012" s="58"/>
      <c r="AA1012" s="58"/>
      <c r="AB1012" s="58"/>
      <c r="AC1012" s="58"/>
      <c r="AD1012" s="58"/>
    </row>
    <row r="1013" spans="25:30" ht="54.75" customHeight="1">
      <c r="Y1013" s="58"/>
      <c r="Z1013" s="58"/>
      <c r="AA1013" s="58"/>
      <c r="AB1013" s="58"/>
      <c r="AC1013" s="58"/>
      <c r="AD1013" s="58"/>
    </row>
    <row r="1014" spans="25:30" ht="54.75" customHeight="1">
      <c r="Y1014" s="58"/>
      <c r="Z1014" s="58"/>
      <c r="AA1014" s="58"/>
      <c r="AB1014" s="58"/>
      <c r="AC1014" s="58"/>
      <c r="AD1014" s="58"/>
    </row>
    <row r="1015" spans="25:30" ht="54.75" customHeight="1">
      <c r="Y1015" s="58"/>
      <c r="Z1015" s="58"/>
      <c r="AA1015" s="58"/>
      <c r="AB1015" s="58"/>
      <c r="AC1015" s="58"/>
      <c r="AD1015" s="58"/>
    </row>
    <row r="1016" spans="25:30" ht="54.75" customHeight="1">
      <c r="Y1016" s="58"/>
      <c r="Z1016" s="58"/>
      <c r="AA1016" s="58"/>
      <c r="AB1016" s="58"/>
      <c r="AC1016" s="58"/>
      <c r="AD1016" s="58"/>
    </row>
    <row r="1017" spans="25:30" ht="54.75" customHeight="1">
      <c r="Y1017" s="58"/>
      <c r="Z1017" s="58"/>
      <c r="AA1017" s="58"/>
      <c r="AB1017" s="58"/>
      <c r="AC1017" s="58"/>
      <c r="AD1017" s="58"/>
    </row>
    <row r="1018" spans="25:30" ht="54.75" customHeight="1">
      <c r="Y1018" s="58"/>
      <c r="Z1018" s="58"/>
      <c r="AA1018" s="58"/>
      <c r="AB1018" s="58"/>
      <c r="AC1018" s="58"/>
      <c r="AD1018" s="58"/>
    </row>
    <row r="1019" spans="25:30" ht="54.75" customHeight="1">
      <c r="Y1019" s="58"/>
      <c r="Z1019" s="58"/>
      <c r="AA1019" s="58"/>
      <c r="AB1019" s="58"/>
      <c r="AC1019" s="58"/>
      <c r="AD1019" s="58"/>
    </row>
    <row r="1020" spans="25:30" ht="54.75" customHeight="1">
      <c r="Y1020" s="58"/>
      <c r="Z1020" s="58"/>
      <c r="AA1020" s="58"/>
      <c r="AB1020" s="58"/>
      <c r="AC1020" s="58"/>
      <c r="AD1020" s="58"/>
    </row>
    <row r="1021" spans="25:30" ht="54.75" customHeight="1">
      <c r="Y1021" s="58"/>
      <c r="Z1021" s="58"/>
      <c r="AA1021" s="58"/>
      <c r="AB1021" s="58"/>
      <c r="AC1021" s="58"/>
      <c r="AD1021" s="58"/>
    </row>
    <row r="1022" spans="25:30" ht="54.75" customHeight="1">
      <c r="Y1022" s="58"/>
      <c r="Z1022" s="58"/>
      <c r="AA1022" s="58"/>
      <c r="AB1022" s="58"/>
      <c r="AC1022" s="58"/>
      <c r="AD1022" s="58"/>
    </row>
    <row r="1023" spans="25:30" ht="54.75" customHeight="1">
      <c r="Y1023" s="58"/>
      <c r="Z1023" s="58"/>
      <c r="AA1023" s="58"/>
      <c r="AB1023" s="58"/>
      <c r="AC1023" s="58"/>
      <c r="AD1023" s="58"/>
    </row>
    <row r="1024" spans="25:30" ht="54.75" customHeight="1">
      <c r="Y1024" s="58"/>
      <c r="Z1024" s="58"/>
      <c r="AA1024" s="58"/>
      <c r="AB1024" s="58"/>
      <c r="AC1024" s="58"/>
      <c r="AD1024" s="58"/>
    </row>
    <row r="1025" spans="25:30" ht="54.75" customHeight="1">
      <c r="Y1025" s="58"/>
      <c r="Z1025" s="58"/>
      <c r="AA1025" s="58"/>
      <c r="AB1025" s="58"/>
      <c r="AC1025" s="58"/>
      <c r="AD1025" s="58"/>
    </row>
    <row r="1026" spans="25:30" ht="54.75" customHeight="1">
      <c r="Y1026" s="58"/>
      <c r="Z1026" s="58"/>
      <c r="AA1026" s="58"/>
      <c r="AB1026" s="58"/>
      <c r="AC1026" s="58"/>
      <c r="AD1026" s="58"/>
    </row>
    <row r="1027" spans="25:30" ht="54.75" customHeight="1">
      <c r="Y1027" s="58"/>
      <c r="Z1027" s="58"/>
      <c r="AA1027" s="58"/>
      <c r="AB1027" s="58"/>
      <c r="AC1027" s="58"/>
      <c r="AD1027" s="58"/>
    </row>
    <row r="1028" spans="25:30" ht="54.75" customHeight="1">
      <c r="Y1028" s="58"/>
      <c r="Z1028" s="58"/>
      <c r="AA1028" s="58"/>
      <c r="AB1028" s="58"/>
      <c r="AC1028" s="58"/>
      <c r="AD1028" s="58"/>
    </row>
    <row r="1029" spans="25:30" ht="54.75" customHeight="1">
      <c r="Y1029" s="58"/>
      <c r="Z1029" s="58"/>
      <c r="AA1029" s="58"/>
      <c r="AB1029" s="58"/>
      <c r="AC1029" s="58"/>
      <c r="AD1029" s="58"/>
    </row>
    <row r="1030" spans="25:30" ht="54.75" customHeight="1">
      <c r="Y1030" s="58"/>
      <c r="Z1030" s="58"/>
      <c r="AA1030" s="58"/>
      <c r="AB1030" s="58"/>
      <c r="AC1030" s="58"/>
      <c r="AD1030" s="58"/>
    </row>
    <row r="1031" spans="25:30" ht="54.75" customHeight="1">
      <c r="Y1031" s="58"/>
      <c r="Z1031" s="58"/>
      <c r="AA1031" s="58"/>
      <c r="AB1031" s="58"/>
      <c r="AC1031" s="58"/>
      <c r="AD1031" s="58"/>
    </row>
    <row r="1032" spans="25:30" ht="54.75" customHeight="1">
      <c r="Y1032" s="58"/>
      <c r="Z1032" s="58"/>
      <c r="AA1032" s="58"/>
      <c r="AB1032" s="58"/>
      <c r="AC1032" s="58"/>
      <c r="AD1032" s="58"/>
    </row>
    <row r="1033" spans="25:30" ht="54.75" customHeight="1">
      <c r="Y1033" s="58"/>
      <c r="Z1033" s="58"/>
      <c r="AA1033" s="58"/>
      <c r="AB1033" s="58"/>
      <c r="AC1033" s="58"/>
      <c r="AD1033" s="58"/>
    </row>
    <row r="1034" spans="25:30" ht="54.75" customHeight="1">
      <c r="Y1034" s="58"/>
      <c r="Z1034" s="58"/>
      <c r="AA1034" s="58"/>
      <c r="AB1034" s="58"/>
      <c r="AC1034" s="58"/>
      <c r="AD1034" s="58"/>
    </row>
    <row r="1035" spans="25:30" ht="54.75" customHeight="1">
      <c r="Y1035" s="58"/>
      <c r="Z1035" s="58"/>
      <c r="AA1035" s="58"/>
      <c r="AB1035" s="58"/>
      <c r="AC1035" s="58"/>
      <c r="AD1035" s="58"/>
    </row>
    <row r="1036" spans="25:30" ht="54.75" customHeight="1">
      <c r="Y1036" s="58"/>
      <c r="Z1036" s="58"/>
      <c r="AA1036" s="58"/>
      <c r="AB1036" s="58"/>
      <c r="AC1036" s="58"/>
      <c r="AD1036" s="58"/>
    </row>
    <row r="1037" spans="25:30" ht="54.75" customHeight="1">
      <c r="Y1037" s="58"/>
      <c r="Z1037" s="58"/>
      <c r="AA1037" s="58"/>
      <c r="AB1037" s="58"/>
      <c r="AC1037" s="58"/>
      <c r="AD1037" s="58"/>
    </row>
    <row r="1038" spans="25:30" ht="54.75" customHeight="1">
      <c r="Y1038" s="58"/>
      <c r="Z1038" s="58"/>
      <c r="AA1038" s="58"/>
      <c r="AB1038" s="58"/>
      <c r="AC1038" s="58"/>
      <c r="AD1038" s="58"/>
    </row>
    <row r="1039" spans="25:30" ht="54.75" customHeight="1">
      <c r="Y1039" s="58"/>
      <c r="Z1039" s="58"/>
      <c r="AA1039" s="58"/>
      <c r="AB1039" s="58"/>
      <c r="AC1039" s="58"/>
      <c r="AD1039" s="58"/>
    </row>
    <row r="1040" spans="25:30" ht="54.75" customHeight="1">
      <c r="Y1040" s="58"/>
      <c r="Z1040" s="58"/>
      <c r="AA1040" s="58"/>
      <c r="AB1040" s="58"/>
      <c r="AC1040" s="58"/>
      <c r="AD1040" s="58"/>
    </row>
    <row r="1041" spans="25:30" ht="54.75" customHeight="1">
      <c r="Y1041" s="58"/>
      <c r="Z1041" s="58"/>
      <c r="AA1041" s="58"/>
      <c r="AB1041" s="58"/>
      <c r="AC1041" s="58"/>
      <c r="AD1041" s="58"/>
    </row>
    <row r="1042" spans="25:30" ht="54.75" customHeight="1">
      <c r="Y1042" s="58"/>
      <c r="Z1042" s="58"/>
      <c r="AA1042" s="58"/>
      <c r="AB1042" s="58"/>
      <c r="AC1042" s="58"/>
      <c r="AD1042" s="58"/>
    </row>
    <row r="1043" spans="25:30" ht="54.75" customHeight="1">
      <c r="Y1043" s="58"/>
      <c r="Z1043" s="58"/>
      <c r="AA1043" s="58"/>
      <c r="AB1043" s="58"/>
      <c r="AC1043" s="58"/>
      <c r="AD1043" s="58"/>
    </row>
    <row r="1044" spans="25:30" ht="54.75" customHeight="1">
      <c r="Y1044" s="58"/>
      <c r="Z1044" s="58"/>
      <c r="AA1044" s="58"/>
      <c r="AB1044" s="58"/>
      <c r="AC1044" s="58"/>
      <c r="AD1044" s="58"/>
    </row>
    <row r="1045" spans="25:30" ht="54.75" customHeight="1">
      <c r="Y1045" s="58"/>
      <c r="Z1045" s="58"/>
      <c r="AA1045" s="58"/>
      <c r="AB1045" s="58"/>
      <c r="AC1045" s="58"/>
      <c r="AD1045" s="58"/>
    </row>
    <row r="1046" spans="25:30" ht="54.75" customHeight="1">
      <c r="Y1046" s="58"/>
      <c r="Z1046" s="58"/>
      <c r="AA1046" s="58"/>
      <c r="AB1046" s="58"/>
      <c r="AC1046" s="58"/>
      <c r="AD1046" s="58"/>
    </row>
    <row r="1047" spans="25:30" ht="54.75" customHeight="1">
      <c r="Y1047" s="58"/>
      <c r="Z1047" s="58"/>
      <c r="AA1047" s="58"/>
      <c r="AB1047" s="58"/>
      <c r="AC1047" s="58"/>
      <c r="AD1047" s="58"/>
    </row>
    <row r="1048" spans="25:30" ht="54.75" customHeight="1">
      <c r="Y1048" s="58"/>
      <c r="Z1048" s="58"/>
      <c r="AA1048" s="58"/>
      <c r="AB1048" s="58"/>
      <c r="AC1048" s="58"/>
      <c r="AD1048" s="58"/>
    </row>
    <row r="1049" spans="25:30" ht="54.75" customHeight="1">
      <c r="Y1049" s="58"/>
      <c r="Z1049" s="58"/>
      <c r="AA1049" s="58"/>
      <c r="AB1049" s="58"/>
      <c r="AC1049" s="58"/>
      <c r="AD1049" s="58"/>
    </row>
    <row r="1050" spans="25:30" ht="54.75" customHeight="1">
      <c r="Y1050" s="58"/>
      <c r="Z1050" s="58"/>
      <c r="AA1050" s="58"/>
      <c r="AB1050" s="58"/>
      <c r="AC1050" s="58"/>
      <c r="AD1050" s="58"/>
    </row>
    <row r="1051" spans="25:30" ht="54.75" customHeight="1">
      <c r="Y1051" s="58"/>
      <c r="Z1051" s="58"/>
      <c r="AA1051" s="58"/>
      <c r="AB1051" s="58"/>
      <c r="AC1051" s="58"/>
      <c r="AD1051" s="58"/>
    </row>
    <row r="1052" spans="25:30" ht="54.75" customHeight="1">
      <c r="Y1052" s="58"/>
      <c r="Z1052" s="58"/>
      <c r="AA1052" s="58"/>
      <c r="AB1052" s="58"/>
      <c r="AC1052" s="58"/>
      <c r="AD1052" s="58"/>
    </row>
    <row r="1053" spans="25:30" ht="54.75" customHeight="1">
      <c r="Y1053" s="58"/>
      <c r="Z1053" s="58"/>
      <c r="AA1053" s="58"/>
      <c r="AB1053" s="58"/>
      <c r="AC1053" s="58"/>
      <c r="AD1053" s="58"/>
    </row>
    <row r="1054" spans="25:30" ht="54.75" customHeight="1">
      <c r="Y1054" s="58"/>
      <c r="Z1054" s="58"/>
      <c r="AA1054" s="58"/>
      <c r="AB1054" s="58"/>
      <c r="AC1054" s="58"/>
      <c r="AD1054" s="58"/>
    </row>
    <row r="1055" spans="25:30" ht="54.75" customHeight="1">
      <c r="Y1055" s="58"/>
      <c r="Z1055" s="58"/>
      <c r="AA1055" s="58"/>
      <c r="AB1055" s="58"/>
      <c r="AC1055" s="58"/>
      <c r="AD1055" s="58"/>
    </row>
    <row r="1056" spans="25:30" ht="54.75" customHeight="1">
      <c r="Y1056" s="58"/>
      <c r="Z1056" s="58"/>
      <c r="AA1056" s="58"/>
      <c r="AB1056" s="58"/>
      <c r="AC1056" s="58"/>
      <c r="AD1056" s="58"/>
    </row>
    <row r="1057" spans="25:30" ht="54.75" customHeight="1">
      <c r="Y1057" s="58"/>
      <c r="Z1057" s="58"/>
      <c r="AA1057" s="58"/>
      <c r="AB1057" s="58"/>
      <c r="AC1057" s="58"/>
      <c r="AD1057" s="58"/>
    </row>
    <row r="1058" spans="25:30" ht="54.75" customHeight="1">
      <c r="Y1058" s="58"/>
      <c r="Z1058" s="58"/>
      <c r="AA1058" s="58"/>
      <c r="AB1058" s="58"/>
      <c r="AC1058" s="58"/>
      <c r="AD1058" s="58"/>
    </row>
    <row r="1059" spans="25:30" ht="54.75" customHeight="1">
      <c r="Y1059" s="58"/>
      <c r="Z1059" s="58"/>
      <c r="AA1059" s="58"/>
      <c r="AB1059" s="58"/>
      <c r="AC1059" s="58"/>
      <c r="AD1059" s="58"/>
    </row>
    <row r="1060" spans="25:30" ht="54.75" customHeight="1">
      <c r="Y1060" s="58"/>
      <c r="Z1060" s="58"/>
      <c r="AA1060" s="58"/>
      <c r="AB1060" s="58"/>
      <c r="AC1060" s="58"/>
      <c r="AD1060" s="58"/>
    </row>
    <row r="1061" spans="25:30" ht="54.75" customHeight="1">
      <c r="Y1061" s="58"/>
      <c r="Z1061" s="58"/>
      <c r="AA1061" s="58"/>
      <c r="AB1061" s="58"/>
      <c r="AC1061" s="58"/>
      <c r="AD1061" s="58"/>
    </row>
    <row r="1062" spans="25:30" ht="54.75" customHeight="1">
      <c r="Y1062" s="58"/>
      <c r="Z1062" s="58"/>
      <c r="AA1062" s="58"/>
      <c r="AB1062" s="58"/>
      <c r="AC1062" s="58"/>
      <c r="AD1062" s="58"/>
    </row>
    <row r="1063" spans="25:30" ht="54.75" customHeight="1">
      <c r="Y1063" s="58"/>
      <c r="Z1063" s="58"/>
      <c r="AA1063" s="58"/>
      <c r="AB1063" s="58"/>
      <c r="AC1063" s="58"/>
      <c r="AD1063" s="58"/>
    </row>
    <row r="1064" spans="25:30" ht="54.75" customHeight="1">
      <c r="Y1064" s="58"/>
      <c r="Z1064" s="58"/>
      <c r="AA1064" s="58"/>
      <c r="AB1064" s="58"/>
      <c r="AC1064" s="58"/>
      <c r="AD1064" s="58"/>
    </row>
    <row r="1065" spans="25:30" ht="54.75" customHeight="1">
      <c r="Y1065" s="58"/>
      <c r="Z1065" s="58"/>
      <c r="AA1065" s="58"/>
      <c r="AB1065" s="58"/>
      <c r="AC1065" s="58"/>
      <c r="AD1065" s="58"/>
    </row>
    <row r="1066" spans="25:30" ht="54.75" customHeight="1">
      <c r="Y1066" s="58"/>
      <c r="Z1066" s="58"/>
      <c r="AA1066" s="58"/>
      <c r="AB1066" s="58"/>
      <c r="AC1066" s="58"/>
      <c r="AD1066" s="58"/>
    </row>
    <row r="1067" spans="25:30" ht="54.75" customHeight="1">
      <c r="Y1067" s="58"/>
      <c r="Z1067" s="58"/>
      <c r="AA1067" s="58"/>
      <c r="AB1067" s="58"/>
      <c r="AC1067" s="58"/>
      <c r="AD1067" s="58"/>
    </row>
    <row r="1068" spans="25:30" ht="54.75" customHeight="1">
      <c r="Y1068" s="58"/>
      <c r="Z1068" s="58"/>
      <c r="AA1068" s="58"/>
      <c r="AB1068" s="58"/>
      <c r="AC1068" s="58"/>
      <c r="AD1068" s="58"/>
    </row>
    <row r="1069" spans="25:30" ht="54.75" customHeight="1">
      <c r="Y1069" s="58"/>
      <c r="Z1069" s="58"/>
      <c r="AA1069" s="58"/>
      <c r="AB1069" s="58"/>
      <c r="AC1069" s="58"/>
      <c r="AD1069" s="58"/>
    </row>
    <row r="1070" spans="25:30" ht="54.75" customHeight="1">
      <c r="Y1070" s="58"/>
      <c r="Z1070" s="58"/>
      <c r="AA1070" s="58"/>
      <c r="AB1070" s="58"/>
      <c r="AC1070" s="58"/>
      <c r="AD1070" s="58"/>
    </row>
    <row r="1071" spans="25:30" ht="54.75" customHeight="1">
      <c r="Y1071" s="58"/>
      <c r="Z1071" s="58"/>
      <c r="AA1071" s="58"/>
      <c r="AB1071" s="58"/>
      <c r="AC1071" s="58"/>
      <c r="AD1071" s="58"/>
    </row>
    <row r="1072" spans="25:30" ht="54.75" customHeight="1">
      <c r="Y1072" s="58"/>
      <c r="Z1072" s="58"/>
      <c r="AA1072" s="58"/>
      <c r="AB1072" s="58"/>
      <c r="AC1072" s="58"/>
      <c r="AD1072" s="58"/>
    </row>
    <row r="1073" spans="25:30" ht="54.75" customHeight="1">
      <c r="Y1073" s="58"/>
      <c r="Z1073" s="58"/>
      <c r="AA1073" s="58"/>
      <c r="AB1073" s="58"/>
      <c r="AC1073" s="58"/>
      <c r="AD1073" s="58"/>
    </row>
    <row r="1074" spans="25:30" ht="54.75" customHeight="1">
      <c r="Y1074" s="58"/>
      <c r="Z1074" s="58"/>
      <c r="AA1074" s="58"/>
      <c r="AB1074" s="58"/>
      <c r="AC1074" s="58"/>
      <c r="AD1074" s="58"/>
    </row>
    <row r="1075" spans="25:30" ht="54.75" customHeight="1">
      <c r="Y1075" s="58"/>
      <c r="Z1075" s="58"/>
      <c r="AA1075" s="58"/>
      <c r="AB1075" s="58"/>
      <c r="AC1075" s="58"/>
      <c r="AD1075" s="58"/>
    </row>
    <row r="1076" spans="25:30" ht="54.75" customHeight="1">
      <c r="Y1076" s="58"/>
      <c r="Z1076" s="58"/>
      <c r="AA1076" s="58"/>
      <c r="AB1076" s="58"/>
      <c r="AC1076" s="58"/>
      <c r="AD1076" s="58"/>
    </row>
    <row r="1077" spans="25:30" ht="54.75" customHeight="1">
      <c r="Y1077" s="58"/>
      <c r="Z1077" s="58"/>
      <c r="AA1077" s="58"/>
      <c r="AB1077" s="58"/>
      <c r="AC1077" s="58"/>
      <c r="AD1077" s="58"/>
    </row>
    <row r="1078" spans="25:30" ht="54.75" customHeight="1">
      <c r="Y1078" s="58"/>
      <c r="Z1078" s="58"/>
      <c r="AA1078" s="58"/>
      <c r="AB1078" s="58"/>
      <c r="AC1078" s="58"/>
      <c r="AD1078" s="58"/>
    </row>
    <row r="1079" spans="25:30" ht="54.75" customHeight="1">
      <c r="Y1079" s="58"/>
      <c r="Z1079" s="58"/>
      <c r="AA1079" s="58"/>
      <c r="AB1079" s="58"/>
      <c r="AC1079" s="58"/>
      <c r="AD1079" s="58"/>
    </row>
    <row r="1080" spans="25:30" ht="54.75" customHeight="1">
      <c r="Y1080" s="58"/>
      <c r="Z1080" s="58"/>
      <c r="AA1080" s="58"/>
      <c r="AB1080" s="58"/>
      <c r="AC1080" s="58"/>
      <c r="AD1080" s="58"/>
    </row>
    <row r="1081" spans="25:30" ht="54.75" customHeight="1">
      <c r="Y1081" s="58"/>
      <c r="Z1081" s="58"/>
      <c r="AA1081" s="58"/>
      <c r="AB1081" s="58"/>
      <c r="AC1081" s="58"/>
      <c r="AD1081" s="58"/>
    </row>
    <row r="1082" spans="25:30" ht="54.75" customHeight="1">
      <c r="Y1082" s="58"/>
      <c r="Z1082" s="58"/>
      <c r="AA1082" s="58"/>
      <c r="AB1082" s="58"/>
      <c r="AC1082" s="58"/>
      <c r="AD1082" s="58"/>
    </row>
    <row r="1083" spans="25:30" ht="54.75" customHeight="1">
      <c r="Y1083" s="58"/>
      <c r="Z1083" s="58"/>
      <c r="AA1083" s="58"/>
      <c r="AB1083" s="58"/>
      <c r="AC1083" s="58"/>
      <c r="AD1083" s="58"/>
    </row>
    <row r="1084" spans="25:30" ht="54.75" customHeight="1">
      <c r="Y1084" s="58"/>
      <c r="Z1084" s="58"/>
      <c r="AA1084" s="58"/>
      <c r="AB1084" s="58"/>
      <c r="AC1084" s="58"/>
      <c r="AD1084" s="58"/>
    </row>
    <row r="1085" spans="25:30" ht="54.75" customHeight="1">
      <c r="Y1085" s="58"/>
      <c r="Z1085" s="58"/>
      <c r="AA1085" s="58"/>
      <c r="AB1085" s="58"/>
      <c r="AC1085" s="58"/>
      <c r="AD1085" s="58"/>
    </row>
    <row r="1086" spans="25:30" ht="54.75" customHeight="1">
      <c r="Y1086" s="58"/>
      <c r="Z1086" s="58"/>
      <c r="AA1086" s="58"/>
      <c r="AB1086" s="58"/>
      <c r="AC1086" s="58"/>
      <c r="AD1086" s="58"/>
    </row>
    <row r="1087" spans="25:30" ht="54.75" customHeight="1">
      <c r="Y1087" s="58"/>
      <c r="Z1087" s="58"/>
      <c r="AA1087" s="58"/>
      <c r="AB1087" s="58"/>
      <c r="AC1087" s="58"/>
      <c r="AD1087" s="58"/>
    </row>
    <row r="1088" spans="25:30" ht="54.75" customHeight="1">
      <c r="Y1088" s="58"/>
      <c r="Z1088" s="58"/>
      <c r="AA1088" s="58"/>
      <c r="AB1088" s="58"/>
      <c r="AC1088" s="58"/>
      <c r="AD1088" s="58"/>
    </row>
    <row r="1089" spans="25:30" ht="54.75" customHeight="1">
      <c r="Y1089" s="58"/>
      <c r="Z1089" s="58"/>
      <c r="AA1089" s="58"/>
      <c r="AB1089" s="58"/>
      <c r="AC1089" s="58"/>
      <c r="AD1089" s="58"/>
    </row>
    <row r="1090" spans="25:30" ht="54.75" customHeight="1">
      <c r="Y1090" s="58"/>
      <c r="Z1090" s="58"/>
      <c r="AA1090" s="58"/>
      <c r="AB1090" s="58"/>
      <c r="AC1090" s="58"/>
      <c r="AD1090" s="58"/>
    </row>
    <row r="1091" spans="25:30" ht="54.75" customHeight="1">
      <c r="Y1091" s="58"/>
      <c r="Z1091" s="58"/>
      <c r="AA1091" s="58"/>
      <c r="AB1091" s="58"/>
      <c r="AC1091" s="58"/>
      <c r="AD1091" s="58"/>
    </row>
    <row r="1092" spans="25:30" ht="54.75" customHeight="1">
      <c r="Y1092" s="58"/>
      <c r="Z1092" s="58"/>
      <c r="AA1092" s="58"/>
      <c r="AB1092" s="58"/>
      <c r="AC1092" s="58"/>
      <c r="AD1092" s="58"/>
    </row>
    <row r="1093" spans="25:30" ht="54.75" customHeight="1">
      <c r="Y1093" s="58"/>
      <c r="Z1093" s="58"/>
      <c r="AA1093" s="58"/>
      <c r="AB1093" s="58"/>
      <c r="AC1093" s="58"/>
      <c r="AD1093" s="58"/>
    </row>
    <row r="1094" spans="25:30" ht="54.75" customHeight="1">
      <c r="Y1094" s="58"/>
      <c r="Z1094" s="58"/>
      <c r="AA1094" s="58"/>
      <c r="AB1094" s="58"/>
      <c r="AC1094" s="58"/>
      <c r="AD1094" s="58"/>
    </row>
    <row r="1095" spans="25:30" ht="54.75" customHeight="1">
      <c r="Y1095" s="58"/>
      <c r="Z1095" s="58"/>
      <c r="AA1095" s="58"/>
      <c r="AB1095" s="58"/>
      <c r="AC1095" s="58"/>
      <c r="AD1095" s="58"/>
    </row>
    <row r="1096" spans="25:30" ht="54.75" customHeight="1">
      <c r="Y1096" s="58"/>
      <c r="Z1096" s="58"/>
      <c r="AA1096" s="58"/>
      <c r="AB1096" s="58"/>
      <c r="AC1096" s="58"/>
      <c r="AD1096" s="58"/>
    </row>
    <row r="1097" spans="25:30" ht="54.75" customHeight="1">
      <c r="Y1097" s="58"/>
      <c r="Z1097" s="58"/>
      <c r="AA1097" s="58"/>
      <c r="AB1097" s="58"/>
      <c r="AC1097" s="58"/>
      <c r="AD1097" s="58"/>
    </row>
    <row r="1098" spans="25:30" ht="54.75" customHeight="1">
      <c r="Y1098" s="58"/>
      <c r="Z1098" s="58"/>
      <c r="AA1098" s="58"/>
      <c r="AB1098" s="58"/>
      <c r="AC1098" s="58"/>
      <c r="AD1098" s="58"/>
    </row>
    <row r="1099" spans="25:30" ht="54.75" customHeight="1">
      <c r="Y1099" s="58"/>
      <c r="Z1099" s="58"/>
      <c r="AA1099" s="58"/>
      <c r="AB1099" s="58"/>
      <c r="AC1099" s="58"/>
      <c r="AD1099" s="58"/>
    </row>
    <row r="1100" spans="25:30" ht="54.75" customHeight="1">
      <c r="Y1100" s="58"/>
      <c r="Z1100" s="58"/>
      <c r="AA1100" s="58"/>
      <c r="AB1100" s="58"/>
      <c r="AC1100" s="58"/>
      <c r="AD1100" s="58"/>
    </row>
    <row r="1101" spans="25:30" ht="54.75" customHeight="1">
      <c r="Y1101" s="58"/>
      <c r="Z1101" s="58"/>
      <c r="AA1101" s="58"/>
      <c r="AB1101" s="58"/>
      <c r="AC1101" s="58"/>
      <c r="AD1101" s="58"/>
    </row>
    <row r="1102" spans="25:30" ht="54.75" customHeight="1">
      <c r="Y1102" s="58"/>
      <c r="Z1102" s="58"/>
      <c r="AA1102" s="58"/>
      <c r="AB1102" s="58"/>
      <c r="AC1102" s="58"/>
      <c r="AD1102" s="58"/>
    </row>
    <row r="1103" spans="25:30" ht="54.75" customHeight="1">
      <c r="Y1103" s="58"/>
      <c r="Z1103" s="58"/>
      <c r="AA1103" s="58"/>
      <c r="AB1103" s="58"/>
      <c r="AC1103" s="58"/>
      <c r="AD1103" s="58"/>
    </row>
    <row r="1104" spans="25:30" ht="54.75" customHeight="1">
      <c r="Y1104" s="58"/>
      <c r="Z1104" s="58"/>
      <c r="AA1104" s="58"/>
      <c r="AB1104" s="58"/>
      <c r="AC1104" s="58"/>
      <c r="AD1104" s="58"/>
    </row>
    <row r="1105" spans="25:30" ht="54.75" customHeight="1">
      <c r="Y1105" s="58"/>
      <c r="Z1105" s="58"/>
      <c r="AA1105" s="58"/>
      <c r="AB1105" s="58"/>
      <c r="AC1105" s="58"/>
      <c r="AD1105" s="58"/>
    </row>
    <row r="1106" spans="25:30" ht="54.75" customHeight="1">
      <c r="Y1106" s="58"/>
      <c r="Z1106" s="58"/>
      <c r="AA1106" s="58"/>
      <c r="AB1106" s="58"/>
      <c r="AC1106" s="58"/>
      <c r="AD1106" s="58"/>
    </row>
    <row r="1107" spans="25:30" ht="54.75" customHeight="1">
      <c r="Y1107" s="58"/>
      <c r="Z1107" s="58"/>
      <c r="AA1107" s="58"/>
      <c r="AB1107" s="58"/>
      <c r="AC1107" s="58"/>
      <c r="AD1107" s="58"/>
    </row>
    <row r="1108" spans="25:30" ht="54.75" customHeight="1">
      <c r="Y1108" s="58"/>
      <c r="Z1108" s="58"/>
      <c r="AA1108" s="58"/>
      <c r="AB1108" s="58"/>
      <c r="AC1108" s="58"/>
      <c r="AD1108" s="58"/>
    </row>
    <row r="1109" spans="25:30" ht="54.75" customHeight="1">
      <c r="Y1109" s="58"/>
      <c r="Z1109" s="58"/>
      <c r="AA1109" s="58"/>
      <c r="AB1109" s="58"/>
      <c r="AC1109" s="58"/>
      <c r="AD1109" s="58"/>
    </row>
    <row r="1110" spans="25:30" ht="54.75" customHeight="1">
      <c r="Y1110" s="58"/>
      <c r="Z1110" s="58"/>
      <c r="AA1110" s="58"/>
      <c r="AB1110" s="58"/>
      <c r="AC1110" s="58"/>
      <c r="AD1110" s="58"/>
    </row>
    <row r="1111" spans="25:30" ht="54.75" customHeight="1">
      <c r="Y1111" s="58"/>
      <c r="Z1111" s="58"/>
      <c r="AA1111" s="58"/>
      <c r="AB1111" s="58"/>
      <c r="AC1111" s="58"/>
      <c r="AD1111" s="58"/>
    </row>
    <row r="1112" spans="25:30" ht="54.75" customHeight="1">
      <c r="Y1112" s="58"/>
      <c r="Z1112" s="58"/>
      <c r="AA1112" s="58"/>
      <c r="AB1112" s="58"/>
      <c r="AC1112" s="58"/>
      <c r="AD1112" s="58"/>
    </row>
    <row r="1113" spans="25:30" ht="54.75" customHeight="1">
      <c r="Y1113" s="58"/>
      <c r="Z1113" s="58"/>
      <c r="AA1113" s="58"/>
      <c r="AB1113" s="58"/>
      <c r="AC1113" s="58"/>
      <c r="AD1113" s="58"/>
    </row>
    <row r="1114" spans="25:30" ht="54.75" customHeight="1">
      <c r="Y1114" s="58"/>
      <c r="Z1114" s="58"/>
      <c r="AA1114" s="58"/>
      <c r="AB1114" s="58"/>
      <c r="AC1114" s="58"/>
      <c r="AD1114" s="58"/>
    </row>
    <row r="1115" spans="25:30" ht="54.75" customHeight="1">
      <c r="Y1115" s="58"/>
      <c r="Z1115" s="58"/>
      <c r="AA1115" s="58"/>
      <c r="AB1115" s="58"/>
      <c r="AC1115" s="58"/>
      <c r="AD1115" s="58"/>
    </row>
    <row r="1116" spans="25:30" ht="54.75" customHeight="1">
      <c r="Y1116" s="58"/>
      <c r="Z1116" s="58"/>
      <c r="AA1116" s="58"/>
      <c r="AB1116" s="58"/>
      <c r="AC1116" s="58"/>
      <c r="AD1116" s="58"/>
    </row>
    <row r="1117" spans="25:30" ht="54.75" customHeight="1">
      <c r="Y1117" s="58"/>
      <c r="Z1117" s="58"/>
      <c r="AA1117" s="58"/>
      <c r="AB1117" s="58"/>
      <c r="AC1117" s="58"/>
      <c r="AD1117" s="58"/>
    </row>
    <row r="1118" spans="25:30" ht="54.75" customHeight="1">
      <c r="Y1118" s="58"/>
      <c r="Z1118" s="58"/>
      <c r="AA1118" s="58"/>
      <c r="AB1118" s="58"/>
      <c r="AC1118" s="58"/>
      <c r="AD1118" s="58"/>
    </row>
    <row r="1119" spans="25:30" ht="54.75" customHeight="1">
      <c r="Y1119" s="58"/>
      <c r="Z1119" s="58"/>
      <c r="AA1119" s="58"/>
      <c r="AB1119" s="58"/>
      <c r="AC1119" s="58"/>
      <c r="AD1119" s="58"/>
    </row>
    <row r="1120" spans="25:30" ht="54.75" customHeight="1">
      <c r="Y1120" s="58"/>
      <c r="Z1120" s="58"/>
      <c r="AA1120" s="58"/>
      <c r="AB1120" s="58"/>
      <c r="AC1120" s="58"/>
      <c r="AD1120" s="58"/>
    </row>
    <row r="1121" spans="25:30" ht="54.75" customHeight="1">
      <c r="Y1121" s="58"/>
      <c r="Z1121" s="58"/>
      <c r="AA1121" s="58"/>
      <c r="AB1121" s="58"/>
      <c r="AC1121" s="58"/>
      <c r="AD1121" s="58"/>
    </row>
    <row r="1122" spans="25:30" ht="54.75" customHeight="1">
      <c r="Y1122" s="58"/>
      <c r="Z1122" s="58"/>
      <c r="AA1122" s="58"/>
      <c r="AB1122" s="58"/>
      <c r="AC1122" s="58"/>
      <c r="AD1122" s="58"/>
    </row>
    <row r="1123" spans="25:30" ht="54.75" customHeight="1">
      <c r="Y1123" s="58"/>
      <c r="Z1123" s="58"/>
      <c r="AA1123" s="58"/>
      <c r="AB1123" s="58"/>
      <c r="AC1123" s="58"/>
      <c r="AD1123" s="58"/>
    </row>
    <row r="1124" spans="25:30" ht="54.75" customHeight="1">
      <c r="Y1124" s="58"/>
      <c r="Z1124" s="58"/>
      <c r="AA1124" s="58"/>
      <c r="AB1124" s="58"/>
      <c r="AC1124" s="58"/>
      <c r="AD1124" s="58"/>
    </row>
    <row r="1125" spans="25:30" ht="54.75" customHeight="1">
      <c r="Y1125" s="58"/>
      <c r="Z1125" s="58"/>
      <c r="AA1125" s="58"/>
      <c r="AB1125" s="58"/>
      <c r="AC1125" s="58"/>
      <c r="AD1125" s="58"/>
    </row>
    <row r="1126" spans="25:30" ht="54.75" customHeight="1">
      <c r="Y1126" s="58"/>
      <c r="Z1126" s="58"/>
      <c r="AA1126" s="58"/>
      <c r="AB1126" s="58"/>
      <c r="AC1126" s="58"/>
      <c r="AD1126" s="58"/>
    </row>
    <row r="1127" spans="25:30" ht="54.75" customHeight="1">
      <c r="Y1127" s="58"/>
      <c r="Z1127" s="58"/>
      <c r="AA1127" s="58"/>
      <c r="AB1127" s="58"/>
      <c r="AC1127" s="58"/>
      <c r="AD1127" s="58"/>
    </row>
    <row r="1128" spans="25:30" ht="54.75" customHeight="1">
      <c r="Y1128" s="58"/>
      <c r="Z1128" s="58"/>
      <c r="AA1128" s="58"/>
      <c r="AB1128" s="58"/>
      <c r="AC1128" s="58"/>
      <c r="AD1128" s="58"/>
    </row>
    <row r="1129" spans="25:30" ht="54.75" customHeight="1">
      <c r="Y1129" s="58"/>
      <c r="Z1129" s="58"/>
      <c r="AA1129" s="58"/>
      <c r="AB1129" s="58"/>
      <c r="AC1129" s="58"/>
      <c r="AD1129" s="58"/>
    </row>
    <row r="1130" spans="25:30" ht="54.75" customHeight="1">
      <c r="Y1130" s="58"/>
      <c r="Z1130" s="58"/>
      <c r="AA1130" s="58"/>
      <c r="AB1130" s="58"/>
      <c r="AC1130" s="58"/>
      <c r="AD1130" s="58"/>
    </row>
    <row r="1131" spans="25:30" ht="54.75" customHeight="1">
      <c r="Y1131" s="58"/>
      <c r="Z1131" s="58"/>
      <c r="AA1131" s="58"/>
      <c r="AB1131" s="58"/>
      <c r="AC1131" s="58"/>
      <c r="AD1131" s="58"/>
    </row>
    <row r="1132" spans="25:30" ht="54.75" customHeight="1">
      <c r="Y1132" s="58"/>
      <c r="Z1132" s="58"/>
      <c r="AA1132" s="58"/>
      <c r="AB1132" s="58"/>
      <c r="AC1132" s="58"/>
      <c r="AD1132" s="58"/>
    </row>
    <row r="1133" spans="25:30" ht="54.75" customHeight="1">
      <c r="Y1133" s="58"/>
      <c r="Z1133" s="58"/>
      <c r="AA1133" s="58"/>
      <c r="AB1133" s="58"/>
      <c r="AC1133" s="58"/>
      <c r="AD1133" s="58"/>
    </row>
    <row r="1134" spans="25:30" ht="54.75" customHeight="1">
      <c r="Y1134" s="58"/>
      <c r="Z1134" s="58"/>
      <c r="AA1134" s="58"/>
      <c r="AB1134" s="58"/>
      <c r="AC1134" s="58"/>
      <c r="AD1134" s="58"/>
    </row>
    <row r="1135" spans="25:30" ht="54.75" customHeight="1">
      <c r="Y1135" s="58"/>
      <c r="Z1135" s="58"/>
      <c r="AA1135" s="58"/>
      <c r="AB1135" s="58"/>
      <c r="AC1135" s="58"/>
      <c r="AD1135" s="58"/>
    </row>
    <row r="1136" spans="25:30" ht="54.75" customHeight="1">
      <c r="Y1136" s="58"/>
      <c r="Z1136" s="58"/>
      <c r="AA1136" s="58"/>
      <c r="AB1136" s="58"/>
      <c r="AC1136" s="58"/>
      <c r="AD1136" s="58"/>
    </row>
    <row r="1137" spans="25:30" ht="54.75" customHeight="1">
      <c r="Y1137" s="58"/>
      <c r="Z1137" s="58"/>
      <c r="AA1137" s="58"/>
      <c r="AB1137" s="58"/>
      <c r="AC1137" s="58"/>
      <c r="AD1137" s="58"/>
    </row>
    <row r="1138" spans="25:30" ht="54.75" customHeight="1">
      <c r="Y1138" s="58"/>
      <c r="Z1138" s="58"/>
      <c r="AA1138" s="58"/>
      <c r="AB1138" s="58"/>
      <c r="AC1138" s="58"/>
      <c r="AD1138" s="58"/>
    </row>
    <row r="1139" spans="25:30" ht="54.75" customHeight="1">
      <c r="Y1139" s="58"/>
      <c r="Z1139" s="58"/>
      <c r="AA1139" s="58"/>
      <c r="AB1139" s="58"/>
      <c r="AC1139" s="58"/>
      <c r="AD1139" s="58"/>
    </row>
    <row r="1140" spans="25:30" ht="54.75" customHeight="1">
      <c r="Y1140" s="58"/>
      <c r="Z1140" s="58"/>
      <c r="AA1140" s="58"/>
      <c r="AB1140" s="58"/>
      <c r="AC1140" s="58"/>
      <c r="AD1140" s="58"/>
    </row>
    <row r="1141" spans="25:30" ht="54.75" customHeight="1">
      <c r="Y1141" s="58"/>
      <c r="Z1141" s="58"/>
      <c r="AA1141" s="58"/>
      <c r="AB1141" s="58"/>
      <c r="AC1141" s="58"/>
      <c r="AD1141" s="58"/>
    </row>
    <row r="1142" spans="25:30" ht="54.75" customHeight="1">
      <c r="Y1142" s="58"/>
      <c r="Z1142" s="58"/>
      <c r="AA1142" s="58"/>
      <c r="AB1142" s="58"/>
      <c r="AC1142" s="58"/>
      <c r="AD1142" s="58"/>
    </row>
    <row r="1143" spans="25:30" ht="54.75" customHeight="1">
      <c r="Y1143" s="58"/>
      <c r="Z1143" s="58"/>
      <c r="AA1143" s="58"/>
      <c r="AB1143" s="58"/>
      <c r="AC1143" s="58"/>
      <c r="AD1143" s="58"/>
    </row>
    <row r="1144" spans="25:30" ht="54.75" customHeight="1">
      <c r="Y1144" s="58"/>
      <c r="Z1144" s="58"/>
      <c r="AA1144" s="58"/>
      <c r="AB1144" s="58"/>
      <c r="AC1144" s="58"/>
      <c r="AD1144" s="58"/>
    </row>
    <row r="1145" spans="25:30" ht="54.75" customHeight="1">
      <c r="Y1145" s="58"/>
      <c r="Z1145" s="58"/>
      <c r="AA1145" s="58"/>
      <c r="AB1145" s="58"/>
      <c r="AC1145" s="58"/>
      <c r="AD1145" s="58"/>
    </row>
    <row r="1146" spans="25:30" ht="54.75" customHeight="1">
      <c r="Y1146" s="58"/>
      <c r="Z1146" s="58"/>
      <c r="AA1146" s="58"/>
      <c r="AB1146" s="58"/>
      <c r="AC1146" s="58"/>
      <c r="AD1146" s="58"/>
    </row>
    <row r="1147" spans="25:30" ht="54.75" customHeight="1">
      <c r="Y1147" s="58"/>
      <c r="Z1147" s="58"/>
      <c r="AA1147" s="58"/>
      <c r="AB1147" s="58"/>
      <c r="AC1147" s="58"/>
      <c r="AD1147" s="58"/>
    </row>
    <row r="1148" spans="25:30" ht="54.75" customHeight="1">
      <c r="Y1148" s="58"/>
      <c r="Z1148" s="58"/>
      <c r="AA1148" s="58"/>
      <c r="AB1148" s="58"/>
      <c r="AC1148" s="58"/>
      <c r="AD1148" s="58"/>
    </row>
    <row r="1149" spans="25:30" ht="54.75" customHeight="1">
      <c r="Y1149" s="58"/>
      <c r="Z1149" s="58"/>
      <c r="AA1149" s="58"/>
      <c r="AB1149" s="58"/>
      <c r="AC1149" s="58"/>
      <c r="AD1149" s="58"/>
    </row>
    <row r="1150" spans="25:30" ht="54.75" customHeight="1">
      <c r="Y1150" s="58"/>
      <c r="Z1150" s="58"/>
      <c r="AA1150" s="58"/>
      <c r="AB1150" s="58"/>
      <c r="AC1150" s="58"/>
      <c r="AD1150" s="58"/>
    </row>
    <row r="1151" spans="25:30" ht="54.75" customHeight="1">
      <c r="Y1151" s="58"/>
      <c r="Z1151" s="58"/>
      <c r="AA1151" s="58"/>
      <c r="AB1151" s="58"/>
      <c r="AC1151" s="58"/>
      <c r="AD1151" s="58"/>
    </row>
    <row r="1152" spans="25:30" ht="54.75" customHeight="1">
      <c r="Y1152" s="58"/>
      <c r="Z1152" s="58"/>
      <c r="AA1152" s="58"/>
      <c r="AB1152" s="58"/>
      <c r="AC1152" s="58"/>
      <c r="AD1152" s="58"/>
    </row>
    <row r="1153" spans="25:30" ht="54.75" customHeight="1">
      <c r="Y1153" s="58"/>
      <c r="Z1153" s="58"/>
      <c r="AA1153" s="58"/>
      <c r="AB1153" s="58"/>
      <c r="AC1153" s="58"/>
      <c r="AD1153" s="58"/>
    </row>
    <row r="1154" spans="25:30" ht="54.75" customHeight="1">
      <c r="Y1154" s="58"/>
      <c r="Z1154" s="58"/>
      <c r="AA1154" s="58"/>
      <c r="AB1154" s="58"/>
      <c r="AC1154" s="58"/>
      <c r="AD1154" s="58"/>
    </row>
    <row r="1155" spans="25:30" ht="54.75" customHeight="1">
      <c r="Y1155" s="58"/>
      <c r="Z1155" s="58"/>
      <c r="AA1155" s="58"/>
      <c r="AB1155" s="58"/>
      <c r="AC1155" s="58"/>
      <c r="AD1155" s="58"/>
    </row>
    <row r="1156" spans="25:30" ht="54.75" customHeight="1">
      <c r="Y1156" s="58"/>
      <c r="Z1156" s="58"/>
      <c r="AA1156" s="58"/>
      <c r="AB1156" s="58"/>
      <c r="AC1156" s="58"/>
      <c r="AD1156" s="58"/>
    </row>
    <row r="1157" spans="25:30" ht="54.75" customHeight="1">
      <c r="Y1157" s="58"/>
      <c r="Z1157" s="58"/>
      <c r="AA1157" s="58"/>
      <c r="AB1157" s="58"/>
      <c r="AC1157" s="58"/>
      <c r="AD1157" s="58"/>
    </row>
    <row r="1158" spans="25:30" ht="54.75" customHeight="1">
      <c r="Y1158" s="58"/>
      <c r="Z1158" s="58"/>
      <c r="AA1158" s="58"/>
      <c r="AB1158" s="58"/>
      <c r="AC1158" s="58"/>
      <c r="AD1158" s="58"/>
    </row>
    <row r="1159" spans="25:30" ht="54.75" customHeight="1">
      <c r="Y1159" s="58"/>
      <c r="Z1159" s="58"/>
      <c r="AA1159" s="58"/>
      <c r="AB1159" s="58"/>
      <c r="AC1159" s="58"/>
      <c r="AD1159" s="58"/>
    </row>
    <row r="1160" spans="25:30" ht="54.75" customHeight="1">
      <c r="Y1160" s="58"/>
      <c r="Z1160" s="58"/>
      <c r="AA1160" s="58"/>
      <c r="AB1160" s="58"/>
      <c r="AC1160" s="58"/>
      <c r="AD1160" s="58"/>
    </row>
    <row r="1161" spans="25:30" ht="54.75" customHeight="1">
      <c r="Y1161" s="58"/>
      <c r="Z1161" s="58"/>
      <c r="AA1161" s="58"/>
      <c r="AB1161" s="58"/>
      <c r="AC1161" s="58"/>
      <c r="AD1161" s="58"/>
    </row>
    <row r="1162" spans="25:30" ht="54.75" customHeight="1">
      <c r="Y1162" s="58"/>
      <c r="Z1162" s="58"/>
      <c r="AA1162" s="58"/>
      <c r="AB1162" s="58"/>
      <c r="AC1162" s="58"/>
      <c r="AD1162" s="58"/>
    </row>
    <row r="1163" spans="25:30" ht="54.75" customHeight="1">
      <c r="Y1163" s="58"/>
      <c r="Z1163" s="58"/>
      <c r="AA1163" s="58"/>
      <c r="AB1163" s="58"/>
      <c r="AC1163" s="58"/>
      <c r="AD1163" s="58"/>
    </row>
    <row r="1164" spans="25:30" ht="54.75" customHeight="1">
      <c r="Y1164" s="58"/>
      <c r="Z1164" s="58"/>
      <c r="AA1164" s="58"/>
      <c r="AB1164" s="58"/>
      <c r="AC1164" s="58"/>
      <c r="AD1164" s="58"/>
    </row>
    <row r="1165" spans="25:30" ht="54.75" customHeight="1">
      <c r="Y1165" s="58"/>
      <c r="Z1165" s="58"/>
      <c r="AA1165" s="58"/>
      <c r="AB1165" s="58"/>
      <c r="AC1165" s="58"/>
      <c r="AD1165" s="58"/>
    </row>
    <row r="1166" spans="25:30" ht="54.75" customHeight="1">
      <c r="Y1166" s="58"/>
      <c r="Z1166" s="58"/>
      <c r="AA1166" s="58"/>
      <c r="AB1166" s="58"/>
      <c r="AC1166" s="58"/>
      <c r="AD1166" s="58"/>
    </row>
    <row r="1167" spans="25:30" ht="54.75" customHeight="1">
      <c r="Y1167" s="58"/>
      <c r="Z1167" s="58"/>
      <c r="AA1167" s="58"/>
      <c r="AB1167" s="58"/>
      <c r="AC1167" s="58"/>
      <c r="AD1167" s="58"/>
    </row>
    <row r="1168" spans="25:30" ht="54.75" customHeight="1">
      <c r="Y1168" s="58"/>
      <c r="Z1168" s="58"/>
      <c r="AA1168" s="58"/>
      <c r="AB1168" s="58"/>
      <c r="AC1168" s="58"/>
      <c r="AD1168" s="58"/>
    </row>
    <row r="1169" spans="25:30" ht="54.75" customHeight="1">
      <c r="Y1169" s="58"/>
      <c r="Z1169" s="58"/>
      <c r="AA1169" s="58"/>
      <c r="AB1169" s="58"/>
      <c r="AC1169" s="58"/>
      <c r="AD1169" s="58"/>
    </row>
    <row r="1170" spans="25:30" ht="54.75" customHeight="1">
      <c r="Y1170" s="58"/>
      <c r="Z1170" s="58"/>
      <c r="AA1170" s="58"/>
      <c r="AB1170" s="58"/>
      <c r="AC1170" s="58"/>
      <c r="AD1170" s="58"/>
    </row>
    <row r="1171" spans="25:30" ht="54.75" customHeight="1">
      <c r="Y1171" s="58"/>
      <c r="Z1171" s="58"/>
      <c r="AA1171" s="58"/>
      <c r="AB1171" s="58"/>
      <c r="AC1171" s="58"/>
      <c r="AD1171" s="58"/>
    </row>
    <row r="1172" spans="25:30" ht="54.75" customHeight="1">
      <c r="Y1172" s="58"/>
      <c r="Z1172" s="58"/>
      <c r="AA1172" s="58"/>
      <c r="AB1172" s="58"/>
      <c r="AC1172" s="58"/>
      <c r="AD1172" s="58"/>
    </row>
    <row r="1173" spans="25:30" ht="54.75" customHeight="1">
      <c r="Y1173" s="58"/>
      <c r="Z1173" s="58"/>
      <c r="AA1173" s="58"/>
      <c r="AB1173" s="58"/>
      <c r="AC1173" s="58"/>
      <c r="AD1173" s="58"/>
    </row>
    <row r="1174" spans="25:30" ht="54.75" customHeight="1">
      <c r="Y1174" s="58"/>
      <c r="Z1174" s="58"/>
      <c r="AA1174" s="58"/>
      <c r="AB1174" s="58"/>
      <c r="AC1174" s="58"/>
      <c r="AD1174" s="58"/>
    </row>
    <row r="1175" spans="25:30" ht="54.75" customHeight="1">
      <c r="Y1175" s="58"/>
      <c r="Z1175" s="58"/>
      <c r="AA1175" s="58"/>
      <c r="AB1175" s="58"/>
      <c r="AC1175" s="58"/>
      <c r="AD1175" s="58"/>
    </row>
    <row r="1176" spans="25:30" ht="54.75" customHeight="1">
      <c r="Y1176" s="58"/>
      <c r="Z1176" s="58"/>
      <c r="AA1176" s="58"/>
      <c r="AB1176" s="58"/>
      <c r="AC1176" s="58"/>
      <c r="AD1176" s="58"/>
    </row>
    <row r="1177" spans="25:30" ht="54.75" customHeight="1">
      <c r="Y1177" s="58"/>
      <c r="Z1177" s="58"/>
      <c r="AA1177" s="58"/>
      <c r="AB1177" s="58"/>
      <c r="AC1177" s="58"/>
      <c r="AD1177" s="58"/>
    </row>
    <row r="1178" spans="25:30" ht="54.75" customHeight="1">
      <c r="Y1178" s="58"/>
      <c r="Z1178" s="58"/>
      <c r="AA1178" s="58"/>
      <c r="AB1178" s="58"/>
      <c r="AC1178" s="58"/>
      <c r="AD1178" s="58"/>
    </row>
    <row r="1179" spans="25:30" ht="54.75" customHeight="1">
      <c r="Y1179" s="58"/>
      <c r="Z1179" s="58"/>
      <c r="AA1179" s="58"/>
      <c r="AB1179" s="58"/>
      <c r="AC1179" s="58"/>
      <c r="AD1179" s="58"/>
    </row>
    <row r="1180" spans="25:30" ht="54.75" customHeight="1">
      <c r="Y1180" s="58"/>
      <c r="Z1180" s="58"/>
      <c r="AA1180" s="58"/>
      <c r="AB1180" s="58"/>
      <c r="AC1180" s="58"/>
      <c r="AD1180" s="58"/>
    </row>
    <row r="1181" spans="25:30" ht="54.75" customHeight="1">
      <c r="Y1181" s="58"/>
      <c r="Z1181" s="58"/>
      <c r="AA1181" s="58"/>
      <c r="AB1181" s="58"/>
      <c r="AC1181" s="58"/>
      <c r="AD1181" s="58"/>
    </row>
    <row r="1182" spans="25:30" ht="54.75" customHeight="1">
      <c r="Y1182" s="58"/>
      <c r="Z1182" s="58"/>
      <c r="AA1182" s="58"/>
      <c r="AB1182" s="58"/>
      <c r="AC1182" s="58"/>
      <c r="AD1182" s="58"/>
    </row>
    <row r="1183" spans="25:30" ht="54.75" customHeight="1">
      <c r="Y1183" s="58"/>
      <c r="Z1183" s="58"/>
      <c r="AA1183" s="58"/>
      <c r="AB1183" s="58"/>
      <c r="AC1183" s="58"/>
      <c r="AD1183" s="58"/>
    </row>
    <row r="1184" spans="25:30" ht="54.75" customHeight="1">
      <c r="Y1184" s="58"/>
      <c r="Z1184" s="58"/>
      <c r="AA1184" s="58"/>
      <c r="AB1184" s="58"/>
      <c r="AC1184" s="58"/>
      <c r="AD1184" s="58"/>
    </row>
    <row r="1185" spans="25:30" ht="54.75" customHeight="1">
      <c r="Y1185" s="58"/>
      <c r="Z1185" s="58"/>
      <c r="AA1185" s="58"/>
      <c r="AB1185" s="58"/>
      <c r="AC1185" s="58"/>
      <c r="AD1185" s="58"/>
    </row>
    <row r="1186" spans="25:30" ht="54.75" customHeight="1">
      <c r="Y1186" s="58"/>
      <c r="Z1186" s="58"/>
      <c r="AA1186" s="58"/>
      <c r="AB1186" s="58"/>
      <c r="AC1186" s="58"/>
      <c r="AD1186" s="58"/>
    </row>
    <row r="1187" spans="25:30" ht="54.75" customHeight="1">
      <c r="Y1187" s="58"/>
      <c r="Z1187" s="58"/>
      <c r="AA1187" s="58"/>
      <c r="AB1187" s="58"/>
      <c r="AC1187" s="58"/>
      <c r="AD1187" s="58"/>
    </row>
    <row r="1188" spans="25:30" ht="54.75" customHeight="1">
      <c r="Y1188" s="58"/>
      <c r="Z1188" s="58"/>
      <c r="AA1188" s="58"/>
      <c r="AB1188" s="58"/>
      <c r="AC1188" s="58"/>
      <c r="AD1188" s="58"/>
    </row>
    <row r="1189" spans="25:30" ht="54.75" customHeight="1">
      <c r="Y1189" s="58"/>
      <c r="Z1189" s="58"/>
      <c r="AA1189" s="58"/>
      <c r="AB1189" s="58"/>
      <c r="AC1189" s="58"/>
      <c r="AD1189" s="58"/>
    </row>
    <row r="1190" spans="25:30" ht="54.75" customHeight="1">
      <c r="Y1190" s="58"/>
      <c r="Z1190" s="58"/>
      <c r="AA1190" s="58"/>
      <c r="AB1190" s="58"/>
      <c r="AC1190" s="58"/>
      <c r="AD1190" s="58"/>
    </row>
    <row r="1191" spans="25:30" ht="54.75" customHeight="1">
      <c r="Y1191" s="58"/>
      <c r="Z1191" s="58"/>
      <c r="AA1191" s="58"/>
      <c r="AB1191" s="58"/>
      <c r="AC1191" s="58"/>
      <c r="AD1191" s="58"/>
    </row>
    <row r="1192" spans="25:30" ht="54.75" customHeight="1">
      <c r="Y1192" s="58"/>
      <c r="Z1192" s="58"/>
      <c r="AA1192" s="58"/>
      <c r="AB1192" s="58"/>
      <c r="AC1192" s="58"/>
      <c r="AD1192" s="58"/>
    </row>
    <row r="1193" spans="25:30" ht="54.75" customHeight="1">
      <c r="Y1193" s="58"/>
      <c r="Z1193" s="58"/>
      <c r="AA1193" s="58"/>
      <c r="AB1193" s="58"/>
      <c r="AC1193" s="58"/>
      <c r="AD1193" s="58"/>
    </row>
    <row r="1194" spans="25:30" ht="54.75" customHeight="1">
      <c r="Y1194" s="58"/>
      <c r="Z1194" s="58"/>
      <c r="AA1194" s="58"/>
      <c r="AB1194" s="58"/>
      <c r="AC1194" s="58"/>
      <c r="AD1194" s="58"/>
    </row>
    <row r="1195" spans="25:30" ht="54.75" customHeight="1">
      <c r="Y1195" s="58"/>
      <c r="Z1195" s="58"/>
      <c r="AA1195" s="58"/>
      <c r="AB1195" s="58"/>
      <c r="AC1195" s="58"/>
      <c r="AD1195" s="58"/>
    </row>
    <row r="1196" spans="25:30" ht="54.75" customHeight="1">
      <c r="Y1196" s="58"/>
      <c r="Z1196" s="58"/>
      <c r="AA1196" s="58"/>
      <c r="AB1196" s="58"/>
      <c r="AC1196" s="58"/>
      <c r="AD1196" s="58"/>
    </row>
    <row r="1197" spans="25:30" ht="54.75" customHeight="1">
      <c r="Y1197" s="58"/>
      <c r="Z1197" s="58"/>
      <c r="AA1197" s="58"/>
      <c r="AB1197" s="58"/>
      <c r="AC1197" s="58"/>
      <c r="AD1197" s="58"/>
    </row>
    <row r="1198" spans="25:30" ht="54.75" customHeight="1">
      <c r="Y1198" s="58"/>
      <c r="Z1198" s="58"/>
      <c r="AA1198" s="58"/>
      <c r="AB1198" s="58"/>
      <c r="AC1198" s="58"/>
      <c r="AD1198" s="58"/>
    </row>
    <row r="1199" spans="25:30" ht="54.75" customHeight="1">
      <c r="Y1199" s="58"/>
      <c r="Z1199" s="58"/>
      <c r="AA1199" s="58"/>
      <c r="AB1199" s="58"/>
      <c r="AC1199" s="58"/>
      <c r="AD1199" s="58"/>
    </row>
    <row r="1200" spans="25:30" ht="54.75" customHeight="1">
      <c r="Y1200" s="58"/>
      <c r="Z1200" s="58"/>
      <c r="AA1200" s="58"/>
      <c r="AB1200" s="58"/>
      <c r="AC1200" s="58"/>
      <c r="AD1200" s="58"/>
    </row>
    <row r="1201" spans="25:30" ht="54.75" customHeight="1">
      <c r="Y1201" s="58"/>
      <c r="Z1201" s="58"/>
      <c r="AA1201" s="58"/>
      <c r="AB1201" s="58"/>
      <c r="AC1201" s="58"/>
      <c r="AD1201" s="58"/>
    </row>
    <row r="1202" spans="25:30" ht="54.75" customHeight="1">
      <c r="Y1202" s="58"/>
      <c r="Z1202" s="58"/>
      <c r="AA1202" s="58"/>
      <c r="AB1202" s="58"/>
      <c r="AC1202" s="58"/>
      <c r="AD1202" s="58"/>
    </row>
    <row r="1203" spans="25:30" ht="54.75" customHeight="1">
      <c r="Y1203" s="58"/>
      <c r="Z1203" s="58"/>
      <c r="AA1203" s="58"/>
      <c r="AB1203" s="58"/>
      <c r="AC1203" s="58"/>
      <c r="AD1203" s="58"/>
    </row>
    <row r="1204" spans="25:30" ht="54.75" customHeight="1">
      <c r="Y1204" s="58"/>
      <c r="Z1204" s="58"/>
      <c r="AA1204" s="58"/>
      <c r="AB1204" s="58"/>
      <c r="AC1204" s="58"/>
      <c r="AD1204" s="58"/>
    </row>
    <row r="1205" spans="25:30" ht="54.75" customHeight="1">
      <c r="Y1205" s="58"/>
      <c r="Z1205" s="58"/>
      <c r="AA1205" s="58"/>
      <c r="AB1205" s="58"/>
      <c r="AC1205" s="58"/>
      <c r="AD1205" s="58"/>
    </row>
    <row r="1206" spans="25:30" ht="54.75" customHeight="1">
      <c r="Y1206" s="58"/>
      <c r="Z1206" s="58"/>
      <c r="AA1206" s="58"/>
      <c r="AB1206" s="58"/>
      <c r="AC1206" s="58"/>
      <c r="AD1206" s="58"/>
    </row>
    <row r="1207" spans="25:30" ht="54.75" customHeight="1">
      <c r="Y1207" s="58"/>
      <c r="Z1207" s="58"/>
      <c r="AA1207" s="58"/>
      <c r="AB1207" s="58"/>
      <c r="AC1207" s="58"/>
      <c r="AD1207" s="58"/>
    </row>
    <row r="1208" spans="25:30" ht="54.75" customHeight="1">
      <c r="Y1208" s="58"/>
      <c r="Z1208" s="58"/>
      <c r="AA1208" s="58"/>
      <c r="AB1208" s="58"/>
      <c r="AC1208" s="58"/>
      <c r="AD1208" s="58"/>
    </row>
    <row r="1209" spans="25:30" ht="54.75" customHeight="1">
      <c r="Y1209" s="58"/>
      <c r="Z1209" s="58"/>
      <c r="AA1209" s="58"/>
      <c r="AB1209" s="58"/>
      <c r="AC1209" s="58"/>
      <c r="AD1209" s="58"/>
    </row>
    <row r="1210" spans="25:30" ht="54.75" customHeight="1">
      <c r="Y1210" s="58"/>
      <c r="Z1210" s="58"/>
      <c r="AA1210" s="58"/>
      <c r="AB1210" s="58"/>
      <c r="AC1210" s="58"/>
      <c r="AD1210" s="58"/>
    </row>
    <row r="1211" spans="25:30" ht="54.75" customHeight="1">
      <c r="Y1211" s="58"/>
      <c r="Z1211" s="58"/>
      <c r="AA1211" s="58"/>
      <c r="AB1211" s="58"/>
      <c r="AC1211" s="58"/>
      <c r="AD1211" s="58"/>
    </row>
    <row r="1212" spans="25:30" ht="54.75" customHeight="1">
      <c r="Y1212" s="58"/>
      <c r="Z1212" s="58"/>
      <c r="AA1212" s="58"/>
      <c r="AB1212" s="58"/>
      <c r="AC1212" s="58"/>
      <c r="AD1212" s="58"/>
    </row>
    <row r="1213" spans="25:30" ht="54.75" customHeight="1">
      <c r="Y1213" s="58"/>
      <c r="Z1213" s="58"/>
      <c r="AA1213" s="58"/>
      <c r="AB1213" s="58"/>
      <c r="AC1213" s="58"/>
      <c r="AD1213" s="58"/>
    </row>
    <row r="1214" spans="25:30" ht="54.75" customHeight="1">
      <c r="Y1214" s="58"/>
      <c r="Z1214" s="58"/>
      <c r="AA1214" s="58"/>
      <c r="AB1214" s="58"/>
      <c r="AC1214" s="58"/>
      <c r="AD1214" s="58"/>
    </row>
    <row r="1215" spans="25:30" ht="54.75" customHeight="1">
      <c r="Y1215" s="58"/>
      <c r="Z1215" s="58"/>
      <c r="AA1215" s="58"/>
      <c r="AB1215" s="58"/>
      <c r="AC1215" s="58"/>
      <c r="AD1215" s="58"/>
    </row>
    <row r="1216" spans="25:30" ht="54.75" customHeight="1">
      <c r="Y1216" s="58"/>
      <c r="Z1216" s="58"/>
      <c r="AA1216" s="58"/>
      <c r="AB1216" s="58"/>
      <c r="AC1216" s="58"/>
      <c r="AD1216" s="58"/>
    </row>
    <row r="1217" spans="25:30" ht="54.75" customHeight="1">
      <c r="Y1217" s="58"/>
      <c r="Z1217" s="58"/>
      <c r="AA1217" s="58"/>
      <c r="AB1217" s="58"/>
      <c r="AC1217" s="58"/>
      <c r="AD1217" s="58"/>
    </row>
    <row r="1218" spans="25:30" ht="54.75" customHeight="1">
      <c r="Y1218" s="58"/>
      <c r="Z1218" s="58"/>
      <c r="AA1218" s="58"/>
      <c r="AB1218" s="58"/>
      <c r="AC1218" s="58"/>
      <c r="AD1218" s="58"/>
    </row>
    <row r="1219" spans="25:30" ht="54.75" customHeight="1">
      <c r="Y1219" s="58"/>
      <c r="Z1219" s="58"/>
      <c r="AA1219" s="58"/>
      <c r="AB1219" s="58"/>
      <c r="AC1219" s="58"/>
      <c r="AD1219" s="58"/>
    </row>
    <row r="1220" spans="25:30" ht="54.75" customHeight="1">
      <c r="Y1220" s="58"/>
      <c r="Z1220" s="58"/>
      <c r="AA1220" s="58"/>
      <c r="AB1220" s="58"/>
      <c r="AC1220" s="58"/>
      <c r="AD1220" s="58"/>
    </row>
    <row r="1221" spans="25:30" ht="54.75" customHeight="1">
      <c r="Y1221" s="58"/>
      <c r="Z1221" s="58"/>
      <c r="AA1221" s="58"/>
      <c r="AB1221" s="58"/>
      <c r="AC1221" s="58"/>
      <c r="AD1221" s="58"/>
    </row>
    <row r="1222" spans="25:30" ht="54.75" customHeight="1">
      <c r="Y1222" s="58"/>
      <c r="Z1222" s="58"/>
      <c r="AA1222" s="58"/>
      <c r="AB1222" s="58"/>
      <c r="AC1222" s="58"/>
      <c r="AD1222" s="58"/>
    </row>
    <row r="1223" spans="25:30" ht="54.75" customHeight="1">
      <c r="Y1223" s="58"/>
      <c r="Z1223" s="58"/>
      <c r="AA1223" s="58"/>
      <c r="AB1223" s="58"/>
      <c r="AC1223" s="58"/>
      <c r="AD1223" s="58"/>
    </row>
    <row r="1224" spans="25:30" ht="54.75" customHeight="1">
      <c r="Y1224" s="58"/>
      <c r="Z1224" s="58"/>
      <c r="AA1224" s="58"/>
      <c r="AB1224" s="58"/>
      <c r="AC1224" s="58"/>
      <c r="AD1224" s="58"/>
    </row>
    <row r="1225" spans="25:30" ht="54.75" customHeight="1">
      <c r="Y1225" s="58"/>
      <c r="Z1225" s="58"/>
      <c r="AA1225" s="58"/>
      <c r="AB1225" s="58"/>
      <c r="AC1225" s="58"/>
      <c r="AD1225" s="58"/>
    </row>
    <row r="1226" spans="25:30" ht="54.75" customHeight="1">
      <c r="Y1226" s="58"/>
      <c r="Z1226" s="58"/>
      <c r="AA1226" s="58"/>
      <c r="AB1226" s="58"/>
      <c r="AC1226" s="58"/>
      <c r="AD1226" s="58"/>
    </row>
    <row r="1227" spans="25:30" ht="54.75" customHeight="1">
      <c r="Y1227" s="58"/>
      <c r="Z1227" s="58"/>
      <c r="AA1227" s="58"/>
      <c r="AB1227" s="58"/>
      <c r="AC1227" s="58"/>
      <c r="AD1227" s="58"/>
    </row>
    <row r="1228" spans="25:30" ht="54.75" customHeight="1">
      <c r="Y1228" s="58"/>
      <c r="Z1228" s="58"/>
      <c r="AA1228" s="58"/>
      <c r="AB1228" s="58"/>
      <c r="AC1228" s="58"/>
      <c r="AD1228" s="58"/>
    </row>
    <row r="1229" spans="25:30" ht="54.75" customHeight="1">
      <c r="Y1229" s="58"/>
      <c r="Z1229" s="58"/>
      <c r="AA1229" s="58"/>
      <c r="AB1229" s="58"/>
      <c r="AC1229" s="58"/>
      <c r="AD1229" s="58"/>
    </row>
    <row r="1230" spans="25:30" ht="54.75" customHeight="1">
      <c r="Y1230" s="58"/>
      <c r="Z1230" s="58"/>
      <c r="AA1230" s="58"/>
      <c r="AB1230" s="58"/>
      <c r="AC1230" s="58"/>
      <c r="AD1230" s="58"/>
    </row>
    <row r="1231" spans="25:30" ht="54.75" customHeight="1">
      <c r="Y1231" s="58"/>
      <c r="Z1231" s="58"/>
      <c r="AA1231" s="58"/>
      <c r="AB1231" s="58"/>
      <c r="AC1231" s="58"/>
      <c r="AD1231" s="58"/>
    </row>
    <row r="1232" spans="25:30" ht="54.75" customHeight="1">
      <c r="Y1232" s="58"/>
      <c r="Z1232" s="58"/>
      <c r="AA1232" s="58"/>
      <c r="AB1232" s="58"/>
      <c r="AC1232" s="58"/>
      <c r="AD1232" s="58"/>
    </row>
    <row r="1233" spans="25:30" ht="54.75" customHeight="1">
      <c r="Y1233" s="58"/>
      <c r="Z1233" s="58"/>
      <c r="AA1233" s="58"/>
      <c r="AB1233" s="58"/>
      <c r="AC1233" s="58"/>
      <c r="AD1233" s="58"/>
    </row>
    <row r="1234" spans="25:30" ht="54.75" customHeight="1">
      <c r="Y1234" s="58"/>
      <c r="Z1234" s="58"/>
      <c r="AA1234" s="58"/>
      <c r="AB1234" s="58"/>
      <c r="AC1234" s="58"/>
      <c r="AD1234" s="58"/>
    </row>
    <row r="1235" spans="25:30" ht="54.75" customHeight="1">
      <c r="Y1235" s="58"/>
      <c r="Z1235" s="58"/>
      <c r="AA1235" s="58"/>
      <c r="AB1235" s="58"/>
      <c r="AC1235" s="58"/>
      <c r="AD1235" s="58"/>
    </row>
    <row r="1236" spans="25:30" ht="54.75" customHeight="1">
      <c r="Y1236" s="58"/>
      <c r="Z1236" s="58"/>
      <c r="AA1236" s="58"/>
      <c r="AB1236" s="58"/>
      <c r="AC1236" s="58"/>
      <c r="AD1236" s="58"/>
    </row>
    <row r="1237" spans="25:30" ht="54.75" customHeight="1">
      <c r="Y1237" s="58"/>
      <c r="Z1237" s="58"/>
      <c r="AA1237" s="58"/>
      <c r="AB1237" s="58"/>
      <c r="AC1237" s="58"/>
      <c r="AD1237" s="58"/>
    </row>
    <row r="1238" spans="25:30" ht="54.75" customHeight="1">
      <c r="Y1238" s="58"/>
      <c r="Z1238" s="58"/>
      <c r="AA1238" s="58"/>
      <c r="AB1238" s="58"/>
      <c r="AC1238" s="58"/>
      <c r="AD1238" s="58"/>
    </row>
    <row r="1239" spans="25:30" ht="54.75" customHeight="1">
      <c r="Y1239" s="58"/>
      <c r="Z1239" s="58"/>
      <c r="AA1239" s="58"/>
      <c r="AB1239" s="58"/>
      <c r="AC1239" s="58"/>
      <c r="AD1239" s="58"/>
    </row>
    <row r="1240" spans="25:30" ht="54.75" customHeight="1">
      <c r="Y1240" s="58"/>
      <c r="Z1240" s="58"/>
      <c r="AA1240" s="58"/>
      <c r="AB1240" s="58"/>
      <c r="AC1240" s="58"/>
      <c r="AD1240" s="58"/>
    </row>
    <row r="1241" spans="25:30" ht="54.75" customHeight="1">
      <c r="Y1241" s="58"/>
      <c r="Z1241" s="58"/>
      <c r="AA1241" s="58"/>
      <c r="AB1241" s="58"/>
      <c r="AC1241" s="58"/>
      <c r="AD1241" s="58"/>
    </row>
    <row r="1242" spans="25:30" ht="54.75" customHeight="1">
      <c r="Y1242" s="58"/>
      <c r="Z1242" s="58"/>
      <c r="AA1242" s="58"/>
      <c r="AB1242" s="58"/>
      <c r="AC1242" s="58"/>
      <c r="AD1242" s="58"/>
    </row>
    <row r="1243" spans="25:30" ht="54.75" customHeight="1">
      <c r="Y1243" s="58"/>
      <c r="Z1243" s="58"/>
      <c r="AA1243" s="58"/>
      <c r="AB1243" s="58"/>
      <c r="AC1243" s="58"/>
      <c r="AD1243" s="58"/>
    </row>
    <row r="1244" spans="25:30" ht="54.75" customHeight="1">
      <c r="Y1244" s="58"/>
      <c r="Z1244" s="58"/>
      <c r="AA1244" s="58"/>
      <c r="AB1244" s="58"/>
      <c r="AC1244" s="58"/>
      <c r="AD1244" s="58"/>
    </row>
    <row r="1245" spans="25:30" ht="54.75" customHeight="1">
      <c r="Y1245" s="58"/>
      <c r="Z1245" s="58"/>
      <c r="AA1245" s="58"/>
      <c r="AB1245" s="58"/>
      <c r="AC1245" s="58"/>
      <c r="AD1245" s="58"/>
    </row>
    <row r="1246" spans="25:30" ht="54.75" customHeight="1">
      <c r="Y1246" s="58"/>
      <c r="Z1246" s="58"/>
      <c r="AA1246" s="58"/>
      <c r="AB1246" s="58"/>
      <c r="AC1246" s="58"/>
      <c r="AD1246" s="58"/>
    </row>
    <row r="1247" spans="25:30" ht="54.75" customHeight="1">
      <c r="Y1247" s="58"/>
      <c r="Z1247" s="58"/>
      <c r="AA1247" s="58"/>
      <c r="AB1247" s="58"/>
      <c r="AC1247" s="58"/>
      <c r="AD1247" s="58"/>
    </row>
    <row r="1248" spans="25:30" ht="54.75" customHeight="1">
      <c r="Y1248" s="58"/>
      <c r="Z1248" s="58"/>
      <c r="AA1248" s="58"/>
      <c r="AB1248" s="58"/>
      <c r="AC1248" s="58"/>
      <c r="AD1248" s="58"/>
    </row>
    <row r="1249" spans="25:30" ht="54.75" customHeight="1">
      <c r="Y1249" s="58"/>
      <c r="Z1249" s="58"/>
      <c r="AA1249" s="58"/>
      <c r="AB1249" s="58"/>
      <c r="AC1249" s="58"/>
      <c r="AD1249" s="58"/>
    </row>
    <row r="1250" spans="25:30" ht="54.75" customHeight="1">
      <c r="Y1250" s="58"/>
      <c r="Z1250" s="58"/>
      <c r="AA1250" s="58"/>
      <c r="AB1250" s="58"/>
      <c r="AC1250" s="58"/>
      <c r="AD1250" s="58"/>
    </row>
    <row r="1251" spans="25:30" ht="54.75" customHeight="1">
      <c r="Y1251" s="58"/>
      <c r="Z1251" s="58"/>
      <c r="AA1251" s="58"/>
      <c r="AB1251" s="58"/>
      <c r="AC1251" s="58"/>
      <c r="AD1251" s="58"/>
    </row>
    <row r="1252" spans="25:30" ht="54.75" customHeight="1">
      <c r="Y1252" s="58"/>
      <c r="Z1252" s="58"/>
      <c r="AA1252" s="58"/>
      <c r="AB1252" s="58"/>
      <c r="AC1252" s="58"/>
      <c r="AD1252" s="58"/>
    </row>
    <row r="1253" spans="25:30" ht="54.75" customHeight="1">
      <c r="Y1253" s="58"/>
      <c r="Z1253" s="58"/>
      <c r="AA1253" s="58"/>
      <c r="AB1253" s="58"/>
      <c r="AC1253" s="58"/>
      <c r="AD1253" s="58"/>
    </row>
    <row r="1254" spans="25:30" ht="54.75" customHeight="1">
      <c r="Y1254" s="58"/>
      <c r="Z1254" s="58"/>
      <c r="AA1254" s="58"/>
      <c r="AB1254" s="58"/>
      <c r="AC1254" s="58"/>
      <c r="AD1254" s="58"/>
    </row>
    <row r="1255" spans="25:30" ht="54.75" customHeight="1">
      <c r="Y1255" s="58"/>
      <c r="Z1255" s="58"/>
      <c r="AA1255" s="58"/>
      <c r="AB1255" s="58"/>
      <c r="AC1255" s="58"/>
      <c r="AD1255" s="58"/>
    </row>
    <row r="1256" spans="25:30" ht="54.75" customHeight="1">
      <c r="Y1256" s="58"/>
      <c r="Z1256" s="58"/>
      <c r="AA1256" s="58"/>
      <c r="AB1256" s="58"/>
      <c r="AC1256" s="58"/>
      <c r="AD1256" s="58"/>
    </row>
    <row r="1257" spans="25:30" ht="54.75" customHeight="1">
      <c r="Y1257" s="58"/>
      <c r="Z1257" s="58"/>
      <c r="AA1257" s="58"/>
      <c r="AB1257" s="58"/>
      <c r="AC1257" s="58"/>
      <c r="AD1257" s="58"/>
    </row>
    <row r="1258" spans="25:30" ht="54.75" customHeight="1">
      <c r="Y1258" s="58"/>
      <c r="Z1258" s="58"/>
      <c r="AA1258" s="58"/>
      <c r="AB1258" s="58"/>
      <c r="AC1258" s="58"/>
      <c r="AD1258" s="58"/>
    </row>
    <row r="1259" spans="25:30" ht="54.75" customHeight="1">
      <c r="Y1259" s="58"/>
      <c r="Z1259" s="58"/>
      <c r="AA1259" s="58"/>
      <c r="AB1259" s="58"/>
      <c r="AC1259" s="58"/>
      <c r="AD1259" s="58"/>
    </row>
    <row r="1260" spans="25:30" ht="54.75" customHeight="1">
      <c r="Y1260" s="58"/>
      <c r="Z1260" s="58"/>
      <c r="AA1260" s="58"/>
      <c r="AB1260" s="58"/>
      <c r="AC1260" s="58"/>
      <c r="AD1260" s="58"/>
    </row>
    <row r="1261" spans="25:30" ht="54.75" customHeight="1">
      <c r="Y1261" s="58"/>
      <c r="Z1261" s="58"/>
      <c r="AA1261" s="58"/>
      <c r="AB1261" s="58"/>
      <c r="AC1261" s="58"/>
      <c r="AD1261" s="58"/>
    </row>
    <row r="1262" spans="25:30" ht="54.75" customHeight="1">
      <c r="Y1262" s="58"/>
      <c r="Z1262" s="58"/>
      <c r="AA1262" s="58"/>
      <c r="AB1262" s="58"/>
      <c r="AC1262" s="58"/>
      <c r="AD1262" s="58"/>
    </row>
    <row r="1263" spans="25:30" ht="54.75" customHeight="1">
      <c r="Y1263" s="58"/>
      <c r="Z1263" s="58"/>
      <c r="AA1263" s="58"/>
      <c r="AB1263" s="58"/>
      <c r="AC1263" s="58"/>
      <c r="AD1263" s="58"/>
    </row>
    <row r="1264" spans="25:30" ht="54.75" customHeight="1">
      <c r="Y1264" s="58"/>
      <c r="Z1264" s="58"/>
      <c r="AA1264" s="58"/>
      <c r="AB1264" s="58"/>
      <c r="AC1264" s="58"/>
      <c r="AD1264" s="58"/>
    </row>
    <row r="1265" spans="25:30" ht="54.75" customHeight="1">
      <c r="Y1265" s="58"/>
      <c r="Z1265" s="58"/>
      <c r="AA1265" s="58"/>
      <c r="AB1265" s="58"/>
      <c r="AC1265" s="58"/>
      <c r="AD1265" s="58"/>
    </row>
    <row r="1266" spans="25:30" ht="54.75" customHeight="1">
      <c r="Y1266" s="58"/>
      <c r="Z1266" s="58"/>
      <c r="AA1266" s="58"/>
      <c r="AB1266" s="58"/>
      <c r="AC1266" s="58"/>
      <c r="AD1266" s="58"/>
    </row>
    <row r="1267" spans="25:30" ht="54.75" customHeight="1">
      <c r="Y1267" s="58"/>
      <c r="Z1267" s="58"/>
      <c r="AA1267" s="58"/>
      <c r="AB1267" s="58"/>
      <c r="AC1267" s="58"/>
      <c r="AD1267" s="58"/>
    </row>
    <row r="1268" spans="25:30" ht="54.75" customHeight="1">
      <c r="Y1268" s="58"/>
      <c r="Z1268" s="58"/>
      <c r="AA1268" s="58"/>
      <c r="AB1268" s="58"/>
      <c r="AC1268" s="58"/>
      <c r="AD1268" s="58"/>
    </row>
    <row r="1269" spans="25:30" ht="54.75" customHeight="1">
      <c r="Y1269" s="58"/>
      <c r="Z1269" s="58"/>
      <c r="AA1269" s="58"/>
      <c r="AB1269" s="58"/>
      <c r="AC1269" s="58"/>
      <c r="AD1269" s="58"/>
    </row>
    <row r="1270" spans="25:30" ht="54.75" customHeight="1">
      <c r="Y1270" s="58"/>
      <c r="Z1270" s="58"/>
      <c r="AA1270" s="58"/>
      <c r="AB1270" s="58"/>
      <c r="AC1270" s="58"/>
      <c r="AD1270" s="58"/>
    </row>
    <row r="1271" spans="25:30" ht="54.75" customHeight="1">
      <c r="Y1271" s="58"/>
      <c r="Z1271" s="58"/>
      <c r="AA1271" s="58"/>
      <c r="AB1271" s="58"/>
      <c r="AC1271" s="58"/>
      <c r="AD1271" s="58"/>
    </row>
    <row r="1272" spans="25:30" ht="54.75" customHeight="1">
      <c r="Y1272" s="58"/>
      <c r="Z1272" s="58"/>
      <c r="AA1272" s="58"/>
      <c r="AB1272" s="58"/>
      <c r="AC1272" s="58"/>
      <c r="AD1272" s="58"/>
    </row>
    <row r="1273" spans="25:30" ht="54.75" customHeight="1">
      <c r="Y1273" s="58"/>
      <c r="Z1273" s="58"/>
      <c r="AA1273" s="58"/>
      <c r="AB1273" s="58"/>
      <c r="AC1273" s="58"/>
      <c r="AD1273" s="58"/>
    </row>
    <row r="1274" spans="25:30" ht="54.75" customHeight="1">
      <c r="Y1274" s="58"/>
      <c r="Z1274" s="58"/>
      <c r="AA1274" s="58"/>
      <c r="AB1274" s="58"/>
      <c r="AC1274" s="58"/>
      <c r="AD1274" s="58"/>
    </row>
    <row r="1275" spans="25:30" ht="54.75" customHeight="1">
      <c r="Y1275" s="58"/>
      <c r="Z1275" s="58"/>
      <c r="AA1275" s="58"/>
      <c r="AB1275" s="58"/>
      <c r="AC1275" s="58"/>
      <c r="AD1275" s="58"/>
    </row>
    <row r="1276" spans="25:30" ht="54.75" customHeight="1">
      <c r="Y1276" s="58"/>
      <c r="Z1276" s="58"/>
      <c r="AA1276" s="58"/>
      <c r="AB1276" s="58"/>
      <c r="AC1276" s="58"/>
      <c r="AD1276" s="58"/>
    </row>
    <row r="1277" spans="25:30" ht="54.75" customHeight="1">
      <c r="Y1277" s="58"/>
      <c r="Z1277" s="58"/>
      <c r="AA1277" s="58"/>
      <c r="AB1277" s="58"/>
      <c r="AC1277" s="58"/>
      <c r="AD1277" s="58"/>
    </row>
    <row r="1278" spans="25:30" ht="54.75" customHeight="1">
      <c r="Y1278" s="58"/>
      <c r="Z1278" s="58"/>
      <c r="AA1278" s="58"/>
      <c r="AB1278" s="58"/>
      <c r="AC1278" s="58"/>
      <c r="AD1278" s="58"/>
    </row>
    <row r="1279" spans="25:30" ht="54.75" customHeight="1">
      <c r="Y1279" s="58"/>
      <c r="Z1279" s="58"/>
      <c r="AA1279" s="58"/>
      <c r="AB1279" s="58"/>
      <c r="AC1279" s="58"/>
      <c r="AD1279" s="58"/>
    </row>
    <row r="1280" spans="25:30" ht="54.75" customHeight="1">
      <c r="Y1280" s="58"/>
      <c r="Z1280" s="58"/>
      <c r="AA1280" s="58"/>
      <c r="AB1280" s="58"/>
      <c r="AC1280" s="58"/>
      <c r="AD1280" s="58"/>
    </row>
    <row r="1281" spans="25:30" ht="54.75" customHeight="1">
      <c r="Y1281" s="58"/>
      <c r="Z1281" s="58"/>
      <c r="AA1281" s="58"/>
      <c r="AB1281" s="58"/>
      <c r="AC1281" s="58"/>
      <c r="AD1281" s="58"/>
    </row>
    <row r="1282" spans="25:30" ht="54.75" customHeight="1">
      <c r="Y1282" s="58"/>
      <c r="Z1282" s="58"/>
      <c r="AA1282" s="58"/>
      <c r="AB1282" s="58"/>
      <c r="AC1282" s="58"/>
      <c r="AD1282" s="58"/>
    </row>
    <row r="1283" spans="25:30" ht="54.75" customHeight="1">
      <c r="Y1283" s="58"/>
      <c r="Z1283" s="58"/>
      <c r="AA1283" s="58"/>
      <c r="AB1283" s="58"/>
      <c r="AC1283" s="58"/>
      <c r="AD1283" s="58"/>
    </row>
    <row r="1284" spans="25:30" ht="54.75" customHeight="1">
      <c r="Y1284" s="58"/>
      <c r="Z1284" s="58"/>
      <c r="AA1284" s="58"/>
      <c r="AB1284" s="58"/>
      <c r="AC1284" s="58"/>
      <c r="AD1284" s="58"/>
    </row>
    <row r="1285" spans="25:30" ht="54.75" customHeight="1">
      <c r="Y1285" s="58"/>
      <c r="Z1285" s="58"/>
      <c r="AA1285" s="58"/>
      <c r="AB1285" s="58"/>
      <c r="AC1285" s="58"/>
      <c r="AD1285" s="58"/>
    </row>
    <row r="1286" spans="25:30" ht="54.75" customHeight="1">
      <c r="Y1286" s="58"/>
      <c r="Z1286" s="58"/>
      <c r="AA1286" s="58"/>
      <c r="AB1286" s="58"/>
      <c r="AC1286" s="58"/>
      <c r="AD1286" s="58"/>
    </row>
    <row r="1287" spans="25:30" ht="54.75" customHeight="1">
      <c r="Y1287" s="58"/>
      <c r="Z1287" s="58"/>
      <c r="AA1287" s="58"/>
      <c r="AB1287" s="58"/>
      <c r="AC1287" s="58"/>
      <c r="AD1287" s="58"/>
    </row>
    <row r="1288" spans="25:30" ht="54.75" customHeight="1">
      <c r="Y1288" s="58"/>
      <c r="Z1288" s="58"/>
      <c r="AA1288" s="58"/>
      <c r="AB1288" s="58"/>
      <c r="AC1288" s="58"/>
      <c r="AD1288" s="58"/>
    </row>
    <row r="1289" spans="25:30" ht="54.75" customHeight="1">
      <c r="Y1289" s="58"/>
      <c r="Z1289" s="58"/>
      <c r="AA1289" s="58"/>
      <c r="AB1289" s="58"/>
      <c r="AC1289" s="58"/>
      <c r="AD1289" s="58"/>
    </row>
    <row r="1290" spans="25:30" ht="54.75" customHeight="1">
      <c r="Y1290" s="58"/>
      <c r="Z1290" s="58"/>
      <c r="AA1290" s="58"/>
      <c r="AB1290" s="58"/>
      <c r="AC1290" s="58"/>
      <c r="AD1290" s="58"/>
    </row>
    <row r="1291" spans="25:30" ht="54.75" customHeight="1">
      <c r="Y1291" s="58"/>
      <c r="Z1291" s="58"/>
      <c r="AA1291" s="58"/>
      <c r="AB1291" s="58"/>
      <c r="AC1291" s="58"/>
      <c r="AD1291" s="58"/>
    </row>
    <row r="1292" spans="25:30" ht="54.75" customHeight="1">
      <c r="Y1292" s="58"/>
      <c r="Z1292" s="58"/>
      <c r="AA1292" s="58"/>
      <c r="AB1292" s="58"/>
      <c r="AC1292" s="58"/>
      <c r="AD1292" s="58"/>
    </row>
    <row r="1293" spans="25:30" ht="54.75" customHeight="1">
      <c r="Y1293" s="58"/>
      <c r="Z1293" s="58"/>
      <c r="AA1293" s="58"/>
      <c r="AB1293" s="58"/>
      <c r="AC1293" s="58"/>
      <c r="AD1293" s="58"/>
    </row>
    <row r="1294" spans="25:30" ht="54.75" customHeight="1">
      <c r="Y1294" s="58"/>
      <c r="Z1294" s="58"/>
      <c r="AA1294" s="58"/>
      <c r="AB1294" s="58"/>
      <c r="AC1294" s="58"/>
      <c r="AD1294" s="58"/>
    </row>
    <row r="1295" spans="25:30" ht="54.75" customHeight="1">
      <c r="Y1295" s="58"/>
      <c r="Z1295" s="58"/>
      <c r="AA1295" s="58"/>
      <c r="AB1295" s="58"/>
      <c r="AC1295" s="58"/>
      <c r="AD1295" s="58"/>
    </row>
    <row r="1296" spans="25:30" ht="54.75" customHeight="1">
      <c r="Y1296" s="58"/>
      <c r="Z1296" s="58"/>
      <c r="AA1296" s="58"/>
      <c r="AB1296" s="58"/>
      <c r="AC1296" s="58"/>
      <c r="AD1296" s="58"/>
    </row>
    <row r="1297" spans="25:30" ht="54.75" customHeight="1">
      <c r="Y1297" s="58"/>
      <c r="Z1297" s="58"/>
      <c r="AA1297" s="58"/>
      <c r="AB1297" s="58"/>
      <c r="AC1297" s="58"/>
      <c r="AD1297" s="58"/>
    </row>
    <row r="1298" spans="25:30" ht="54.75" customHeight="1">
      <c r="Y1298" s="58"/>
      <c r="Z1298" s="58"/>
      <c r="AA1298" s="58"/>
      <c r="AB1298" s="58"/>
      <c r="AC1298" s="58"/>
      <c r="AD1298" s="58"/>
    </row>
    <row r="1299" spans="25:30" ht="54.75" customHeight="1">
      <c r="Y1299" s="58"/>
      <c r="Z1299" s="58"/>
      <c r="AA1299" s="58"/>
      <c r="AB1299" s="58"/>
      <c r="AC1299" s="58"/>
      <c r="AD1299" s="58"/>
    </row>
    <row r="1300" spans="25:30" ht="54.75" customHeight="1">
      <c r="Y1300" s="58"/>
      <c r="Z1300" s="58"/>
      <c r="AA1300" s="58"/>
      <c r="AB1300" s="58"/>
      <c r="AC1300" s="58"/>
      <c r="AD1300" s="58"/>
    </row>
    <row r="1301" spans="25:30" ht="54.75" customHeight="1">
      <c r="Y1301" s="58"/>
      <c r="Z1301" s="58"/>
      <c r="AA1301" s="58"/>
      <c r="AB1301" s="58"/>
      <c r="AC1301" s="58"/>
      <c r="AD1301" s="58"/>
    </row>
    <row r="1302" spans="25:30" ht="54.75" customHeight="1">
      <c r="Y1302" s="58"/>
      <c r="Z1302" s="58"/>
      <c r="AA1302" s="58"/>
      <c r="AB1302" s="58"/>
      <c r="AC1302" s="58"/>
      <c r="AD1302" s="58"/>
    </row>
    <row r="1303" spans="25:30" ht="54.75" customHeight="1">
      <c r="Y1303" s="58"/>
      <c r="Z1303" s="58"/>
      <c r="AA1303" s="58"/>
      <c r="AB1303" s="58"/>
      <c r="AC1303" s="58"/>
      <c r="AD1303" s="58"/>
    </row>
    <row r="1304" spans="25:30" ht="54.75" customHeight="1">
      <c r="Y1304" s="58"/>
      <c r="Z1304" s="58"/>
      <c r="AA1304" s="58"/>
      <c r="AB1304" s="58"/>
      <c r="AC1304" s="58"/>
      <c r="AD1304" s="58"/>
    </row>
    <row r="1305" spans="25:30" ht="54.75" customHeight="1">
      <c r="Y1305" s="58"/>
      <c r="Z1305" s="58"/>
      <c r="AA1305" s="58"/>
      <c r="AB1305" s="58"/>
      <c r="AC1305" s="58"/>
      <c r="AD1305" s="58"/>
    </row>
    <row r="1306" spans="25:30" ht="54.75" customHeight="1">
      <c r="Y1306" s="58"/>
      <c r="Z1306" s="58"/>
      <c r="AA1306" s="58"/>
      <c r="AB1306" s="58"/>
      <c r="AC1306" s="58"/>
      <c r="AD1306" s="58"/>
    </row>
    <row r="1307" spans="25:30" ht="54.75" customHeight="1">
      <c r="Y1307" s="58"/>
      <c r="Z1307" s="58"/>
      <c r="AA1307" s="58"/>
      <c r="AB1307" s="58"/>
      <c r="AC1307" s="58"/>
      <c r="AD1307" s="58"/>
    </row>
    <row r="1308" spans="25:30" ht="54.75" customHeight="1">
      <c r="Y1308" s="58"/>
      <c r="Z1308" s="58"/>
      <c r="AA1308" s="58"/>
      <c r="AB1308" s="58"/>
      <c r="AC1308" s="58"/>
      <c r="AD1308" s="58"/>
    </row>
    <row r="1309" spans="25:30" ht="54.75" customHeight="1">
      <c r="Y1309" s="58"/>
      <c r="Z1309" s="58"/>
      <c r="AA1309" s="58"/>
      <c r="AB1309" s="58"/>
      <c r="AC1309" s="58"/>
      <c r="AD1309" s="58"/>
    </row>
    <row r="1310" spans="25:30" ht="54.75" customHeight="1">
      <c r="Y1310" s="58"/>
      <c r="Z1310" s="58"/>
      <c r="AA1310" s="58"/>
      <c r="AB1310" s="58"/>
      <c r="AC1310" s="58"/>
      <c r="AD1310" s="58"/>
    </row>
    <row r="1311" spans="25:30" ht="54.75" customHeight="1">
      <c r="Y1311" s="58"/>
      <c r="Z1311" s="58"/>
      <c r="AA1311" s="58"/>
      <c r="AB1311" s="58"/>
      <c r="AC1311" s="58"/>
      <c r="AD1311" s="58"/>
    </row>
    <row r="1312" spans="25:30" ht="54.75" customHeight="1">
      <c r="Y1312" s="58"/>
      <c r="Z1312" s="58"/>
      <c r="AA1312" s="58"/>
      <c r="AB1312" s="58"/>
      <c r="AC1312" s="58"/>
      <c r="AD1312" s="58"/>
    </row>
    <row r="1313" spans="25:30" ht="54.75" customHeight="1">
      <c r="Y1313" s="58"/>
      <c r="Z1313" s="58"/>
      <c r="AA1313" s="58"/>
      <c r="AB1313" s="58"/>
      <c r="AC1313" s="58"/>
      <c r="AD1313" s="58"/>
    </row>
    <row r="1314" spans="25:30" ht="54.75" customHeight="1">
      <c r="Y1314" s="58"/>
      <c r="Z1314" s="58"/>
      <c r="AA1314" s="58"/>
      <c r="AB1314" s="58"/>
      <c r="AC1314" s="58"/>
      <c r="AD1314" s="58"/>
    </row>
    <row r="1315" spans="25:30" ht="54.75" customHeight="1">
      <c r="Y1315" s="58"/>
      <c r="Z1315" s="58"/>
      <c r="AA1315" s="58"/>
      <c r="AB1315" s="58"/>
      <c r="AC1315" s="58"/>
      <c r="AD1315" s="58"/>
    </row>
    <row r="1316" spans="25:30" ht="54.75" customHeight="1">
      <c r="Y1316" s="58"/>
      <c r="Z1316" s="58"/>
      <c r="AA1316" s="58"/>
      <c r="AB1316" s="58"/>
      <c r="AC1316" s="58"/>
      <c r="AD1316" s="58"/>
    </row>
    <row r="1317" spans="25:30" ht="54.75" customHeight="1">
      <c r="Y1317" s="58"/>
      <c r="Z1317" s="58"/>
      <c r="AA1317" s="58"/>
      <c r="AB1317" s="58"/>
      <c r="AC1317" s="58"/>
      <c r="AD1317" s="58"/>
    </row>
    <row r="1318" spans="25:30" ht="54.75" customHeight="1">
      <c r="Y1318" s="58"/>
      <c r="Z1318" s="58"/>
      <c r="AA1318" s="58"/>
      <c r="AB1318" s="58"/>
      <c r="AC1318" s="58"/>
      <c r="AD1318" s="58"/>
    </row>
    <row r="1319" spans="25:30" ht="54.75" customHeight="1">
      <c r="Y1319" s="58"/>
      <c r="Z1319" s="58"/>
      <c r="AA1319" s="58"/>
      <c r="AB1319" s="58"/>
      <c r="AC1319" s="58"/>
      <c r="AD1319" s="58"/>
    </row>
    <row r="1320" spans="25:30" ht="54.75" customHeight="1">
      <c r="Y1320" s="58"/>
      <c r="Z1320" s="58"/>
      <c r="AA1320" s="58"/>
      <c r="AB1320" s="58"/>
      <c r="AC1320" s="58"/>
      <c r="AD1320" s="58"/>
    </row>
    <row r="1321" spans="25:30" ht="54.75" customHeight="1">
      <c r="Y1321" s="58"/>
      <c r="Z1321" s="58"/>
      <c r="AA1321" s="58"/>
      <c r="AB1321" s="58"/>
      <c r="AC1321" s="58"/>
      <c r="AD1321" s="58"/>
    </row>
    <row r="1322" spans="25:30" ht="54.75" customHeight="1">
      <c r="Y1322" s="58"/>
      <c r="Z1322" s="58"/>
      <c r="AA1322" s="58"/>
      <c r="AB1322" s="58"/>
      <c r="AC1322" s="58"/>
      <c r="AD1322" s="58"/>
    </row>
    <row r="1323" spans="25:30" ht="54.75" customHeight="1">
      <c r="Y1323" s="58"/>
      <c r="Z1323" s="58"/>
      <c r="AA1323" s="58"/>
      <c r="AB1323" s="58"/>
      <c r="AC1323" s="58"/>
      <c r="AD1323" s="58"/>
    </row>
    <row r="1324" spans="25:30" ht="54.75" customHeight="1">
      <c r="Y1324" s="58"/>
      <c r="Z1324" s="58"/>
      <c r="AA1324" s="58"/>
      <c r="AB1324" s="58"/>
      <c r="AC1324" s="58"/>
      <c r="AD1324" s="58"/>
    </row>
    <row r="1325" spans="25:30" ht="54.75" customHeight="1">
      <c r="Y1325" s="58"/>
      <c r="Z1325" s="58"/>
      <c r="AA1325" s="58"/>
      <c r="AB1325" s="58"/>
      <c r="AC1325" s="58"/>
      <c r="AD1325" s="58"/>
    </row>
  </sheetData>
  <sheetProtection sheet="1" objects="1" scenarios="1" formatCells="0" formatColumns="0" formatRows="0" selectLockedCells="1" sort="0" autoFilter="0"/>
  <protectedRanges>
    <protectedRange sqref="AP1:CT1 A1:AL1 A2:CT411" name="Range6"/>
    <protectedRange sqref="AK1" name="Range1_4"/>
    <protectedRange sqref="AK2:AK411" name="Range1_3"/>
    <protectedRange sqref="AJ1" name="Range1_2"/>
    <protectedRange sqref="Z1:AI1" name="Range1_1"/>
    <protectedRange sqref="E275:F411 B412:CT1048576 AL2:XFD131 AL1 AP1:XFD1 B2:AJ131 CU132:XFD1048576 E132:F271 AL132:CT411 G132:AJ411 B1:Y1 B132:D411" name="Range1"/>
    <protectedRange sqref="AM1:AO1" name="Range6_1"/>
    <protectedRange sqref="AM1:AO1" name="Range1_5"/>
  </protectedRanges>
  <phoneticPr fontId="15" type="noConversion"/>
  <conditionalFormatting sqref="J226:J1048576 J2:J193">
    <cfRule type="cellIs" dxfId="318" priority="189" operator="equal">
      <formula>0</formula>
    </cfRule>
  </conditionalFormatting>
  <conditionalFormatting sqref="P226:P1048576 P2:P132">
    <cfRule type="containsText" dxfId="317" priority="159" operator="containsText" text="Short">
      <formula>NOT(ISERROR(SEARCH("Short",P2)))</formula>
    </cfRule>
    <cfRule type="containsText" dxfId="316" priority="163" operator="containsText" text="monoasse">
      <formula>NOT(ISERROR(SEARCH("monoasse",P2)))</formula>
    </cfRule>
  </conditionalFormatting>
  <conditionalFormatting sqref="Q412:Q1048576">
    <cfRule type="duplicateValues" dxfId="315" priority="201"/>
  </conditionalFormatting>
  <conditionalFormatting sqref="S226:S1048576 S1:S132">
    <cfRule type="containsText" dxfId="314" priority="113" operator="containsText" text="SUBCO">
      <formula>NOT(ISERROR(SEARCH("SUBCO",S1)))</formula>
    </cfRule>
  </conditionalFormatting>
  <conditionalFormatting sqref="U226:U1048576 U2:U132">
    <cfRule type="containsText" dxfId="313" priority="110" operator="containsText" text="X">
      <formula>NOT(ISERROR(SEARCH("X",U2)))</formula>
    </cfRule>
  </conditionalFormatting>
  <conditionalFormatting sqref="V226:V1048576 V2:V132">
    <cfRule type="containsText" dxfId="312" priority="109" operator="containsText" text="X">
      <formula>NOT(ISERROR(SEARCH("X",V2)))</formula>
    </cfRule>
  </conditionalFormatting>
  <conditionalFormatting sqref="W226:W1048576 W1:W132">
    <cfRule type="cellIs" dxfId="311" priority="96" operator="between">
      <formula>610</formula>
      <formula>1</formula>
    </cfRule>
    <cfRule type="cellIs" dxfId="310" priority="97" operator="between">
      <formula>699</formula>
      <formula>899</formula>
    </cfRule>
  </conditionalFormatting>
  <conditionalFormatting sqref="R226:R1048576 R1:R132">
    <cfRule type="containsText" dxfId="309" priority="107" operator="containsText" text="ALLOCATA">
      <formula>NOT(ISERROR(SEARCH("ALLOCATA",R1)))</formula>
    </cfRule>
    <cfRule type="containsText" dxfId="308" priority="108" operator="containsText" text="VARIATA">
      <formula>NOT(ISERROR(SEARCH("VARIATA",R1)))</formula>
    </cfRule>
  </conditionalFormatting>
  <conditionalFormatting sqref="H226:H1048576 H2:H132">
    <cfRule type="containsText" dxfId="307" priority="183" operator="containsText" text="LFLS">
      <formula>NOT(ISERROR(SEARCH("LFLS",H2)))</formula>
    </cfRule>
  </conditionalFormatting>
  <conditionalFormatting sqref="H226:I1048576 H2:I132">
    <cfRule type="containsText" dxfId="306" priority="184" operator="containsText" text="Mezzo Chiuso">
      <formula>NOT(ISERROR(SEARCH("Mezzo Chiuso",H2)))</formula>
    </cfRule>
    <cfRule type="containsText" dxfId="305" priority="185" operator="containsText" text="Non al carico">
      <formula>NOT(ISERROR(SEARCH("Non al carico",H2)))</formula>
    </cfRule>
  </conditionalFormatting>
  <conditionalFormatting sqref="Q135 Q138 Q141 Q144 Q147 Q150 Q156 Q159 Q162 Q165 Q168 Q171 Q174 Q177 Q180 Q183 Q186 Q189 Q192 Q195 Q198 Q201 Q204 Q207 Q210 Q213 Q216 Q219 Q222 Q225 Q228 Q231 Q234 Q237 Q240 Q243 Q246 Q249 Q252 Q255 Q258 Q261 Q264 Q267 Q270 Q273 Q276 Q279 Q282 Q285 Q288 Q291 Q294 Q297 Q300 Q303 Q306 Q309 Q312 Q315 Q318 Q321 Q324 Q327 Q330 Q333 Q336 Q339 Q342 Q345 Q348 Q351 Q354 Q357 Q360 Q363 Q366 Q369 Q372 Q375 Q378 Q381 Q384 Q387 Q390 Q393 Q396 Q399 Q402 Q405 Q408 Q411:Q1048576 Q2:Q132 Q152:Q153">
    <cfRule type="containsText" dxfId="304" priority="144" operator="containsText" text="0">
      <formula>NOT(ISERROR(SEARCH("0",Q2)))</formula>
    </cfRule>
  </conditionalFormatting>
  <conditionalFormatting sqref="D226:G411 E132:G132 D2:G131">
    <cfRule type="expression" dxfId="303" priority="92">
      <formula>$CP2&lt;&gt;""</formula>
    </cfRule>
    <cfRule type="expression" dxfId="302" priority="93">
      <formula>$AU2&lt;&gt;""</formula>
    </cfRule>
    <cfRule type="expression" dxfId="301" priority="94">
      <formula>$X2&lt;&gt;""</formula>
    </cfRule>
  </conditionalFormatting>
  <conditionalFormatting sqref="K226:K410 K2:K132">
    <cfRule type="containsText" dxfId="300" priority="79" operator="containsText" text="Ricovera a IMR">
      <formula>NOT(ISERROR(SEARCH("Ricovera a IMR",K2)))</formula>
    </cfRule>
    <cfRule type="containsText" dxfId="299" priority="80" operator="containsText" text="Partenza Obbligatoria">
      <formula>NOT(ISERROR(SEARCH("Partenza Obbligatoria",K2)))</formula>
    </cfRule>
    <cfRule type="containsText" dxfId="298" priority="81" operator="containsText" text="Safe parking/Partenza obbligatoria">
      <formula>NOT(ISERROR(SEARCH("Safe parking/Partenza obbligatoria",K2)))</formula>
    </cfRule>
  </conditionalFormatting>
  <conditionalFormatting sqref="K226:K410">
    <cfRule type="expression" dxfId="297" priority="74">
      <formula>ROW()=CELL("row")</formula>
    </cfRule>
    <cfRule type="expression" dxfId="296" priority="75">
      <formula>$AX226&lt;&gt;""</formula>
    </cfRule>
    <cfRule type="expression" dxfId="295" priority="76">
      <formula>$BA226&lt;&gt;""</formula>
    </cfRule>
    <cfRule type="expression" dxfId="294" priority="77">
      <formula>$T226="POSIZIONAMENTO A VUOTO"</formula>
    </cfRule>
  </conditionalFormatting>
  <conditionalFormatting sqref="J226:J411 H226:K410 H2:K132 J22:J193">
    <cfRule type="containsText" dxfId="293" priority="78" operator="containsText" text="Safe Parking">
      <formula>NOT(ISERROR(SEARCH("Safe Parking",H2)))</formula>
    </cfRule>
  </conditionalFormatting>
  <conditionalFormatting sqref="H226:I411 H2:I132">
    <cfRule type="iconSet" priority="1306">
      <iconSet>
        <cfvo type="percent" val="0"/>
        <cfvo type="percent" val="6.9444440000000001E-3"/>
        <cfvo type="percent" val="2.0833332999999999E-2"/>
      </iconSet>
    </cfRule>
  </conditionalFormatting>
  <conditionalFormatting sqref="J133:J225">
    <cfRule type="cellIs" dxfId="292" priority="69" operator="equal">
      <formula>0</formula>
    </cfRule>
  </conditionalFormatting>
  <conditionalFormatting sqref="P133:P225">
    <cfRule type="containsText" dxfId="291" priority="24" operator="containsText" text="ALL TRASPORTI">
      <formula>NOT(ISERROR(SEARCH("ALL TRASPORTI",P133)))</formula>
    </cfRule>
    <cfRule type="containsText" dxfId="290" priority="64" operator="containsText" text="Short">
      <formula>NOT(ISERROR(SEARCH("Short",P133)))</formula>
    </cfRule>
    <cfRule type="containsText" dxfId="289" priority="65" operator="containsText" text="monoasse">
      <formula>NOT(ISERROR(SEARCH("monoasse",P133)))</formula>
    </cfRule>
  </conditionalFormatting>
  <conditionalFormatting sqref="S133:S225">
    <cfRule type="containsText" dxfId="288" priority="62" operator="containsText" text="SUBCO">
      <formula>NOT(ISERROR(SEARCH("SUBCO",S133)))</formula>
    </cfRule>
  </conditionalFormatting>
  <conditionalFormatting sqref="U133:U225">
    <cfRule type="containsText" dxfId="287" priority="59" operator="containsText" text="X">
      <formula>NOT(ISERROR(SEARCH("X",U133)))</formula>
    </cfRule>
  </conditionalFormatting>
  <conditionalFormatting sqref="V133:V225">
    <cfRule type="containsText" dxfId="286" priority="58" operator="containsText" text="X">
      <formula>NOT(ISERROR(SEARCH("X",V133)))</formula>
    </cfRule>
  </conditionalFormatting>
  <conditionalFormatting sqref="W133:W225">
    <cfRule type="cellIs" dxfId="285" priority="53" operator="between">
      <formula>610</formula>
      <formula>1</formula>
    </cfRule>
    <cfRule type="cellIs" dxfId="284" priority="54" operator="between">
      <formula>699</formula>
      <formula>899</formula>
    </cfRule>
  </conditionalFormatting>
  <conditionalFormatting sqref="R133:R225">
    <cfRule type="containsText" dxfId="283" priority="56" operator="containsText" text="ALLOCATA">
      <formula>NOT(ISERROR(SEARCH("ALLOCATA",R133)))</formula>
    </cfRule>
    <cfRule type="containsText" dxfId="282" priority="57" operator="containsText" text="VARIATA">
      <formula>NOT(ISERROR(SEARCH("VARIATA",R133)))</formula>
    </cfRule>
  </conditionalFormatting>
  <conditionalFormatting sqref="H133:H225">
    <cfRule type="containsText" dxfId="281" priority="66" operator="containsText" text="LFLS">
      <formula>NOT(ISERROR(SEARCH("LFLS",H133)))</formula>
    </cfRule>
  </conditionalFormatting>
  <conditionalFormatting sqref="H133:I225">
    <cfRule type="containsText" dxfId="280" priority="67" operator="containsText" text="Mezzo Chiuso">
      <formula>NOT(ISERROR(SEARCH("Mezzo Chiuso",H133)))</formula>
    </cfRule>
    <cfRule type="containsText" dxfId="279" priority="68" operator="containsText" text="Non al carico">
      <formula>NOT(ISERROR(SEARCH("Non al carico",H133)))</formula>
    </cfRule>
  </conditionalFormatting>
  <conditionalFormatting sqref="Q133:Q134 Q136:Q137 Q139:Q140 Q142:Q143 Q145:Q146 Q148:Q149 Q151 Q154:Q155 Q157:Q158 Q160:Q161 Q163:Q164 Q166:Q167 Q169:Q170 Q172:Q173 Q175:Q176 Q178:Q179 Q181:Q182 Q184:Q185 Q187:Q188 Q190:Q191 Q193:Q194 Q196:Q197 Q199:Q200 Q202:Q203 Q205:Q206 Q208:Q209 Q211:Q212 Q214:Q215 Q217:Q218 Q220:Q221 Q223:Q224 Q226:Q227 Q229:Q230 Q232:Q233 Q235:Q236 Q238:Q239 Q241:Q242 Q244:Q245 Q247:Q248 Q250:Q251 Q253:Q254 Q256:Q257 Q259:Q260 Q262:Q263 Q265:Q266 Q268:Q269 Q271:Q272 Q274:Q275 Q277:Q278 Q280:Q281 Q283:Q284 Q286:Q287 Q289:Q290 Q292:Q293 Q295:Q296 Q298:Q299 Q301:Q302 Q304:Q305 Q307:Q308 Q310:Q311 Q313:Q314 Q316:Q317 Q319:Q320 Q322:Q323 Q325:Q326 Q328:Q329 Q331:Q332 Q334:Q335 Q337:Q338 Q340:Q341 Q343:Q344 Q346:Q347 Q349:Q350 Q352:Q353 Q355:Q356 Q358:Q359 Q361:Q362 Q364:Q365 Q367:Q368 Q370:Q371 Q373:Q374 Q376:Q377 Q379:Q380 Q382:Q383 Q385:Q386 Q388:Q389 Q391:Q392 Q394:Q395 Q397:Q398 Q400:Q401 Q403:Q404 Q406:Q407 Q409:Q410">
    <cfRule type="containsText" dxfId="278" priority="63" operator="containsText" text="0">
      <formula>NOT(ISERROR(SEARCH("0",Q133)))</formula>
    </cfRule>
  </conditionalFormatting>
  <conditionalFormatting sqref="D133:G225">
    <cfRule type="expression" dxfId="277" priority="49">
      <formula>$CP133&lt;&gt;""</formula>
    </cfRule>
    <cfRule type="expression" dxfId="276" priority="50">
      <formula>$AU133&lt;&gt;""</formula>
    </cfRule>
    <cfRule type="expression" dxfId="275" priority="51">
      <formula>$X133&lt;&gt;""</formula>
    </cfRule>
  </conditionalFormatting>
  <conditionalFormatting sqref="L133:AJ134">
    <cfRule type="expression" dxfId="274" priority="46">
      <formula>ROW()=CELL("row")</formula>
    </cfRule>
    <cfRule type="expression" dxfId="273" priority="47">
      <formula>$AX133&lt;&gt;""</formula>
    </cfRule>
    <cfRule type="expression" dxfId="272" priority="48">
      <formula>$BA133&lt;&gt;""</formula>
    </cfRule>
    <cfRule type="expression" dxfId="271" priority="52">
      <formula>$T133="POSIZIONAMENTO A VUOTO"</formula>
    </cfRule>
  </conditionalFormatting>
  <conditionalFormatting sqref="K133:K225">
    <cfRule type="containsText" dxfId="270" priority="43" operator="containsText" text="Ricovera a IMR">
      <formula>NOT(ISERROR(SEARCH("Ricovera a IMR",K133)))</formula>
    </cfRule>
    <cfRule type="containsText" dxfId="269" priority="44" operator="containsText" text="Partenza Obbligatoria">
      <formula>NOT(ISERROR(SEARCH("Partenza Obbligatoria",K133)))</formula>
    </cfRule>
    <cfRule type="containsText" dxfId="268" priority="45" operator="containsText" text="Safe parking/Partenza obbligatoria">
      <formula>NOT(ISERROR(SEARCH("Safe parking/Partenza obbligatoria",K133)))</formula>
    </cfRule>
  </conditionalFormatting>
  <conditionalFormatting sqref="K133:K225">
    <cfRule type="expression" dxfId="267" priority="38">
      <formula>ROW()=CELL("row")</formula>
    </cfRule>
    <cfRule type="expression" dxfId="266" priority="39">
      <formula>$AX133&lt;&gt;""</formula>
    </cfRule>
    <cfRule type="expression" dxfId="265" priority="40">
      <formula>$BA133&lt;&gt;""</formula>
    </cfRule>
    <cfRule type="expression" dxfId="264" priority="41">
      <formula>$T133="POSIZIONAMENTO A VUOTO"</formula>
    </cfRule>
  </conditionalFormatting>
  <conditionalFormatting sqref="H133:K225">
    <cfRule type="containsText" dxfId="263" priority="42" operator="containsText" text="Safe Parking">
      <formula>NOT(ISERROR(SEARCH("Safe Parking",H133)))</formula>
    </cfRule>
  </conditionalFormatting>
  <conditionalFormatting sqref="Q133:Q134 Q136:Q137 Q139:Q140 Q142:Q143 Q145:Q146 Q148:Q149 Q151 Q154:Q155 Q157:Q158 Q160:Q161 Q163:Q164 Q166:Q167 Q169:Q170 Q172:Q173 Q175:Q176 Q178:Q179 Q181:Q182 Q184:Q185 Q187:Q188 Q190:Q191 Q193:Q194 Q196:Q197 Q199:Q200 Q202:Q203 Q205:Q206 Q208:Q209 Q211:Q212 Q214:Q215 Q217:Q218 Q220:Q221 Q223:Q224 Q226:Q227 Q229:Q230 Q232:Q233 Q235:Q236 Q238:Q239 Q241:Q242 Q244:Q245 Q247:Q248 Q250:Q251 Q253:Q254 Q256:Q257 Q259:Q260 Q262:Q263 Q265:Q266 Q268:Q269 Q271:Q272 Q274:Q275 Q277:Q278 Q280:Q281 Q283:Q284 Q286:Q287 Q289:Q290 Q292:Q293 Q295:Q296 Q298:Q299 Q301:Q302 Q304:Q305 Q307:Q308 Q310:Q311 Q313:Q314 Q316:Q317 Q319:Q320 Q322:Q323 Q325:Q326 Q328:Q329 Q331:Q332 Q334:Q335 Q337:Q338 Q340:Q341 Q343:Q344 Q346:Q347 Q349:Q350 Q352:Q353 Q355:Q356 Q358:Q359 Q361:Q362 Q364:Q365 Q367:Q368 Q370:Q371 Q373:Q374 Q376:Q377 Q379:Q380 Q382:Q383 Q385:Q386 Q388:Q389 Q391:Q392 Q394:Q395 Q397:Q398 Q400:Q401 Q403:Q404 Q406:Q407 Q409:Q410">
    <cfRule type="expression" dxfId="262" priority="70">
      <formula>$Q133=""</formula>
    </cfRule>
    <cfRule type="duplicateValues" dxfId="261" priority="71"/>
    <cfRule type="expression" dxfId="260" priority="72">
      <formula>$Q133&lt;&gt;""</formula>
    </cfRule>
  </conditionalFormatting>
  <conditionalFormatting sqref="H133:I225">
    <cfRule type="iconSet" priority="73">
      <iconSet>
        <cfvo type="percent" val="0"/>
        <cfvo type="percent" val="6.9444440000000001E-3"/>
        <cfvo type="percent" val="2.0833332999999999E-2"/>
      </iconSet>
    </cfRule>
  </conditionalFormatting>
  <conditionalFormatting sqref="Q135 Q138 Q141 Q144 Q147 Q150 Q156 Q159 Q162 Q165 Q168 Q171 Q174 Q177 Q180 Q183 Q186 Q189 Q192 Q195 Q198 Q201 Q204 Q207 Q210 Q213 Q216 Q219 Q222 Q225 Q228 Q231 Q234 Q237 Q240 Q243 Q246 Q249 Q252 Q255 Q258 Q261 Q264 Q267 Q270 Q273 Q276 Q279 Q282 Q285 Q288 Q291 Q294 Q297 Q300 Q303 Q306 Q309 Q312 Q315 Q318 Q321 Q324 Q327 Q330 Q333 Q336 Q339 Q342 Q345 Q348 Q351 Q354 Q357 Q360 Q363 Q366 Q369 Q372 Q375 Q378 Q381 Q384 Q387 Q390 Q393 Q396 Q399 Q402 Q405 Q408 Q411 Q2:Q132 Q152:Q153">
    <cfRule type="expression" dxfId="259" priority="1395">
      <formula>$Q2=""</formula>
    </cfRule>
    <cfRule type="duplicateValues" dxfId="258" priority="1396"/>
    <cfRule type="expression" dxfId="257" priority="1397">
      <formula>$Q2&lt;&gt;""</formula>
    </cfRule>
  </conditionalFormatting>
  <conditionalFormatting sqref="D132">
    <cfRule type="expression" dxfId="256" priority="18">
      <formula>$CP132&lt;&gt;""</formula>
    </cfRule>
    <cfRule type="expression" dxfId="255" priority="19">
      <formula>$AU132&lt;&gt;""</formula>
    </cfRule>
    <cfRule type="expression" dxfId="254" priority="20">
      <formula>$X132&lt;&gt;""</formula>
    </cfRule>
  </conditionalFormatting>
  <conditionalFormatting sqref="D132">
    <cfRule type="expression" dxfId="253" priority="15">
      <formula>ROW()=CELL("row")</formula>
    </cfRule>
    <cfRule type="expression" dxfId="252" priority="16">
      <formula>$AX132&lt;&gt;""</formula>
    </cfRule>
    <cfRule type="expression" dxfId="251" priority="17">
      <formula>$BA132&lt;&gt;""</formula>
    </cfRule>
    <cfRule type="expression" dxfId="250" priority="21">
      <formula>$T132="POSIZIONAMENTO A VUOTO"</formula>
    </cfRule>
  </conditionalFormatting>
  <conditionalFormatting sqref="I1:I1048576">
    <cfRule type="containsText" dxfId="249" priority="11" operator="containsText" text="Safe Parking">
      <formula>NOT(ISERROR(SEARCH("Safe Parking",I1)))</formula>
    </cfRule>
    <cfRule type="containsText" dxfId="248" priority="12" operator="containsText" text="Mezzo Chiuso">
      <formula>NOT(ISERROR(SEARCH("Mezzo Chiuso",I1)))</formula>
    </cfRule>
    <cfRule type="containsText" dxfId="247" priority="13" operator="containsText" text="Non al carico">
      <formula>NOT(ISERROR(SEARCH("Non al carico",I1)))</formula>
    </cfRule>
    <cfRule type="iconSet" priority="14">
      <iconSet>
        <cfvo type="percent" val="0"/>
        <cfvo type="percent" val="6.9444440000000001E-3"/>
        <cfvo type="percent" val="2.0833332999999999E-2"/>
      </iconSet>
    </cfRule>
  </conditionalFormatting>
  <conditionalFormatting sqref="C1:C1048576">
    <cfRule type="containsText" dxfId="246" priority="9" operator="containsText" text="NON TROVATO">
      <formula>NOT(ISERROR(SEARCH("NON TROVATO",C1)))</formula>
    </cfRule>
  </conditionalFormatting>
  <conditionalFormatting sqref="L135">
    <cfRule type="containsText" dxfId="245" priority="6" operator="containsText" text="Ricovera a IMR">
      <formula>NOT(ISERROR(SEARCH("Ricovera a IMR",L135)))</formula>
    </cfRule>
    <cfRule type="containsText" dxfId="244" priority="7" operator="containsText" text="Partenza Obbligatoria">
      <formula>NOT(ISERROR(SEARCH("Partenza Obbligatoria",L135)))</formula>
    </cfRule>
    <cfRule type="containsText" dxfId="243" priority="8" operator="containsText" text="Safe parking/Partenza obbligatoria">
      <formula>NOT(ISERROR(SEARCH("Safe parking/Partenza obbligatoria",L135)))</formula>
    </cfRule>
  </conditionalFormatting>
  <conditionalFormatting sqref="L135">
    <cfRule type="expression" dxfId="242" priority="1">
      <formula>ROW()=CELL("row")</formula>
    </cfRule>
    <cfRule type="expression" dxfId="241" priority="2">
      <formula>$AX135&lt;&gt;""</formula>
    </cfRule>
    <cfRule type="expression" dxfId="240" priority="3">
      <formula>$BA135&lt;&gt;""</formula>
    </cfRule>
    <cfRule type="expression" dxfId="239" priority="4">
      <formula>$T135="POSIZIONAMENTO A VUOTO"</formula>
    </cfRule>
  </conditionalFormatting>
  <conditionalFormatting sqref="L135">
    <cfRule type="containsText" dxfId="238" priority="5" operator="containsText" text="Safe Parking">
      <formula>NOT(ISERROR(SEARCH("Safe Parking",L135)))</formula>
    </cfRule>
  </conditionalFormatting>
  <pageMargins left="0.7" right="0.7" top="0.75" bottom="0.75" header="0.3" footer="0.3"/>
  <pageSetup paperSize="9" orientation="portrait" r:id="rId1"/>
  <headerFooter>
    <oddHeader>&amp;L&amp;"Calibri"&amp;10&amp;K000000 FedEx Classification: Public&amp;1#_x000D_</oddHeader>
  </headerFooter>
  <legacy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8E9C720-B5B4-44F5-BF53-48F57278F280}">
          <x14:formula1>
            <xm:f>'INformazioni per calcoli'!$Y$36:$Y$55</xm:f>
          </x14:formula1>
          <xm:sqref>AY305:AY411</xm:sqref>
        </x14:dataValidation>
        <x14:dataValidation type="list" allowBlank="1" showInputMessage="1" showErrorMessage="1" xr:uid="{2CC5C38B-2C5E-4974-889C-0FA1E99A2708}">
          <x14:formula1>
            <xm:f>'INformazioni per calcoli'!$Y$26:$Y$28</xm:f>
          </x14:formula1>
          <xm:sqref>R2:R411</xm:sqref>
        </x14:dataValidation>
        <x14:dataValidation type="list" allowBlank="1" showInputMessage="1" showErrorMessage="1" xr:uid="{309A91D4-951B-46BA-BCB2-66EAFBA9125E}">
          <x14:formula1>
            <xm:f>'INformazioni per calcoli'!$Y$59:$Y$62</xm:f>
          </x14:formula1>
          <xm:sqref>AV2:AV411</xm:sqref>
        </x14:dataValidation>
        <x14:dataValidation type="list" allowBlank="1" showInputMessage="1" showErrorMessage="1" xr:uid="{6B1813CE-F569-4340-ADCF-511B07FD5E0D}">
          <x14:formula1>
            <xm:f>'INformazioni per calcoli'!$J$25:$J$34</xm:f>
          </x14:formula1>
          <xm:sqref>AD2:AD411 AG2:AG411 AA2:AA411</xm:sqref>
        </x14:dataValidation>
        <x14:dataValidation type="list" allowBlank="1" showInputMessage="1" showErrorMessage="1" xr:uid="{C5C7A3A1-2F06-485B-BFD5-4FB4FE05AF32}">
          <x14:formula1>
            <xm:f>'INformazioni per calcoli'!$Y$70:$Y$78</xm:f>
          </x14:formula1>
          <xm:sqref>BB2:BB411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67A3A-A6ED-4A17-8F66-CDE9678A9482}">
  <sheetPr codeName="Foglio3"/>
  <dimension ref="A1:J1048571"/>
  <sheetViews>
    <sheetView zoomScale="80" zoomScaleNormal="80" workbookViewId="0">
      <selection activeCell="D6" sqref="D6"/>
    </sheetView>
  </sheetViews>
  <sheetFormatPr defaultRowHeight="15"/>
  <cols>
    <col min="1" max="1" width="15.5703125" style="6" bestFit="1" customWidth="1"/>
    <col min="2" max="2" width="19.5703125" style="2" customWidth="1"/>
    <col min="3" max="3" width="34.85546875" bestFit="1" customWidth="1"/>
    <col min="4" max="4" width="17.42578125" style="9" customWidth="1"/>
    <col min="5" max="5" width="41.5703125" customWidth="1"/>
    <col min="6" max="6" width="48.5703125" style="9" customWidth="1"/>
  </cols>
  <sheetData>
    <row r="1" spans="1:6" s="3" customFormat="1" ht="45.75" customHeight="1">
      <c r="A1" s="7" t="s">
        <v>1265</v>
      </c>
      <c r="B1" s="1" t="s">
        <v>1266</v>
      </c>
      <c r="C1" s="22" t="s">
        <v>1267</v>
      </c>
      <c r="D1" s="11" t="s">
        <v>1268</v>
      </c>
      <c r="E1" s="11" t="s">
        <v>1269</v>
      </c>
      <c r="F1" s="21" t="s">
        <v>1270</v>
      </c>
    </row>
    <row r="2" spans="1:6">
      <c r="A2" s="12">
        <v>0.52083333333333337</v>
      </c>
      <c r="B2" s="425">
        <v>46213</v>
      </c>
      <c r="C2" s="13" t="s">
        <v>1271</v>
      </c>
      <c r="D2" s="14"/>
      <c r="E2" s="16" t="s">
        <v>1272</v>
      </c>
      <c r="F2" s="14" t="s">
        <v>1212</v>
      </c>
    </row>
    <row r="3" spans="1:6">
      <c r="A3" s="17">
        <v>0.52222222222222225</v>
      </c>
      <c r="B3" s="425">
        <v>46213</v>
      </c>
      <c r="C3" s="19" t="s">
        <v>1273</v>
      </c>
      <c r="D3" s="20"/>
      <c r="E3" s="15" t="s">
        <v>1274</v>
      </c>
      <c r="F3" s="20" t="s">
        <v>1212</v>
      </c>
    </row>
    <row r="4" spans="1:6">
      <c r="A4" s="17">
        <v>0.63541666666666663</v>
      </c>
      <c r="B4" s="425">
        <v>46213</v>
      </c>
      <c r="C4" s="19" t="s">
        <v>1275</v>
      </c>
      <c r="D4" s="20" t="s">
        <v>1276</v>
      </c>
      <c r="E4" s="15" t="s">
        <v>1277</v>
      </c>
      <c r="F4" s="20" t="s">
        <v>1212</v>
      </c>
    </row>
    <row r="5" spans="1:6">
      <c r="A5" s="17">
        <v>0.66666666666666663</v>
      </c>
      <c r="B5" s="425">
        <v>46213</v>
      </c>
      <c r="C5" s="19" t="s">
        <v>1278</v>
      </c>
      <c r="D5" s="20" t="s">
        <v>1279</v>
      </c>
      <c r="E5" s="15" t="s">
        <v>1280</v>
      </c>
      <c r="F5" s="20" t="s">
        <v>1212</v>
      </c>
    </row>
    <row r="6" spans="1:6">
      <c r="A6" s="17">
        <v>0.70625000000000004</v>
      </c>
      <c r="B6" s="425">
        <v>46213</v>
      </c>
      <c r="C6" s="19" t="s">
        <v>1281</v>
      </c>
      <c r="D6" s="20" t="s">
        <v>1282</v>
      </c>
      <c r="E6" s="15" t="s">
        <v>1283</v>
      </c>
      <c r="F6" s="20" t="s">
        <v>1212</v>
      </c>
    </row>
    <row r="7" spans="1:6">
      <c r="A7" s="17">
        <v>0.77152777777777781</v>
      </c>
      <c r="B7" s="425">
        <v>46213</v>
      </c>
      <c r="C7" s="19" t="s">
        <v>1284</v>
      </c>
      <c r="D7" s="20" t="s">
        <v>1285</v>
      </c>
      <c r="E7" s="15" t="s">
        <v>1286</v>
      </c>
      <c r="F7" s="20" t="s">
        <v>1212</v>
      </c>
    </row>
    <row r="8" spans="1:6">
      <c r="A8" s="17">
        <v>0.78125</v>
      </c>
      <c r="B8" s="425">
        <v>46213</v>
      </c>
      <c r="C8" s="19" t="s">
        <v>1287</v>
      </c>
      <c r="D8" s="20" t="s">
        <v>1288</v>
      </c>
      <c r="E8" s="15" t="s">
        <v>1289</v>
      </c>
      <c r="F8" s="20" t="s">
        <v>1212</v>
      </c>
    </row>
    <row r="9" spans="1:6">
      <c r="A9" s="17">
        <v>0.79027777777777775</v>
      </c>
      <c r="B9" s="425">
        <v>46213</v>
      </c>
      <c r="C9" s="19" t="s">
        <v>1290</v>
      </c>
      <c r="D9" s="20" t="s">
        <v>1291</v>
      </c>
      <c r="E9" s="15" t="s">
        <v>1292</v>
      </c>
      <c r="F9" s="20" t="s">
        <v>1212</v>
      </c>
    </row>
    <row r="10" spans="1:6">
      <c r="A10" s="17">
        <v>0.80138888888888893</v>
      </c>
      <c r="B10" s="425">
        <v>46213</v>
      </c>
      <c r="C10" s="19" t="s">
        <v>1284</v>
      </c>
      <c r="D10" s="20" t="s">
        <v>1293</v>
      </c>
      <c r="E10" s="15" t="s">
        <v>1294</v>
      </c>
      <c r="F10" s="20" t="s">
        <v>1212</v>
      </c>
    </row>
    <row r="11" spans="1:6">
      <c r="A11" s="17">
        <v>0.82986111111111116</v>
      </c>
      <c r="B11" s="425">
        <v>46213</v>
      </c>
      <c r="C11" s="19" t="s">
        <v>1284</v>
      </c>
      <c r="D11" s="20" t="s">
        <v>1295</v>
      </c>
      <c r="E11" s="15" t="s">
        <v>1296</v>
      </c>
      <c r="F11" s="20" t="s">
        <v>1212</v>
      </c>
    </row>
    <row r="12" spans="1:6">
      <c r="A12" s="17">
        <v>0.82847222222222228</v>
      </c>
      <c r="B12" s="425">
        <v>46213</v>
      </c>
      <c r="C12" s="19" t="s">
        <v>1284</v>
      </c>
      <c r="D12" s="20" t="s">
        <v>1297</v>
      </c>
      <c r="E12" s="15" t="s">
        <v>1298</v>
      </c>
      <c r="F12" s="20" t="s">
        <v>1212</v>
      </c>
    </row>
    <row r="13" spans="1:6">
      <c r="A13" s="17">
        <v>0.8354166666666667</v>
      </c>
      <c r="B13" s="425">
        <v>46213</v>
      </c>
      <c r="C13" s="19" t="s">
        <v>1290</v>
      </c>
      <c r="D13" s="20" t="s">
        <v>1299</v>
      </c>
      <c r="E13" s="15" t="s">
        <v>1300</v>
      </c>
      <c r="F13" s="20" t="s">
        <v>1212</v>
      </c>
    </row>
    <row r="14" spans="1:6">
      <c r="A14" s="17">
        <v>0.83819444444444446</v>
      </c>
      <c r="B14" s="425">
        <v>46213</v>
      </c>
      <c r="C14" s="19" t="s">
        <v>1290</v>
      </c>
      <c r="D14" s="20" t="s">
        <v>1301</v>
      </c>
      <c r="E14" s="15" t="s">
        <v>1302</v>
      </c>
      <c r="F14" s="20" t="s">
        <v>1212</v>
      </c>
    </row>
    <row r="15" spans="1:6">
      <c r="A15" s="17">
        <v>0.84166666666666667</v>
      </c>
      <c r="B15" s="425">
        <v>46213</v>
      </c>
      <c r="C15" s="19" t="s">
        <v>1290</v>
      </c>
      <c r="D15" s="20" t="s">
        <v>1303</v>
      </c>
      <c r="E15" s="15" t="s">
        <v>1304</v>
      </c>
      <c r="F15" s="20" t="s">
        <v>1212</v>
      </c>
    </row>
    <row r="16" spans="1:6">
      <c r="A16" s="17">
        <v>0.85069444444444442</v>
      </c>
      <c r="B16" s="425">
        <v>46213</v>
      </c>
      <c r="C16" s="19" t="s">
        <v>1305</v>
      </c>
      <c r="D16" t="s">
        <v>1306</v>
      </c>
      <c r="E16" s="15" t="s">
        <v>1307</v>
      </c>
      <c r="F16" s="20" t="s">
        <v>1212</v>
      </c>
    </row>
    <row r="17" spans="1:6">
      <c r="A17" s="17">
        <v>0.87569444444444444</v>
      </c>
      <c r="B17" s="425">
        <v>46213</v>
      </c>
      <c r="C17" s="19" t="s">
        <v>1284</v>
      </c>
      <c r="D17" s="20" t="s">
        <v>1308</v>
      </c>
      <c r="E17" s="15" t="s">
        <v>1309</v>
      </c>
      <c r="F17" s="20" t="s">
        <v>1212</v>
      </c>
    </row>
    <row r="18" spans="1:6">
      <c r="A18" s="17">
        <v>0.88124999999999998</v>
      </c>
      <c r="B18" s="425">
        <v>46213</v>
      </c>
      <c r="C18" s="19" t="s">
        <v>1310</v>
      </c>
      <c r="D18" s="20" t="s">
        <v>1311</v>
      </c>
      <c r="E18" s="15" t="s">
        <v>1312</v>
      </c>
      <c r="F18" s="20" t="s">
        <v>1212</v>
      </c>
    </row>
    <row r="19" spans="1:6">
      <c r="A19" s="17">
        <v>0.88958333333333328</v>
      </c>
      <c r="B19" s="425">
        <v>46213</v>
      </c>
      <c r="C19" s="19" t="s">
        <v>1313</v>
      </c>
      <c r="D19" s="20" t="s">
        <v>1314</v>
      </c>
      <c r="E19" s="15" t="s">
        <v>1315</v>
      </c>
      <c r="F19" s="20" t="s">
        <v>1212</v>
      </c>
    </row>
    <row r="20" spans="1:6">
      <c r="A20" s="17">
        <v>0.8979166666666667</v>
      </c>
      <c r="B20" s="425">
        <v>46213</v>
      </c>
      <c r="C20" s="19" t="s">
        <v>1290</v>
      </c>
      <c r="D20" s="20"/>
      <c r="E20" s="15" t="s">
        <v>1316</v>
      </c>
      <c r="F20" s="20" t="s">
        <v>1212</v>
      </c>
    </row>
    <row r="21" spans="1:6">
      <c r="A21" s="17">
        <v>0.90763888888888888</v>
      </c>
      <c r="B21" s="425">
        <v>46213</v>
      </c>
      <c r="C21" s="19" t="s">
        <v>1290</v>
      </c>
      <c r="D21" s="20" t="s">
        <v>1317</v>
      </c>
      <c r="E21" s="15" t="s">
        <v>1318</v>
      </c>
      <c r="F21" s="20" t="s">
        <v>1212</v>
      </c>
    </row>
    <row r="22" spans="1:6">
      <c r="A22" s="17">
        <v>0.92847222222222225</v>
      </c>
      <c r="B22" s="425">
        <v>46213</v>
      </c>
      <c r="C22" s="19" t="s">
        <v>1281</v>
      </c>
      <c r="D22" s="20" t="s">
        <v>1319</v>
      </c>
      <c r="E22" s="15" t="s">
        <v>1320</v>
      </c>
      <c r="F22" s="20" t="s">
        <v>1212</v>
      </c>
    </row>
    <row r="23" spans="1:6">
      <c r="A23" s="17">
        <v>0.9555555555555556</v>
      </c>
      <c r="B23" s="425">
        <v>46213</v>
      </c>
      <c r="C23" s="19" t="s">
        <v>1290</v>
      </c>
      <c r="D23" s="20" t="s">
        <v>1321</v>
      </c>
      <c r="E23" s="15" t="s">
        <v>1322</v>
      </c>
      <c r="F23" s="20" t="s">
        <v>1212</v>
      </c>
    </row>
    <row r="24" spans="1:6">
      <c r="A24" s="17">
        <v>0.95763888888888893</v>
      </c>
      <c r="B24" s="425">
        <v>46213</v>
      </c>
      <c r="C24" s="19" t="s">
        <v>1305</v>
      </c>
      <c r="D24" s="20" t="s">
        <v>1323</v>
      </c>
      <c r="E24" s="15" t="s">
        <v>1324</v>
      </c>
      <c r="F24" s="20" t="s">
        <v>1212</v>
      </c>
    </row>
    <row r="25" spans="1:6">
      <c r="A25" s="17">
        <v>0.96319444444444446</v>
      </c>
      <c r="B25" s="425">
        <v>46213</v>
      </c>
      <c r="C25" s="19" t="s">
        <v>1325</v>
      </c>
      <c r="D25" s="20" t="s">
        <v>1326</v>
      </c>
      <c r="E25" s="15" t="s">
        <v>1327</v>
      </c>
      <c r="F25" s="20" t="s">
        <v>1212</v>
      </c>
    </row>
    <row r="26" spans="1:6">
      <c r="A26" s="17">
        <v>0.99027777777777781</v>
      </c>
      <c r="B26" s="425">
        <v>46213</v>
      </c>
      <c r="C26" s="19" t="s">
        <v>1328</v>
      </c>
      <c r="D26" s="20" t="s">
        <v>1329</v>
      </c>
      <c r="E26" s="15" t="s">
        <v>1330</v>
      </c>
      <c r="F26" s="20" t="s">
        <v>1212</v>
      </c>
    </row>
    <row r="27" spans="1:6">
      <c r="A27" s="17">
        <v>0.9916666666666667</v>
      </c>
      <c r="B27" s="425">
        <v>46213</v>
      </c>
      <c r="C27" s="19" t="s">
        <v>1284</v>
      </c>
      <c r="D27" s="20" t="s">
        <v>1331</v>
      </c>
      <c r="E27" s="15" t="s">
        <v>1332</v>
      </c>
      <c r="F27" s="20" t="s">
        <v>1212</v>
      </c>
    </row>
    <row r="28" spans="1:6">
      <c r="A28" s="17">
        <v>0.99444444444444446</v>
      </c>
      <c r="B28" s="425">
        <v>46213</v>
      </c>
      <c r="C28" s="19" t="s">
        <v>1305</v>
      </c>
      <c r="D28" s="20" t="s">
        <v>1333</v>
      </c>
      <c r="E28" s="15" t="s">
        <v>1334</v>
      </c>
      <c r="F28" s="20" t="s">
        <v>1212</v>
      </c>
    </row>
    <row r="29" spans="1:6">
      <c r="A29" s="17">
        <v>0.99861111111111112</v>
      </c>
      <c r="B29" s="425">
        <v>46213</v>
      </c>
      <c r="C29" s="19" t="s">
        <v>1284</v>
      </c>
      <c r="D29" s="20" t="s">
        <v>1293</v>
      </c>
      <c r="E29" s="15"/>
      <c r="F29" s="20" t="s">
        <v>1206</v>
      </c>
    </row>
    <row r="30" spans="1:6">
      <c r="A30" s="17">
        <v>5.4166666666666669E-2</v>
      </c>
      <c r="B30" s="425">
        <v>46213</v>
      </c>
      <c r="C30" s="19" t="s">
        <v>1335</v>
      </c>
      <c r="D30" s="20" t="s">
        <v>1336</v>
      </c>
      <c r="E30" s="15" t="s">
        <v>1337</v>
      </c>
      <c r="F30" s="20" t="s">
        <v>1206</v>
      </c>
    </row>
    <row r="31" spans="1:6">
      <c r="A31" s="17"/>
      <c r="B31" s="425">
        <v>46213</v>
      </c>
      <c r="C31" s="19"/>
      <c r="D31" s="20"/>
      <c r="E31" s="15"/>
      <c r="F31" s="20" t="s">
        <v>1206</v>
      </c>
    </row>
    <row r="32" spans="1:6">
      <c r="A32" s="17"/>
      <c r="B32" s="425">
        <v>46213</v>
      </c>
      <c r="C32" s="19"/>
      <c r="D32" s="20"/>
      <c r="E32" s="15"/>
      <c r="F32" s="20" t="s">
        <v>1206</v>
      </c>
    </row>
    <row r="33" spans="1:6">
      <c r="A33" s="17"/>
      <c r="B33" s="425">
        <v>46213</v>
      </c>
      <c r="C33" s="19"/>
      <c r="D33" s="20"/>
      <c r="E33" s="15"/>
      <c r="F33" s="20" t="s">
        <v>1206</v>
      </c>
    </row>
    <row r="34" spans="1:6">
      <c r="A34" s="17"/>
      <c r="B34" s="425">
        <v>46213</v>
      </c>
      <c r="C34" s="19"/>
      <c r="D34" s="20"/>
      <c r="E34" s="15"/>
      <c r="F34" s="20" t="s">
        <v>1206</v>
      </c>
    </row>
    <row r="35" spans="1:6">
      <c r="A35" s="17"/>
      <c r="B35" s="425">
        <v>46213</v>
      </c>
      <c r="C35" s="19"/>
      <c r="D35" s="20"/>
      <c r="E35" s="15"/>
      <c r="F35" s="20" t="s">
        <v>1206</v>
      </c>
    </row>
    <row r="36" spans="1:6">
      <c r="A36" s="17"/>
      <c r="B36" s="425">
        <v>46213</v>
      </c>
      <c r="C36" s="19"/>
      <c r="D36" s="20"/>
      <c r="E36" s="15"/>
      <c r="F36" s="20" t="s">
        <v>1206</v>
      </c>
    </row>
    <row r="37" spans="1:6">
      <c r="A37" s="17"/>
      <c r="B37" s="425">
        <v>46213</v>
      </c>
      <c r="C37" s="19"/>
      <c r="D37" s="20"/>
      <c r="E37" s="15"/>
      <c r="F37" s="20" t="s">
        <v>1206</v>
      </c>
    </row>
    <row r="38" spans="1:6">
      <c r="A38" s="17"/>
      <c r="B38" s="18"/>
      <c r="C38" s="19"/>
      <c r="D38" s="20"/>
      <c r="E38" s="15"/>
      <c r="F38" s="20" t="s">
        <v>1206</v>
      </c>
    </row>
    <row r="39" spans="1:6">
      <c r="A39" s="17"/>
      <c r="B39" s="18"/>
      <c r="C39" s="19"/>
      <c r="D39" s="20"/>
      <c r="E39" s="15"/>
      <c r="F39" s="20" t="s">
        <v>1206</v>
      </c>
    </row>
    <row r="40" spans="1:6">
      <c r="A40" s="17"/>
      <c r="B40" s="18"/>
      <c r="C40" s="19"/>
      <c r="D40" s="20"/>
      <c r="E40" s="15"/>
      <c r="F40" s="20" t="s">
        <v>1206</v>
      </c>
    </row>
    <row r="41" spans="1:6">
      <c r="A41" s="17"/>
      <c r="B41" s="18"/>
      <c r="C41" s="19"/>
      <c r="D41" s="20"/>
      <c r="E41" s="15"/>
      <c r="F41" s="20" t="s">
        <v>1206</v>
      </c>
    </row>
    <row r="42" spans="1:6">
      <c r="A42" s="17"/>
      <c r="B42" s="18"/>
      <c r="C42" s="19"/>
      <c r="D42" s="20"/>
      <c r="E42" s="15"/>
      <c r="F42" s="20" t="s">
        <v>1206</v>
      </c>
    </row>
    <row r="43" spans="1:6">
      <c r="A43" s="17"/>
      <c r="B43" s="18"/>
      <c r="C43" s="19"/>
      <c r="D43" s="20"/>
      <c r="E43" s="15"/>
      <c r="F43" s="20"/>
    </row>
    <row r="44" spans="1:6">
      <c r="A44" s="17"/>
      <c r="B44" s="30"/>
      <c r="C44" s="19"/>
      <c r="D44" s="20"/>
      <c r="E44" s="15"/>
      <c r="F44" s="20"/>
    </row>
    <row r="45" spans="1:6">
      <c r="A45" s="17"/>
      <c r="B45" s="30"/>
      <c r="C45" s="19"/>
      <c r="D45" s="20"/>
      <c r="E45" s="15"/>
      <c r="F45" s="20"/>
    </row>
    <row r="46" spans="1:6">
      <c r="A46" s="17"/>
      <c r="B46" s="30"/>
      <c r="C46" s="19"/>
      <c r="D46" s="20"/>
      <c r="E46" s="15"/>
      <c r="F46" s="20"/>
    </row>
    <row r="47" spans="1:6">
      <c r="A47" s="17"/>
      <c r="B47" s="30"/>
      <c r="C47" s="19"/>
      <c r="D47" s="20"/>
      <c r="E47" s="15"/>
      <c r="F47" s="20"/>
    </row>
    <row r="48" spans="1:6">
      <c r="A48" s="17"/>
      <c r="B48" s="30"/>
      <c r="C48" s="19"/>
      <c r="D48" s="20"/>
      <c r="E48" s="15"/>
      <c r="F48" s="20"/>
    </row>
    <row r="49" spans="1:6">
      <c r="A49" s="17"/>
      <c r="B49" s="30"/>
      <c r="C49" s="19"/>
      <c r="D49" s="20"/>
      <c r="E49" s="15"/>
      <c r="F49" s="20"/>
    </row>
    <row r="50" spans="1:6">
      <c r="A50" s="17"/>
      <c r="B50" s="30"/>
      <c r="C50" s="19"/>
      <c r="D50" s="20"/>
      <c r="E50" s="15"/>
      <c r="F50" s="20"/>
    </row>
    <row r="51" spans="1:6">
      <c r="A51" s="17"/>
      <c r="B51" s="30"/>
      <c r="C51" s="19"/>
      <c r="D51" s="20"/>
      <c r="E51" s="15"/>
      <c r="F51" s="20"/>
    </row>
    <row r="52" spans="1:6">
      <c r="A52" s="17"/>
      <c r="B52" s="30"/>
      <c r="C52" s="19"/>
      <c r="D52" s="20"/>
      <c r="E52" s="15"/>
      <c r="F52" s="20"/>
    </row>
    <row r="53" spans="1:6">
      <c r="A53" s="17"/>
      <c r="B53" s="30"/>
      <c r="C53" s="19"/>
      <c r="D53" s="20"/>
      <c r="E53" s="15"/>
      <c r="F53" s="20"/>
    </row>
    <row r="54" spans="1:6">
      <c r="A54" s="17"/>
      <c r="B54" s="30"/>
      <c r="C54" s="19"/>
      <c r="D54" s="20"/>
      <c r="E54" s="15"/>
      <c r="F54" s="20"/>
    </row>
    <row r="55" spans="1:6">
      <c r="A55" s="17"/>
      <c r="B55" s="30"/>
      <c r="C55" s="19"/>
      <c r="D55" s="20"/>
      <c r="E55" s="15"/>
      <c r="F55" s="20"/>
    </row>
    <row r="56" spans="1:6">
      <c r="A56" s="17"/>
      <c r="B56" s="30"/>
      <c r="C56" s="19"/>
      <c r="D56" s="20"/>
      <c r="E56" s="15"/>
      <c r="F56" s="20"/>
    </row>
    <row r="57" spans="1:6">
      <c r="A57" s="17"/>
      <c r="B57" s="30"/>
      <c r="C57" s="19"/>
      <c r="D57" s="20"/>
      <c r="E57" s="15"/>
      <c r="F57" s="20"/>
    </row>
    <row r="58" spans="1:6">
      <c r="A58" s="17"/>
      <c r="B58" s="30"/>
      <c r="C58" s="19"/>
      <c r="D58" s="20"/>
      <c r="E58" s="15"/>
      <c r="F58" s="20"/>
    </row>
    <row r="59" spans="1:6">
      <c r="A59" s="17"/>
      <c r="B59" s="30"/>
      <c r="C59" s="19"/>
      <c r="D59" s="20"/>
      <c r="E59" s="15"/>
      <c r="F59" s="20"/>
    </row>
    <row r="60" spans="1:6">
      <c r="A60" s="17"/>
      <c r="B60" s="30"/>
      <c r="C60" s="19"/>
      <c r="D60" s="20"/>
      <c r="E60" s="15"/>
      <c r="F60" s="20"/>
    </row>
    <row r="61" spans="1:6">
      <c r="A61" s="17"/>
      <c r="B61" s="30"/>
      <c r="C61" s="19"/>
      <c r="D61" s="20"/>
      <c r="E61" s="15"/>
      <c r="F61" s="20"/>
    </row>
    <row r="62" spans="1:6">
      <c r="A62" s="17"/>
      <c r="B62" s="30"/>
      <c r="C62" s="19"/>
      <c r="D62" s="20"/>
      <c r="E62" s="15"/>
      <c r="F62" s="20"/>
    </row>
    <row r="63" spans="1:6">
      <c r="A63" s="17"/>
      <c r="B63" s="30"/>
      <c r="C63" s="19"/>
      <c r="D63" s="20"/>
      <c r="E63" s="15"/>
      <c r="F63" s="20"/>
    </row>
    <row r="64" spans="1:6">
      <c r="A64" s="17"/>
      <c r="B64" s="30"/>
      <c r="C64" s="19"/>
      <c r="D64" s="20"/>
      <c r="E64" s="15"/>
      <c r="F64" s="20"/>
    </row>
    <row r="65" spans="1:6">
      <c r="A65" s="17"/>
      <c r="B65" s="30"/>
      <c r="C65" s="19"/>
      <c r="D65" s="20"/>
      <c r="E65" s="15"/>
      <c r="F65" s="20"/>
    </row>
    <row r="66" spans="1:6">
      <c r="A66" s="17"/>
      <c r="B66" s="30"/>
      <c r="C66" s="19"/>
      <c r="D66" s="20"/>
      <c r="E66" s="15"/>
      <c r="F66" s="20"/>
    </row>
    <row r="67" spans="1:6">
      <c r="A67" s="17"/>
      <c r="B67" s="30"/>
      <c r="C67" s="19"/>
      <c r="D67" s="20"/>
      <c r="E67" s="15"/>
      <c r="F67" s="20"/>
    </row>
    <row r="68" spans="1:6">
      <c r="A68" s="17"/>
      <c r="B68" s="30"/>
      <c r="C68" s="19"/>
      <c r="D68" s="20"/>
      <c r="E68" s="15"/>
      <c r="F68" s="20"/>
    </row>
    <row r="69" spans="1:6">
      <c r="A69" s="17"/>
      <c r="B69" s="18"/>
      <c r="C69" s="19"/>
      <c r="D69" s="20"/>
      <c r="E69" s="15"/>
      <c r="F69" s="20"/>
    </row>
    <row r="70" spans="1:6">
      <c r="A70" s="17"/>
      <c r="B70" s="30"/>
      <c r="C70" s="19"/>
      <c r="D70" s="20"/>
      <c r="E70" s="15"/>
      <c r="F70" s="20"/>
    </row>
    <row r="71" spans="1:6">
      <c r="A71" s="17"/>
      <c r="B71" s="30"/>
      <c r="C71" s="19"/>
      <c r="D71" s="20"/>
      <c r="E71" s="15"/>
      <c r="F71" s="20"/>
    </row>
    <row r="72" spans="1:6">
      <c r="A72" s="17"/>
      <c r="B72" s="18"/>
      <c r="C72" s="19"/>
      <c r="D72" s="20"/>
      <c r="E72" s="15"/>
      <c r="F72" s="20"/>
    </row>
    <row r="73" spans="1:6">
      <c r="A73" s="17"/>
      <c r="B73" s="18"/>
      <c r="C73" s="19"/>
      <c r="D73" s="20"/>
      <c r="E73" s="15"/>
      <c r="F73" s="20"/>
    </row>
    <row r="74" spans="1:6">
      <c r="A74" s="17"/>
      <c r="B74" s="18"/>
      <c r="C74" s="19"/>
      <c r="D74" s="20"/>
      <c r="E74" s="15"/>
      <c r="F74" s="20"/>
    </row>
    <row r="75" spans="1:6">
      <c r="A75" s="17"/>
      <c r="B75" s="18"/>
      <c r="C75" s="19"/>
      <c r="D75" s="20"/>
      <c r="E75" s="15"/>
      <c r="F75" s="20"/>
    </row>
    <row r="76" spans="1:6">
      <c r="A76" s="17"/>
      <c r="B76" s="18"/>
      <c r="C76" s="19"/>
      <c r="D76" s="20"/>
      <c r="E76" s="15"/>
      <c r="F76" s="20"/>
    </row>
    <row r="77" spans="1:6">
      <c r="A77" s="17"/>
      <c r="B77" s="18"/>
      <c r="C77" s="19"/>
      <c r="D77" s="20"/>
      <c r="E77" s="15"/>
      <c r="F77" s="20"/>
    </row>
    <row r="78" spans="1:6">
      <c r="A78" s="17"/>
      <c r="B78" s="30"/>
      <c r="C78" s="19"/>
      <c r="D78" s="20"/>
      <c r="E78" s="15"/>
      <c r="F78" s="20"/>
    </row>
    <row r="79" spans="1:6">
      <c r="A79" s="17"/>
      <c r="B79" s="30"/>
      <c r="C79" s="19"/>
      <c r="D79" s="20"/>
      <c r="E79" s="15"/>
      <c r="F79" s="20"/>
    </row>
    <row r="80" spans="1:6">
      <c r="A80" s="17"/>
      <c r="B80" s="18"/>
      <c r="C80" s="19"/>
      <c r="D80" s="20"/>
      <c r="E80" s="15"/>
      <c r="F80" s="20"/>
    </row>
    <row r="81" spans="1:6">
      <c r="A81" s="17"/>
      <c r="B81" s="18"/>
      <c r="C81" s="19"/>
      <c r="D81" s="20"/>
      <c r="E81" s="15"/>
      <c r="F81" s="20"/>
    </row>
    <row r="82" spans="1:6">
      <c r="A82" s="17"/>
      <c r="B82" s="30"/>
      <c r="C82" s="19"/>
      <c r="D82" s="20"/>
      <c r="E82" s="15"/>
      <c r="F82" s="20"/>
    </row>
    <row r="83" spans="1:6">
      <c r="A83" s="17"/>
      <c r="B83" s="18"/>
      <c r="C83" s="19"/>
      <c r="D83" s="20"/>
      <c r="E83" s="15"/>
      <c r="F83" s="20"/>
    </row>
    <row r="84" spans="1:6">
      <c r="A84" s="17"/>
      <c r="B84" s="30"/>
      <c r="C84" s="19"/>
      <c r="D84" s="20"/>
      <c r="E84" s="15"/>
      <c r="F84" s="20"/>
    </row>
    <row r="85" spans="1:6">
      <c r="A85" s="17"/>
      <c r="B85" s="30"/>
      <c r="C85" s="19"/>
      <c r="D85" s="20"/>
      <c r="E85" s="15"/>
      <c r="F85" s="20"/>
    </row>
    <row r="86" spans="1:6">
      <c r="A86" s="17"/>
      <c r="B86" s="30"/>
      <c r="C86" s="19"/>
      <c r="D86" s="20"/>
      <c r="E86" s="15"/>
      <c r="F86" s="20"/>
    </row>
    <row r="87" spans="1:6">
      <c r="A87" s="17"/>
      <c r="B87" s="30"/>
      <c r="C87" s="19"/>
      <c r="D87" s="20"/>
      <c r="E87" s="15"/>
      <c r="F87" s="20"/>
    </row>
    <row r="88" spans="1:6">
      <c r="A88" s="17"/>
      <c r="B88" s="30"/>
      <c r="C88" s="19"/>
      <c r="D88" s="20"/>
      <c r="E88" s="15"/>
      <c r="F88" s="20"/>
    </row>
    <row r="89" spans="1:6">
      <c r="A89" s="17"/>
      <c r="B89" s="30"/>
      <c r="C89" s="19"/>
      <c r="D89" s="20"/>
      <c r="E89" s="15"/>
      <c r="F89" s="20"/>
    </row>
    <row r="90" spans="1:6">
      <c r="A90" s="17"/>
      <c r="B90" s="30"/>
      <c r="C90" s="19"/>
      <c r="D90" s="20"/>
      <c r="E90" s="15"/>
      <c r="F90" s="20"/>
    </row>
    <row r="91" spans="1:6">
      <c r="A91" s="17"/>
      <c r="B91" s="30"/>
      <c r="C91" s="19"/>
      <c r="D91" s="20"/>
      <c r="E91" s="15"/>
      <c r="F91" s="20"/>
    </row>
    <row r="92" spans="1:6">
      <c r="A92" s="17"/>
      <c r="B92" s="30"/>
      <c r="C92" s="19"/>
      <c r="D92" s="20"/>
      <c r="E92" s="15"/>
      <c r="F92" s="20"/>
    </row>
    <row r="93" spans="1:6">
      <c r="A93" s="17"/>
      <c r="B93" s="30"/>
      <c r="C93" s="19"/>
      <c r="D93" s="20"/>
      <c r="E93" s="15"/>
      <c r="F93" s="20"/>
    </row>
    <row r="94" spans="1:6">
      <c r="A94" s="17"/>
      <c r="B94" s="30"/>
      <c r="C94" s="19"/>
      <c r="D94" s="20"/>
      <c r="E94" s="15"/>
      <c r="F94" s="20"/>
    </row>
    <row r="95" spans="1:6">
      <c r="A95" s="17"/>
      <c r="B95" s="30"/>
      <c r="C95" s="19"/>
      <c r="D95" s="20"/>
      <c r="E95" s="15"/>
      <c r="F95" s="20"/>
    </row>
    <row r="96" spans="1:6">
      <c r="A96" s="17"/>
      <c r="B96" s="30"/>
      <c r="C96" s="19"/>
      <c r="D96" s="20"/>
      <c r="E96" s="15"/>
      <c r="F96" s="20"/>
    </row>
    <row r="97" spans="1:6">
      <c r="A97" s="17"/>
      <c r="B97" s="30"/>
      <c r="C97" s="19"/>
      <c r="D97" s="20"/>
      <c r="E97" s="15"/>
      <c r="F97" s="20"/>
    </row>
    <row r="98" spans="1:6">
      <c r="A98" s="17"/>
      <c r="B98" s="30"/>
      <c r="C98" s="19"/>
      <c r="D98" s="20"/>
      <c r="E98" s="15"/>
      <c r="F98" s="20"/>
    </row>
    <row r="99" spans="1:6">
      <c r="A99" s="17"/>
      <c r="B99" s="30"/>
      <c r="C99" s="19"/>
      <c r="D99" s="20"/>
      <c r="E99" s="15"/>
      <c r="F99" s="20"/>
    </row>
    <row r="100" spans="1:6">
      <c r="A100" s="17"/>
      <c r="B100" s="30"/>
      <c r="C100" s="19"/>
      <c r="D100" s="20"/>
      <c r="E100" s="15"/>
      <c r="F100" s="20"/>
    </row>
    <row r="101" spans="1:6">
      <c r="A101" s="17"/>
      <c r="B101" s="30"/>
      <c r="C101" s="19"/>
      <c r="D101" s="20"/>
      <c r="E101" s="15"/>
      <c r="F101" s="20"/>
    </row>
    <row r="102" spans="1:6">
      <c r="A102" s="17"/>
      <c r="B102" s="30"/>
      <c r="C102" s="19"/>
      <c r="D102" s="20"/>
      <c r="E102" s="15"/>
      <c r="F102" s="20"/>
    </row>
    <row r="103" spans="1:6">
      <c r="A103" s="17"/>
      <c r="B103" s="30"/>
      <c r="C103" s="19"/>
      <c r="D103" s="20"/>
      <c r="E103" s="15"/>
      <c r="F103" s="20"/>
    </row>
    <row r="104" spans="1:6">
      <c r="A104" s="17"/>
      <c r="B104" s="30"/>
      <c r="C104" s="19"/>
      <c r="D104" s="20"/>
      <c r="E104" s="15"/>
      <c r="F104" s="20"/>
    </row>
    <row r="105" spans="1:6">
      <c r="A105" s="17"/>
      <c r="B105" s="30"/>
      <c r="C105" s="19"/>
      <c r="D105" s="20"/>
      <c r="E105" s="15"/>
      <c r="F105" s="20"/>
    </row>
    <row r="106" spans="1:6">
      <c r="A106" s="17"/>
      <c r="B106" s="30"/>
      <c r="C106" s="19"/>
      <c r="D106" s="20"/>
      <c r="E106" s="15"/>
      <c r="F106" s="20"/>
    </row>
    <row r="107" spans="1:6">
      <c r="A107" s="17"/>
      <c r="B107" s="30"/>
      <c r="C107" s="19"/>
      <c r="D107" s="20"/>
      <c r="E107" s="15"/>
      <c r="F107" s="20"/>
    </row>
    <row r="108" spans="1:6">
      <c r="A108" s="17"/>
      <c r="B108" s="30"/>
      <c r="C108" s="19"/>
      <c r="D108" s="20"/>
      <c r="E108" s="15"/>
      <c r="F108" s="20"/>
    </row>
    <row r="109" spans="1:6">
      <c r="A109" s="17"/>
      <c r="B109" s="30"/>
      <c r="C109" s="19"/>
      <c r="D109" s="20"/>
      <c r="E109" s="15"/>
      <c r="F109" s="20"/>
    </row>
    <row r="110" spans="1:6">
      <c r="A110" s="17"/>
      <c r="B110" s="30"/>
      <c r="C110" s="19"/>
      <c r="D110" s="20"/>
      <c r="E110" s="15"/>
      <c r="F110" s="20"/>
    </row>
    <row r="111" spans="1:6">
      <c r="A111" s="17"/>
      <c r="B111" s="30"/>
      <c r="C111" s="19"/>
      <c r="D111" s="20"/>
      <c r="E111" s="15"/>
      <c r="F111" s="20"/>
    </row>
    <row r="112" spans="1:6">
      <c r="A112" s="17"/>
      <c r="B112" s="30"/>
      <c r="C112" s="19"/>
      <c r="D112" s="20"/>
      <c r="E112" s="15"/>
      <c r="F112" s="20"/>
    </row>
    <row r="113" spans="1:6">
      <c r="A113" s="17"/>
      <c r="B113" s="30"/>
      <c r="C113" s="19"/>
      <c r="D113" s="20"/>
      <c r="E113" s="15"/>
      <c r="F113" s="20"/>
    </row>
    <row r="114" spans="1:6">
      <c r="A114" s="17"/>
      <c r="B114" s="30"/>
      <c r="C114" s="19"/>
      <c r="D114" s="20"/>
      <c r="E114" s="15"/>
      <c r="F114" s="20"/>
    </row>
    <row r="115" spans="1:6">
      <c r="A115" s="17"/>
      <c r="B115" s="30"/>
      <c r="C115" s="19"/>
      <c r="D115" s="20"/>
      <c r="E115" s="15"/>
      <c r="F115" s="20"/>
    </row>
    <row r="116" spans="1:6">
      <c r="A116" s="17"/>
      <c r="B116" s="30"/>
      <c r="C116" s="19"/>
      <c r="D116" s="20"/>
      <c r="E116" s="15"/>
      <c r="F116" s="20"/>
    </row>
    <row r="117" spans="1:6">
      <c r="A117" s="17"/>
      <c r="B117" s="30"/>
      <c r="C117" s="19"/>
      <c r="D117" s="20"/>
      <c r="E117" s="15"/>
      <c r="F117" s="20"/>
    </row>
    <row r="118" spans="1:6">
      <c r="A118" s="17"/>
      <c r="B118" s="30"/>
      <c r="C118" s="19"/>
      <c r="D118" s="20"/>
      <c r="E118" s="15"/>
      <c r="F118" s="20"/>
    </row>
    <row r="119" spans="1:6">
      <c r="A119" s="17"/>
      <c r="B119" s="30"/>
      <c r="C119" s="19"/>
      <c r="D119" s="20"/>
      <c r="E119" s="15"/>
      <c r="F119" s="20"/>
    </row>
    <row r="120" spans="1:6">
      <c r="A120" s="17"/>
      <c r="B120" s="30"/>
      <c r="C120" s="19"/>
      <c r="D120" s="20"/>
      <c r="E120" s="15"/>
      <c r="F120" s="20"/>
    </row>
    <row r="121" spans="1:6">
      <c r="A121" s="17"/>
      <c r="B121" s="30"/>
      <c r="C121" s="19"/>
      <c r="D121" s="20"/>
      <c r="E121" s="15"/>
      <c r="F121" s="20"/>
    </row>
    <row r="122" spans="1:6">
      <c r="A122" s="17"/>
      <c r="B122" s="30"/>
      <c r="C122" s="19"/>
      <c r="D122" s="20"/>
      <c r="E122" s="15"/>
      <c r="F122" s="20"/>
    </row>
    <row r="123" spans="1:6">
      <c r="A123" s="17"/>
      <c r="B123" s="30"/>
      <c r="C123" s="19"/>
      <c r="D123" s="20"/>
      <c r="E123" s="15"/>
      <c r="F123" s="20"/>
    </row>
    <row r="124" spans="1:6">
      <c r="A124" s="17"/>
      <c r="B124" s="30"/>
      <c r="C124" s="19"/>
      <c r="D124" s="20"/>
      <c r="E124" s="15"/>
      <c r="F124" s="20"/>
    </row>
    <row r="125" spans="1:6">
      <c r="A125" s="17"/>
      <c r="B125" s="30"/>
      <c r="C125" s="19"/>
      <c r="D125" s="20"/>
      <c r="E125" s="15"/>
      <c r="F125" s="20"/>
    </row>
    <row r="126" spans="1:6">
      <c r="A126" s="17"/>
      <c r="B126" s="30"/>
      <c r="C126" s="19"/>
      <c r="D126" s="20"/>
      <c r="E126" s="15"/>
      <c r="F126" s="20"/>
    </row>
    <row r="127" spans="1:6">
      <c r="A127" s="17"/>
      <c r="B127" s="30"/>
      <c r="C127" s="19"/>
      <c r="D127" s="20"/>
      <c r="E127" s="15"/>
      <c r="F127" s="20"/>
    </row>
    <row r="128" spans="1:6">
      <c r="A128" s="17"/>
      <c r="B128" s="30"/>
      <c r="C128" s="19"/>
      <c r="D128" s="20"/>
      <c r="E128" s="15"/>
      <c r="F128" s="20"/>
    </row>
    <row r="129" spans="1:6">
      <c r="A129" s="17"/>
      <c r="B129" s="30"/>
      <c r="C129" s="19"/>
      <c r="D129" s="20"/>
      <c r="E129" s="15"/>
      <c r="F129" s="20"/>
    </row>
    <row r="130" spans="1:6">
      <c r="A130" s="17"/>
      <c r="B130" s="30"/>
      <c r="C130" s="19"/>
      <c r="D130" s="20"/>
      <c r="E130" s="15"/>
      <c r="F130" s="20"/>
    </row>
    <row r="131" spans="1:6">
      <c r="A131" s="17"/>
      <c r="B131" s="30"/>
      <c r="C131" s="19"/>
      <c r="D131" s="20"/>
      <c r="E131" s="15"/>
      <c r="F131" s="20"/>
    </row>
    <row r="132" spans="1:6">
      <c r="A132" s="17"/>
      <c r="B132" s="18"/>
      <c r="C132" s="19"/>
      <c r="D132" s="20"/>
      <c r="E132" s="15"/>
      <c r="F132" s="20"/>
    </row>
    <row r="133" spans="1:6">
      <c r="A133" s="17"/>
      <c r="B133" s="18"/>
      <c r="C133" s="19"/>
      <c r="D133" s="20"/>
      <c r="E133" s="15"/>
      <c r="F133" s="20"/>
    </row>
    <row r="134" spans="1:6">
      <c r="A134" s="17"/>
      <c r="B134" s="18"/>
      <c r="C134" s="19"/>
      <c r="D134" s="20"/>
      <c r="E134" s="15"/>
      <c r="F134" s="20"/>
    </row>
    <row r="135" spans="1:6">
      <c r="A135" s="17"/>
      <c r="B135" s="30"/>
      <c r="C135" s="19"/>
      <c r="D135" s="20"/>
      <c r="E135" s="15"/>
      <c r="F135" s="20"/>
    </row>
    <row r="136" spans="1:6">
      <c r="A136" s="17"/>
      <c r="B136" s="18"/>
      <c r="C136" s="19"/>
      <c r="D136" s="20"/>
      <c r="E136" s="15"/>
      <c r="F136" s="20"/>
    </row>
    <row r="137" spans="1:6">
      <c r="A137" s="17"/>
      <c r="B137" s="18"/>
      <c r="C137" s="19"/>
      <c r="D137" s="20"/>
      <c r="E137" s="15"/>
      <c r="F137" s="20"/>
    </row>
    <row r="138" spans="1:6">
      <c r="A138" s="17"/>
      <c r="B138" s="30"/>
      <c r="C138" s="19"/>
      <c r="D138" s="20"/>
      <c r="E138" s="15"/>
      <c r="F138" s="20"/>
    </row>
    <row r="139" spans="1:6">
      <c r="A139" s="17"/>
      <c r="B139" s="30"/>
      <c r="C139" s="19"/>
      <c r="D139" s="20"/>
      <c r="E139" s="15"/>
      <c r="F139" s="20"/>
    </row>
    <row r="140" spans="1:6">
      <c r="A140" s="17"/>
      <c r="B140" s="30"/>
      <c r="C140" s="19"/>
      <c r="D140" s="20"/>
      <c r="E140" s="15"/>
      <c r="F140" s="20"/>
    </row>
    <row r="141" spans="1:6">
      <c r="A141" s="17"/>
      <c r="B141" s="30"/>
      <c r="C141" s="19"/>
      <c r="D141" s="20"/>
      <c r="E141" s="15"/>
      <c r="F141" s="20"/>
    </row>
    <row r="142" spans="1:6">
      <c r="A142" s="17"/>
      <c r="B142" s="18"/>
      <c r="C142" s="19"/>
      <c r="D142" s="20"/>
      <c r="E142" s="15"/>
      <c r="F142" s="20"/>
    </row>
    <row r="143" spans="1:6">
      <c r="A143" s="17"/>
      <c r="B143" s="18"/>
      <c r="C143" s="19"/>
      <c r="D143" s="20"/>
      <c r="E143" s="15"/>
      <c r="F143" s="20"/>
    </row>
    <row r="144" spans="1:6">
      <c r="A144" s="17"/>
      <c r="B144" s="18"/>
      <c r="C144" s="19"/>
      <c r="D144" s="20"/>
      <c r="E144" s="15"/>
      <c r="F144" s="20"/>
    </row>
    <row r="145" spans="1:6">
      <c r="A145" s="17"/>
      <c r="B145" s="18"/>
      <c r="C145" s="19"/>
      <c r="D145" s="20"/>
      <c r="E145" s="15"/>
      <c r="F145" s="20"/>
    </row>
    <row r="146" spans="1:6">
      <c r="A146" s="17"/>
      <c r="B146" s="18"/>
      <c r="C146" s="19"/>
      <c r="D146" s="20"/>
      <c r="E146" s="15"/>
      <c r="F146" s="20"/>
    </row>
    <row r="147" spans="1:6">
      <c r="A147" s="17"/>
      <c r="B147" s="18"/>
      <c r="C147" s="19"/>
      <c r="D147" s="20"/>
      <c r="E147" s="15"/>
      <c r="F147" s="20"/>
    </row>
    <row r="148" spans="1:6">
      <c r="A148" s="17"/>
      <c r="B148" s="18"/>
      <c r="C148" s="19"/>
      <c r="D148" s="20"/>
      <c r="E148" s="15"/>
      <c r="F148" s="20"/>
    </row>
    <row r="149" spans="1:6">
      <c r="A149" s="17"/>
      <c r="B149" s="18"/>
      <c r="C149" s="19"/>
      <c r="D149" s="20"/>
      <c r="E149" s="15"/>
      <c r="F149" s="20"/>
    </row>
    <row r="150" spans="1:6">
      <c r="A150" s="17"/>
      <c r="B150" s="18"/>
      <c r="C150" s="19"/>
      <c r="D150" s="20"/>
      <c r="E150" s="15"/>
      <c r="F150" s="20"/>
    </row>
    <row r="151" spans="1:6">
      <c r="A151" s="17"/>
      <c r="B151" s="18"/>
      <c r="C151" s="19"/>
      <c r="D151" s="20"/>
      <c r="E151" s="15"/>
      <c r="F151" s="20"/>
    </row>
    <row r="152" spans="1:6">
      <c r="A152" s="17"/>
      <c r="B152" s="18"/>
      <c r="C152" s="19"/>
      <c r="D152" s="20"/>
      <c r="E152" s="15"/>
      <c r="F152" s="20"/>
    </row>
    <row r="153" spans="1:6">
      <c r="A153" s="17"/>
      <c r="B153" s="18"/>
      <c r="C153" s="19"/>
      <c r="D153" s="20"/>
      <c r="E153" s="15"/>
      <c r="F153" s="20"/>
    </row>
    <row r="154" spans="1:6">
      <c r="A154" s="17"/>
      <c r="B154" s="18"/>
      <c r="C154" s="19"/>
      <c r="D154" s="20"/>
      <c r="E154" s="15"/>
      <c r="F154" s="20"/>
    </row>
    <row r="155" spans="1:6">
      <c r="A155" s="17"/>
      <c r="B155" s="18"/>
      <c r="C155" s="19"/>
      <c r="D155" s="20"/>
      <c r="E155" s="15"/>
      <c r="F155" s="20"/>
    </row>
    <row r="156" spans="1:6">
      <c r="A156" s="17"/>
      <c r="B156" s="18"/>
      <c r="C156" s="19"/>
      <c r="D156" s="20"/>
      <c r="E156" s="15"/>
      <c r="F156" s="20"/>
    </row>
    <row r="157" spans="1:6">
      <c r="A157" s="17"/>
      <c r="B157" s="18"/>
      <c r="C157" s="19"/>
      <c r="D157" s="20"/>
      <c r="E157" s="15"/>
      <c r="F157" s="20"/>
    </row>
    <row r="158" spans="1:6">
      <c r="A158" s="17"/>
      <c r="B158" s="18"/>
      <c r="C158" s="19"/>
      <c r="D158" s="20"/>
      <c r="E158" s="15"/>
      <c r="F158" s="20"/>
    </row>
    <row r="159" spans="1:6">
      <c r="A159" s="17"/>
      <c r="B159" s="18"/>
      <c r="C159" s="19"/>
      <c r="D159" s="20"/>
      <c r="E159" s="15"/>
      <c r="F159" s="20"/>
    </row>
    <row r="160" spans="1:6">
      <c r="A160" s="17"/>
      <c r="B160" s="18"/>
      <c r="C160" s="19"/>
      <c r="D160" s="20"/>
      <c r="E160" s="15"/>
      <c r="F160" s="20"/>
    </row>
    <row r="161" spans="1:6">
      <c r="A161" s="17"/>
      <c r="B161" s="18"/>
      <c r="C161" s="19"/>
      <c r="D161" s="20"/>
      <c r="E161" s="15"/>
      <c r="F161" s="20"/>
    </row>
    <row r="162" spans="1:6">
      <c r="A162" s="17"/>
      <c r="B162" s="18"/>
      <c r="C162" s="19"/>
      <c r="D162" s="20"/>
      <c r="E162" s="15"/>
      <c r="F162" s="20"/>
    </row>
    <row r="163" spans="1:6">
      <c r="A163" s="17"/>
      <c r="B163" s="18"/>
      <c r="C163" s="19"/>
      <c r="D163" s="20"/>
      <c r="E163" s="15"/>
      <c r="F163" s="20"/>
    </row>
    <row r="164" spans="1:6">
      <c r="A164" s="17"/>
      <c r="B164" s="18"/>
      <c r="C164" s="19"/>
      <c r="D164" s="20"/>
      <c r="E164" s="15"/>
      <c r="F164" s="20"/>
    </row>
    <row r="165" spans="1:6">
      <c r="A165" s="17"/>
      <c r="B165" s="18"/>
      <c r="C165" s="19"/>
      <c r="D165" s="20"/>
      <c r="E165" s="15"/>
      <c r="F165" s="20"/>
    </row>
    <row r="166" spans="1:6">
      <c r="A166" s="17"/>
      <c r="B166" s="18"/>
      <c r="C166" s="19"/>
      <c r="D166" s="20"/>
      <c r="E166" s="15"/>
      <c r="F166" s="20"/>
    </row>
    <row r="167" spans="1:6">
      <c r="A167" s="17"/>
      <c r="B167" s="18"/>
      <c r="C167" s="19"/>
      <c r="D167" s="20"/>
      <c r="E167" s="15"/>
      <c r="F167" s="20"/>
    </row>
    <row r="168" spans="1:6">
      <c r="A168" s="17"/>
      <c r="B168" s="18"/>
      <c r="C168" s="19"/>
      <c r="D168" s="20"/>
      <c r="E168" s="15"/>
      <c r="F168" s="20"/>
    </row>
    <row r="169" spans="1:6">
      <c r="A169" s="17"/>
      <c r="B169" s="18"/>
      <c r="C169" s="19"/>
      <c r="D169" s="20"/>
      <c r="E169" s="15"/>
      <c r="F169" s="20"/>
    </row>
    <row r="170" spans="1:6">
      <c r="A170" s="17"/>
      <c r="B170" s="18"/>
      <c r="C170" s="19"/>
      <c r="D170" s="20"/>
      <c r="E170" s="15"/>
      <c r="F170" s="20"/>
    </row>
    <row r="171" spans="1:6">
      <c r="A171" s="17"/>
      <c r="B171" s="18"/>
      <c r="C171" s="19"/>
      <c r="D171" s="20"/>
      <c r="E171" s="15"/>
      <c r="F171" s="20"/>
    </row>
    <row r="172" spans="1:6">
      <c r="A172" s="17"/>
      <c r="B172" s="18"/>
      <c r="C172" s="19"/>
      <c r="D172" s="20"/>
      <c r="E172" s="15"/>
      <c r="F172" s="20"/>
    </row>
    <row r="173" spans="1:6">
      <c r="A173" s="17"/>
      <c r="B173" s="18"/>
      <c r="C173" s="19"/>
      <c r="D173" s="20"/>
      <c r="E173" s="15"/>
      <c r="F173" s="20"/>
    </row>
    <row r="174" spans="1:6">
      <c r="A174" s="17"/>
      <c r="B174" s="18"/>
      <c r="C174" s="19"/>
      <c r="D174" s="20"/>
      <c r="E174" s="15"/>
      <c r="F174" s="20"/>
    </row>
    <row r="175" spans="1:6">
      <c r="A175" s="17"/>
      <c r="B175" s="18"/>
      <c r="C175" s="19"/>
      <c r="D175" s="20"/>
      <c r="E175" s="15"/>
      <c r="F175" s="20"/>
    </row>
    <row r="176" spans="1:6">
      <c r="A176" s="17"/>
      <c r="B176" s="18"/>
      <c r="C176" s="19"/>
      <c r="D176" s="20"/>
      <c r="E176" s="15"/>
      <c r="F176" s="20"/>
    </row>
    <row r="177" spans="1:6">
      <c r="A177" s="17"/>
      <c r="B177" s="18"/>
      <c r="C177" s="19"/>
      <c r="D177" s="20"/>
      <c r="E177" s="15"/>
      <c r="F177" s="20"/>
    </row>
    <row r="178" spans="1:6">
      <c r="A178" s="17"/>
      <c r="B178" s="18"/>
      <c r="C178" s="19"/>
      <c r="D178" s="20"/>
      <c r="E178" s="15"/>
      <c r="F178" s="20"/>
    </row>
    <row r="179" spans="1:6">
      <c r="A179" s="17"/>
      <c r="B179" s="18"/>
      <c r="C179" s="19"/>
      <c r="D179" s="20"/>
      <c r="E179" s="15"/>
      <c r="F179" s="20"/>
    </row>
    <row r="180" spans="1:6">
      <c r="A180" s="17"/>
      <c r="B180" s="18"/>
      <c r="C180" s="19"/>
      <c r="D180" s="20"/>
      <c r="E180" s="15"/>
      <c r="F180" s="20"/>
    </row>
    <row r="181" spans="1:6">
      <c r="A181" s="17"/>
      <c r="B181" s="18"/>
      <c r="C181" s="19"/>
      <c r="D181" s="20"/>
      <c r="E181" s="15"/>
      <c r="F181" s="20"/>
    </row>
    <row r="182" spans="1:6">
      <c r="A182" s="17"/>
      <c r="B182" s="18"/>
      <c r="C182" s="19"/>
      <c r="D182" s="20"/>
      <c r="E182" s="15"/>
      <c r="F182" s="20"/>
    </row>
    <row r="183" spans="1:6">
      <c r="A183" s="17"/>
      <c r="B183" s="18"/>
      <c r="C183" s="19"/>
      <c r="D183" s="20"/>
      <c r="E183" s="15"/>
      <c r="F183" s="20"/>
    </row>
    <row r="184" spans="1:6">
      <c r="A184" s="17"/>
      <c r="B184" s="18"/>
      <c r="C184" s="19"/>
      <c r="D184" s="20"/>
      <c r="E184" s="15"/>
      <c r="F184" s="20"/>
    </row>
    <row r="185" spans="1:6">
      <c r="A185" s="17"/>
      <c r="B185" s="18"/>
      <c r="C185" s="19"/>
      <c r="D185" s="20"/>
      <c r="E185" s="15"/>
      <c r="F185" s="20"/>
    </row>
    <row r="186" spans="1:6">
      <c r="A186" s="17"/>
      <c r="B186" s="18"/>
      <c r="C186" s="19"/>
      <c r="D186" s="20"/>
      <c r="E186" s="15"/>
      <c r="F186" s="20"/>
    </row>
    <row r="187" spans="1:6">
      <c r="A187" s="17"/>
      <c r="B187" s="18"/>
      <c r="C187" s="19"/>
      <c r="D187" s="20"/>
      <c r="E187" s="15"/>
      <c r="F187" s="20"/>
    </row>
    <row r="188" spans="1:6">
      <c r="A188" s="17"/>
      <c r="B188" s="18"/>
      <c r="C188" s="19"/>
      <c r="D188" s="20"/>
      <c r="E188" s="15"/>
      <c r="F188" s="20"/>
    </row>
    <row r="189" spans="1:6">
      <c r="A189" s="17"/>
      <c r="B189" s="18"/>
      <c r="C189" s="19"/>
      <c r="D189" s="20"/>
      <c r="E189" s="15"/>
      <c r="F189" s="20"/>
    </row>
    <row r="190" spans="1:6">
      <c r="A190" s="17"/>
      <c r="B190" s="18"/>
      <c r="C190" s="19"/>
      <c r="D190" s="20"/>
      <c r="E190" s="15"/>
      <c r="F190" s="20"/>
    </row>
    <row r="191" spans="1:6">
      <c r="A191" s="17"/>
      <c r="B191" s="18"/>
      <c r="C191" s="19"/>
      <c r="D191" s="20"/>
      <c r="E191" s="15"/>
      <c r="F191" s="20"/>
    </row>
    <row r="192" spans="1:6">
      <c r="A192" s="17"/>
      <c r="B192" s="18"/>
      <c r="C192" s="19"/>
      <c r="D192" s="20"/>
      <c r="E192" s="15"/>
      <c r="F192" s="20"/>
    </row>
    <row r="193" spans="1:10">
      <c r="A193" s="17"/>
      <c r="B193" s="18"/>
      <c r="C193" s="19"/>
      <c r="D193" s="20"/>
      <c r="E193" s="15"/>
      <c r="F193" s="20"/>
    </row>
    <row r="194" spans="1:10">
      <c r="A194" s="17"/>
      <c r="B194" s="18"/>
      <c r="C194" s="19"/>
      <c r="D194" s="20"/>
      <c r="E194" s="15"/>
      <c r="F194" s="20"/>
    </row>
    <row r="195" spans="1:10">
      <c r="A195" s="17"/>
      <c r="B195" s="18"/>
      <c r="C195" s="19"/>
      <c r="D195" s="20"/>
      <c r="E195" s="15"/>
      <c r="F195" s="20"/>
    </row>
    <row r="196" spans="1:10">
      <c r="A196" s="17"/>
      <c r="B196" s="29"/>
      <c r="C196" s="19"/>
      <c r="D196" s="20"/>
      <c r="E196" s="19"/>
      <c r="F196" s="20"/>
    </row>
    <row r="197" spans="1:10">
      <c r="A197" s="17"/>
      <c r="B197" s="29"/>
      <c r="C197" s="19"/>
      <c r="D197" s="20"/>
      <c r="E197" s="19"/>
      <c r="F197" s="20"/>
    </row>
    <row r="198" spans="1:10">
      <c r="A198" s="17"/>
      <c r="B198" s="29"/>
      <c r="C198" s="19"/>
      <c r="D198" s="20"/>
      <c r="E198" s="19"/>
      <c r="F198" s="20"/>
    </row>
    <row r="199" spans="1:10">
      <c r="A199" s="17"/>
      <c r="B199" s="29"/>
      <c r="C199" s="19"/>
      <c r="D199" s="20"/>
      <c r="E199" s="19"/>
      <c r="F199" s="20"/>
    </row>
    <row r="200" spans="1:10">
      <c r="A200" s="17"/>
      <c r="B200" s="29"/>
      <c r="C200" s="19"/>
      <c r="D200" s="20"/>
      <c r="E200" s="19"/>
      <c r="F200" s="20"/>
    </row>
    <row r="201" spans="1:10">
      <c r="A201" s="17"/>
      <c r="B201" s="29"/>
      <c r="C201" s="19"/>
      <c r="D201" s="20"/>
      <c r="E201" s="19"/>
      <c r="F201" s="20"/>
    </row>
    <row r="202" spans="1:10">
      <c r="A202" s="17"/>
      <c r="B202" s="29"/>
      <c r="C202" s="19"/>
      <c r="D202" s="20"/>
      <c r="E202" s="19"/>
      <c r="F202" s="20"/>
    </row>
    <row r="203" spans="1:10">
      <c r="A203" s="17"/>
      <c r="B203" s="29"/>
      <c r="C203" s="19"/>
      <c r="D203" s="20"/>
      <c r="E203" s="19"/>
      <c r="F203" s="20"/>
    </row>
    <row r="204" spans="1:10" s="9" customFormat="1">
      <c r="A204" s="17"/>
      <c r="B204" s="29"/>
      <c r="C204" s="19"/>
      <c r="D204" s="20"/>
      <c r="E204" s="19"/>
      <c r="F204" s="20"/>
      <c r="G204"/>
      <c r="H204"/>
      <c r="I204"/>
      <c r="J204"/>
    </row>
    <row r="205" spans="1:10" s="9" customFormat="1">
      <c r="A205" s="17"/>
      <c r="B205" s="29"/>
      <c r="C205" s="19"/>
      <c r="D205" s="20"/>
      <c r="E205" s="19"/>
      <c r="F205" s="20"/>
      <c r="G205"/>
      <c r="H205"/>
      <c r="I205"/>
      <c r="J205"/>
    </row>
    <row r="206" spans="1:10" s="9" customFormat="1">
      <c r="A206" s="17"/>
      <c r="B206" s="29"/>
      <c r="C206" s="19"/>
      <c r="D206" s="20"/>
      <c r="E206" s="19"/>
      <c r="F206" s="20"/>
      <c r="G206"/>
      <c r="H206"/>
      <c r="I206"/>
      <c r="J206"/>
    </row>
    <row r="207" spans="1:10" s="9" customFormat="1">
      <c r="A207" s="17"/>
      <c r="B207" s="29"/>
      <c r="C207" s="19"/>
      <c r="D207" s="20"/>
      <c r="E207" s="19"/>
      <c r="F207" s="20"/>
      <c r="G207"/>
      <c r="H207"/>
      <c r="I207"/>
      <c r="J207"/>
    </row>
    <row r="208" spans="1:10" s="9" customFormat="1">
      <c r="A208" s="17"/>
      <c r="B208" s="29"/>
      <c r="C208" s="19"/>
      <c r="D208" s="20"/>
      <c r="E208" s="19"/>
      <c r="F208" s="20"/>
      <c r="G208"/>
      <c r="H208"/>
      <c r="I208"/>
      <c r="J208"/>
    </row>
    <row r="209" spans="1:10" s="9" customFormat="1">
      <c r="A209" s="17"/>
      <c r="B209" s="29"/>
      <c r="C209" s="19"/>
      <c r="D209" s="20"/>
      <c r="E209" s="19"/>
      <c r="F209" s="20"/>
      <c r="G209"/>
      <c r="H209"/>
      <c r="I209"/>
      <c r="J209"/>
    </row>
    <row r="210" spans="1:10" s="9" customFormat="1">
      <c r="A210" s="17"/>
      <c r="B210" s="29"/>
      <c r="C210" s="19"/>
      <c r="D210" s="20"/>
      <c r="E210" s="19"/>
      <c r="F210" s="20"/>
      <c r="G210"/>
      <c r="H210"/>
      <c r="I210"/>
      <c r="J210"/>
    </row>
    <row r="211" spans="1:10" s="9" customFormat="1">
      <c r="A211" s="17"/>
      <c r="B211" s="29"/>
      <c r="C211" s="19"/>
      <c r="D211" s="20"/>
      <c r="E211" s="19"/>
      <c r="F211" s="20"/>
      <c r="G211"/>
      <c r="H211"/>
      <c r="I211"/>
      <c r="J211"/>
    </row>
    <row r="212" spans="1:10" s="9" customFormat="1">
      <c r="A212" s="17"/>
      <c r="B212" s="29"/>
      <c r="C212" s="19"/>
      <c r="D212" s="20"/>
      <c r="E212" s="19"/>
      <c r="F212" s="20"/>
      <c r="G212"/>
      <c r="H212"/>
      <c r="I212"/>
      <c r="J212"/>
    </row>
    <row r="213" spans="1:10" s="9" customFormat="1">
      <c r="A213" s="17"/>
      <c r="B213" s="29"/>
      <c r="C213" s="19"/>
      <c r="D213" s="20"/>
      <c r="E213" s="19"/>
      <c r="F213" s="20"/>
      <c r="G213"/>
      <c r="H213"/>
      <c r="I213"/>
      <c r="J213"/>
    </row>
    <row r="214" spans="1:10" s="9" customFormat="1">
      <c r="A214" s="17"/>
      <c r="B214" s="29"/>
      <c r="C214" s="19"/>
      <c r="D214" s="20"/>
      <c r="E214" s="19"/>
      <c r="F214" s="20"/>
      <c r="G214"/>
      <c r="H214"/>
      <c r="I214"/>
      <c r="J214"/>
    </row>
    <row r="215" spans="1:10" s="9" customFormat="1">
      <c r="A215" s="17"/>
      <c r="B215" s="29"/>
      <c r="C215" s="19"/>
      <c r="D215" s="20"/>
      <c r="E215" s="19"/>
      <c r="F215" s="20"/>
      <c r="G215"/>
      <c r="H215"/>
      <c r="I215"/>
      <c r="J215"/>
    </row>
    <row r="216" spans="1:10">
      <c r="A216" s="17"/>
      <c r="B216" s="29"/>
      <c r="C216" s="19"/>
      <c r="D216" s="20"/>
      <c r="E216" s="19"/>
      <c r="F216" s="20"/>
    </row>
    <row r="217" spans="1:10">
      <c r="A217" s="17"/>
      <c r="B217" s="29"/>
      <c r="C217" s="19"/>
      <c r="D217" s="20"/>
      <c r="E217" s="19"/>
      <c r="F217" s="20"/>
    </row>
    <row r="218" spans="1:10">
      <c r="A218" s="17"/>
      <c r="B218" s="29"/>
      <c r="C218" s="19"/>
      <c r="D218" s="20"/>
      <c r="E218" s="19"/>
      <c r="F218" s="20"/>
    </row>
    <row r="219" spans="1:10">
      <c r="A219" s="17"/>
      <c r="B219" s="29"/>
      <c r="C219" s="19"/>
      <c r="D219" s="20"/>
      <c r="E219" s="19"/>
      <c r="F219" s="20"/>
    </row>
    <row r="220" spans="1:10">
      <c r="A220" s="17"/>
      <c r="B220" s="29"/>
      <c r="C220" s="19"/>
      <c r="D220" s="20"/>
      <c r="E220" s="19"/>
      <c r="F220" s="20"/>
    </row>
    <row r="221" spans="1:10">
      <c r="A221" s="17"/>
      <c r="B221" s="29"/>
      <c r="C221" s="19"/>
      <c r="D221" s="20"/>
      <c r="E221" s="19"/>
      <c r="F221" s="20"/>
    </row>
    <row r="222" spans="1:10">
      <c r="A222" s="17"/>
      <c r="B222" s="29"/>
      <c r="C222" s="19"/>
      <c r="D222" s="20"/>
      <c r="E222" s="19"/>
      <c r="F222" s="20"/>
    </row>
    <row r="223" spans="1:10">
      <c r="A223" s="17"/>
      <c r="B223" s="29"/>
      <c r="C223" s="19"/>
      <c r="D223" s="20"/>
      <c r="E223" s="19"/>
      <c r="F223" s="20"/>
    </row>
    <row r="224" spans="1:10">
      <c r="A224" s="17"/>
      <c r="B224" s="29"/>
      <c r="C224" s="19"/>
      <c r="D224" s="20"/>
      <c r="E224" s="19"/>
      <c r="F224" s="20"/>
    </row>
    <row r="225" spans="1:6">
      <c r="A225" s="17"/>
      <c r="B225" s="29"/>
      <c r="C225" s="19"/>
      <c r="D225" s="20"/>
      <c r="E225" s="19"/>
      <c r="F225" s="20"/>
    </row>
    <row r="226" spans="1:6">
      <c r="A226" s="17"/>
      <c r="B226" s="29"/>
      <c r="C226" s="19"/>
      <c r="D226" s="20"/>
      <c r="E226" s="19"/>
      <c r="F226" s="20"/>
    </row>
    <row r="227" spans="1:6">
      <c r="A227" s="17"/>
      <c r="B227" s="29"/>
      <c r="C227" s="19"/>
      <c r="D227" s="20"/>
      <c r="E227" s="19"/>
      <c r="F227" s="20"/>
    </row>
    <row r="228" spans="1:6">
      <c r="A228" s="17"/>
      <c r="B228" s="29"/>
      <c r="C228" s="19"/>
      <c r="D228" s="20"/>
      <c r="E228" s="19"/>
      <c r="F228" s="20"/>
    </row>
    <row r="229" spans="1:6">
      <c r="A229" s="17"/>
      <c r="B229" s="29"/>
      <c r="C229" s="19"/>
      <c r="D229" s="20"/>
      <c r="E229" s="19"/>
      <c r="F229" s="20"/>
    </row>
    <row r="230" spans="1:6">
      <c r="A230" s="17"/>
      <c r="B230" s="29"/>
      <c r="C230" s="19"/>
      <c r="D230" s="20"/>
      <c r="E230" s="19"/>
      <c r="F230" s="20"/>
    </row>
    <row r="231" spans="1:6">
      <c r="A231" s="17"/>
      <c r="B231" s="29"/>
      <c r="C231" s="19"/>
      <c r="D231" s="20"/>
      <c r="E231" s="19"/>
      <c r="F231" s="20"/>
    </row>
    <row r="232" spans="1:6">
      <c r="A232" s="17"/>
      <c r="B232" s="29"/>
      <c r="C232" s="19"/>
      <c r="D232" s="20"/>
      <c r="E232" s="19"/>
      <c r="F232" s="20"/>
    </row>
    <row r="233" spans="1:6">
      <c r="A233" s="17"/>
      <c r="B233" s="29"/>
      <c r="C233" s="19"/>
      <c r="D233" s="20"/>
      <c r="E233" s="19"/>
      <c r="F233" s="20"/>
    </row>
    <row r="234" spans="1:6">
      <c r="A234" s="17"/>
      <c r="B234" s="29"/>
      <c r="C234" s="19"/>
      <c r="D234" s="20"/>
      <c r="E234" s="19"/>
      <c r="F234" s="20"/>
    </row>
    <row r="235" spans="1:6">
      <c r="A235" s="17"/>
      <c r="B235" s="29"/>
      <c r="C235" s="19"/>
      <c r="D235" s="20"/>
      <c r="E235" s="19"/>
      <c r="F235" s="20"/>
    </row>
    <row r="236" spans="1:6">
      <c r="A236" s="17"/>
      <c r="B236" s="29"/>
      <c r="C236" s="19"/>
      <c r="D236" s="20"/>
      <c r="E236" s="19"/>
      <c r="F236" s="20"/>
    </row>
    <row r="237" spans="1:6">
      <c r="A237" s="17"/>
      <c r="B237" s="29"/>
      <c r="C237" s="19"/>
      <c r="D237" s="20"/>
      <c r="E237" s="19"/>
      <c r="F237" s="20"/>
    </row>
    <row r="238" spans="1:6">
      <c r="A238" s="17"/>
      <c r="B238" s="29"/>
      <c r="C238" s="19"/>
      <c r="D238" s="20"/>
      <c r="E238" s="19"/>
      <c r="F238" s="20"/>
    </row>
    <row r="239" spans="1:6">
      <c r="A239" s="17"/>
      <c r="B239" s="29"/>
      <c r="C239" s="19"/>
      <c r="D239" s="20"/>
      <c r="E239" s="19"/>
      <c r="F239" s="20"/>
    </row>
    <row r="240" spans="1:6">
      <c r="A240" s="17"/>
      <c r="B240" s="29"/>
      <c r="C240" s="19"/>
      <c r="D240" s="20"/>
      <c r="E240" s="19"/>
      <c r="F240" s="20"/>
    </row>
    <row r="241" spans="1:6">
      <c r="A241" s="17"/>
      <c r="B241" s="29"/>
      <c r="C241" s="19"/>
      <c r="D241" s="20"/>
      <c r="E241" s="19"/>
      <c r="F241" s="20"/>
    </row>
    <row r="242" spans="1:6">
      <c r="A242" s="17"/>
      <c r="B242" s="29"/>
      <c r="C242" s="19"/>
      <c r="D242" s="20"/>
      <c r="E242" s="19"/>
      <c r="F242" s="20"/>
    </row>
    <row r="243" spans="1:6">
      <c r="A243" s="17"/>
      <c r="B243" s="29"/>
      <c r="C243" s="19"/>
      <c r="D243" s="20"/>
      <c r="E243" s="19"/>
      <c r="F243" s="20"/>
    </row>
    <row r="244" spans="1:6">
      <c r="A244" s="17"/>
      <c r="B244" s="29"/>
      <c r="C244" s="19"/>
      <c r="D244" s="20"/>
      <c r="E244" s="19"/>
      <c r="F244" s="20"/>
    </row>
    <row r="245" spans="1:6">
      <c r="A245" s="17"/>
      <c r="B245" s="29"/>
      <c r="C245" s="19"/>
      <c r="D245" s="20"/>
      <c r="E245" s="19"/>
      <c r="F245" s="20"/>
    </row>
    <row r="246" spans="1:6">
      <c r="A246" s="17"/>
      <c r="B246" s="29"/>
      <c r="C246" s="19"/>
      <c r="D246" s="20"/>
      <c r="E246" s="19"/>
      <c r="F246" s="20"/>
    </row>
    <row r="247" spans="1:6">
      <c r="A247" s="17"/>
      <c r="B247" s="29"/>
      <c r="C247" s="19"/>
      <c r="D247" s="20"/>
      <c r="E247" s="19"/>
      <c r="F247" s="20"/>
    </row>
    <row r="248" spans="1:6">
      <c r="A248" s="17"/>
      <c r="B248" s="29"/>
      <c r="C248" s="19"/>
      <c r="D248" s="20"/>
      <c r="E248" s="19"/>
      <c r="F248" s="20"/>
    </row>
    <row r="249" spans="1:6">
      <c r="A249" s="17"/>
      <c r="B249" s="29"/>
      <c r="C249" s="19"/>
      <c r="D249" s="20"/>
      <c r="E249" s="19"/>
      <c r="F249" s="20"/>
    </row>
    <row r="250" spans="1:6">
      <c r="A250" s="17"/>
      <c r="B250" s="29"/>
      <c r="C250" s="19"/>
      <c r="D250" s="20"/>
      <c r="E250" s="19"/>
      <c r="F250" s="20"/>
    </row>
    <row r="251" spans="1:6">
      <c r="A251" s="17"/>
      <c r="B251" s="29"/>
      <c r="C251" s="19"/>
      <c r="D251" s="20"/>
      <c r="E251" s="19"/>
      <c r="F251" s="20"/>
    </row>
    <row r="252" spans="1:6">
      <c r="A252" s="17"/>
      <c r="B252" s="29"/>
      <c r="C252" s="19"/>
      <c r="D252" s="20"/>
      <c r="E252" s="19"/>
      <c r="F252" s="20"/>
    </row>
    <row r="253" spans="1:6">
      <c r="A253" s="17"/>
      <c r="B253" s="29"/>
      <c r="C253" s="19"/>
      <c r="D253" s="20"/>
      <c r="E253" s="19"/>
      <c r="F253" s="20"/>
    </row>
    <row r="254" spans="1:6">
      <c r="A254" s="17"/>
      <c r="B254" s="29"/>
      <c r="C254" s="19"/>
      <c r="D254" s="20"/>
      <c r="E254" s="19"/>
      <c r="F254" s="20"/>
    </row>
    <row r="255" spans="1:6">
      <c r="A255" s="17"/>
      <c r="B255" s="29"/>
      <c r="C255" s="19"/>
      <c r="D255" s="20"/>
      <c r="E255" s="19"/>
      <c r="F255" s="20"/>
    </row>
    <row r="256" spans="1:6">
      <c r="A256" s="17"/>
      <c r="B256" s="29"/>
      <c r="C256" s="19"/>
      <c r="D256" s="20"/>
      <c r="E256" s="19"/>
      <c r="F256" s="20"/>
    </row>
    <row r="257" spans="1:6">
      <c r="A257" s="17"/>
      <c r="B257" s="29"/>
      <c r="C257" s="19"/>
      <c r="D257" s="20"/>
      <c r="E257" s="19"/>
      <c r="F257" s="20"/>
    </row>
    <row r="258" spans="1:6">
      <c r="A258" s="17"/>
      <c r="B258" s="29"/>
      <c r="C258" s="19"/>
      <c r="D258" s="20"/>
      <c r="E258" s="19"/>
      <c r="F258" s="20"/>
    </row>
    <row r="259" spans="1:6">
      <c r="A259" s="17"/>
      <c r="B259" s="29"/>
      <c r="C259" s="19"/>
      <c r="D259" s="20"/>
      <c r="E259" s="19"/>
      <c r="F259" s="20"/>
    </row>
    <row r="260" spans="1:6">
      <c r="A260" s="17"/>
      <c r="B260" s="29"/>
      <c r="C260" s="19"/>
      <c r="D260" s="20"/>
      <c r="E260" s="19"/>
      <c r="F260" s="20"/>
    </row>
    <row r="261" spans="1:6">
      <c r="A261" s="17"/>
      <c r="B261" s="29"/>
      <c r="C261" s="19"/>
      <c r="D261" s="20"/>
      <c r="E261" s="19"/>
      <c r="F261" s="20"/>
    </row>
    <row r="262" spans="1:6">
      <c r="A262" s="17"/>
      <c r="B262" s="29"/>
      <c r="C262" s="19"/>
      <c r="D262" s="20"/>
      <c r="E262" s="19"/>
      <c r="F262" s="20"/>
    </row>
    <row r="263" spans="1:6">
      <c r="A263" s="17"/>
      <c r="B263" s="29"/>
      <c r="C263" s="19"/>
      <c r="D263" s="20"/>
      <c r="E263" s="19"/>
      <c r="F263" s="20"/>
    </row>
    <row r="264" spans="1:6">
      <c r="A264" s="17"/>
      <c r="B264" s="29"/>
      <c r="C264" s="19"/>
      <c r="D264" s="20"/>
      <c r="E264" s="19"/>
      <c r="F264" s="20"/>
    </row>
    <row r="265" spans="1:6">
      <c r="A265" s="17"/>
      <c r="B265" s="29"/>
      <c r="C265" s="19"/>
      <c r="D265" s="20"/>
      <c r="E265" s="19"/>
      <c r="F265" s="20"/>
    </row>
    <row r="266" spans="1:6">
      <c r="A266" s="17"/>
      <c r="B266" s="29"/>
      <c r="C266" s="19"/>
      <c r="D266" s="20"/>
      <c r="E266" s="19"/>
      <c r="F266" s="20"/>
    </row>
    <row r="267" spans="1:6">
      <c r="A267" s="17"/>
      <c r="B267" s="29"/>
      <c r="C267" s="19"/>
      <c r="D267" s="20"/>
      <c r="E267" s="19"/>
      <c r="F267" s="20"/>
    </row>
    <row r="268" spans="1:6">
      <c r="A268" s="17"/>
      <c r="B268" s="29"/>
      <c r="C268" s="19"/>
      <c r="D268" s="20"/>
      <c r="E268" s="19"/>
      <c r="F268" s="20"/>
    </row>
    <row r="269" spans="1:6">
      <c r="A269" s="17"/>
      <c r="B269" s="29"/>
      <c r="C269" s="19"/>
      <c r="D269" s="20"/>
      <c r="E269" s="19"/>
      <c r="F269" s="20"/>
    </row>
    <row r="270" spans="1:6">
      <c r="A270" s="17"/>
      <c r="B270" s="29"/>
      <c r="C270" s="19"/>
      <c r="D270" s="20"/>
      <c r="E270" s="19"/>
      <c r="F270" s="20"/>
    </row>
    <row r="271" spans="1:6">
      <c r="A271" s="17"/>
      <c r="B271" s="29"/>
      <c r="C271" s="19"/>
      <c r="D271" s="20"/>
      <c r="E271" s="19"/>
      <c r="F271" s="20"/>
    </row>
    <row r="272" spans="1:6">
      <c r="A272" s="17"/>
      <c r="B272" s="29"/>
      <c r="C272" s="19"/>
      <c r="D272" s="20"/>
      <c r="E272" s="19"/>
      <c r="F272" s="20"/>
    </row>
    <row r="273" spans="1:6">
      <c r="A273" s="17"/>
      <c r="B273" s="29"/>
      <c r="C273" s="19"/>
      <c r="D273" s="20"/>
      <c r="E273" s="19"/>
      <c r="F273" s="20"/>
    </row>
    <row r="274" spans="1:6">
      <c r="A274" s="17"/>
      <c r="B274" s="29"/>
      <c r="C274" s="19"/>
      <c r="D274" s="20"/>
      <c r="E274" s="19"/>
      <c r="F274" s="20"/>
    </row>
    <row r="275" spans="1:6">
      <c r="A275" s="17"/>
      <c r="B275" s="29"/>
      <c r="C275" s="19"/>
      <c r="D275" s="20"/>
      <c r="E275" s="19"/>
      <c r="F275" s="20"/>
    </row>
    <row r="276" spans="1:6">
      <c r="A276" s="17"/>
      <c r="B276" s="29"/>
      <c r="C276" s="19"/>
      <c r="D276" s="20"/>
      <c r="E276" s="19"/>
      <c r="F276" s="20"/>
    </row>
    <row r="277" spans="1:6">
      <c r="A277" s="17"/>
      <c r="B277" s="29"/>
      <c r="C277" s="19"/>
      <c r="D277" s="20"/>
      <c r="E277" s="19"/>
      <c r="F277" s="20"/>
    </row>
    <row r="278" spans="1:6">
      <c r="A278" s="17"/>
      <c r="B278" s="29"/>
      <c r="C278" s="19"/>
      <c r="D278" s="20"/>
      <c r="E278" s="19"/>
      <c r="F278" s="20"/>
    </row>
    <row r="279" spans="1:6">
      <c r="A279" s="17"/>
      <c r="B279" s="29"/>
      <c r="C279" s="19"/>
      <c r="D279" s="20"/>
      <c r="E279" s="19"/>
      <c r="F279" s="20"/>
    </row>
    <row r="280" spans="1:6">
      <c r="A280" s="17"/>
      <c r="B280" s="29"/>
      <c r="C280" s="19"/>
      <c r="D280" s="20"/>
      <c r="E280" s="19"/>
      <c r="F280" s="20"/>
    </row>
    <row r="281" spans="1:6">
      <c r="A281" s="17"/>
      <c r="B281" s="29"/>
      <c r="C281" s="19"/>
      <c r="D281" s="20"/>
      <c r="E281" s="19"/>
      <c r="F281" s="20"/>
    </row>
    <row r="282" spans="1:6">
      <c r="A282" s="17"/>
      <c r="B282" s="29"/>
      <c r="C282" s="19"/>
      <c r="D282" s="20"/>
      <c r="E282" s="19"/>
      <c r="F282" s="20"/>
    </row>
    <row r="283" spans="1:6">
      <c r="A283" s="17"/>
      <c r="B283" s="29"/>
      <c r="C283" s="19"/>
      <c r="D283" s="20"/>
      <c r="E283" s="19"/>
      <c r="F283" s="20"/>
    </row>
    <row r="284" spans="1:6">
      <c r="A284" s="17"/>
      <c r="B284" s="29"/>
      <c r="C284" s="19"/>
      <c r="D284" s="20"/>
      <c r="E284" s="19"/>
      <c r="F284" s="20"/>
    </row>
    <row r="285" spans="1:6">
      <c r="A285" s="17"/>
      <c r="B285" s="29"/>
      <c r="C285" s="19"/>
      <c r="D285" s="20"/>
      <c r="E285" s="19"/>
      <c r="F285" s="20"/>
    </row>
    <row r="286" spans="1:6">
      <c r="A286" s="17"/>
      <c r="B286" s="29"/>
      <c r="C286" s="19"/>
      <c r="D286" s="20"/>
      <c r="E286" s="19"/>
      <c r="F286" s="20"/>
    </row>
    <row r="287" spans="1:6">
      <c r="A287" s="17"/>
      <c r="B287" s="29"/>
      <c r="C287" s="19"/>
      <c r="D287" s="20"/>
      <c r="E287" s="19"/>
      <c r="F287" s="20"/>
    </row>
    <row r="288" spans="1:6">
      <c r="A288" s="17"/>
      <c r="B288" s="29"/>
      <c r="C288" s="19"/>
      <c r="D288" s="20"/>
      <c r="E288" s="19"/>
      <c r="F288" s="20"/>
    </row>
    <row r="289" spans="1:6">
      <c r="A289" s="17"/>
      <c r="B289" s="29"/>
      <c r="C289" s="19"/>
      <c r="D289" s="20"/>
      <c r="E289" s="19"/>
      <c r="F289" s="20"/>
    </row>
    <row r="290" spans="1:6">
      <c r="A290" s="17"/>
      <c r="B290" s="29"/>
      <c r="C290" s="19"/>
      <c r="D290" s="20"/>
      <c r="E290" s="19"/>
      <c r="F290" s="20"/>
    </row>
    <row r="291" spans="1:6">
      <c r="A291" s="17"/>
      <c r="B291" s="29"/>
      <c r="C291" s="19"/>
      <c r="D291" s="20"/>
      <c r="E291" s="19"/>
      <c r="F291" s="20"/>
    </row>
    <row r="292" spans="1:6">
      <c r="A292" s="17"/>
      <c r="B292" s="29"/>
      <c r="C292" s="19"/>
      <c r="D292" s="20"/>
      <c r="E292" s="19"/>
      <c r="F292" s="20"/>
    </row>
    <row r="293" spans="1:6">
      <c r="A293" s="17"/>
      <c r="B293" s="29"/>
      <c r="C293" s="19"/>
      <c r="D293" s="20"/>
      <c r="E293" s="19"/>
      <c r="F293" s="20"/>
    </row>
    <row r="294" spans="1:6">
      <c r="A294" s="17"/>
      <c r="B294" s="29"/>
      <c r="C294" s="19"/>
      <c r="D294" s="20"/>
      <c r="E294" s="19"/>
      <c r="F294" s="20"/>
    </row>
    <row r="295" spans="1:6">
      <c r="A295" s="17"/>
      <c r="B295" s="29"/>
      <c r="C295" s="19"/>
      <c r="D295" s="20"/>
      <c r="E295" s="19"/>
      <c r="F295" s="20"/>
    </row>
    <row r="296" spans="1:6">
      <c r="A296" s="17"/>
      <c r="B296" s="29"/>
      <c r="C296" s="19"/>
      <c r="D296" s="20"/>
      <c r="E296" s="19"/>
      <c r="F296" s="20"/>
    </row>
    <row r="297" spans="1:6">
      <c r="A297" s="17"/>
      <c r="B297" s="29"/>
      <c r="C297" s="19"/>
      <c r="D297" s="20"/>
      <c r="E297" s="19"/>
      <c r="F297" s="20"/>
    </row>
    <row r="298" spans="1:6">
      <c r="A298" s="17"/>
      <c r="B298" s="29"/>
      <c r="C298" s="19"/>
      <c r="D298" s="20"/>
      <c r="E298" s="19"/>
      <c r="F298" s="20"/>
    </row>
    <row r="299" spans="1:6">
      <c r="A299" s="17"/>
      <c r="B299" s="29"/>
      <c r="C299" s="19"/>
      <c r="D299" s="20"/>
      <c r="E299" s="19"/>
      <c r="F299" s="20"/>
    </row>
    <row r="300" spans="1:6">
      <c r="A300" s="17"/>
      <c r="B300" s="29"/>
      <c r="C300" s="19"/>
      <c r="D300" s="20"/>
      <c r="E300" s="19"/>
      <c r="F300" s="20"/>
    </row>
    <row r="301" spans="1:6">
      <c r="A301" s="17"/>
      <c r="B301" s="29"/>
      <c r="C301" s="19"/>
      <c r="D301" s="20"/>
      <c r="E301" s="19"/>
      <c r="F301" s="20"/>
    </row>
    <row r="302" spans="1:6">
      <c r="A302" s="17"/>
      <c r="B302" s="29"/>
      <c r="C302" s="19"/>
      <c r="D302" s="20"/>
      <c r="E302" s="19"/>
      <c r="F302" s="20"/>
    </row>
    <row r="303" spans="1:6">
      <c r="A303" s="17"/>
      <c r="B303" s="29"/>
      <c r="C303" s="19"/>
      <c r="D303" s="20"/>
      <c r="E303" s="19"/>
      <c r="F303" s="20"/>
    </row>
    <row r="304" spans="1:6">
      <c r="A304" s="17"/>
      <c r="B304" s="29"/>
      <c r="C304" s="19"/>
      <c r="D304" s="20"/>
      <c r="E304" s="19"/>
      <c r="F304" s="20"/>
    </row>
    <row r="305" spans="1:6">
      <c r="A305" s="17"/>
      <c r="B305" s="29"/>
      <c r="C305" s="19"/>
      <c r="D305" s="20"/>
      <c r="E305" s="19"/>
      <c r="F305" s="20"/>
    </row>
    <row r="1048571" spans="2:2">
      <c r="B1048571" s="30"/>
    </row>
  </sheetData>
  <autoFilter ref="A1:F195" xr:uid="{DFFF9D9B-FD91-42BE-B2C0-6EE99887E43E}">
    <sortState xmlns:xlrd2="http://schemas.microsoft.com/office/spreadsheetml/2017/richdata2" ref="A2:F195">
      <sortCondition ref="E1:E195"/>
    </sortState>
  </autoFilter>
  <conditionalFormatting sqref="D2:D15 D17:D261">
    <cfRule type="cellIs" dxfId="136" priority="6" operator="greaterThan">
      <formula>0</formula>
    </cfRule>
  </conditionalFormatting>
  <pageMargins left="0.7" right="0.7" top="0.75" bottom="0.75" header="0.3" footer="0.3"/>
  <headerFooter>
    <oddHeader>&amp;L&amp;"Calibri"&amp;10&amp;K000000 FedEx Classification: Public&amp;1#_x000D_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899BA-1FF0-44C8-AEAB-E9DCAC1B3D02}">
  <sheetPr codeName="Sheet3">
    <tabColor theme="9" tint="-0.249977111117893"/>
    <pageSetUpPr fitToPage="1"/>
  </sheetPr>
  <dimension ref="A1:BO169"/>
  <sheetViews>
    <sheetView topLeftCell="M1" zoomScale="98" zoomScaleNormal="98" zoomScaleSheetLayoutView="90" workbookViewId="0">
      <pane ySplit="3" topLeftCell="A22" activePane="bottomLeft" state="frozen"/>
      <selection pane="bottomLeft" activeCell="C41" sqref="C41"/>
      <selection activeCell="E226" sqref="E226"/>
    </sheetView>
  </sheetViews>
  <sheetFormatPr defaultColWidth="9.140625" defaultRowHeight="15.75"/>
  <cols>
    <col min="1" max="1" width="7.5703125" style="207" customWidth="1"/>
    <col min="2" max="2" width="9.85546875" style="189" bestFit="1" customWidth="1"/>
    <col min="3" max="3" width="34.5703125" style="258" customWidth="1"/>
    <col min="4" max="4" width="10.28515625" style="259" customWidth="1"/>
    <col min="5" max="5" width="14" style="189" bestFit="1" customWidth="1"/>
    <col min="6" max="7" width="2.5703125" style="189" bestFit="1" customWidth="1"/>
    <col min="8" max="8" width="10.140625" style="260" bestFit="1" customWidth="1"/>
    <col min="9" max="9" width="7.42578125" style="261" bestFit="1" customWidth="1"/>
    <col min="10" max="10" width="5.85546875" style="189" bestFit="1" customWidth="1"/>
    <col min="11" max="11" width="10.5703125" style="189" hidden="1" customWidth="1"/>
    <col min="12" max="12" width="11" style="189" hidden="1" customWidth="1"/>
    <col min="13" max="13" width="6.85546875" style="262" bestFit="1" customWidth="1"/>
    <col min="14" max="14" width="3.85546875" style="263" customWidth="1"/>
    <col min="15" max="16" width="3.42578125" style="263" customWidth="1"/>
    <col min="17" max="17" width="3.42578125" style="263" bestFit="1" customWidth="1"/>
    <col min="18" max="18" width="3.42578125" style="263" customWidth="1"/>
    <col min="19" max="19" width="9.5703125" style="263" customWidth="1"/>
    <col min="20" max="20" width="12" style="263" customWidth="1"/>
    <col min="21" max="21" width="9.5703125" style="263" customWidth="1"/>
    <col min="22" max="22" width="7.28515625" style="263" customWidth="1"/>
    <col min="23" max="23" width="5.42578125" style="264" customWidth="1"/>
    <col min="24" max="24" width="5.5703125" style="264" customWidth="1"/>
    <col min="25" max="25" width="6" style="264" customWidth="1"/>
    <col min="26" max="26" width="21" style="264" customWidth="1"/>
    <col min="27" max="27" width="8.5703125" style="264" customWidth="1"/>
    <col min="28" max="28" width="18.85546875" style="264" customWidth="1"/>
    <col min="29" max="29" width="18.85546875" style="265" customWidth="1"/>
    <col min="30" max="30" width="53" style="189" hidden="1" customWidth="1"/>
    <col min="31" max="31" width="26.140625" style="189" hidden="1" customWidth="1"/>
    <col min="32" max="32" width="21.5703125" style="189" hidden="1" customWidth="1"/>
    <col min="33" max="33" width="16.140625" style="189" hidden="1" customWidth="1"/>
    <col min="34" max="34" width="11" style="189" hidden="1" customWidth="1"/>
    <col min="35" max="35" width="8.140625" style="189" hidden="1" customWidth="1"/>
    <col min="36" max="36" width="10.5703125" style="189" customWidth="1"/>
    <col min="37" max="37" width="12.5703125" style="236" bestFit="1" customWidth="1"/>
    <col min="38" max="38" width="22.140625" style="189" bestFit="1" customWidth="1"/>
    <col min="39" max="39" width="22.140625" style="189" customWidth="1"/>
    <col min="40" max="40" width="12.140625" style="189" bestFit="1" customWidth="1"/>
    <col min="41" max="41" width="9.42578125" style="189" bestFit="1" customWidth="1"/>
    <col min="42" max="42" width="11.42578125" style="189" customWidth="1"/>
    <col min="43" max="43" width="17.85546875" style="189" customWidth="1"/>
    <col min="44" max="44" width="16.140625" style="189" bestFit="1" customWidth="1"/>
    <col min="45" max="45" width="32.85546875" style="189" customWidth="1"/>
    <col min="46" max="46" width="15.5703125" style="189" customWidth="1"/>
    <col min="47" max="47" width="32" style="189" bestFit="1" customWidth="1"/>
    <col min="48" max="48" width="23.42578125" style="189" bestFit="1" customWidth="1"/>
    <col min="49" max="49" width="32" style="189" bestFit="1" customWidth="1"/>
    <col min="50" max="50" width="19.5703125" style="189" bestFit="1" customWidth="1"/>
    <col min="51" max="51" width="23.140625" style="189" bestFit="1" customWidth="1"/>
    <col min="52" max="52" width="16.42578125" style="189" bestFit="1" customWidth="1"/>
    <col min="53" max="53" width="7.42578125" style="189" bestFit="1" customWidth="1"/>
    <col min="54" max="54" width="5.5703125" style="189" bestFit="1" customWidth="1"/>
    <col min="55" max="55" width="3" style="189" customWidth="1"/>
    <col min="56" max="57" width="5.5703125" style="189" bestFit="1" customWidth="1"/>
    <col min="58" max="60" width="9.140625" style="189"/>
    <col min="61" max="61" width="9.140625" style="194"/>
    <col min="62" max="62" width="9.140625" style="195"/>
    <col min="63" max="64" width="9.140625" style="189"/>
    <col min="65" max="67" width="9.140625" style="192"/>
    <col min="68" max="16384" width="9.140625" style="189"/>
  </cols>
  <sheetData>
    <row r="1" spans="1:65" ht="15" customHeight="1">
      <c r="A1" s="492" t="s">
        <v>0</v>
      </c>
      <c r="B1" s="493"/>
      <c r="C1" s="496">
        <v>46213</v>
      </c>
      <c r="D1" s="498" t="s">
        <v>1</v>
      </c>
      <c r="E1" s="501" t="s">
        <v>2</v>
      </c>
      <c r="F1" s="504" t="s">
        <v>3</v>
      </c>
      <c r="G1" s="505"/>
      <c r="H1" s="506"/>
      <c r="I1" s="489" t="s">
        <v>4</v>
      </c>
      <c r="J1" s="510" t="s">
        <v>5</v>
      </c>
      <c r="K1" s="504" t="s">
        <v>6</v>
      </c>
      <c r="L1" s="506"/>
      <c r="M1" s="515" t="s">
        <v>7</v>
      </c>
      <c r="N1" s="518" t="s">
        <v>8</v>
      </c>
      <c r="O1" s="519"/>
      <c r="P1" s="519"/>
      <c r="Q1" s="519"/>
      <c r="R1" s="519"/>
      <c r="S1" s="519"/>
      <c r="T1" s="520"/>
      <c r="U1" s="486" t="s">
        <v>9</v>
      </c>
      <c r="V1" s="486" t="s">
        <v>1338</v>
      </c>
      <c r="W1" s="486" t="s">
        <v>11</v>
      </c>
      <c r="X1" s="486" t="s">
        <v>12</v>
      </c>
      <c r="Y1" s="486" t="s">
        <v>13</v>
      </c>
      <c r="Z1" s="529" t="s">
        <v>1339</v>
      </c>
      <c r="AA1" s="530"/>
      <c r="AB1" s="524" t="s">
        <v>14</v>
      </c>
      <c r="AC1" s="524" t="s">
        <v>1340</v>
      </c>
      <c r="AI1" s="189" t="s">
        <v>1341</v>
      </c>
      <c r="AK1" s="527">
        <v>1</v>
      </c>
      <c r="AL1" s="190">
        <v>2</v>
      </c>
      <c r="AM1" s="191">
        <v>3</v>
      </c>
      <c r="AN1" s="191">
        <v>4</v>
      </c>
      <c r="AO1" s="191">
        <v>5</v>
      </c>
      <c r="AP1" s="191">
        <v>6</v>
      </c>
      <c r="AQ1" s="191">
        <v>7</v>
      </c>
      <c r="AR1" s="191">
        <v>8</v>
      </c>
      <c r="AS1" s="191">
        <v>9</v>
      </c>
      <c r="AT1" s="191">
        <v>10</v>
      </c>
      <c r="AU1" s="191">
        <v>11</v>
      </c>
      <c r="AV1" s="191">
        <v>12</v>
      </c>
      <c r="AW1" s="191">
        <v>13</v>
      </c>
      <c r="AX1" s="191">
        <v>14</v>
      </c>
      <c r="AY1" s="191">
        <v>15</v>
      </c>
      <c r="AZ1" s="191">
        <v>16</v>
      </c>
      <c r="BA1" s="191">
        <v>17</v>
      </c>
      <c r="BB1" s="191">
        <v>18</v>
      </c>
      <c r="BC1" s="191">
        <v>19</v>
      </c>
      <c r="BD1" s="191">
        <v>20</v>
      </c>
      <c r="BE1" s="191">
        <v>21</v>
      </c>
      <c r="BF1" s="191">
        <v>22</v>
      </c>
      <c r="BG1" s="191">
        <v>23</v>
      </c>
      <c r="BH1" s="191">
        <v>24</v>
      </c>
      <c r="BI1" s="191">
        <v>25</v>
      </c>
      <c r="BJ1" s="191">
        <v>26</v>
      </c>
      <c r="BK1" s="191">
        <v>27</v>
      </c>
      <c r="BL1" s="191"/>
    </row>
    <row r="2" spans="1:65" ht="14.25" customHeight="1" thickBot="1">
      <c r="A2" s="494"/>
      <c r="B2" s="495"/>
      <c r="C2" s="497"/>
      <c r="D2" s="499"/>
      <c r="E2" s="502"/>
      <c r="F2" s="507"/>
      <c r="G2" s="508"/>
      <c r="H2" s="509"/>
      <c r="I2" s="490"/>
      <c r="J2" s="511"/>
      <c r="K2" s="513"/>
      <c r="L2" s="514"/>
      <c r="M2" s="516"/>
      <c r="N2" s="521"/>
      <c r="O2" s="522"/>
      <c r="P2" s="522"/>
      <c r="Q2" s="522"/>
      <c r="R2" s="522"/>
      <c r="S2" s="522"/>
      <c r="T2" s="523"/>
      <c r="U2" s="487"/>
      <c r="V2" s="487"/>
      <c r="W2" s="487"/>
      <c r="X2" s="487"/>
      <c r="Y2" s="487"/>
      <c r="Z2" s="531"/>
      <c r="AA2" s="532"/>
      <c r="AB2" s="525"/>
      <c r="AC2" s="525"/>
      <c r="AK2" s="528"/>
      <c r="AL2" s="193" t="s">
        <v>15</v>
      </c>
      <c r="AM2" s="193"/>
    </row>
    <row r="3" spans="1:65" s="207" customFormat="1" ht="38.25" thickTop="1" thickBot="1">
      <c r="A3" s="196" t="s">
        <v>7</v>
      </c>
      <c r="B3" s="197" t="s">
        <v>16</v>
      </c>
      <c r="C3" s="197" t="s">
        <v>17</v>
      </c>
      <c r="D3" s="500"/>
      <c r="E3" s="503"/>
      <c r="F3" s="198" t="s">
        <v>18</v>
      </c>
      <c r="G3" s="199" t="s">
        <v>17</v>
      </c>
      <c r="H3" s="200" t="s">
        <v>19</v>
      </c>
      <c r="I3" s="491"/>
      <c r="J3" s="512"/>
      <c r="K3" s="201" t="s">
        <v>20</v>
      </c>
      <c r="L3" s="202" t="s">
        <v>21</v>
      </c>
      <c r="M3" s="517"/>
      <c r="N3" s="203" t="s">
        <v>22</v>
      </c>
      <c r="O3" s="204" t="s">
        <v>23</v>
      </c>
      <c r="P3" s="204" t="s">
        <v>24</v>
      </c>
      <c r="Q3" s="204" t="s">
        <v>25</v>
      </c>
      <c r="R3" s="204" t="s">
        <v>26</v>
      </c>
      <c r="S3" s="205" t="s">
        <v>1342</v>
      </c>
      <c r="T3" s="316" t="s">
        <v>1270</v>
      </c>
      <c r="U3" s="488"/>
      <c r="V3" s="488"/>
      <c r="W3" s="488"/>
      <c r="X3" s="488"/>
      <c r="Y3" s="488"/>
      <c r="Z3" s="312" t="s">
        <v>1343</v>
      </c>
      <c r="AA3" s="312" t="s">
        <v>1344</v>
      </c>
      <c r="AB3" s="526"/>
      <c r="AC3" s="526"/>
      <c r="AD3" s="206"/>
      <c r="AE3" s="206"/>
      <c r="AF3" s="206"/>
      <c r="AG3" s="206"/>
      <c r="AH3" s="206"/>
      <c r="AI3" s="206"/>
      <c r="AK3" s="208" t="s">
        <v>28</v>
      </c>
      <c r="AL3" s="209" t="s">
        <v>29</v>
      </c>
      <c r="AM3" s="209" t="s">
        <v>1345</v>
      </c>
      <c r="AN3" s="209" t="s">
        <v>30</v>
      </c>
      <c r="AO3" s="209" t="s">
        <v>31</v>
      </c>
      <c r="AP3" s="209" t="s">
        <v>32</v>
      </c>
      <c r="AQ3" s="210" t="s">
        <v>33</v>
      </c>
      <c r="AR3" s="209" t="s">
        <v>34</v>
      </c>
      <c r="AS3" s="209" t="s">
        <v>35</v>
      </c>
      <c r="AT3" s="209" t="s">
        <v>36</v>
      </c>
      <c r="AU3" s="209" t="s">
        <v>37</v>
      </c>
      <c r="AV3" s="209" t="s">
        <v>1346</v>
      </c>
      <c r="AW3" s="209" t="s">
        <v>38</v>
      </c>
      <c r="AX3" s="209" t="s">
        <v>40</v>
      </c>
      <c r="AY3" s="209" t="s">
        <v>41</v>
      </c>
      <c r="AZ3" s="209" t="s">
        <v>42</v>
      </c>
      <c r="BA3" s="209" t="s">
        <v>43</v>
      </c>
      <c r="BB3" s="209" t="s">
        <v>44</v>
      </c>
      <c r="BC3" s="209" t="s">
        <v>45</v>
      </c>
      <c r="BD3" s="209" t="s">
        <v>46</v>
      </c>
      <c r="BE3" s="209" t="s">
        <v>47</v>
      </c>
      <c r="BF3" s="209" t="s">
        <v>46</v>
      </c>
      <c r="BG3" s="209" t="s">
        <v>47</v>
      </c>
      <c r="BH3" s="209" t="s">
        <v>46</v>
      </c>
      <c r="BI3" s="211" t="s">
        <v>47</v>
      </c>
      <c r="BJ3" s="212" t="s">
        <v>21</v>
      </c>
      <c r="BK3" s="209"/>
      <c r="BL3" s="212"/>
      <c r="BM3" s="213"/>
    </row>
    <row r="4" spans="1:65" s="228" customFormat="1" ht="15">
      <c r="A4" s="214" t="s">
        <v>48</v>
      </c>
      <c r="B4" s="215"/>
      <c r="C4" s="215"/>
      <c r="D4" s="216"/>
      <c r="E4" s="215"/>
      <c r="F4" s="217"/>
      <c r="G4" s="217"/>
      <c r="H4" s="218"/>
      <c r="I4" s="219"/>
      <c r="J4" s="220"/>
      <c r="K4" s="215"/>
      <c r="L4" s="215"/>
      <c r="M4" s="221"/>
      <c r="N4" s="222"/>
      <c r="O4" s="223"/>
      <c r="P4" s="223"/>
      <c r="Q4" s="223"/>
      <c r="R4" s="223"/>
      <c r="S4" s="224"/>
      <c r="T4" s="225"/>
      <c r="U4" s="225"/>
      <c r="V4" s="225"/>
      <c r="W4" s="226"/>
      <c r="X4" s="226"/>
      <c r="Y4" s="226"/>
      <c r="Z4" s="307"/>
      <c r="AA4" s="307"/>
      <c r="AB4" s="226"/>
      <c r="AC4" s="227"/>
      <c r="AK4" s="423" t="s">
        <v>28</v>
      </c>
      <c r="AL4" s="423" t="s">
        <v>29</v>
      </c>
      <c r="AM4" s="423" t="s">
        <v>1345</v>
      </c>
      <c r="AN4" s="423" t="s">
        <v>30</v>
      </c>
      <c r="AO4" s="423" t="s">
        <v>31</v>
      </c>
      <c r="AP4" s="423" t="s">
        <v>32</v>
      </c>
      <c r="AQ4" s="423" t="s">
        <v>33</v>
      </c>
      <c r="AR4" s="423" t="s">
        <v>34</v>
      </c>
      <c r="AS4" s="423" t="s">
        <v>35</v>
      </c>
      <c r="AT4" s="423" t="s">
        <v>36</v>
      </c>
      <c r="AU4" s="423" t="s">
        <v>37</v>
      </c>
      <c r="AV4" s="423" t="s">
        <v>38</v>
      </c>
      <c r="AW4" s="423" t="s">
        <v>39</v>
      </c>
      <c r="AX4" s="423" t="s">
        <v>40</v>
      </c>
      <c r="AY4" s="423" t="s">
        <v>41</v>
      </c>
      <c r="AZ4" s="423" t="s">
        <v>42</v>
      </c>
      <c r="BA4" s="423" t="s">
        <v>43</v>
      </c>
      <c r="BB4" s="423" t="s">
        <v>44</v>
      </c>
      <c r="BC4" s="423" t="s">
        <v>45</v>
      </c>
      <c r="BD4" s="423" t="s">
        <v>46</v>
      </c>
      <c r="BE4" s="423" t="s">
        <v>47</v>
      </c>
      <c r="BF4" s="189"/>
      <c r="BG4" s="189"/>
      <c r="BH4" s="189"/>
      <c r="BI4" s="194"/>
      <c r="BJ4" s="195"/>
      <c r="BK4" s="189"/>
      <c r="BL4" s="189"/>
    </row>
    <row r="5" spans="1:65" ht="12" customHeight="1">
      <c r="A5" s="237" t="s">
        <v>60</v>
      </c>
      <c r="B5" s="377" t="str">
        <f t="shared" ref="B5:B39" si="0">VLOOKUP(A5,AK:BL,2,FALSE)</f>
        <v>ERN16731</v>
      </c>
      <c r="C5" s="230" t="str">
        <f t="shared" ref="C5:C39" si="1">VLOOKUP(A5,AK:BL,9,FALSE)</f>
        <v>T Service Spa</v>
      </c>
      <c r="D5" s="230">
        <f t="shared" ref="D5:D39" si="2">VLOOKUP(A5,AK:BL,11,FALSE)</f>
        <v>0</v>
      </c>
      <c r="E5" s="378">
        <f t="shared" ref="E5:E39" si="3">VLOOKUP(A5,AK:BL,7,FALSE)</f>
        <v>46244.083333333336</v>
      </c>
      <c r="F5" s="231" t="s">
        <v>61</v>
      </c>
      <c r="G5" s="231"/>
      <c r="H5" s="151" t="str">
        <f>IF(VLOOKUP(A5,Outbound!$E$1:$Q$411,13,FALSE)=0,VLOOKUP(A5,AK:BL,13,FALSE),VLOOKUP(A5,Outbound!$E$1:$Q$411,13,FALSE))</f>
        <v>ENBD20297</v>
      </c>
      <c r="I5" s="232" t="str">
        <f t="shared" ref="I5" si="4">VLOOKUP(A5,AK:BL,12,FALSE)</f>
        <v>DNG</v>
      </c>
      <c r="J5" s="157" t="str">
        <f>IFERROR(IF(VLOOKUP($A5,Outbound!$E$1:$BA$411,17,FALSE)="","","Y"),"")</f>
        <v/>
      </c>
      <c r="K5" s="233"/>
      <c r="L5" s="233"/>
      <c r="M5" s="234" t="str">
        <f t="shared" ref="M5" si="5">A5</f>
        <v>DNG 1</v>
      </c>
      <c r="N5" s="345" t="s">
        <v>421</v>
      </c>
      <c r="O5" s="345" t="s">
        <v>421</v>
      </c>
      <c r="P5" s="161" t="str">
        <f>IFERROR(IF(VLOOKUP(A5,Outbound!$E$1:$AY$411,46,FALSE)&lt;&gt;"","Y",""),"")</f>
        <v/>
      </c>
      <c r="Q5" s="161" t="str">
        <f>IFERROR(IF(VLOOKUP($A5,Outbound!$E$1:$BA$411,20,FALSE)="","","Y"),"")</f>
        <v>Y</v>
      </c>
      <c r="R5" s="161" t="str">
        <f>IFERROR(IF(VLOOKUP($A5,Outbound!$E$1:$BA$411,49,FALSE)="","","Y"),"")</f>
        <v>Y</v>
      </c>
      <c r="S5" s="346">
        <v>0</v>
      </c>
      <c r="T5" s="346"/>
      <c r="U5" s="235"/>
      <c r="V5" s="235"/>
      <c r="W5" s="163" t="str">
        <f>IFERROR(IF(VLOOKUP($A5,Outbound!$E$1:$BA$411,14,FALSE)="VARIATA","NEW TRAILER",""),"")</f>
        <v/>
      </c>
      <c r="X5" s="163" t="str">
        <f>IFERROR(IF(VLOOKUP(A5,Outbound!$E$1:$Y$411,21,FALSE)&lt;&gt;"",VLOOKUP(A5,Outbound!$E$1:$Y$411,21,FALSE),VLOOKUP(A5,Outbound!$E$1:$Y$411,19,FALSE)),"")</f>
        <v>P605</v>
      </c>
      <c r="Y5" s="163" t="str">
        <f>IFERROR(CONCATENATE(VLOOKUP($A5,Outbound!$E$1:$BA$411,44,FALSE)," - ",VLOOKUP($A5,Outbound!$E$1:$BA$411,16,FALSE)," - "),"")</f>
        <v xml:space="preserve"> -  - </v>
      </c>
      <c r="Z5" s="235" t="str">
        <f>IFERROR(VLOOKUP(A5,Outbound!$E$2:$AK$412,33,FALSE),"")</f>
        <v xml:space="preserve"> FRT 14,  DG 0 </v>
      </c>
      <c r="AA5" s="235" t="s">
        <v>870</v>
      </c>
      <c r="AB5" s="347" t="str">
        <f>IFERROR(IF(VLOOKUP($A5,Outbound!$E$1:$BA$411,48,FALSE)&lt;&gt;0,VLOOKUP($A5,Outbound!$E$1:$BA$411,48,FALSE),""),"")</f>
        <v/>
      </c>
      <c r="AC5" s="313">
        <f>IFERROR(IF(VLOOKUP($A5,Outbound!$E$1:$BA$411,49,FALSE)&lt;&gt;0,VLOOKUP($A5,Outbound!$E$1:$BA$411,49,FALSE),""),"")</f>
        <v>3.3333333333333333E-2</v>
      </c>
      <c r="AD5" s="101"/>
      <c r="AK5" s="9" t="s">
        <v>49</v>
      </c>
      <c r="AL5" s="9" t="s">
        <v>50</v>
      </c>
      <c r="AM5" s="9" t="s">
        <v>1347</v>
      </c>
      <c r="AN5" s="9" t="s">
        <v>0</v>
      </c>
      <c r="AO5" s="9" t="s">
        <v>49</v>
      </c>
      <c r="AP5" s="9" t="s">
        <v>66</v>
      </c>
      <c r="AQ5" s="424">
        <v>46244.020833333336</v>
      </c>
      <c r="AR5" s="9"/>
      <c r="AS5" s="9" t="s">
        <v>52</v>
      </c>
      <c r="AT5" s="9"/>
      <c r="AU5" s="9"/>
      <c r="AV5" s="9" t="s">
        <v>49</v>
      </c>
      <c r="AX5" s="9" t="b">
        <v>1</v>
      </c>
      <c r="AY5" s="9" t="s">
        <v>57</v>
      </c>
      <c r="AZ5" s="9" t="b">
        <v>0</v>
      </c>
      <c r="BA5" s="9" t="b">
        <v>0</v>
      </c>
      <c r="BB5" s="9" t="b">
        <v>0</v>
      </c>
      <c r="BC5" s="9" t="b">
        <v>0</v>
      </c>
      <c r="BD5" s="9" t="s">
        <v>59</v>
      </c>
      <c r="BE5" s="9" t="b">
        <v>0</v>
      </c>
    </row>
    <row r="6" spans="1:65" ht="12" customHeight="1">
      <c r="A6" s="237" t="s">
        <v>69</v>
      </c>
      <c r="B6" s="238" t="str">
        <f t="shared" si="0"/>
        <v>ERN16770</v>
      </c>
      <c r="C6" s="239" t="str">
        <f t="shared" si="1"/>
        <v>Ravitex Srl</v>
      </c>
      <c r="D6" s="239" t="str">
        <f t="shared" si="2"/>
        <v>TM17RVC</v>
      </c>
      <c r="E6" s="240">
        <f t="shared" si="3"/>
        <v>46244.104166666664</v>
      </c>
      <c r="F6" s="241"/>
      <c r="G6" s="241" t="s">
        <v>61</v>
      </c>
      <c r="H6" s="308" t="str">
        <f>IF(VLOOKUP(A6,Outbound!$E$1:$CC$411,14,FALSE)=0,VLOOKUP(A6,AK:BL,13,FALSE),VLOOKUP(A6,Outbound!$E$1:$CC$411,14,FALSE))</f>
        <v>ALLOCATA</v>
      </c>
      <c r="I6" s="242" t="str">
        <f t="shared" ref="I6:I69" si="6">VLOOKUP(A6,AK:BL,12,FALSE)</f>
        <v>DNG</v>
      </c>
      <c r="J6" s="269" t="str">
        <f>IFERROR(IF(VLOOKUP($A6,Outbound!$E$1:$CC$411,18,FALSE)="","","Y"),"")</f>
        <v/>
      </c>
      <c r="K6" s="243"/>
      <c r="L6" s="243"/>
      <c r="M6" s="244" t="str">
        <f t="shared" ref="M6:M69" si="7">A6</f>
        <v>DNG 2</v>
      </c>
      <c r="N6" s="245" t="s">
        <v>870</v>
      </c>
      <c r="O6" s="245" t="s">
        <v>870</v>
      </c>
      <c r="P6" s="267" t="str">
        <f>IFERROR(IF(VLOOKUP(A6,Outbound!$E$1:$CC$411,47,FALSE)&lt;&gt;"","Y",""),"")</f>
        <v/>
      </c>
      <c r="Q6" s="267" t="str">
        <f>IFERROR(IF(VLOOKUP($A6,Outbound!$E$1:$CC$411,21,FALSE)="","","Y"),"")</f>
        <v>Y</v>
      </c>
      <c r="R6" s="267" t="str">
        <f>IFERROR(IF(VLOOKUP($A6,Outbound!$E$1:$CC$411,50,FALSE)="","","Y"),"")</f>
        <v/>
      </c>
      <c r="S6" s="309">
        <v>4.9305555555555554E-2</v>
      </c>
      <c r="T6" s="309"/>
      <c r="U6" s="246"/>
      <c r="V6" s="246"/>
      <c r="W6" s="117" t="str">
        <f>IFERROR(IF(VLOOKUP($A6,Outbound!$E$1:$CC$411,15,FALSE)="VARIATA","NEW TRAILER",""),"")</f>
        <v/>
      </c>
      <c r="X6" s="117">
        <f>IFERROR(IF(VLOOKUP(A6,Outbound!$E$1:$CC$411,22,FALSE)&lt;&gt;"",VLOOKUP(A6,Outbound!$E$1:$CC$411,22,FALSE),VLOOKUP(A6,Outbound!$E$1:$CC$411,20,FALSE)),"")</f>
        <v>0.96388888888888891</v>
      </c>
      <c r="Y6" s="117" t="str">
        <f>IFERROR(CONCATENATE(VLOOKUP($A6,Outbound!$E$1:$CC$411,45,FALSE)," - ",VLOOKUP($A6,Outbound!$E$1:$CC$411,17,FALSE)," - "),"")</f>
        <v xml:space="preserve">STAT77 - X - </v>
      </c>
      <c r="Z6" s="235" t="str">
        <f>IFERROR(VLOOKUP(A6,Outbound!$E$2:$AK$412,33,FALSE),"")</f>
        <v xml:space="preserve"> LL 14  - 13 Bag</v>
      </c>
      <c r="AA6" s="246" t="s">
        <v>870</v>
      </c>
      <c r="AB6" s="344" t="str">
        <f ca="1">IFERROR(IF(VLOOKUP($A6,Outbound!$C$1:$E$411,49,FALSE)&lt;&gt;0,VLOOKUP($A6,Outbound!$E$1:$CC$411,49,FALSE),""),"")</f>
        <v/>
      </c>
      <c r="AC6" s="314" t="str">
        <f>IFERROR(IF(VLOOKUP($A6,Outbound!$E$1:$CC$411,50,FALSE)&lt;&gt;0,VLOOKUP($A6,Outbound!$E$1:$CC$411,50,FALSE),""),"")</f>
        <v/>
      </c>
      <c r="AD6" s="101"/>
      <c r="AK6" s="9" t="s">
        <v>1348</v>
      </c>
      <c r="AL6" s="9" t="s">
        <v>1349</v>
      </c>
      <c r="AM6" s="9" t="s">
        <v>1350</v>
      </c>
      <c r="AN6" s="9" t="s">
        <v>0</v>
      </c>
      <c r="AO6" s="9" t="s">
        <v>65</v>
      </c>
      <c r="AP6" s="9" t="s">
        <v>66</v>
      </c>
      <c r="AQ6" s="424">
        <v>46244.263888888891</v>
      </c>
      <c r="AR6" s="9"/>
      <c r="AS6" s="9" t="s">
        <v>1351</v>
      </c>
      <c r="AT6" s="9"/>
      <c r="AU6" s="9"/>
      <c r="AV6" s="9" t="s">
        <v>65</v>
      </c>
      <c r="AX6" s="9" t="b">
        <v>0</v>
      </c>
      <c r="AY6" s="9" t="s">
        <v>76</v>
      </c>
      <c r="AZ6" s="9" t="b">
        <v>0</v>
      </c>
      <c r="BA6" s="9" t="b">
        <v>0</v>
      </c>
      <c r="BB6" s="9" t="b">
        <v>0</v>
      </c>
      <c r="BC6" s="9" t="b">
        <v>0</v>
      </c>
      <c r="BD6" s="9" t="s">
        <v>59</v>
      </c>
      <c r="BE6" s="9" t="b">
        <v>0</v>
      </c>
    </row>
    <row r="7" spans="1:65" ht="12" customHeight="1">
      <c r="A7" s="237" t="s">
        <v>73</v>
      </c>
      <c r="B7" s="238" t="str">
        <f t="shared" si="0"/>
        <v>ERN16768</v>
      </c>
      <c r="C7" s="239" t="str">
        <f t="shared" si="1"/>
        <v>T Service Spa</v>
      </c>
      <c r="D7" s="239">
        <f t="shared" si="2"/>
        <v>0</v>
      </c>
      <c r="E7" s="240">
        <f t="shared" si="3"/>
        <v>46244.104166666664</v>
      </c>
      <c r="F7" s="241" t="s">
        <v>61</v>
      </c>
      <c r="G7" s="241"/>
      <c r="H7" s="308" t="str">
        <f>IF(VLOOKUP(A7,Outbound!$E$1:$Q$411,13,FALSE)=0,VLOOKUP(A7,AK:BL,13,FALSE),VLOOKUP(A7,Outbound!$E$1:$Q$411,13,FALSE))</f>
        <v>enbr21046</v>
      </c>
      <c r="I7" s="242" t="str">
        <f t="shared" si="6"/>
        <v>DNG</v>
      </c>
      <c r="J7" s="269" t="str">
        <f>IFERROR(IF(VLOOKUP($A7,Outbound!$E$1:$BA$411,17,FALSE)="","","Y"),"")</f>
        <v>Y</v>
      </c>
      <c r="K7" s="243"/>
      <c r="L7" s="243"/>
      <c r="M7" s="244" t="str">
        <f t="shared" si="7"/>
        <v>DNG 3</v>
      </c>
      <c r="N7" s="245" t="s">
        <v>870</v>
      </c>
      <c r="O7" s="245" t="s">
        <v>870</v>
      </c>
      <c r="P7" s="267" t="str">
        <f>IFERROR(IF(VLOOKUP(A7,Outbound!$E$1:$AY$411,46,FALSE)&lt;&gt;"","Y",""),"")</f>
        <v/>
      </c>
      <c r="Q7" s="267" t="str">
        <f>IFERROR(IF(VLOOKUP($A7,Outbound!$E$1:$BA$411,20,FALSE)="","","Y"),"")</f>
        <v>Y</v>
      </c>
      <c r="R7" s="267" t="str">
        <f>IFERROR(IF(VLOOKUP($A7,Outbound!$E$1:$BA$411,49,FALSE)="","","Y"),"")</f>
        <v>Y</v>
      </c>
      <c r="S7" s="309">
        <v>6.6666666666666666E-2</v>
      </c>
      <c r="T7" s="309"/>
      <c r="U7" s="246"/>
      <c r="V7" s="246"/>
      <c r="W7" s="117" t="str">
        <f>IFERROR(IF(VLOOKUP($A7,Outbound!$E$1:$BA$411,14,FALSE)="VARIATA","NEW TRAILER",""),"")</f>
        <v/>
      </c>
      <c r="X7" s="117" t="str">
        <f>IFERROR(IF(VLOOKUP(A7,Outbound!$E$1:$Y$411,21,FALSE)&lt;&gt;"",VLOOKUP(A7,Outbound!$E$1:$Y$411,21,FALSE),VLOOKUP(A7,Outbound!$E$1:$Y$411,19,FALSE)),"")</f>
        <v>R336</v>
      </c>
      <c r="Y7" s="117" t="str">
        <f>IFERROR(CONCATENATE(VLOOKUP($A7,Outbound!$E$1:$BA$411,44,FALSE)," - ",VLOOKUP($A7,Outbound!$E$1:$BA$411,16,FALSE)," - "),"")</f>
        <v xml:space="preserve"> -  - </v>
      </c>
      <c r="Z7" s="246" t="str">
        <f>IFERROR(VLOOKUP(A7,Outbound!$E$2:$AK$412,33,FALSE),"")</f>
        <v xml:space="preserve"> LL 11  - 5 Bag</v>
      </c>
      <c r="AA7" s="246" t="s">
        <v>870</v>
      </c>
      <c r="AB7" s="344">
        <f>IFERROR(IF(VLOOKUP($A7,Outbound!$E$1:$BA$411,48,FALSE)&lt;&gt;0,VLOOKUP($A7,Outbound!$E$1:$BA$411,48,FALSE),""),"")</f>
        <v>7.4305555555555555E-2</v>
      </c>
      <c r="AC7" s="314">
        <f>IFERROR(IF(VLOOKUP($A7,Outbound!$E$1:$BA$411,49,FALSE)&lt;&gt;0,VLOOKUP($A7,Outbound!$E$1:$BA$411,49,FALSE),""),"")</f>
        <v>8.0555555555555561E-2</v>
      </c>
      <c r="AD7" s="101"/>
      <c r="AK7" s="9" t="s">
        <v>70</v>
      </c>
      <c r="AL7" s="9" t="s">
        <v>1352</v>
      </c>
      <c r="AM7" s="9" t="s">
        <v>1353</v>
      </c>
      <c r="AN7" s="9" t="s">
        <v>0</v>
      </c>
      <c r="AO7" s="9" t="s">
        <v>65</v>
      </c>
      <c r="AP7" s="9" t="s">
        <v>66</v>
      </c>
      <c r="AQ7" s="424">
        <v>46244.263888888891</v>
      </c>
      <c r="AR7" s="9"/>
      <c r="AS7" s="9" t="s">
        <v>1351</v>
      </c>
      <c r="AT7" s="9"/>
      <c r="AU7" s="9"/>
      <c r="AV7" s="9" t="s">
        <v>65</v>
      </c>
      <c r="AX7" s="9" t="b">
        <v>1</v>
      </c>
      <c r="AY7" s="9" t="s">
        <v>57</v>
      </c>
      <c r="AZ7" s="9" t="b">
        <v>0</v>
      </c>
      <c r="BA7" s="9" t="b">
        <v>0</v>
      </c>
      <c r="BB7" s="9" t="b">
        <v>0</v>
      </c>
      <c r="BC7" s="9" t="b">
        <v>0</v>
      </c>
      <c r="BD7" s="9" t="s">
        <v>59</v>
      </c>
      <c r="BE7" s="9" t="b">
        <v>0</v>
      </c>
    </row>
    <row r="8" spans="1:65" ht="12" customHeight="1">
      <c r="A8" s="237" t="s">
        <v>77</v>
      </c>
      <c r="B8" s="238" t="str">
        <f t="shared" si="0"/>
        <v>ERN14458</v>
      </c>
      <c r="C8" s="239" t="str">
        <f t="shared" si="1"/>
        <v>Cornali Autotrasporti Srl</v>
      </c>
      <c r="D8" s="239">
        <f t="shared" si="2"/>
        <v>0</v>
      </c>
      <c r="E8" s="240">
        <f t="shared" si="3"/>
        <v>46244.104166666664</v>
      </c>
      <c r="F8" s="241" t="s">
        <v>61</v>
      </c>
      <c r="G8" s="241"/>
      <c r="H8" s="308" t="str">
        <f>IF(VLOOKUP(A8,Outbound!$E$1:$Q$411,13,FALSE)=0,VLOOKUP(A8,AK:BL,13,FALSE),VLOOKUP(A8,Outbound!$E$1:$Q$411,13,FALSE))</f>
        <v>enbr26446</v>
      </c>
      <c r="I8" s="242" t="str">
        <f t="shared" si="6"/>
        <v>DNG</v>
      </c>
      <c r="J8" s="269" t="str">
        <f>IFERROR(IF(VLOOKUP($A8,Outbound!$E$1:$BA$411,17,FALSE)="","","Y"),"")</f>
        <v>Y</v>
      </c>
      <c r="K8" s="243"/>
      <c r="L8" s="243"/>
      <c r="M8" s="244" t="str">
        <f t="shared" si="7"/>
        <v>DNG 4</v>
      </c>
      <c r="N8" s="245" t="s">
        <v>870</v>
      </c>
      <c r="O8" s="245" t="s">
        <v>870</v>
      </c>
      <c r="P8" s="267" t="str">
        <f>IFERROR(IF(VLOOKUP(A8,Outbound!$E$1:$AY$411,46,FALSE)&lt;&gt;"","Y",""),"")</f>
        <v/>
      </c>
      <c r="Q8" s="267" t="str">
        <f>IFERROR(IF(VLOOKUP($A8,Outbound!$E$1:$BA$411,20,FALSE)="","","Y"),"")</f>
        <v>Y</v>
      </c>
      <c r="R8" s="267" t="str">
        <f>IFERROR(IF(VLOOKUP($A8,Outbound!$E$1:$BA$411,49,FALSE)="","","Y"),"")</f>
        <v>Y</v>
      </c>
      <c r="S8" s="309">
        <v>1.3888888888888888E-2</v>
      </c>
      <c r="T8" s="309"/>
      <c r="U8" s="246"/>
      <c r="V8" s="246"/>
      <c r="W8" s="117" t="str">
        <f>IFERROR(IF(VLOOKUP($A8,Outbound!$E$1:$BA$411,14,FALSE)="VARIATA","NEW TRAILER",""),"")</f>
        <v/>
      </c>
      <c r="X8" s="117" t="str">
        <f>IFERROR(IF(VLOOKUP(A8,Outbound!$E$1:$Y$411,21,FALSE)&lt;&gt;"",VLOOKUP(A8,Outbound!$E$1:$Y$411,21,FALSE),VLOOKUP(A8,Outbound!$E$1:$Y$411,19,FALSE)),"")</f>
        <v>P606</v>
      </c>
      <c r="Y8" s="117" t="str">
        <f>IFERROR(CONCATENATE(VLOOKUP($A8,Outbound!$E$1:$BA$411,44,FALSE)," - ",VLOOKUP($A8,Outbound!$E$1:$BA$411,16,FALSE)," - "),"")</f>
        <v xml:space="preserve"> -  - </v>
      </c>
      <c r="Z8" s="246" t="str">
        <f>IFERROR(VLOOKUP(A8,Outbound!$E$2:$AK$412,33,FALSE),"")</f>
        <v xml:space="preserve"> FRT 14 </v>
      </c>
      <c r="AA8" s="246" t="s">
        <v>421</v>
      </c>
      <c r="AB8" s="344" t="str">
        <f>IFERROR(IF(VLOOKUP($A8,Outbound!$E$1:$BA$411,48,FALSE)&lt;&gt;0,VLOOKUP($A8,Outbound!$E$1:$BA$411,48,FALSE),""),"")</f>
        <v/>
      </c>
      <c r="AC8" s="314">
        <f>IFERROR(IF(VLOOKUP($A8,Outbound!$E$1:$BA$411,49,FALSE)&lt;&gt;0,VLOOKUP($A8,Outbound!$E$1:$BA$411,49,FALSE),""),"")</f>
        <v>2.8472222222222222E-2</v>
      </c>
      <c r="AK8" s="9" t="s">
        <v>63</v>
      </c>
      <c r="AL8" s="9" t="s">
        <v>75</v>
      </c>
      <c r="AM8" s="9" t="s">
        <v>1354</v>
      </c>
      <c r="AN8" s="9" t="s">
        <v>0</v>
      </c>
      <c r="AO8" s="9" t="s">
        <v>65</v>
      </c>
      <c r="AP8" s="9" t="s">
        <v>66</v>
      </c>
      <c r="AQ8" s="424">
        <v>46244.263888888891</v>
      </c>
      <c r="AR8" s="9"/>
      <c r="AS8" s="9" t="s">
        <v>1351</v>
      </c>
      <c r="AT8" s="9"/>
      <c r="AU8" s="9"/>
      <c r="AV8" s="9" t="s">
        <v>65</v>
      </c>
      <c r="AX8" s="9" t="b">
        <v>1</v>
      </c>
      <c r="AY8" s="9" t="s">
        <v>57</v>
      </c>
      <c r="AZ8" s="9" t="b">
        <v>0</v>
      </c>
      <c r="BA8" s="9" t="b">
        <v>0</v>
      </c>
      <c r="BB8" s="9" t="b">
        <v>0</v>
      </c>
      <c r="BC8" s="9" t="b">
        <v>0</v>
      </c>
      <c r="BD8" s="9" t="s">
        <v>59</v>
      </c>
      <c r="BE8" s="9" t="b">
        <v>0</v>
      </c>
    </row>
    <row r="9" spans="1:65" ht="12" customHeight="1">
      <c r="A9" s="237" t="s">
        <v>86</v>
      </c>
      <c r="B9" s="238" t="str">
        <f t="shared" si="0"/>
        <v>ERN18810</v>
      </c>
      <c r="C9" s="239" t="str">
        <f t="shared" si="1"/>
        <v>Maracana Srl</v>
      </c>
      <c r="D9" s="239" t="str">
        <f t="shared" si="2"/>
        <v>TM19ESE</v>
      </c>
      <c r="E9" s="240">
        <f t="shared" si="3"/>
        <v>46244.104166666664</v>
      </c>
      <c r="F9" s="241" t="s">
        <v>61</v>
      </c>
      <c r="G9" s="241"/>
      <c r="H9" s="308" t="str">
        <f>IF(VLOOKUP(A9,Outbound!$E$1:$Q$411,13,FALSE)=0,VLOOKUP(A9,AK:BL,13,FALSE),VLOOKUP(A9,Outbound!$E$1:$Q$411,13,FALSE))</f>
        <v>ENBR21296</v>
      </c>
      <c r="I9" s="242" t="str">
        <f t="shared" si="6"/>
        <v>DNG</v>
      </c>
      <c r="J9" s="269" t="str">
        <f>IFERROR(IF(VLOOKUP($A9,Outbound!$E$1:$BA$411,17,FALSE)="","","Y"),"")</f>
        <v/>
      </c>
      <c r="K9" s="243"/>
      <c r="L9" s="243"/>
      <c r="M9" s="244" t="str">
        <f t="shared" si="7"/>
        <v>DNG 5</v>
      </c>
      <c r="N9" s="245" t="s">
        <v>421</v>
      </c>
      <c r="O9" s="245" t="s">
        <v>421</v>
      </c>
      <c r="P9" s="267" t="str">
        <f>IFERROR(IF(VLOOKUP(A9,Outbound!$E$1:$AY$411,46,FALSE)&lt;&gt;"","Y",""),"")</f>
        <v/>
      </c>
      <c r="Q9" s="267" t="str">
        <f>IFERROR(IF(VLOOKUP($A9,Outbound!$E$1:$BA$411,20,FALSE)="","","Y"),"")</f>
        <v>Y</v>
      </c>
      <c r="R9" s="267" t="str">
        <f>IFERROR(IF(VLOOKUP($A9,Outbound!$E$1:$BA$411,49,FALSE)="","","Y"),"")</f>
        <v>Y</v>
      </c>
      <c r="S9" s="309">
        <v>6.6666666666666666E-2</v>
      </c>
      <c r="T9" s="309" t="s">
        <v>1355</v>
      </c>
      <c r="U9" s="246"/>
      <c r="V9" s="246"/>
      <c r="W9" s="117" t="str">
        <f>IFERROR(IF(VLOOKUP($A9,Outbound!$E$1:$BA$411,14,FALSE)="VARIATA","NEW TRAILER",""),"")</f>
        <v/>
      </c>
      <c r="X9" s="117" t="str">
        <f>IFERROR(IF(VLOOKUP(A9,Outbound!$E$1:$Y$411,21,FALSE)&lt;&gt;"",VLOOKUP(A9,Outbound!$E$1:$Y$411,21,FALSE),VLOOKUP(A9,Outbound!$E$1:$Y$411,19,FALSE)),"")</f>
        <v>R810</v>
      </c>
      <c r="Y9" s="117" t="str">
        <f>IFERROR(CONCATENATE(VLOOKUP($A9,Outbound!$E$1:$BA$411,44,FALSE)," - ",VLOOKUP($A9,Outbound!$E$1:$BA$411,16,FALSE)," - "),"")</f>
        <v xml:space="preserve"> -  - </v>
      </c>
      <c r="Z9" s="246" t="str">
        <f>IFERROR(VLOOKUP(A9,Outbound!$E$2:$AK$412,33,FALSE),"")</f>
        <v xml:space="preserve"> FRT 14 </v>
      </c>
      <c r="AA9" s="246" t="s">
        <v>870</v>
      </c>
      <c r="AB9" s="344">
        <f>IFERROR(IF(VLOOKUP($A9,Outbound!$E$1:$BA$411,48,FALSE)&lt;&gt;0,VLOOKUP($A9,Outbound!$E$1:$BA$411,48,FALSE),""),"")</f>
        <v>7.3611111111111113E-2</v>
      </c>
      <c r="AC9" s="314">
        <f>IFERROR(IF(VLOOKUP($A9,Outbound!$E$1:$BA$411,49,FALSE)&lt;&gt;0,VLOOKUP($A9,Outbound!$E$1:$BA$411,49,FALSE),""),"")</f>
        <v>7.9861111111111105E-2</v>
      </c>
      <c r="AK9" s="9" t="s">
        <v>74</v>
      </c>
      <c r="AL9" s="9" t="s">
        <v>1356</v>
      </c>
      <c r="AM9" s="9" t="s">
        <v>1357</v>
      </c>
      <c r="AN9" s="9" t="s">
        <v>0</v>
      </c>
      <c r="AO9" s="9" t="s">
        <v>65</v>
      </c>
      <c r="AP9" s="9" t="s">
        <v>66</v>
      </c>
      <c r="AQ9" s="424">
        <v>46244.263888888891</v>
      </c>
      <c r="AR9" s="9"/>
      <c r="AS9" s="9" t="s">
        <v>1351</v>
      </c>
      <c r="AT9" s="9"/>
      <c r="AU9" s="9"/>
      <c r="AV9" s="9" t="s">
        <v>65</v>
      </c>
      <c r="AX9" s="9" t="b">
        <v>0</v>
      </c>
      <c r="AY9" s="9" t="s">
        <v>57</v>
      </c>
      <c r="AZ9" s="9" t="b">
        <v>0</v>
      </c>
      <c r="BA9" s="9" t="b">
        <v>0</v>
      </c>
      <c r="BB9" s="9" t="b">
        <v>0</v>
      </c>
      <c r="BC9" s="9" t="b">
        <v>0</v>
      </c>
      <c r="BD9" s="9" t="s">
        <v>59</v>
      </c>
      <c r="BE9" s="9" t="b">
        <v>0</v>
      </c>
    </row>
    <row r="10" spans="1:65" ht="12" customHeight="1">
      <c r="A10" s="237" t="s">
        <v>93</v>
      </c>
      <c r="B10" s="238" t="s">
        <v>1358</v>
      </c>
      <c r="C10" s="239" t="s">
        <v>1328</v>
      </c>
      <c r="D10" s="239" t="e">
        <f t="shared" si="2"/>
        <v>#N/A</v>
      </c>
      <c r="E10" s="240">
        <v>46244.104166666664</v>
      </c>
      <c r="F10" s="241" t="s">
        <v>61</v>
      </c>
      <c r="G10" s="241"/>
      <c r="H10" s="308" t="str">
        <f>IF(VLOOKUP(A10,Outbound!$E$1:$Q$411,13,FALSE)=0,VLOOKUP(A10,AK:BL,13,FALSE),VLOOKUP(A10,Outbound!$E$1:$Q$411,13,FALSE))</f>
        <v>RENT603</v>
      </c>
      <c r="I10" s="242" t="s">
        <v>150</v>
      </c>
      <c r="J10" s="269" t="str">
        <f>IFERROR(IF(VLOOKUP($A10,Outbound!$E$1:$BA$411,17,FALSE)="","","Y"),"")</f>
        <v/>
      </c>
      <c r="K10" s="243"/>
      <c r="L10" s="243"/>
      <c r="M10" s="244" t="str">
        <f t="shared" si="7"/>
        <v>DNG 6</v>
      </c>
      <c r="N10" s="245" t="s">
        <v>421</v>
      </c>
      <c r="O10" s="245" t="s">
        <v>421</v>
      </c>
      <c r="P10" s="267" t="str">
        <f>IFERROR(IF(VLOOKUP(A10,Outbound!$E$1:$AY$411,46,FALSE)&lt;&gt;"","Y",""),"")</f>
        <v/>
      </c>
      <c r="Q10" s="267" t="str">
        <f>IFERROR(IF(VLOOKUP($A10,Outbound!$E$1:$BA$411,20,FALSE)="","","Y"),"")</f>
        <v>Y</v>
      </c>
      <c r="R10" s="267" t="str">
        <f>IFERROR(IF(VLOOKUP($A10,Outbound!$E$1:$BA$411,49,FALSE)="","","Y"),"")</f>
        <v>Y</v>
      </c>
      <c r="S10" s="309">
        <v>7.0833333333333331E-2</v>
      </c>
      <c r="T10" s="309" t="s">
        <v>1355</v>
      </c>
      <c r="U10" s="246"/>
      <c r="V10" s="246"/>
      <c r="W10" s="117" t="str">
        <f>IFERROR(IF(VLOOKUP($A10,Outbound!$E$1:$BA$411,14,FALSE)="VARIATA","NEW TRAILER",""),"")</f>
        <v/>
      </c>
      <c r="X10" s="117" t="str">
        <f>IFERROR(IF(VLOOKUP(A10,Outbound!$E$1:$Y$411,21,FALSE)&lt;&gt;"",VLOOKUP(A10,Outbound!$E$1:$Y$411,21,FALSE),VLOOKUP(A10,Outbound!$E$1:$Y$411,19,FALSE)),"")</f>
        <v>P306</v>
      </c>
      <c r="Y10" s="117" t="str">
        <f>IFERROR(CONCATENATE(VLOOKUP($A10,Outbound!$E$1:$BA$411,44,FALSE)," - ",VLOOKUP($A10,Outbound!$E$1:$BA$411,16,FALSE)," - "),"")</f>
        <v xml:space="preserve"> -  - </v>
      </c>
      <c r="Z10" s="246" t="s">
        <v>1206</v>
      </c>
      <c r="AA10" s="246" t="s">
        <v>421</v>
      </c>
      <c r="AB10" s="344" t="str">
        <f>IFERROR(IF(VLOOKUP($A10,Outbound!$E$1:$BA$411,48,FALSE)&lt;&gt;0,VLOOKUP($A10,Outbound!$E$1:$BA$411,48,FALSE),""),"")</f>
        <v/>
      </c>
      <c r="AC10" s="314">
        <f>IFERROR(IF(VLOOKUP($A10,Outbound!$E$1:$BA$411,49,FALSE)&lt;&gt;0,VLOOKUP($A10,Outbound!$E$1:$BA$411,49,FALSE),""),"")</f>
        <v>8.5416666666666669E-2</v>
      </c>
      <c r="AE10" s="342" t="s">
        <v>1359</v>
      </c>
      <c r="AF10" s="342" t="s">
        <v>1360</v>
      </c>
      <c r="AK10" s="9" t="s">
        <v>1361</v>
      </c>
      <c r="AL10" s="9" t="s">
        <v>1362</v>
      </c>
      <c r="AM10" s="9" t="s">
        <v>1363</v>
      </c>
      <c r="AN10" s="9" t="s">
        <v>0</v>
      </c>
      <c r="AO10" s="9" t="s">
        <v>65</v>
      </c>
      <c r="AP10" s="9" t="s">
        <v>66</v>
      </c>
      <c r="AQ10" s="424">
        <v>46244.263888888891</v>
      </c>
      <c r="AR10" s="9"/>
      <c r="AS10" s="9" t="s">
        <v>1351</v>
      </c>
      <c r="AT10" s="9"/>
      <c r="AU10" s="9"/>
      <c r="AV10" s="9" t="s">
        <v>65</v>
      </c>
      <c r="AX10" s="9" t="b">
        <v>0</v>
      </c>
      <c r="AY10" s="9" t="s">
        <v>76</v>
      </c>
      <c r="AZ10" s="9" t="b">
        <v>0</v>
      </c>
      <c r="BA10" s="9" t="b">
        <v>0</v>
      </c>
      <c r="BB10" s="9" t="b">
        <v>0</v>
      </c>
      <c r="BC10" s="9" t="b">
        <v>0</v>
      </c>
      <c r="BD10" s="9" t="s">
        <v>59</v>
      </c>
      <c r="BE10" s="9" t="b">
        <v>0</v>
      </c>
    </row>
    <row r="11" spans="1:65" ht="12" customHeight="1">
      <c r="A11" s="237" t="s">
        <v>173</v>
      </c>
      <c r="B11" s="238" t="str">
        <f t="shared" si="0"/>
        <v>ERN18646</v>
      </c>
      <c r="C11" s="239" t="str">
        <f t="shared" si="1"/>
        <v>Galileo Transport Srl</v>
      </c>
      <c r="D11" s="239">
        <f t="shared" si="2"/>
        <v>0</v>
      </c>
      <c r="E11" s="240">
        <f t="shared" si="3"/>
        <v>46244.375</v>
      </c>
      <c r="F11" s="241" t="s">
        <v>61</v>
      </c>
      <c r="G11" s="241"/>
      <c r="H11" s="308" t="str">
        <f>IF(VLOOKUP(A11,Outbound!$E$1:$Q$411,13,FALSE)=0,VLOOKUP(A11,AK:BL,13,FALSE),VLOOKUP(A11,Outbound!$E$1:$Q$411,13,FALSE))</f>
        <v>RENT395</v>
      </c>
      <c r="I11" s="242" t="str">
        <f t="shared" si="6"/>
        <v>DNG</v>
      </c>
      <c r="J11" s="269" t="str">
        <f>IFERROR(IF(VLOOKUP($A11,Outbound!$E$1:$BA$411,17,FALSE)="","","Y"),"")</f>
        <v>Y</v>
      </c>
      <c r="K11" s="243"/>
      <c r="L11" s="243"/>
      <c r="M11" s="244" t="str">
        <f t="shared" si="7"/>
        <v>DNG 7</v>
      </c>
      <c r="N11" s="245" t="s">
        <v>870</v>
      </c>
      <c r="O11" s="245" t="s">
        <v>870</v>
      </c>
      <c r="P11" s="267" t="str">
        <f>IFERROR(IF(VLOOKUP(A11,Outbound!$E$1:$AY$411,46,FALSE)&lt;&gt;"","Y",""),"")</f>
        <v/>
      </c>
      <c r="Q11" s="267" t="str">
        <f>IFERROR(IF(VLOOKUP($A11,Outbound!$E$1:$BA$411,20,FALSE)="","","Y"),"")</f>
        <v/>
      </c>
      <c r="R11" s="267" t="str">
        <f>IFERROR(IF(VLOOKUP($A11,Outbound!$E$1:$BA$411,49,FALSE)="","","Y"),"")</f>
        <v/>
      </c>
      <c r="S11" s="309"/>
      <c r="T11" s="309"/>
      <c r="U11" s="246"/>
      <c r="V11" s="246"/>
      <c r="W11" s="117" t="str">
        <f>IFERROR(IF(VLOOKUP($A11,Outbound!$E$1:$BA$411,14,FALSE)="VARIATA","NEW TRAILER",""),"")</f>
        <v/>
      </c>
      <c r="X11" s="117">
        <f>IFERROR(IF(VLOOKUP(A11,Outbound!$E$1:$Y$411,21,FALSE)&lt;&gt;"",VLOOKUP(A11,Outbound!$E$1:$Y$411,21,FALSE),VLOOKUP(A11,Outbound!$E$1:$Y$411,19,FALSE)),"")</f>
        <v>335</v>
      </c>
      <c r="Y11" s="117" t="str">
        <f>IFERROR(CONCATENATE(VLOOKUP($A11,Outbound!$E$1:$BA$411,44,FALSE)," - ",VLOOKUP($A11,Outbound!$E$1:$BA$411,16,FALSE)," - "),"")</f>
        <v xml:space="preserve"> -  - </v>
      </c>
      <c r="Z11" s="246" t="str">
        <f>IFERROR(VLOOKUP(A11,Outbound!$E$2:$AK$412,33,FALSE),"")</f>
        <v/>
      </c>
      <c r="AA11" s="246"/>
      <c r="AB11" s="344" t="str">
        <f>IFERROR(IF(VLOOKUP($A11,Outbound!$E$1:$BA$411,48,FALSE)&lt;&gt;0,VLOOKUP($A11,Outbound!$E$1:$BA$411,48,FALSE),""),"")</f>
        <v/>
      </c>
      <c r="AC11" s="314" t="str">
        <f>IFERROR(IF(VLOOKUP($A11,Outbound!$E$1:$BA$411,49,FALSE)&lt;&gt;0,VLOOKUP($A11,Outbound!$E$1:$BA$411,49,FALSE),""),"")</f>
        <v/>
      </c>
      <c r="AE11" s="342" t="s">
        <v>10</v>
      </c>
      <c r="AF11" s="342" t="s">
        <v>1364</v>
      </c>
      <c r="AK11" s="9" t="s">
        <v>99</v>
      </c>
      <c r="AL11" s="9" t="s">
        <v>1365</v>
      </c>
      <c r="AM11" s="9" t="s">
        <v>1366</v>
      </c>
      <c r="AN11" s="9" t="s">
        <v>0</v>
      </c>
      <c r="AO11" s="9" t="s">
        <v>81</v>
      </c>
      <c r="AP11" s="9" t="s">
        <v>66</v>
      </c>
      <c r="AQ11" s="424">
        <v>46244.09375</v>
      </c>
      <c r="AR11" s="9"/>
      <c r="AS11" s="9" t="s">
        <v>128</v>
      </c>
      <c r="AT11" s="9"/>
      <c r="AU11" s="9"/>
      <c r="AV11" s="9" t="s">
        <v>81</v>
      </c>
      <c r="AX11" s="9" t="b">
        <v>0</v>
      </c>
      <c r="AY11" s="9" t="s">
        <v>57</v>
      </c>
      <c r="AZ11" s="9" t="b">
        <v>0</v>
      </c>
      <c r="BA11" s="9" t="b">
        <v>0</v>
      </c>
      <c r="BB11" s="9" t="b">
        <v>0</v>
      </c>
      <c r="BC11" s="9" t="b">
        <v>0</v>
      </c>
      <c r="BD11" s="9" t="s">
        <v>59</v>
      </c>
      <c r="BE11" s="9" t="b">
        <v>0</v>
      </c>
    </row>
    <row r="12" spans="1:65" ht="12" customHeight="1">
      <c r="A12" s="237" t="s">
        <v>176</v>
      </c>
      <c r="B12" s="238" t="str">
        <f t="shared" si="0"/>
        <v>ERN10067</v>
      </c>
      <c r="C12" s="239" t="str">
        <f t="shared" si="1"/>
        <v>Lsc Sp Z O O</v>
      </c>
      <c r="D12" s="239" t="str">
        <f t="shared" si="2"/>
        <v>WJ 2729M</v>
      </c>
      <c r="E12" s="240">
        <f t="shared" si="3"/>
        <v>46244.416666666664</v>
      </c>
      <c r="F12" s="241" t="s">
        <v>61</v>
      </c>
      <c r="G12" s="241"/>
      <c r="H12" s="308" t="str">
        <f>IF(VLOOKUP(A12,Outbound!$E$1:$Q$411,13,FALSE)=0,VLOOKUP(A12,AK:BL,13,FALSE),VLOOKUP(A12,Outbound!$E$1:$Q$411,13,FALSE))</f>
        <v>ENBD20350</v>
      </c>
      <c r="I12" s="242" t="str">
        <f t="shared" si="6"/>
        <v>DNG</v>
      </c>
      <c r="J12" s="269" t="str">
        <f>IFERROR(IF(VLOOKUP($A12,Outbound!$E$1:$BA$411,17,FALSE)="","","Y"),"")</f>
        <v/>
      </c>
      <c r="K12" s="243"/>
      <c r="L12" s="243"/>
      <c r="M12" s="244" t="str">
        <f t="shared" si="7"/>
        <v>DNG 8</v>
      </c>
      <c r="N12" s="245" t="s">
        <v>870</v>
      </c>
      <c r="O12" s="245" t="s">
        <v>870</v>
      </c>
      <c r="P12" s="267" t="str">
        <f>IFERROR(IF(VLOOKUP(A12,Outbound!$E$1:$AY$411,46,FALSE)&lt;&gt;"","Y",""),"")</f>
        <v/>
      </c>
      <c r="Q12" s="267" t="str">
        <f>IFERROR(IF(VLOOKUP($A12,Outbound!$E$1:$BA$411,20,FALSE)="","","Y"),"")</f>
        <v/>
      </c>
      <c r="R12" s="267" t="str">
        <f>IFERROR(IF(VLOOKUP($A12,Outbound!$E$1:$BA$411,49,FALSE)="","","Y"),"")</f>
        <v/>
      </c>
      <c r="S12" s="309"/>
      <c r="T12" s="309"/>
      <c r="U12" s="246"/>
      <c r="V12" s="246"/>
      <c r="W12" s="117" t="str">
        <f>IFERROR(IF(VLOOKUP($A12,Outbound!$E$1:$BA$411,14,FALSE)="VARIATA","NEW TRAILER",""),"")</f>
        <v/>
      </c>
      <c r="X12" s="117">
        <f>IFERROR(IF(VLOOKUP(A12,Outbound!$E$1:$Y$411,21,FALSE)&lt;&gt;"",VLOOKUP(A12,Outbound!$E$1:$Y$411,21,FALSE),VLOOKUP(A12,Outbound!$E$1:$Y$411,19,FALSE)),"")</f>
        <v>809</v>
      </c>
      <c r="Y12" s="117" t="str">
        <f>IFERROR(CONCATENATE(VLOOKUP($A12,Outbound!$E$1:$BA$411,44,FALSE)," - ",VLOOKUP($A12,Outbound!$E$1:$BA$411,16,FALSE)," - "),"")</f>
        <v xml:space="preserve"> -  - </v>
      </c>
      <c r="Z12" s="246" t="str">
        <f>IFERROR(VLOOKUP(A12,Outbound!$E$2:$AK$412,33,FALSE),"")</f>
        <v/>
      </c>
      <c r="AA12" s="246"/>
      <c r="AB12" s="344" t="str">
        <f>IFERROR(IF(VLOOKUP($A12,Outbound!$E$1:$BA$411,48,FALSE)&lt;&gt;0,VLOOKUP($A12,Outbound!$E$1:$BA$411,48,FALSE),""),"")</f>
        <v/>
      </c>
      <c r="AC12" s="314" t="str">
        <f>IFERROR(IF(VLOOKUP($A12,Outbound!$E$1:$BA$411,49,FALSE)&lt;&gt;0,VLOOKUP($A12,Outbound!$E$1:$BA$411,49,FALSE),""),"")</f>
        <v/>
      </c>
      <c r="AE12" s="342" t="s">
        <v>1367</v>
      </c>
      <c r="AK12" s="9" t="s">
        <v>1368</v>
      </c>
      <c r="AL12" s="9" t="s">
        <v>1369</v>
      </c>
      <c r="AM12" s="9" t="s">
        <v>1370</v>
      </c>
      <c r="AN12" s="9" t="s">
        <v>0</v>
      </c>
      <c r="AO12" s="9" t="s">
        <v>81</v>
      </c>
      <c r="AP12" s="9" t="s">
        <v>66</v>
      </c>
      <c r="AQ12" s="424">
        <v>46244.4375</v>
      </c>
      <c r="AR12" s="9"/>
      <c r="AS12" s="9" t="s">
        <v>171</v>
      </c>
      <c r="AT12" s="9"/>
      <c r="AU12" s="9"/>
      <c r="AV12" s="9" t="s">
        <v>81</v>
      </c>
      <c r="AX12" s="9" t="b">
        <v>0</v>
      </c>
      <c r="AY12" s="9" t="s">
        <v>57</v>
      </c>
      <c r="AZ12" s="9" t="b">
        <v>0</v>
      </c>
      <c r="BA12" s="9" t="b">
        <v>0</v>
      </c>
      <c r="BB12" s="9" t="b">
        <v>0</v>
      </c>
      <c r="BC12" s="9" t="b">
        <v>0</v>
      </c>
      <c r="BD12" s="9" t="s">
        <v>59</v>
      </c>
      <c r="BE12" s="9" t="b">
        <v>0</v>
      </c>
    </row>
    <row r="13" spans="1:65" ht="12" customHeight="1">
      <c r="A13" s="237" t="s">
        <v>1371</v>
      </c>
      <c r="B13" s="238" t="str">
        <f t="shared" si="0"/>
        <v>ERN19145</v>
      </c>
      <c r="C13" s="239" t="str">
        <f t="shared" si="1"/>
        <v>T Service Spa</v>
      </c>
      <c r="D13" s="239">
        <f t="shared" si="2"/>
        <v>0</v>
      </c>
      <c r="E13" s="240">
        <f t="shared" si="3"/>
        <v>46244.416666666664</v>
      </c>
      <c r="F13" s="241" t="s">
        <v>61</v>
      </c>
      <c r="G13" s="241"/>
      <c r="H13" s="308" t="str">
        <f>IF(VLOOKUP(A13,Outbound!$E$1:$Q$411,13,FALSE)=0,VLOOKUP(A13,AK:BL,13,FALSE),VLOOKUP(A13,Outbound!$E$1:$Q$411,13,FALSE))</f>
        <v>ENB15470</v>
      </c>
      <c r="I13" s="242" t="str">
        <f t="shared" si="6"/>
        <v>DFT</v>
      </c>
      <c r="J13" s="269" t="str">
        <f>IFERROR(IF(VLOOKUP($A13,Outbound!$E$1:$BA$411,17,FALSE)="","","Y"),"")</f>
        <v>Y</v>
      </c>
      <c r="K13" s="243"/>
      <c r="L13" s="243"/>
      <c r="M13" s="244" t="str">
        <f t="shared" si="7"/>
        <v>DFT 1</v>
      </c>
      <c r="N13" s="245" t="s">
        <v>421</v>
      </c>
      <c r="O13" s="245" t="s">
        <v>421</v>
      </c>
      <c r="P13" s="267" t="str">
        <f>IFERROR(IF(VLOOKUP(A13,Outbound!$E$1:$AY$411,46,FALSE)&lt;&gt;"","Y",""),"")</f>
        <v/>
      </c>
      <c r="Q13" s="267" t="str">
        <f>IFERROR(IF(VLOOKUP($A13,Outbound!$E$1:$BA$411,20,FALSE)="","","Y"),"")</f>
        <v/>
      </c>
      <c r="R13" s="267" t="str">
        <f>IFERROR(IF(VLOOKUP($A13,Outbound!$E$1:$BA$411,49,FALSE)="","","Y"),"")</f>
        <v/>
      </c>
      <c r="S13" s="309"/>
      <c r="T13" s="309"/>
      <c r="U13" s="246"/>
      <c r="V13" s="246"/>
      <c r="W13" s="117" t="str">
        <f>IFERROR(IF(VLOOKUP($A13,Outbound!$E$1:$BA$411,14,FALSE)="VARIATA","NEW TRAILER",""),"")</f>
        <v/>
      </c>
      <c r="X13" s="117">
        <f>IFERROR(IF(VLOOKUP(A13,Outbound!$E$1:$Y$411,21,FALSE)&lt;&gt;"",VLOOKUP(A13,Outbound!$E$1:$Y$411,21,FALSE),VLOOKUP(A13,Outbound!$E$1:$Y$411,19,FALSE)),"")</f>
        <v>334</v>
      </c>
      <c r="Y13" s="117" t="str">
        <f>IFERROR(CONCATENATE(VLOOKUP($A13,Outbound!$E$1:$BA$411,44,FALSE)," - ",VLOOKUP($A13,Outbound!$E$1:$BA$411,16,FALSE)," - "),"")</f>
        <v xml:space="preserve"> -  - </v>
      </c>
      <c r="Z13" s="246" t="str">
        <f>IFERROR(VLOOKUP(A13,Outbound!$E$2:$AK$412,33,FALSE),"")</f>
        <v/>
      </c>
      <c r="AA13" s="246"/>
      <c r="AB13" s="344" t="str">
        <f>IFERROR(IF(VLOOKUP($A13,Outbound!$E$1:$BA$411,48,FALSE)&lt;&gt;0,VLOOKUP($A13,Outbound!$E$1:$BA$411,48,FALSE),""),"")</f>
        <v/>
      </c>
      <c r="AC13" s="314" t="str">
        <f>IFERROR(IF(VLOOKUP($A13,Outbound!$E$1:$BA$411,49,FALSE)&lt;&gt;0,VLOOKUP($A13,Outbound!$E$1:$BA$411,49,FALSE),""),"")</f>
        <v/>
      </c>
      <c r="AE13" s="343" t="s">
        <v>1359</v>
      </c>
      <c r="AK13" s="9" t="s">
        <v>112</v>
      </c>
      <c r="AL13" s="9" t="s">
        <v>120</v>
      </c>
      <c r="AM13" s="9" t="s">
        <v>1372</v>
      </c>
      <c r="AN13" s="9" t="s">
        <v>0</v>
      </c>
      <c r="AO13" s="9" t="s">
        <v>81</v>
      </c>
      <c r="AP13" s="9" t="s">
        <v>66</v>
      </c>
      <c r="AQ13" s="424">
        <v>46244.4375</v>
      </c>
      <c r="AR13" s="9"/>
      <c r="AS13" s="9" t="s">
        <v>114</v>
      </c>
      <c r="AT13" s="9" t="s">
        <v>1373</v>
      </c>
      <c r="AU13" s="9" t="s">
        <v>1374</v>
      </c>
      <c r="AV13" s="9" t="s">
        <v>81</v>
      </c>
      <c r="AX13" s="9" t="b">
        <v>0</v>
      </c>
      <c r="AY13" s="9" t="s">
        <v>57</v>
      </c>
      <c r="AZ13" s="9" t="b">
        <v>0</v>
      </c>
      <c r="BA13" s="9" t="b">
        <v>0</v>
      </c>
      <c r="BB13" s="9" t="b">
        <v>0</v>
      </c>
      <c r="BC13" s="9" t="b">
        <v>0</v>
      </c>
      <c r="BD13" s="9" t="s">
        <v>59</v>
      </c>
      <c r="BE13" s="9" t="b">
        <v>0</v>
      </c>
    </row>
    <row r="14" spans="1:65" ht="12" customHeight="1">
      <c r="A14" s="237" t="s">
        <v>1375</v>
      </c>
      <c r="B14" s="238" t="str">
        <f t="shared" si="0"/>
        <v>ERN18033</v>
      </c>
      <c r="C14" s="239" t="str">
        <f t="shared" si="1"/>
        <v>Matelda Srl</v>
      </c>
      <c r="D14" s="239" t="str">
        <f t="shared" si="2"/>
        <v>IF 51 RAP</v>
      </c>
      <c r="E14" s="240">
        <f t="shared" si="3"/>
        <v>46244.416666666664</v>
      </c>
      <c r="F14" s="241" t="s">
        <v>61</v>
      </c>
      <c r="G14" s="241"/>
      <c r="H14" s="308">
        <f>IF(VLOOKUP(A14,Outbound!$E$1:$Q$411,13,FALSE)=0,VLOOKUP(A14,AK:BL,13,FALSE),VLOOKUP(A14,Outbound!$E$1:$Q$411,13,FALSE))</f>
        <v>0</v>
      </c>
      <c r="I14" s="242" t="str">
        <f t="shared" si="6"/>
        <v>DFT</v>
      </c>
      <c r="J14" s="269" t="str">
        <f>IFERROR(IF(VLOOKUP($A14,Outbound!$E$1:$BA$411,17,FALSE)="","","Y"),"")</f>
        <v/>
      </c>
      <c r="K14" s="243"/>
      <c r="L14" s="243"/>
      <c r="M14" s="244" t="str">
        <f t="shared" si="7"/>
        <v>DFT 2</v>
      </c>
      <c r="N14" s="245"/>
      <c r="O14" s="245"/>
      <c r="P14" s="267" t="str">
        <f>IFERROR(IF(VLOOKUP(A14,Outbound!$E$1:$AY$411,46,FALSE)&lt;&gt;"","Y",""),"")</f>
        <v/>
      </c>
      <c r="Q14" s="267" t="str">
        <f>IFERROR(IF(VLOOKUP($A14,Outbound!$E$1:$BA$411,20,FALSE)="","","Y"),"")</f>
        <v/>
      </c>
      <c r="R14" s="267" t="str">
        <f>IFERROR(IF(VLOOKUP($A14,Outbound!$E$1:$BA$411,49,FALSE)="","","Y"),"")</f>
        <v/>
      </c>
      <c r="S14" s="309"/>
      <c r="T14" s="309"/>
      <c r="U14" s="246"/>
      <c r="V14" s="246"/>
      <c r="W14" s="117" t="str">
        <f>IFERROR(IF(VLOOKUP($A14,Outbound!$E$1:$BA$411,14,FALSE)="VARIATA","NEW TRAILER",""),"")</f>
        <v/>
      </c>
      <c r="X14" s="117">
        <f>IFERROR(IF(VLOOKUP(A14,Outbound!$E$1:$Y$411,21,FALSE)&lt;&gt;"",VLOOKUP(A14,Outbound!$E$1:$Y$411,21,FALSE),VLOOKUP(A14,Outbound!$E$1:$Y$411,19,FALSE)),"")</f>
        <v>0</v>
      </c>
      <c r="Y14" s="117" t="str">
        <f>IFERROR(CONCATENATE(VLOOKUP($A14,Outbound!$E$1:$BA$411,44,FALSE)," - ",VLOOKUP($A14,Outbound!$E$1:$BA$411,16,FALSE)," - "),"")</f>
        <v xml:space="preserve"> -  - </v>
      </c>
      <c r="Z14" s="246" t="str">
        <f>IFERROR(VLOOKUP(A14,Outbound!$E$2:$AK$412,33,FALSE),"")</f>
        <v/>
      </c>
      <c r="AA14" s="246"/>
      <c r="AB14" s="344" t="str">
        <f>IFERROR(IF(VLOOKUP($A14,Outbound!$E$1:$BA$411,48,FALSE)&lt;&gt;0,VLOOKUP($A14,Outbound!$E$1:$BA$411,48,FALSE),""),"")</f>
        <v/>
      </c>
      <c r="AC14" s="314" t="str">
        <f>IFERROR(IF(VLOOKUP($A14,Outbound!$E$1:$BA$411,49,FALSE)&lt;&gt;0,VLOOKUP($A14,Outbound!$E$1:$BA$411,49,FALSE),""),"")</f>
        <v/>
      </c>
      <c r="AE14" s="343" t="s">
        <v>1376</v>
      </c>
      <c r="AK14" s="9" t="s">
        <v>119</v>
      </c>
      <c r="AL14" s="9" t="s">
        <v>113</v>
      </c>
      <c r="AM14" s="9" t="s">
        <v>1377</v>
      </c>
      <c r="AN14" s="9" t="s">
        <v>0</v>
      </c>
      <c r="AO14" s="9" t="s">
        <v>81</v>
      </c>
      <c r="AP14" s="9" t="s">
        <v>66</v>
      </c>
      <c r="AQ14" s="424">
        <v>46244.4375</v>
      </c>
      <c r="AR14" s="9"/>
      <c r="AS14" s="9" t="s">
        <v>114</v>
      </c>
      <c r="AT14" s="9" t="s">
        <v>1378</v>
      </c>
      <c r="AU14" s="9" t="s">
        <v>1379</v>
      </c>
      <c r="AV14" s="9" t="s">
        <v>81</v>
      </c>
      <c r="AX14" s="9" t="b">
        <v>0</v>
      </c>
      <c r="AY14" s="9" t="s">
        <v>57</v>
      </c>
      <c r="AZ14" s="9" t="b">
        <v>0</v>
      </c>
      <c r="BA14" s="9" t="b">
        <v>0</v>
      </c>
      <c r="BB14" s="9" t="b">
        <v>0</v>
      </c>
      <c r="BC14" s="9" t="b">
        <v>0</v>
      </c>
      <c r="BD14" s="9" t="s">
        <v>59</v>
      </c>
      <c r="BE14" s="9" t="b">
        <v>0</v>
      </c>
    </row>
    <row r="15" spans="1:65" ht="12" customHeight="1">
      <c r="A15" s="237" t="s">
        <v>1380</v>
      </c>
      <c r="B15" s="238" t="str">
        <f t="shared" si="0"/>
        <v>ERN18370</v>
      </c>
      <c r="C15" s="239" t="str">
        <f t="shared" si="1"/>
        <v>Transimeksa Uab</v>
      </c>
      <c r="D15" s="239" t="str">
        <f t="shared" si="2"/>
        <v>NPI197</v>
      </c>
      <c r="E15" s="240">
        <f t="shared" si="3"/>
        <v>46244.416666666664</v>
      </c>
      <c r="F15" s="241" t="s">
        <v>61</v>
      </c>
      <c r="G15" s="241"/>
      <c r="H15" s="308">
        <f>IF(VLOOKUP(A15,Outbound!$E$1:$Q$411,13,FALSE)=0,VLOOKUP(A15,AK:BL,13,FALSE),VLOOKUP(A15,Outbound!$E$1:$Q$411,13,FALSE))</f>
        <v>0</v>
      </c>
      <c r="I15" s="242" t="str">
        <f t="shared" si="6"/>
        <v>DFT</v>
      </c>
      <c r="J15" s="269" t="str">
        <f>IFERROR(IF(VLOOKUP($A15,Outbound!$E$1:$BA$411,17,FALSE)="","","Y"),"")</f>
        <v/>
      </c>
      <c r="K15" s="243"/>
      <c r="L15" s="243"/>
      <c r="M15" s="244" t="str">
        <f t="shared" si="7"/>
        <v>DFT 3</v>
      </c>
      <c r="N15" s="245"/>
      <c r="O15" s="245"/>
      <c r="P15" s="267" t="str">
        <f>IFERROR(IF(VLOOKUP(A15,Outbound!$E$1:$AY$411,46,FALSE)&lt;&gt;"","Y",""),"")</f>
        <v/>
      </c>
      <c r="Q15" s="267" t="str">
        <f>IFERROR(IF(VLOOKUP($A15,Outbound!$E$1:$BA$411,20,FALSE)="","","Y"),"")</f>
        <v/>
      </c>
      <c r="R15" s="267" t="str">
        <f>IFERROR(IF(VLOOKUP($A15,Outbound!$E$1:$BA$411,49,FALSE)="","","Y"),"")</f>
        <v/>
      </c>
      <c r="S15" s="309"/>
      <c r="T15" s="309" t="s">
        <v>1355</v>
      </c>
      <c r="U15" s="246"/>
      <c r="V15" s="246"/>
      <c r="W15" s="117" t="str">
        <f>IFERROR(IF(VLOOKUP($A15,Outbound!$E$1:$BA$411,14,FALSE)="VARIATA","NEW TRAILER",""),"")</f>
        <v/>
      </c>
      <c r="X15" s="117">
        <f>IFERROR(IF(VLOOKUP(A15,Outbound!$E$1:$Y$411,21,FALSE)&lt;&gt;"",VLOOKUP(A15,Outbound!$E$1:$Y$411,21,FALSE),VLOOKUP(A15,Outbound!$E$1:$Y$411,19,FALSE)),"")</f>
        <v>0</v>
      </c>
      <c r="Y15" s="117" t="str">
        <f>IFERROR(CONCATENATE(VLOOKUP($A15,Outbound!$E$1:$BA$411,44,FALSE)," - ",VLOOKUP($A15,Outbound!$E$1:$BA$411,16,FALSE)," - "),"")</f>
        <v xml:space="preserve"> -  - </v>
      </c>
      <c r="Z15" s="246" t="str">
        <f>IFERROR(VLOOKUP(A15,Outbound!$E$2:$AK$412,33,FALSE),"")</f>
        <v/>
      </c>
      <c r="AA15" s="246"/>
      <c r="AB15" s="344" t="str">
        <f>IFERROR(IF(VLOOKUP($A15,Outbound!$E$1:$BA$411,48,FALSE)&lt;&gt;0,VLOOKUP($A15,Outbound!$E$1:$BA$411,48,FALSE),""),"")</f>
        <v/>
      </c>
      <c r="AC15" s="314" t="str">
        <f>IFERROR(IF(VLOOKUP($A15,Outbound!$E$1:$BA$411,49,FALSE)&lt;&gt;0,VLOOKUP($A15,Outbound!$E$1:$BA$411,49,FALSE),""),"")</f>
        <v/>
      </c>
      <c r="AK15" s="9" t="s">
        <v>94</v>
      </c>
      <c r="AL15" s="9" t="s">
        <v>80</v>
      </c>
      <c r="AM15" s="9" t="s">
        <v>1381</v>
      </c>
      <c r="AN15" s="9" t="s">
        <v>0</v>
      </c>
      <c r="AO15" s="9" t="s">
        <v>81</v>
      </c>
      <c r="AP15" s="9" t="s">
        <v>66</v>
      </c>
      <c r="AQ15" s="424">
        <v>46244.09375</v>
      </c>
      <c r="AR15" s="9"/>
      <c r="AS15" s="9" t="s">
        <v>82</v>
      </c>
      <c r="AT15" s="9" t="s">
        <v>1382</v>
      </c>
      <c r="AU15" s="9" t="s">
        <v>1383</v>
      </c>
      <c r="AV15" s="9" t="s">
        <v>81</v>
      </c>
      <c r="AX15" s="9" t="b">
        <v>0</v>
      </c>
      <c r="AY15" s="9" t="s">
        <v>57</v>
      </c>
      <c r="AZ15" s="9" t="b">
        <v>0</v>
      </c>
      <c r="BA15" s="9" t="b">
        <v>0</v>
      </c>
      <c r="BB15" s="9" t="b">
        <v>0</v>
      </c>
      <c r="BC15" s="9" t="b">
        <v>0</v>
      </c>
      <c r="BD15" s="9" t="s">
        <v>59</v>
      </c>
      <c r="BE15" s="9" t="b">
        <v>0</v>
      </c>
    </row>
    <row r="16" spans="1:65" ht="12" customHeight="1">
      <c r="A16" s="237" t="s">
        <v>1384</v>
      </c>
      <c r="B16" s="238" t="str">
        <f t="shared" si="0"/>
        <v>ERN18812</v>
      </c>
      <c r="C16" s="239" t="str">
        <f t="shared" si="1"/>
        <v>Ewals Cargo Care Logistics Bv</v>
      </c>
      <c r="D16" s="239" t="str">
        <f t="shared" si="2"/>
        <v>SV26BIN</v>
      </c>
      <c r="E16" s="240">
        <f t="shared" si="3"/>
        <v>46244.083333333336</v>
      </c>
      <c r="F16" s="241" t="s">
        <v>61</v>
      </c>
      <c r="G16" s="241"/>
      <c r="H16" s="308" t="str">
        <f>IF(VLOOKUP(A16,Outbound!$E$1:$Q$411,13,FALSE)=0,VLOOKUP(A16,AK:BL,13,FALSE),VLOOKUP(A16,Outbound!$E$1:$Q$411,13,FALSE))</f>
        <v>ENB16211</v>
      </c>
      <c r="I16" s="242" t="str">
        <f t="shared" si="6"/>
        <v>HNJ</v>
      </c>
      <c r="J16" s="269" t="str">
        <f>IFERROR(IF(VLOOKUP($A16,Outbound!$E$1:$BA$411,17,FALSE)="","","Y"),"")</f>
        <v>Y</v>
      </c>
      <c r="K16" s="243"/>
      <c r="L16" s="243"/>
      <c r="M16" s="244" t="str">
        <f t="shared" si="7"/>
        <v>HNJ 1</v>
      </c>
      <c r="N16" s="245" t="s">
        <v>421</v>
      </c>
      <c r="O16" s="245" t="s">
        <v>421</v>
      </c>
      <c r="P16" s="267" t="str">
        <f>IFERROR(IF(VLOOKUP(A16,Outbound!$E$1:$AY$411,46,FALSE)&lt;&gt;"","Y",""),"")</f>
        <v/>
      </c>
      <c r="Q16" s="267" t="str">
        <f>IFERROR(IF(VLOOKUP($A16,Outbound!$E$1:$BA$411,20,FALSE)="","","Y"),"")</f>
        <v>Y</v>
      </c>
      <c r="R16" s="267" t="str">
        <f>IFERROR(IF(VLOOKUP($A16,Outbound!$E$1:$BA$411,49,FALSE)="","","Y"),"")</f>
        <v>Y</v>
      </c>
      <c r="S16" s="309">
        <v>4.583333333333333E-2</v>
      </c>
      <c r="T16" s="309"/>
      <c r="U16" s="246"/>
      <c r="V16" s="246"/>
      <c r="W16" s="117" t="str">
        <f>IFERROR(IF(VLOOKUP($A16,Outbound!$E$1:$BA$411,14,FALSE)="VARIATA","NEW TRAILER",""),"")</f>
        <v/>
      </c>
      <c r="X16" s="117" t="str">
        <f>IFERROR(IF(VLOOKUP(A16,Outbound!$E$1:$Y$411,21,FALSE)&lt;&gt;"",VLOOKUP(A16,Outbound!$E$1:$Y$411,21,FALSE),VLOOKUP(A16,Outbound!$E$1:$Y$411,19,FALSE)),"")</f>
        <v>P606</v>
      </c>
      <c r="Y16" s="117" t="str">
        <f>IFERROR(CONCATENATE(VLOOKUP($A16,Outbound!$E$1:$BA$411,44,FALSE)," - ",VLOOKUP($A16,Outbound!$E$1:$BA$411,16,FALSE)," - "),"")</f>
        <v xml:space="preserve"> -  - </v>
      </c>
      <c r="Z16" s="246" t="str">
        <f>IFERROR(VLOOKUP(A16,Outbound!$E$2:$AK$412,33,FALSE),"")</f>
        <v xml:space="preserve"> LL 10  - 7 Bag</v>
      </c>
      <c r="AA16" s="246" t="s">
        <v>421</v>
      </c>
      <c r="AB16" s="344">
        <f>IFERROR(IF(VLOOKUP($A16,Outbound!$E$1:$BA$411,48,FALSE)&lt;&gt;0,VLOOKUP($A16,Outbound!$E$1:$BA$411,48,FALSE),""),"")</f>
        <v>5.9722222222222225E-2</v>
      </c>
      <c r="AC16" s="314" t="str">
        <f>IFERROR(IF(VLOOKUP($A16,Outbound!$E$1:$BA$411,49,FALSE)&lt;&gt;0,VLOOKUP($A16,Outbound!$E$1:$BA$411,49,FALSE),""),"")</f>
        <v>X</v>
      </c>
      <c r="AE16" s="247"/>
      <c r="AK16" s="9" t="s">
        <v>87</v>
      </c>
      <c r="AL16" s="9" t="s">
        <v>100</v>
      </c>
      <c r="AM16" s="9" t="s">
        <v>1385</v>
      </c>
      <c r="AN16" s="9" t="s">
        <v>0</v>
      </c>
      <c r="AO16" s="9" t="s">
        <v>81</v>
      </c>
      <c r="AP16" s="9" t="s">
        <v>66</v>
      </c>
      <c r="AQ16" s="424">
        <v>46244.09375</v>
      </c>
      <c r="AR16" s="9"/>
      <c r="AS16" s="9" t="s">
        <v>89</v>
      </c>
      <c r="AT16" s="9" t="s">
        <v>1386</v>
      </c>
      <c r="AU16" s="9" t="s">
        <v>1387</v>
      </c>
      <c r="AV16" s="9" t="s">
        <v>81</v>
      </c>
      <c r="AX16" s="9" t="b">
        <v>0</v>
      </c>
      <c r="AY16" s="9" t="s">
        <v>76</v>
      </c>
      <c r="AZ16" s="9" t="b">
        <v>0</v>
      </c>
      <c r="BA16" s="9" t="b">
        <v>0</v>
      </c>
      <c r="BB16" s="9" t="b">
        <v>0</v>
      </c>
      <c r="BC16" s="9" t="b">
        <v>0</v>
      </c>
      <c r="BD16" s="9" t="s">
        <v>59</v>
      </c>
      <c r="BE16" s="9" t="b">
        <v>0</v>
      </c>
    </row>
    <row r="17" spans="1:57" ht="12" customHeight="1">
      <c r="A17" s="237" t="s">
        <v>1388</v>
      </c>
      <c r="B17" s="238" t="str">
        <f t="shared" si="0"/>
        <v>ERN18917</v>
      </c>
      <c r="C17" s="239" t="str">
        <f t="shared" si="1"/>
        <v>Maracana Srl</v>
      </c>
      <c r="D17" s="239">
        <f t="shared" si="2"/>
        <v>0</v>
      </c>
      <c r="E17" s="240">
        <f t="shared" si="3"/>
        <v>46244.083333333336</v>
      </c>
      <c r="F17" s="241" t="s">
        <v>61</v>
      </c>
      <c r="G17" s="241"/>
      <c r="H17" s="308" t="str">
        <f>IF(VLOOKUP(A17,Outbound!$E$1:$Q$411,13,FALSE)=0,VLOOKUP(A17,AK:BL,13,FALSE),VLOOKUP(A17,Outbound!$E$1:$Q$411,13,FALSE))</f>
        <v>ENBD20238</v>
      </c>
      <c r="I17" s="242" t="str">
        <f t="shared" si="6"/>
        <v>HNJ</v>
      </c>
      <c r="J17" s="269" t="str">
        <f>IFERROR(IF(VLOOKUP($A17,Outbound!$E$1:$BA$411,17,FALSE)="","","Y"),"")</f>
        <v/>
      </c>
      <c r="K17" s="243"/>
      <c r="L17" s="243"/>
      <c r="M17" s="244" t="str">
        <f t="shared" si="7"/>
        <v>HNJ 2</v>
      </c>
      <c r="N17" s="245" t="s">
        <v>421</v>
      </c>
      <c r="O17" s="245" t="s">
        <v>421</v>
      </c>
      <c r="P17" s="267" t="str">
        <f>IFERROR(IF(VLOOKUP(A17,Outbound!$E$1:$AY$411,46,FALSE)&lt;&gt;"","Y",""),"")</f>
        <v/>
      </c>
      <c r="Q17" s="267" t="str">
        <f>IFERROR(IF(VLOOKUP($A17,Outbound!$E$1:$BA$411,20,FALSE)="","","Y"),"")</f>
        <v>Y</v>
      </c>
      <c r="R17" s="267" t="str">
        <f>IFERROR(IF(VLOOKUP($A17,Outbound!$E$1:$BA$411,49,FALSE)="","","Y"),"")</f>
        <v>Y</v>
      </c>
      <c r="S17" s="309">
        <v>3.3333333333333333E-2</v>
      </c>
      <c r="T17" s="309"/>
      <c r="U17" s="246"/>
      <c r="V17" s="246"/>
      <c r="W17" s="117" t="str">
        <f>IFERROR(IF(VLOOKUP($A17,Outbound!$E$1:$BA$411,14,FALSE)="VARIATA","NEW TRAILER",""),"")</f>
        <v/>
      </c>
      <c r="X17" s="117" t="str">
        <f>IFERROR(IF(VLOOKUP(A17,Outbound!$E$1:$Y$411,21,FALSE)&lt;&gt;"",VLOOKUP(A17,Outbound!$E$1:$Y$411,21,FALSE),VLOOKUP(A17,Outbound!$E$1:$Y$411,19,FALSE)),"")</f>
        <v>R804</v>
      </c>
      <c r="Y17" s="117" t="str">
        <f>IFERROR(CONCATENATE(VLOOKUP($A17,Outbound!$E$1:$BA$411,44,FALSE)," - ",VLOOKUP($A17,Outbound!$E$1:$BA$411,16,FALSE)," - "),"")</f>
        <v xml:space="preserve"> -  - </v>
      </c>
      <c r="Z17" s="246" t="str">
        <f>IFERROR(VLOOKUP(A17,Outbound!$E$2:$AK$412,33,FALSE),"")</f>
        <v xml:space="preserve"> FRT 14 </v>
      </c>
      <c r="AA17" s="246" t="s">
        <v>421</v>
      </c>
      <c r="AB17" s="344">
        <f>IFERROR(IF(VLOOKUP($A17,Outbound!$E$1:$BA$411,48,FALSE)&lt;&gt;0,VLOOKUP($A17,Outbound!$E$1:$BA$411,48,FALSE),""),"")</f>
        <v>4.1666666666666664E-2</v>
      </c>
      <c r="AC17" s="314">
        <f>IFERROR(IF(VLOOKUP($A17,Outbound!$E$1:$BA$411,49,FALSE)&lt;&gt;0,VLOOKUP($A17,Outbound!$E$1:$BA$411,49,FALSE),""),"")</f>
        <v>4.8611111111111112E-2</v>
      </c>
      <c r="AK17" s="9" t="s">
        <v>1389</v>
      </c>
      <c r="AL17" s="9" t="s">
        <v>1390</v>
      </c>
      <c r="AM17" s="9" t="s">
        <v>1391</v>
      </c>
      <c r="AN17" s="9" t="s">
        <v>0</v>
      </c>
      <c r="AO17" s="9" t="s">
        <v>134</v>
      </c>
      <c r="AP17" s="9" t="s">
        <v>66</v>
      </c>
      <c r="AQ17" s="424">
        <v>46244.114583333336</v>
      </c>
      <c r="AR17" s="9"/>
      <c r="AS17" s="9" t="s">
        <v>171</v>
      </c>
      <c r="AT17" s="9"/>
      <c r="AU17" s="9"/>
      <c r="AV17" s="9" t="s">
        <v>134</v>
      </c>
      <c r="AX17" s="9" t="b">
        <v>0</v>
      </c>
      <c r="AY17" s="9" t="s">
        <v>57</v>
      </c>
      <c r="AZ17" s="9" t="b">
        <v>0</v>
      </c>
      <c r="BA17" s="9" t="b">
        <v>0</v>
      </c>
      <c r="BB17" s="9" t="b">
        <v>0</v>
      </c>
      <c r="BC17" s="9" t="b">
        <v>0</v>
      </c>
      <c r="BD17" s="9" t="s">
        <v>59</v>
      </c>
      <c r="BE17" s="9" t="b">
        <v>0</v>
      </c>
    </row>
    <row r="18" spans="1:57" ht="12" customHeight="1">
      <c r="A18" s="237" t="s">
        <v>132</v>
      </c>
      <c r="B18" s="238" t="str">
        <f t="shared" si="0"/>
        <v>ERN17451</v>
      </c>
      <c r="C18" s="239" t="str">
        <f t="shared" si="1"/>
        <v>N.T.S. Bv (New Team Services Bv)</v>
      </c>
      <c r="D18" s="239" t="str">
        <f t="shared" si="2"/>
        <v>AR32VVV</v>
      </c>
      <c r="E18" s="240">
        <f t="shared" si="3"/>
        <v>46244.114583333336</v>
      </c>
      <c r="F18" s="241" t="s">
        <v>61</v>
      </c>
      <c r="G18" s="241"/>
      <c r="H18" s="308" t="str">
        <f>IF(VLOOKUP(A18,Outbound!$E$1:$Q$411,13,FALSE)=0,VLOOKUP(A18,AK:BL,13,FALSE),VLOOKUP(A18,Outbound!$E$1:$Q$411,13,FALSE))</f>
        <v>ENB15376</v>
      </c>
      <c r="I18" s="242" t="str">
        <f t="shared" si="6"/>
        <v>BZQ</v>
      </c>
      <c r="J18" s="269" t="str">
        <f>IFERROR(IF(VLOOKUP($A18,Outbound!$E$1:$BA$411,17,FALSE)="","","Y"),"")</f>
        <v>Y</v>
      </c>
      <c r="K18" s="243"/>
      <c r="L18" s="243"/>
      <c r="M18" s="244" t="str">
        <f t="shared" si="7"/>
        <v>BZQ 1</v>
      </c>
      <c r="N18" s="245" t="s">
        <v>870</v>
      </c>
      <c r="O18" s="245" t="s">
        <v>870</v>
      </c>
      <c r="P18" s="267" t="str">
        <f>IFERROR(IF(VLOOKUP(A18,Outbound!$E$1:$AY$411,46,FALSE)&lt;&gt;"","Y",""),"")</f>
        <v/>
      </c>
      <c r="Q18" s="267" t="str">
        <f>IFERROR(IF(VLOOKUP($A18,Outbound!$E$1:$BA$411,20,FALSE)="","","Y"),"")</f>
        <v>Y</v>
      </c>
      <c r="R18" s="267" t="str">
        <f>IFERROR(IF(VLOOKUP($A18,Outbound!$E$1:$BA$411,49,FALSE)="","","Y"),"")</f>
        <v>Y</v>
      </c>
      <c r="S18" s="309">
        <v>7.7777777777777779E-2</v>
      </c>
      <c r="T18" s="309"/>
      <c r="U18" s="246"/>
      <c r="V18" s="246"/>
      <c r="W18" s="117" t="str">
        <f>IFERROR(IF(VLOOKUP($A18,Outbound!$E$1:$BA$411,14,FALSE)="VARIATA","NEW TRAILER",""),"")</f>
        <v/>
      </c>
      <c r="X18" s="117" t="str">
        <f>IFERROR(IF(VLOOKUP(A18,Outbound!$E$1:$Y$411,21,FALSE)&lt;&gt;"",VLOOKUP(A18,Outbound!$E$1:$Y$411,21,FALSE),VLOOKUP(A18,Outbound!$E$1:$Y$411,19,FALSE)),"")</f>
        <v>P140</v>
      </c>
      <c r="Y18" s="117" t="str">
        <f>IFERROR(CONCATENATE(VLOOKUP($A18,Outbound!$E$1:$BA$411,44,FALSE)," - ",VLOOKUP($A18,Outbound!$E$1:$BA$411,16,FALSE)," - "),"")</f>
        <v xml:space="preserve"> -  - </v>
      </c>
      <c r="Z18" s="246" t="str">
        <f>IFERROR(VLOOKUP(A18,Outbound!$E$2:$AK$412,33,FALSE),"")</f>
        <v xml:space="preserve"> LL 14  - 17 Bag</v>
      </c>
      <c r="AA18" s="246" t="s">
        <v>870</v>
      </c>
      <c r="AB18" s="344" t="str">
        <f>IFERROR(IF(VLOOKUP($A18,Outbound!$E$1:$BA$411,48,FALSE)&lt;&gt;0,VLOOKUP($A18,Outbound!$E$1:$BA$411,48,FALSE),""),"")</f>
        <v/>
      </c>
      <c r="AC18" s="314">
        <f>IFERROR(IF(VLOOKUP($A18,Outbound!$E$1:$BA$411,49,FALSE)&lt;&gt;0,VLOOKUP($A18,Outbound!$E$1:$BA$411,49,FALSE),""),"")</f>
        <v>9.4444444444444442E-2</v>
      </c>
      <c r="AK18" s="9" t="s">
        <v>132</v>
      </c>
      <c r="AL18" s="9" t="s">
        <v>133</v>
      </c>
      <c r="AM18" s="9" t="s">
        <v>1392</v>
      </c>
      <c r="AN18" s="9" t="s">
        <v>0</v>
      </c>
      <c r="AO18" s="9" t="s">
        <v>134</v>
      </c>
      <c r="AP18" s="9" t="s">
        <v>51</v>
      </c>
      <c r="AQ18" s="424">
        <v>46244.114583333336</v>
      </c>
      <c r="AR18" s="9"/>
      <c r="AS18" s="9" t="s">
        <v>1393</v>
      </c>
      <c r="AT18" s="9" t="s">
        <v>1394</v>
      </c>
      <c r="AU18" s="9" t="s">
        <v>1395</v>
      </c>
      <c r="AV18" s="9" t="s">
        <v>134</v>
      </c>
      <c r="AX18" s="9" t="b">
        <v>1</v>
      </c>
      <c r="AY18" s="9" t="s">
        <v>57</v>
      </c>
      <c r="AZ18" s="9" t="b">
        <v>0</v>
      </c>
      <c r="BA18" s="9" t="b">
        <v>0</v>
      </c>
      <c r="BB18" s="9" t="b">
        <v>0</v>
      </c>
      <c r="BC18" s="9" t="b">
        <v>0</v>
      </c>
      <c r="BD18" s="9" t="s">
        <v>59</v>
      </c>
      <c r="BE18" s="9" t="b">
        <v>0</v>
      </c>
    </row>
    <row r="19" spans="1:57" ht="12" customHeight="1">
      <c r="A19" s="237" t="s">
        <v>139</v>
      </c>
      <c r="B19" s="238" t="str">
        <f t="shared" si="0"/>
        <v>ERN16950</v>
      </c>
      <c r="C19" s="239" t="str">
        <f t="shared" si="1"/>
        <v>Matelda Srl</v>
      </c>
      <c r="D19" s="239">
        <f t="shared" si="2"/>
        <v>0</v>
      </c>
      <c r="E19" s="240">
        <f t="shared" si="3"/>
        <v>46244.114583333336</v>
      </c>
      <c r="F19" s="241" t="s">
        <v>61</v>
      </c>
      <c r="G19" s="241"/>
      <c r="H19" s="308" t="str">
        <f>IF(VLOOKUP(A19,Outbound!$E$1:$Q$411,13,FALSE)=0,VLOOKUP(A19,AK:BL,13,FALSE),VLOOKUP(A19,Outbound!$E$1:$Q$411,13,FALSE))</f>
        <v>ENBR22026</v>
      </c>
      <c r="I19" s="242" t="str">
        <f t="shared" si="6"/>
        <v>BZQ</v>
      </c>
      <c r="J19" s="269" t="str">
        <f>IFERROR(IF(VLOOKUP($A19,Outbound!$E$1:$BA$411,17,FALSE)="","","Y"),"")</f>
        <v/>
      </c>
      <c r="K19" s="243"/>
      <c r="L19" s="243"/>
      <c r="M19" s="244" t="str">
        <f t="shared" si="7"/>
        <v>BZQ 2</v>
      </c>
      <c r="N19" s="245" t="s">
        <v>870</v>
      </c>
      <c r="O19" s="245" t="s">
        <v>870</v>
      </c>
      <c r="P19" s="267" t="str">
        <f>IFERROR(IF(VLOOKUP(A19,Outbound!$E$1:$AY$411,46,FALSE)&lt;&gt;"","Y",""),"")</f>
        <v/>
      </c>
      <c r="Q19" s="267" t="str">
        <f>IFERROR(IF(VLOOKUP($A19,Outbound!$E$1:$BA$411,20,FALSE)="","","Y"),"")</f>
        <v>Y</v>
      </c>
      <c r="R19" s="267" t="str">
        <f>IFERROR(IF(VLOOKUP($A19,Outbound!$E$1:$BA$411,49,FALSE)="","","Y"),"")</f>
        <v>Y</v>
      </c>
      <c r="S19" s="309">
        <v>7.7083333333333337E-2</v>
      </c>
      <c r="T19" s="309"/>
      <c r="U19" s="246"/>
      <c r="V19" s="246"/>
      <c r="W19" s="117" t="str">
        <f>IFERROR(IF(VLOOKUP($A19,Outbound!$E$1:$BA$411,14,FALSE)="VARIATA","NEW TRAILER",""),"")</f>
        <v/>
      </c>
      <c r="X19" s="117" t="str">
        <f>IFERROR(IF(VLOOKUP(A19,Outbound!$E$1:$Y$411,21,FALSE)&lt;&gt;"",VLOOKUP(A19,Outbound!$E$1:$Y$411,21,FALSE),VLOOKUP(A19,Outbound!$E$1:$Y$411,19,FALSE)),"")</f>
        <v>p607</v>
      </c>
      <c r="Y19" s="117" t="str">
        <f>IFERROR(CONCATENATE(VLOOKUP($A19,Outbound!$E$1:$BA$411,44,FALSE)," - ",VLOOKUP($A19,Outbound!$E$1:$BA$411,16,FALSE)," - "),"")</f>
        <v xml:space="preserve"> -  - </v>
      </c>
      <c r="Z19" s="246" t="str">
        <f>IFERROR(VLOOKUP(A19,Outbound!$E$2:$AK$412,33,FALSE),"")</f>
        <v xml:space="preserve"> FRT 14 </v>
      </c>
      <c r="AA19" s="246" t="s">
        <v>421</v>
      </c>
      <c r="AB19" s="344">
        <f>IFERROR(IF(VLOOKUP($A19,Outbound!$E$1:$BA$411,48,FALSE)&lt;&gt;0,VLOOKUP($A19,Outbound!$E$1:$BA$411,48,FALSE),""),"")</f>
        <v>8.4027777777777785E-2</v>
      </c>
      <c r="AC19" s="314">
        <f>IFERROR(IF(VLOOKUP($A19,Outbound!$E$1:$BA$411,49,FALSE)&lt;&gt;0,VLOOKUP($A19,Outbound!$E$1:$BA$411,49,FALSE),""),"")</f>
        <v>9.0277777777777776E-2</v>
      </c>
      <c r="AK19" s="9" t="s">
        <v>139</v>
      </c>
      <c r="AL19" s="9" t="s">
        <v>140</v>
      </c>
      <c r="AM19" s="9" t="s">
        <v>1396</v>
      </c>
      <c r="AN19" s="9" t="s">
        <v>0</v>
      </c>
      <c r="AO19" s="9" t="s">
        <v>134</v>
      </c>
      <c r="AP19" s="9" t="s">
        <v>66</v>
      </c>
      <c r="AQ19" s="424">
        <v>46244.114583333336</v>
      </c>
      <c r="AR19" s="9"/>
      <c r="AS19" s="9" t="s">
        <v>52</v>
      </c>
      <c r="AT19" s="9"/>
      <c r="AU19" s="9"/>
      <c r="AV19" s="9" t="s">
        <v>134</v>
      </c>
      <c r="AX19" s="9" t="b">
        <v>0</v>
      </c>
      <c r="AY19" s="9" t="s">
        <v>57</v>
      </c>
      <c r="AZ19" s="9" t="b">
        <v>0</v>
      </c>
      <c r="BA19" s="9" t="b">
        <v>0</v>
      </c>
      <c r="BB19" s="9" t="b">
        <v>0</v>
      </c>
      <c r="BC19" s="9" t="b">
        <v>0</v>
      </c>
      <c r="BD19" s="9" t="s">
        <v>59</v>
      </c>
      <c r="BE19" s="9" t="b">
        <v>0</v>
      </c>
    </row>
    <row r="20" spans="1:57" ht="12" customHeight="1">
      <c r="A20" s="237" t="s">
        <v>1389</v>
      </c>
      <c r="B20" s="238" t="str">
        <f t="shared" si="0"/>
        <v>ERN92357</v>
      </c>
      <c r="C20" s="239" t="str">
        <f t="shared" si="1"/>
        <v>T Service Spa</v>
      </c>
      <c r="D20" s="239">
        <f t="shared" si="2"/>
        <v>0</v>
      </c>
      <c r="E20" s="240">
        <f t="shared" si="3"/>
        <v>46244.114583333336</v>
      </c>
      <c r="F20" s="241" t="s">
        <v>61</v>
      </c>
      <c r="G20" s="241"/>
      <c r="H20" s="308" t="str">
        <f>IF(VLOOKUP(A20,Outbound!$E$1:$Q$411,13,FALSE)=0,VLOOKUP(A20,AK:BL,13,FALSE),VLOOKUP(A20,Outbound!$E$1:$Q$411,13,FALSE))</f>
        <v>ENB17310</v>
      </c>
      <c r="I20" s="242" t="str">
        <f t="shared" si="6"/>
        <v>BZQ</v>
      </c>
      <c r="J20" s="269" t="str">
        <f>IFERROR(IF(VLOOKUP($A20,Outbound!$E$1:$BA$411,17,FALSE)="","","Y"),"")</f>
        <v>Y</v>
      </c>
      <c r="K20" s="243"/>
      <c r="L20" s="243"/>
      <c r="M20" s="244" t="str">
        <f t="shared" si="7"/>
        <v>BZQ 3</v>
      </c>
      <c r="N20" s="245" t="s">
        <v>421</v>
      </c>
      <c r="O20" s="245" t="s">
        <v>421</v>
      </c>
      <c r="P20" s="267" t="str">
        <f>IFERROR(IF(VLOOKUP(A20,Outbound!$E$1:$AY$411,46,FALSE)&lt;&gt;"","Y",""),"")</f>
        <v/>
      </c>
      <c r="Q20" s="267" t="str">
        <f>IFERROR(IF(VLOOKUP($A20,Outbound!$E$1:$BA$411,20,FALSE)="","","Y"),"")</f>
        <v>Y</v>
      </c>
      <c r="R20" s="267" t="str">
        <f>IFERROR(IF(VLOOKUP($A20,Outbound!$E$1:$BA$411,49,FALSE)="","","Y"),"")</f>
        <v>Y</v>
      </c>
      <c r="S20" s="309">
        <v>8.1250000000000003E-2</v>
      </c>
      <c r="T20" s="309" t="s">
        <v>1397</v>
      </c>
      <c r="U20" s="246"/>
      <c r="V20" s="246"/>
      <c r="W20" s="117" t="str">
        <f>IFERROR(IF(VLOOKUP($A20,Outbound!$E$1:$BA$411,14,FALSE)="VARIATA","NEW TRAILER",""),"")</f>
        <v/>
      </c>
      <c r="X20" s="117" t="str">
        <f>IFERROR(IF(VLOOKUP(A20,Outbound!$E$1:$Y$411,21,FALSE)&lt;&gt;"",VLOOKUP(A20,Outbound!$E$1:$Y$411,21,FALSE),VLOOKUP(A20,Outbound!$E$1:$Y$411,19,FALSE)),"")</f>
        <v>R745</v>
      </c>
      <c r="Y20" s="117" t="str">
        <f>IFERROR(CONCATENATE(VLOOKUP($A20,Outbound!$E$1:$BA$411,44,FALSE)," - ",VLOOKUP($A20,Outbound!$E$1:$BA$411,16,FALSE)," - "),"")</f>
        <v xml:space="preserve"> -  - </v>
      </c>
      <c r="Z20" s="246" t="str">
        <f>IFERROR(VLOOKUP(A20,Outbound!$E$2:$AK$412,33,FALSE),"")</f>
        <v xml:space="preserve"> LL 3,  FRT 4 </v>
      </c>
      <c r="AA20" s="246" t="s">
        <v>421</v>
      </c>
      <c r="AB20" s="344">
        <f>IFERROR(IF(VLOOKUP($A20,Outbound!$E$1:$BA$411,48,FALSE)&lt;&gt;0,VLOOKUP($A20,Outbound!$E$1:$BA$411,48,FALSE),""),"")</f>
        <v>8.611111111111111E-2</v>
      </c>
      <c r="AC20" s="314">
        <f>IFERROR(IF(VLOOKUP($A20,Outbound!$E$1:$BA$411,49,FALSE)&lt;&gt;0,VLOOKUP($A20,Outbound!$E$1:$BA$411,49,FALSE),""),"")</f>
        <v>9.2361111111111116E-2</v>
      </c>
      <c r="AK20" s="9" t="s">
        <v>1375</v>
      </c>
      <c r="AL20" s="9" t="s">
        <v>1398</v>
      </c>
      <c r="AM20" s="9" t="s">
        <v>1399</v>
      </c>
      <c r="AN20" s="9" t="s">
        <v>0</v>
      </c>
      <c r="AO20" s="9" t="s">
        <v>124</v>
      </c>
      <c r="AP20" s="9" t="s">
        <v>66</v>
      </c>
      <c r="AQ20" s="424">
        <v>46244.416666666664</v>
      </c>
      <c r="AR20" s="9"/>
      <c r="AS20" s="9" t="s">
        <v>52</v>
      </c>
      <c r="AT20" s="9" t="s">
        <v>1400</v>
      </c>
      <c r="AU20" s="9" t="s">
        <v>1401</v>
      </c>
      <c r="AV20" s="9" t="s">
        <v>124</v>
      </c>
      <c r="AX20" s="9" t="b">
        <v>0</v>
      </c>
      <c r="AY20" s="9" t="s">
        <v>57</v>
      </c>
      <c r="AZ20" s="9" t="b">
        <v>0</v>
      </c>
      <c r="BA20" s="9" t="b">
        <v>0</v>
      </c>
      <c r="BB20" s="9" t="b">
        <v>0</v>
      </c>
      <c r="BC20" s="9" t="b">
        <v>0</v>
      </c>
      <c r="BD20" s="9" t="s">
        <v>59</v>
      </c>
      <c r="BE20" s="9" t="b">
        <v>0</v>
      </c>
    </row>
    <row r="21" spans="1:57" ht="12" customHeight="1">
      <c r="A21" s="237" t="s">
        <v>142</v>
      </c>
      <c r="B21" s="238" t="str">
        <f t="shared" si="0"/>
        <v>ERN17082</v>
      </c>
      <c r="C21" s="239" t="str">
        <f t="shared" si="1"/>
        <v>Fedex Express Netherlands Bv Rno Own Nl</v>
      </c>
      <c r="D21" s="239" t="str">
        <f t="shared" si="2"/>
        <v>BD404T</v>
      </c>
      <c r="E21" s="240">
        <f t="shared" si="3"/>
        <v>46244.083333333336</v>
      </c>
      <c r="F21" s="241" t="s">
        <v>61</v>
      </c>
      <c r="G21" s="241"/>
      <c r="H21" s="308" t="str">
        <f>IF(VLOOKUP(A21,Outbound!$E$1:$Q$411,13,FALSE)=0,VLOOKUP(A21,AK:BL,13,FALSE),VLOOKUP(A21,Outbound!$E$1:$Q$411,13,FALSE))</f>
        <v>ENBR21185</v>
      </c>
      <c r="I21" s="242" t="str">
        <f t="shared" si="6"/>
        <v>QAR</v>
      </c>
      <c r="J21" s="269" t="str">
        <f>IFERROR(IF(VLOOKUP($A21,Outbound!$E$1:$BA$411,17,FALSE)="","","Y"),"")</f>
        <v/>
      </c>
      <c r="K21" s="243"/>
      <c r="L21" s="243"/>
      <c r="M21" s="244" t="str">
        <f t="shared" si="7"/>
        <v>QAR 1</v>
      </c>
      <c r="N21" s="245" t="s">
        <v>421</v>
      </c>
      <c r="O21" s="245" t="s">
        <v>421</v>
      </c>
      <c r="P21" s="267" t="str">
        <f>IFERROR(IF(VLOOKUP(A21,Outbound!$E$1:$AY$411,46,FALSE)&lt;&gt;"","Y",""),"")</f>
        <v/>
      </c>
      <c r="Q21" s="267" t="str">
        <f>IFERROR(IF(VLOOKUP($A21,Outbound!$E$1:$BA$411,20,FALSE)="","","Y"),"")</f>
        <v>Y</v>
      </c>
      <c r="R21" s="267" t="str">
        <f>IFERROR(IF(VLOOKUP($A21,Outbound!$E$1:$BA$411,49,FALSE)="","","Y"),"")</f>
        <v>Y</v>
      </c>
      <c r="S21" s="309">
        <v>0.9291666666666667</v>
      </c>
      <c r="T21" s="309"/>
      <c r="U21" s="246"/>
      <c r="V21" s="246"/>
      <c r="W21" s="117" t="str">
        <f>IFERROR(IF(VLOOKUP($A21,Outbound!$E$1:$BA$411,14,FALSE)="VARIATA","NEW TRAILER",""),"")</f>
        <v/>
      </c>
      <c r="X21" s="117" t="str">
        <f>IFERROR(IF(VLOOKUP(A21,Outbound!$E$1:$Y$411,21,FALSE)&lt;&gt;"",VLOOKUP(A21,Outbound!$E$1:$Y$411,21,FALSE),VLOOKUP(A21,Outbound!$E$1:$Y$411,19,FALSE)),"")</f>
        <v>P601</v>
      </c>
      <c r="Y21" s="117" t="str">
        <f>IFERROR(CONCATENATE(VLOOKUP($A21,Outbound!$E$1:$BA$411,44,FALSE)," - ",VLOOKUP($A21,Outbound!$E$1:$BA$411,16,FALSE)," - "),"")</f>
        <v xml:space="preserve"> -  - </v>
      </c>
      <c r="Z21" s="246" t="str">
        <f>IFERROR(VLOOKUP(A21,Outbound!$E$2:$AK$412,33,FALSE),"")</f>
        <v xml:space="preserve"> FRT 14, DD 5 </v>
      </c>
      <c r="AA21" s="246" t="s">
        <v>870</v>
      </c>
      <c r="AB21" s="344">
        <f>IFERROR(IF(VLOOKUP($A21,Outbound!$E$1:$BA$411,48,FALSE)&lt;&gt;0,VLOOKUP($A21,Outbound!$E$1:$BA$411,48,FALSE),""),"")</f>
        <v>0.93333333333333335</v>
      </c>
      <c r="AC21" s="314">
        <f>IFERROR(IF(VLOOKUP($A21,Outbound!$E$1:$BA$411,49,FALSE)&lt;&gt;0,VLOOKUP($A21,Outbound!$E$1:$BA$411,49,FALSE),""),"")</f>
        <v>0.94236111111111109</v>
      </c>
      <c r="AK21" s="9" t="s">
        <v>1371</v>
      </c>
      <c r="AL21" s="9" t="s">
        <v>1402</v>
      </c>
      <c r="AM21" s="9" t="s">
        <v>1403</v>
      </c>
      <c r="AN21" s="9" t="s">
        <v>0</v>
      </c>
      <c r="AO21" s="9" t="s">
        <v>124</v>
      </c>
      <c r="AP21" s="9" t="s">
        <v>66</v>
      </c>
      <c r="AQ21" s="424">
        <v>46244.416666666664</v>
      </c>
      <c r="AR21" s="9"/>
      <c r="AS21" s="9" t="s">
        <v>171</v>
      </c>
      <c r="AT21" s="9"/>
      <c r="AU21" s="9"/>
      <c r="AV21" s="9" t="s">
        <v>124</v>
      </c>
      <c r="AX21" s="9" t="b">
        <v>0</v>
      </c>
      <c r="AY21" s="9" t="s">
        <v>57</v>
      </c>
      <c r="AZ21" s="9" t="b">
        <v>0</v>
      </c>
      <c r="BA21" s="9" t="b">
        <v>0</v>
      </c>
      <c r="BB21" s="9" t="b">
        <v>0</v>
      </c>
      <c r="BC21" s="9" t="b">
        <v>0</v>
      </c>
      <c r="BD21" s="9" t="s">
        <v>59</v>
      </c>
      <c r="BE21" s="9" t="b">
        <v>0</v>
      </c>
    </row>
    <row r="22" spans="1:57" ht="12" customHeight="1">
      <c r="A22" s="237" t="s">
        <v>148</v>
      </c>
      <c r="B22" s="238" t="str">
        <f t="shared" si="0"/>
        <v>ERN17079</v>
      </c>
      <c r="C22" s="239" t="str">
        <f t="shared" si="1"/>
        <v>Fedex Express Netherlands Bv Rno Own Nl</v>
      </c>
      <c r="D22" s="239" t="str">
        <f t="shared" si="2"/>
        <v>BD879N</v>
      </c>
      <c r="E22" s="240">
        <f t="shared" si="3"/>
        <v>46244.083333333336</v>
      </c>
      <c r="F22" s="241" t="s">
        <v>61</v>
      </c>
      <c r="G22" s="241"/>
      <c r="H22" s="308" t="str">
        <f>IF(VLOOKUP(A22,Outbound!$E$1:$Q$411,13,FALSE)=0,VLOOKUP(A22,AK:BL,13,FALSE),VLOOKUP(A22,Outbound!$E$1:$Q$411,13,FALSE))</f>
        <v>ENB15458</v>
      </c>
      <c r="I22" s="242" t="str">
        <f t="shared" si="6"/>
        <v>QAR</v>
      </c>
      <c r="J22" s="269" t="str">
        <f>IFERROR(IF(VLOOKUP($A22,Outbound!$E$1:$BA$411,17,FALSE)="","","Y"),"")</f>
        <v>Y</v>
      </c>
      <c r="K22" s="243"/>
      <c r="L22" s="243"/>
      <c r="M22" s="244" t="str">
        <f t="shared" si="7"/>
        <v>QAR 2</v>
      </c>
      <c r="N22" s="245" t="s">
        <v>421</v>
      </c>
      <c r="O22" s="245" t="s">
        <v>421</v>
      </c>
      <c r="P22" s="267" t="str">
        <f>IFERROR(IF(VLOOKUP(A22,Outbound!$E$1:$AY$411,46,FALSE)&lt;&gt;"","Y",""),"")</f>
        <v/>
      </c>
      <c r="Q22" s="267" t="str">
        <f>IFERROR(IF(VLOOKUP($A22,Outbound!$E$1:$BA$411,20,FALSE)="","","Y"),"")</f>
        <v>Y</v>
      </c>
      <c r="R22" s="267" t="str">
        <f>IFERROR(IF(VLOOKUP($A22,Outbound!$E$1:$BA$411,49,FALSE)="","","Y"),"")</f>
        <v>Y</v>
      </c>
      <c r="S22" s="309">
        <v>0.94791666666666663</v>
      </c>
      <c r="T22" s="309"/>
      <c r="U22" s="246"/>
      <c r="V22" s="246"/>
      <c r="W22" s="117" t="str">
        <f>IFERROR(IF(VLOOKUP($A22,Outbound!$E$1:$BA$411,14,FALSE)="VARIATA","NEW TRAILER",""),"")</f>
        <v/>
      </c>
      <c r="X22" s="117" t="str">
        <f>IFERROR(IF(VLOOKUP(A22,Outbound!$E$1:$Y$411,21,FALSE)&lt;&gt;"",VLOOKUP(A22,Outbound!$E$1:$Y$411,21,FALSE),VLOOKUP(A22,Outbound!$E$1:$Y$411,19,FALSE)),"")</f>
        <v>P607</v>
      </c>
      <c r="Y22" s="117" t="str">
        <f>IFERROR(CONCATENATE(VLOOKUP($A22,Outbound!$E$1:$BA$411,44,FALSE)," - ",VLOOKUP($A22,Outbound!$E$1:$BA$411,16,FALSE)," - "),"")</f>
        <v xml:space="preserve"> -  - </v>
      </c>
      <c r="Z22" s="246" t="str">
        <f>IFERROR(VLOOKUP(A22,Outbound!$E$2:$AK$412,33,FALSE),"")</f>
        <v xml:space="preserve"> LL 5.5,  FRT 8.5  - 2 Bag</v>
      </c>
      <c r="AA22" s="246" t="s">
        <v>870</v>
      </c>
      <c r="AB22" s="344">
        <f>IFERROR(IF(VLOOKUP($A22,Outbound!$E$1:$BA$411,48,FALSE)&lt;&gt;0,VLOOKUP($A22,Outbound!$E$1:$BA$411,48,FALSE),""),"")</f>
        <v>0.97569444444444442</v>
      </c>
      <c r="AC22" s="314">
        <f>IFERROR(IF(VLOOKUP($A22,Outbound!$E$1:$BA$411,49,FALSE)&lt;&gt;0,VLOOKUP($A22,Outbound!$E$1:$BA$411,49,FALSE),""),"")</f>
        <v>0.98124999999999996</v>
      </c>
      <c r="AK22" s="9" t="s">
        <v>1380</v>
      </c>
      <c r="AL22" s="9" t="s">
        <v>1404</v>
      </c>
      <c r="AM22" s="9" t="s">
        <v>1405</v>
      </c>
      <c r="AN22" s="9" t="s">
        <v>0</v>
      </c>
      <c r="AO22" s="9" t="s">
        <v>124</v>
      </c>
      <c r="AP22" s="9" t="s">
        <v>66</v>
      </c>
      <c r="AQ22" s="424">
        <v>46244.416666666664</v>
      </c>
      <c r="AR22" s="9"/>
      <c r="AS22" s="9" t="s">
        <v>1406</v>
      </c>
      <c r="AT22" s="9" t="s">
        <v>1407</v>
      </c>
      <c r="AU22" s="9" t="s">
        <v>1408</v>
      </c>
      <c r="AV22" s="9" t="s">
        <v>124</v>
      </c>
      <c r="AX22" s="9" t="b">
        <v>0</v>
      </c>
      <c r="AY22" s="9" t="s">
        <v>57</v>
      </c>
      <c r="AZ22" s="9" t="b">
        <v>0</v>
      </c>
      <c r="BA22" s="9" t="b">
        <v>0</v>
      </c>
      <c r="BB22" s="9" t="b">
        <v>0</v>
      </c>
      <c r="BC22" s="9" t="b">
        <v>0</v>
      </c>
      <c r="BD22" s="9" t="s">
        <v>59</v>
      </c>
      <c r="BE22" s="9" t="b">
        <v>0</v>
      </c>
    </row>
    <row r="23" spans="1:57" ht="12" customHeight="1">
      <c r="A23" s="237" t="s">
        <v>155</v>
      </c>
      <c r="B23" s="238" t="str">
        <f t="shared" si="0"/>
        <v>ERN17085</v>
      </c>
      <c r="C23" s="239" t="str">
        <f t="shared" si="1"/>
        <v>Fedex Express Netherlands Bv Rno Own Nl</v>
      </c>
      <c r="D23" s="239" t="str">
        <f t="shared" si="2"/>
        <v>BD407T</v>
      </c>
      <c r="E23" s="240">
        <f t="shared" si="3"/>
        <v>46244.09375</v>
      </c>
      <c r="F23" s="241" t="s">
        <v>61</v>
      </c>
      <c r="G23" s="241"/>
      <c r="H23" s="308" t="str">
        <f>IF(VLOOKUP(A23,Outbound!$E$1:$Q$411,13,FALSE)=0,VLOOKUP(A23,AK:BL,13,FALSE),VLOOKUP(A23,Outbound!$E$1:$Q$411,13,FALSE))</f>
        <v>enbr21355</v>
      </c>
      <c r="I23" s="242" t="str">
        <f t="shared" si="6"/>
        <v>QAR</v>
      </c>
      <c r="J23" s="269" t="str">
        <f>IFERROR(IF(VLOOKUP($A23,Outbound!$E$1:$BA$411,17,FALSE)="","","Y"),"")</f>
        <v>Y</v>
      </c>
      <c r="K23" s="243"/>
      <c r="L23" s="243"/>
      <c r="M23" s="244" t="str">
        <f t="shared" si="7"/>
        <v>QAR 3</v>
      </c>
      <c r="N23" s="245" t="s">
        <v>421</v>
      </c>
      <c r="O23" s="245" t="s">
        <v>421</v>
      </c>
      <c r="P23" s="267" t="str">
        <f>IFERROR(IF(VLOOKUP(A23,Outbound!$E$1:$AY$411,46,FALSE)&lt;&gt;"","Y",""),"")</f>
        <v/>
      </c>
      <c r="Q23" s="267" t="str">
        <f>IFERROR(IF(VLOOKUP($A23,Outbound!$E$1:$BA$411,20,FALSE)="","","Y"),"")</f>
        <v>Y</v>
      </c>
      <c r="R23" s="267" t="str">
        <f>IFERROR(IF(VLOOKUP($A23,Outbound!$E$1:$BA$411,49,FALSE)="","","Y"),"")</f>
        <v>Y</v>
      </c>
      <c r="S23" s="309">
        <v>4.8611111111111112E-3</v>
      </c>
      <c r="T23" s="309"/>
      <c r="U23" s="246"/>
      <c r="V23" s="246"/>
      <c r="W23" s="117" t="str">
        <f>IFERROR(IF(VLOOKUP($A23,Outbound!$E$1:$BA$411,14,FALSE)="VARIATA","NEW TRAILER",""),"")</f>
        <v/>
      </c>
      <c r="X23" s="117" t="str">
        <f>IFERROR(IF(VLOOKUP(A23,Outbound!$E$1:$Y$411,21,FALSE)&lt;&gt;"",VLOOKUP(A23,Outbound!$E$1:$Y$411,21,FALSE),VLOOKUP(A23,Outbound!$E$1:$Y$411,19,FALSE)),"")</f>
        <v>P138</v>
      </c>
      <c r="Y23" s="117" t="str">
        <f>IFERROR(CONCATENATE(VLOOKUP($A23,Outbound!$E$1:$BA$411,44,FALSE)," - ",VLOOKUP($A23,Outbound!$E$1:$BA$411,16,FALSE)," - "),"")</f>
        <v xml:space="preserve"> -  - </v>
      </c>
      <c r="Z23" s="246" t="str">
        <f>IFERROR(VLOOKUP(A23,Outbound!$E$2:$AK$412,33,FALSE),"")</f>
        <v xml:space="preserve"> LL 14  - 4 Bag</v>
      </c>
      <c r="AA23" s="246" t="s">
        <v>870</v>
      </c>
      <c r="AB23" s="344">
        <f>IFERROR(IF(VLOOKUP($A23,Outbound!$E$1:$BA$411,48,FALSE)&lt;&gt;0,VLOOKUP($A23,Outbound!$E$1:$BA$411,48,FALSE),""),"")</f>
        <v>9.0277777777777769E-3</v>
      </c>
      <c r="AC23" s="314">
        <f>IFERROR(IF(VLOOKUP($A23,Outbound!$E$1:$BA$411,49,FALSE)&lt;&gt;0,VLOOKUP($A23,Outbound!$E$1:$BA$411,49,FALSE),""),"")</f>
        <v>1.5277777777777777E-2</v>
      </c>
      <c r="AK23" s="9" t="s">
        <v>77</v>
      </c>
      <c r="AL23" s="9" t="s">
        <v>167</v>
      </c>
      <c r="AM23" s="9" t="s">
        <v>1409</v>
      </c>
      <c r="AN23" s="9" t="s">
        <v>0</v>
      </c>
      <c r="AO23" s="9" t="s">
        <v>150</v>
      </c>
      <c r="AP23" s="9" t="s">
        <v>66</v>
      </c>
      <c r="AQ23" s="424">
        <v>46244.104166666664</v>
      </c>
      <c r="AR23" s="9"/>
      <c r="AS23" s="9" t="s">
        <v>168</v>
      </c>
      <c r="AT23" s="9"/>
      <c r="AU23" s="9"/>
      <c r="AV23" s="9" t="s">
        <v>150</v>
      </c>
      <c r="AX23" s="9" t="b">
        <v>0</v>
      </c>
      <c r="AY23" s="9" t="s">
        <v>57</v>
      </c>
      <c r="AZ23" s="9" t="b">
        <v>0</v>
      </c>
      <c r="BA23" s="9" t="b">
        <v>0</v>
      </c>
      <c r="BB23" s="9" t="b">
        <v>0</v>
      </c>
      <c r="BC23" s="9" t="b">
        <v>0</v>
      </c>
      <c r="BD23" s="9" t="s">
        <v>59</v>
      </c>
      <c r="BE23" s="9" t="b">
        <v>0</v>
      </c>
    </row>
    <row r="24" spans="1:57" ht="12" customHeight="1">
      <c r="A24" s="237" t="s">
        <v>1410</v>
      </c>
      <c r="B24" s="238" t="str">
        <f t="shared" si="0"/>
        <v>ERN92398</v>
      </c>
      <c r="C24" s="239" t="str">
        <f t="shared" si="1"/>
        <v>Galileo Transport Srl</v>
      </c>
      <c r="D24" s="239">
        <f t="shared" si="2"/>
        <v>0</v>
      </c>
      <c r="E24" s="240">
        <f t="shared" si="3"/>
        <v>46244.09375</v>
      </c>
      <c r="F24" s="241" t="s">
        <v>61</v>
      </c>
      <c r="G24" s="241"/>
      <c r="H24" s="308" t="str">
        <f>IF(VLOOKUP(A24,Outbound!$E$1:$Q$411,13,FALSE)=0,VLOOKUP(A24,AK:BL,13,FALSE),VLOOKUP(A24,Outbound!$E$1:$Q$411,13,FALSE))</f>
        <v>RENT214</v>
      </c>
      <c r="I24" s="242" t="str">
        <f t="shared" si="6"/>
        <v>QAR</v>
      </c>
      <c r="J24" s="269" t="str">
        <f>IFERROR(IF(VLOOKUP($A24,Outbound!$E$1:$BA$411,17,FALSE)="","","Y"),"")</f>
        <v/>
      </c>
      <c r="K24" s="243"/>
      <c r="L24" s="243"/>
      <c r="M24" s="244" t="str">
        <f t="shared" si="7"/>
        <v>QAR 4</v>
      </c>
      <c r="N24" s="245" t="s">
        <v>870</v>
      </c>
      <c r="O24" s="245" t="s">
        <v>870</v>
      </c>
      <c r="P24" s="267" t="str">
        <f>IFERROR(IF(VLOOKUP(A24,Outbound!$E$1:$AY$411,46,FALSE)&lt;&gt;"","Y",""),"")</f>
        <v/>
      </c>
      <c r="Q24" s="267" t="str">
        <f>IFERROR(IF(VLOOKUP($A24,Outbound!$E$1:$BA$411,20,FALSE)="","","Y"),"")</f>
        <v>Y</v>
      </c>
      <c r="R24" s="267" t="str">
        <f>IFERROR(IF(VLOOKUP($A24,Outbound!$E$1:$BA$411,49,FALSE)="","","Y"),"")</f>
        <v>Y</v>
      </c>
      <c r="S24" s="309">
        <v>5.7638888888888892E-2</v>
      </c>
      <c r="T24" s="309" t="s">
        <v>1397</v>
      </c>
      <c r="U24" s="246"/>
      <c r="V24" s="246"/>
      <c r="W24" s="117" t="str">
        <f>IFERROR(IF(VLOOKUP($A24,Outbound!$E$1:$BA$411,14,FALSE)="VARIATA","NEW TRAILER",""),"")</f>
        <v/>
      </c>
      <c r="X24" s="117" t="str">
        <f>IFERROR(IF(VLOOKUP(A24,Outbound!$E$1:$Y$411,21,FALSE)&lt;&gt;"",VLOOKUP(A24,Outbound!$E$1:$Y$411,21,FALSE),VLOOKUP(A24,Outbound!$E$1:$Y$411,19,FALSE)),"")</f>
        <v>R833</v>
      </c>
      <c r="Y24" s="117" t="str">
        <f>IFERROR(CONCATENATE(VLOOKUP($A24,Outbound!$E$1:$BA$411,44,FALSE)," - ",VLOOKUP($A24,Outbound!$E$1:$BA$411,16,FALSE)," - "),"")</f>
        <v xml:space="preserve"> -  - </v>
      </c>
      <c r="Z24" s="246" t="str">
        <f>IFERROR(VLOOKUP(A24,Outbound!$E$2:$AK$412,33,FALSE),"")</f>
        <v xml:space="preserve"> FRT 14 </v>
      </c>
      <c r="AA24" s="246" t="s">
        <v>870</v>
      </c>
      <c r="AB24" s="344">
        <f>IFERROR(IF(VLOOKUP($A24,Outbound!$E$1:$BA$411,48,FALSE)&lt;&gt;0,VLOOKUP($A24,Outbound!$E$1:$BA$411,48,FALSE),""),"")</f>
        <v>6.7361111111111108E-2</v>
      </c>
      <c r="AC24" s="314">
        <f>IFERROR(IF(VLOOKUP($A24,Outbound!$E$1:$BA$411,49,FALSE)&lt;&gt;0,VLOOKUP($A24,Outbound!$E$1:$BA$411,49,FALSE),""),"")</f>
        <v>8.3333333333333329E-2</v>
      </c>
      <c r="AK24" s="9" t="s">
        <v>173</v>
      </c>
      <c r="AL24" s="9" t="s">
        <v>1411</v>
      </c>
      <c r="AM24" s="9" t="s">
        <v>1412</v>
      </c>
      <c r="AN24" s="9" t="s">
        <v>0</v>
      </c>
      <c r="AO24" s="9" t="s">
        <v>150</v>
      </c>
      <c r="AP24" s="9" t="s">
        <v>66</v>
      </c>
      <c r="AQ24" s="424">
        <v>46244.375</v>
      </c>
      <c r="AR24" s="9"/>
      <c r="AS24" s="9" t="s">
        <v>128</v>
      </c>
      <c r="AT24" s="9"/>
      <c r="AU24" s="9"/>
      <c r="AV24" s="9" t="s">
        <v>150</v>
      </c>
      <c r="AX24" s="9" t="b">
        <v>0</v>
      </c>
      <c r="AY24" s="9" t="s">
        <v>57</v>
      </c>
      <c r="AZ24" s="9" t="b">
        <v>0</v>
      </c>
      <c r="BA24" s="9" t="b">
        <v>0</v>
      </c>
      <c r="BB24" s="9" t="b">
        <v>0</v>
      </c>
      <c r="BC24" s="9" t="b">
        <v>0</v>
      </c>
      <c r="BD24" s="9" t="s">
        <v>59</v>
      </c>
      <c r="BE24" s="9" t="b">
        <v>0</v>
      </c>
    </row>
    <row r="25" spans="1:57" ht="12" customHeight="1">
      <c r="A25" s="237" t="s">
        <v>1413</v>
      </c>
      <c r="B25" s="238" t="str">
        <f t="shared" si="0"/>
        <v>ERN92353</v>
      </c>
      <c r="C25" s="239" t="str">
        <f t="shared" si="1"/>
        <v>Etb Freight International Kft.</v>
      </c>
      <c r="D25" s="239">
        <f t="shared" si="2"/>
        <v>0</v>
      </c>
      <c r="E25" s="240">
        <f t="shared" si="3"/>
        <v>46244.416666666664</v>
      </c>
      <c r="F25" s="241"/>
      <c r="G25" s="241" t="s">
        <v>61</v>
      </c>
      <c r="H25" s="308" t="str">
        <f>IF(VLOOKUP(A25,Outbound!$E$1:$Q$411,13,FALSE)=0,VLOOKUP(A25,AK:BL,13,FALSE),VLOOKUP(A25,Outbound!$E$1:$Q$411,13,FALSE))</f>
        <v>AEDX252</v>
      </c>
      <c r="I25" s="242" t="str">
        <f t="shared" si="6"/>
        <v>QAR</v>
      </c>
      <c r="J25" s="269" t="str">
        <f>IFERROR(IF(VLOOKUP($A25,Outbound!$E$1:$BA$411,17,FALSE)="","","Y"),"")</f>
        <v>Y</v>
      </c>
      <c r="K25" s="243"/>
      <c r="L25" s="243"/>
      <c r="M25" s="244" t="str">
        <f t="shared" si="7"/>
        <v>QAR 5</v>
      </c>
      <c r="N25" s="245" t="s">
        <v>870</v>
      </c>
      <c r="O25" s="245" t="s">
        <v>870</v>
      </c>
      <c r="P25" s="267" t="str">
        <f>IFERROR(IF(VLOOKUP(A25,Outbound!$E$1:$AY$411,46,FALSE)&lt;&gt;"","Y",""),"")</f>
        <v/>
      </c>
      <c r="Q25" s="267" t="str">
        <f>IFERROR(IF(VLOOKUP($A25,Outbound!$E$1:$BA$411,20,FALSE)="","","Y"),"")</f>
        <v/>
      </c>
      <c r="R25" s="267" t="str">
        <f>IFERROR(IF(VLOOKUP($A25,Outbound!$E$1:$BA$411,49,FALSE)="","","Y"),"")</f>
        <v/>
      </c>
      <c r="S25" s="309"/>
      <c r="T25" s="309"/>
      <c r="U25" s="246"/>
      <c r="V25" s="246"/>
      <c r="W25" s="117" t="str">
        <f>IFERROR(IF(VLOOKUP($A25,Outbound!$E$1:$BA$411,14,FALSE)="VARIATA","NEW TRAILER",""),"")</f>
        <v/>
      </c>
      <c r="X25" s="117">
        <f>IFERROR(IF(VLOOKUP(A25,Outbound!$E$1:$Y$411,21,FALSE)&lt;&gt;"",VLOOKUP(A25,Outbound!$E$1:$Y$411,21,FALSE),VLOOKUP(A25,Outbound!$E$1:$Y$411,19,FALSE)),"")</f>
        <v>345</v>
      </c>
      <c r="Y25" s="117" t="str">
        <f>IFERROR(CONCATENATE(VLOOKUP($A25,Outbound!$E$1:$BA$411,44,FALSE)," - ",VLOOKUP($A25,Outbound!$E$1:$BA$411,16,FALSE)," - "),"")</f>
        <v xml:space="preserve"> -  - </v>
      </c>
      <c r="Z25" s="246" t="str">
        <f>IFERROR(VLOOKUP(A25,Outbound!$E$2:$AK$412,33,FALSE),"")</f>
        <v/>
      </c>
      <c r="AA25" s="246"/>
      <c r="AB25" s="344" t="str">
        <f>IFERROR(IF(VLOOKUP($A25,Outbound!$E$1:$BA$411,48,FALSE)&lt;&gt;0,VLOOKUP($A25,Outbound!$E$1:$BA$411,48,FALSE),""),"")</f>
        <v/>
      </c>
      <c r="AC25" s="314" t="str">
        <f>IFERROR(IF(VLOOKUP($A25,Outbound!$E$1:$BA$411,49,FALSE)&lt;&gt;0,VLOOKUP($A25,Outbound!$E$1:$BA$411,49,FALSE),""),"")</f>
        <v/>
      </c>
      <c r="AK25" s="9"/>
      <c r="AL25" s="9" t="s">
        <v>1414</v>
      </c>
      <c r="AM25" s="9" t="s">
        <v>1415</v>
      </c>
      <c r="AN25" s="9" t="s">
        <v>0</v>
      </c>
      <c r="AO25" s="9" t="s">
        <v>150</v>
      </c>
      <c r="AP25" s="9" t="s">
        <v>66</v>
      </c>
      <c r="AQ25" s="424">
        <v>46244.104166666664</v>
      </c>
      <c r="AR25" s="9"/>
      <c r="AS25" s="9" t="s">
        <v>1406</v>
      </c>
      <c r="AT25" s="9" t="s">
        <v>1416</v>
      </c>
      <c r="AU25" s="9" t="s">
        <v>1417</v>
      </c>
      <c r="AV25" s="9" t="s">
        <v>150</v>
      </c>
      <c r="AX25" s="9" t="b">
        <v>0</v>
      </c>
      <c r="AY25" s="9" t="s">
        <v>57</v>
      </c>
      <c r="AZ25" s="9" t="b">
        <v>0</v>
      </c>
      <c r="BA25" s="9" t="b">
        <v>0</v>
      </c>
      <c r="BB25" s="9" t="b">
        <v>0</v>
      </c>
      <c r="BC25" s="9" t="b">
        <v>0</v>
      </c>
      <c r="BD25" s="9" t="s">
        <v>59</v>
      </c>
      <c r="BE25" s="9" t="b">
        <v>0</v>
      </c>
    </row>
    <row r="26" spans="1:57" ht="12" customHeight="1">
      <c r="A26" s="237" t="s">
        <v>1418</v>
      </c>
      <c r="B26" s="238" t="str">
        <f t="shared" si="0"/>
        <v>ERN92354</v>
      </c>
      <c r="C26" s="239" t="str">
        <f t="shared" si="1"/>
        <v>Etb Freight International Kft.</v>
      </c>
      <c r="D26" s="239">
        <f t="shared" si="2"/>
        <v>0</v>
      </c>
      <c r="E26" s="240">
        <f t="shared" si="3"/>
        <v>46244.416666666664</v>
      </c>
      <c r="F26" s="241" t="s">
        <v>61</v>
      </c>
      <c r="G26" s="241"/>
      <c r="H26" s="308">
        <f>IF(VLOOKUP(A26,Outbound!$E$1:$Q$411,13,FALSE)=0,VLOOKUP(A26,AK:BL,13,FALSE),VLOOKUP(A26,Outbound!$E$1:$Q$411,13,FALSE))</f>
        <v>0</v>
      </c>
      <c r="I26" s="242" t="str">
        <f t="shared" si="6"/>
        <v>QAR</v>
      </c>
      <c r="J26" s="269" t="str">
        <f>IFERROR(IF(VLOOKUP($A26,Outbound!$E$1:$BA$411,17,FALSE)="","","Y"),"")</f>
        <v/>
      </c>
      <c r="K26" s="243"/>
      <c r="L26" s="243"/>
      <c r="M26" s="244" t="str">
        <f t="shared" si="7"/>
        <v>QAR 6</v>
      </c>
      <c r="N26" s="245"/>
      <c r="O26" s="245"/>
      <c r="P26" s="267" t="str">
        <f>IFERROR(IF(VLOOKUP(A26,Outbound!$E$1:$AY$411,46,FALSE)&lt;&gt;"","Y",""),"")</f>
        <v/>
      </c>
      <c r="Q26" s="267" t="str">
        <f>IFERROR(IF(VLOOKUP($A26,Outbound!$E$1:$BA$411,20,FALSE)="","","Y"),"")</f>
        <v/>
      </c>
      <c r="R26" s="267" t="str">
        <f>IFERROR(IF(VLOOKUP($A26,Outbound!$E$1:$BA$411,49,FALSE)="","","Y"),"")</f>
        <v/>
      </c>
      <c r="S26" s="309"/>
      <c r="T26" s="309"/>
      <c r="U26" s="246"/>
      <c r="V26" s="246"/>
      <c r="W26" s="117" t="str">
        <f>IFERROR(IF(VLOOKUP($A26,Outbound!$E$1:$BA$411,14,FALSE)="VARIATA","NEW TRAILER",""),"")</f>
        <v/>
      </c>
      <c r="X26" s="117">
        <f>IFERROR(IF(VLOOKUP(A26,Outbound!$E$1:$Y$411,21,FALSE)&lt;&gt;"",VLOOKUP(A26,Outbound!$E$1:$Y$411,21,FALSE),VLOOKUP(A26,Outbound!$E$1:$Y$411,19,FALSE)),"")</f>
        <v>0</v>
      </c>
      <c r="Y26" s="117" t="str">
        <f>IFERROR(CONCATENATE(VLOOKUP($A26,Outbound!$E$1:$BA$411,44,FALSE)," - ",VLOOKUP($A26,Outbound!$E$1:$BA$411,16,FALSE)," - "),"")</f>
        <v xml:space="preserve"> -  - </v>
      </c>
      <c r="Z26" s="246" t="str">
        <f>IFERROR(VLOOKUP(A26,Outbound!$E$2:$AK$412,33,FALSE),"")</f>
        <v/>
      </c>
      <c r="AA26" s="246"/>
      <c r="AB26" s="344" t="str">
        <f>IFERROR(IF(VLOOKUP($A26,Outbound!$E$1:$BA$411,48,FALSE)&lt;&gt;0,VLOOKUP($A26,Outbound!$E$1:$BA$411,48,FALSE),""),"")</f>
        <v/>
      </c>
      <c r="AC26" s="314" t="str">
        <f>IFERROR(IF(VLOOKUP($A26,Outbound!$E$1:$BA$411,49,FALSE)&lt;&gt;0,VLOOKUP($A26,Outbound!$E$1:$BA$411,49,FALSE),""),"")</f>
        <v/>
      </c>
      <c r="AK26" s="9" t="s">
        <v>176</v>
      </c>
      <c r="AL26" s="9" t="s">
        <v>162</v>
      </c>
      <c r="AM26" s="9" t="s">
        <v>1419</v>
      </c>
      <c r="AN26" s="9" t="s">
        <v>0</v>
      </c>
      <c r="AO26" s="9" t="s">
        <v>150</v>
      </c>
      <c r="AP26" s="9" t="s">
        <v>66</v>
      </c>
      <c r="AQ26" s="424">
        <v>46244.416666666664</v>
      </c>
      <c r="AR26" s="9"/>
      <c r="AS26" s="9" t="s">
        <v>144</v>
      </c>
      <c r="AT26" s="9" t="s">
        <v>1420</v>
      </c>
      <c r="AU26" s="9" t="s">
        <v>1421</v>
      </c>
      <c r="AV26" s="9" t="s">
        <v>150</v>
      </c>
      <c r="AX26" s="9" t="b">
        <v>0</v>
      </c>
      <c r="AY26" s="9" t="s">
        <v>57</v>
      </c>
      <c r="AZ26" s="9" t="b">
        <v>0</v>
      </c>
      <c r="BA26" s="9" t="b">
        <v>0</v>
      </c>
      <c r="BB26" s="9" t="b">
        <v>0</v>
      </c>
      <c r="BC26" s="9" t="b">
        <v>0</v>
      </c>
      <c r="BD26" s="9" t="s">
        <v>59</v>
      </c>
      <c r="BE26" s="9" t="b">
        <v>0</v>
      </c>
    </row>
    <row r="27" spans="1:57" ht="12" customHeight="1">
      <c r="A27" s="237" t="s">
        <v>1422</v>
      </c>
      <c r="B27" s="238" t="str">
        <f t="shared" si="0"/>
        <v>ERN92355</v>
      </c>
      <c r="C27" s="239" t="str">
        <f t="shared" si="1"/>
        <v>T Service Spa</v>
      </c>
      <c r="D27" s="239">
        <f t="shared" si="2"/>
        <v>0</v>
      </c>
      <c r="E27" s="240">
        <f t="shared" si="3"/>
        <v>46244.416666666664</v>
      </c>
      <c r="F27" s="241" t="s">
        <v>61</v>
      </c>
      <c r="G27" s="241"/>
      <c r="H27" s="308">
        <f>IF(VLOOKUP(A27,Outbound!$E$1:$Q$411,13,FALSE)=0,VLOOKUP(A27,AK:BL,13,FALSE),VLOOKUP(A27,Outbound!$E$1:$Q$411,13,FALSE))</f>
        <v>0</v>
      </c>
      <c r="I27" s="242" t="str">
        <f t="shared" si="6"/>
        <v>QAR</v>
      </c>
      <c r="J27" s="269" t="str">
        <f>IFERROR(IF(VLOOKUP($A27,Outbound!$E$1:$BA$411,17,FALSE)="","","Y"),"")</f>
        <v/>
      </c>
      <c r="K27" s="243"/>
      <c r="L27" s="243"/>
      <c r="M27" s="244" t="str">
        <f t="shared" si="7"/>
        <v>QAR 7</v>
      </c>
      <c r="N27" s="245"/>
      <c r="O27" s="245"/>
      <c r="P27" s="267" t="str">
        <f>IFERROR(IF(VLOOKUP(A27,Outbound!$E$1:$AY$411,46,FALSE)&lt;&gt;"","Y",""),"")</f>
        <v/>
      </c>
      <c r="Q27" s="267" t="str">
        <f>IFERROR(IF(VLOOKUP($A27,Outbound!$E$1:$BA$411,20,FALSE)="","","Y"),"")</f>
        <v/>
      </c>
      <c r="R27" s="267" t="str">
        <f>IFERROR(IF(VLOOKUP($A27,Outbound!$E$1:$BA$411,49,FALSE)="","","Y"),"")</f>
        <v/>
      </c>
      <c r="S27" s="309"/>
      <c r="T27" s="309"/>
      <c r="U27" s="246"/>
      <c r="V27" s="246"/>
      <c r="W27" s="117" t="str">
        <f>IFERROR(IF(VLOOKUP($A27,Outbound!$E$1:$BA$411,14,FALSE)="VARIATA","NEW TRAILER",""),"")</f>
        <v/>
      </c>
      <c r="X27" s="117">
        <f>IFERROR(IF(VLOOKUP(A27,Outbound!$E$1:$Y$411,21,FALSE)&lt;&gt;"",VLOOKUP(A27,Outbound!$E$1:$Y$411,21,FALSE),VLOOKUP(A27,Outbound!$E$1:$Y$411,19,FALSE)),"")</f>
        <v>0</v>
      </c>
      <c r="Y27" s="117" t="str">
        <f>IFERROR(CONCATENATE(VLOOKUP($A27,Outbound!$E$1:$BA$411,44,FALSE)," - ",VLOOKUP($A27,Outbound!$E$1:$BA$411,16,FALSE)," - "),"")</f>
        <v xml:space="preserve"> -  - </v>
      </c>
      <c r="Z27" s="246" t="str">
        <f>IFERROR(VLOOKUP(A27,Outbound!$E$2:$AK$412,33,FALSE),"")</f>
        <v/>
      </c>
      <c r="AA27" s="246"/>
      <c r="AB27" s="344" t="str">
        <f>IFERROR(IF(VLOOKUP($A27,Outbound!$E$1:$BA$411,48,FALSE)&lt;&gt;0,VLOOKUP($A27,Outbound!$E$1:$BA$411,48,FALSE),""),"")</f>
        <v/>
      </c>
      <c r="AC27" s="314" t="str">
        <f>IFERROR(IF(VLOOKUP($A27,Outbound!$E$1:$BA$411,49,FALSE)&lt;&gt;0,VLOOKUP($A27,Outbound!$E$1:$BA$411,49,FALSE),""),"")</f>
        <v/>
      </c>
      <c r="AK27" s="9" t="s">
        <v>60</v>
      </c>
      <c r="AL27" s="9" t="s">
        <v>174</v>
      </c>
      <c r="AM27" s="9" t="s">
        <v>1423</v>
      </c>
      <c r="AN27" s="9" t="s">
        <v>0</v>
      </c>
      <c r="AO27" s="9" t="s">
        <v>150</v>
      </c>
      <c r="AP27" s="9" t="s">
        <v>66</v>
      </c>
      <c r="AQ27" s="424">
        <v>46244.083333333336</v>
      </c>
      <c r="AR27" s="9"/>
      <c r="AS27" s="9" t="s">
        <v>171</v>
      </c>
      <c r="AT27" s="9"/>
      <c r="AU27" s="9"/>
      <c r="AV27" s="9" t="s">
        <v>150</v>
      </c>
      <c r="AX27" s="9" t="b">
        <v>0</v>
      </c>
      <c r="AY27" s="9" t="s">
        <v>57</v>
      </c>
      <c r="AZ27" s="9" t="b">
        <v>0</v>
      </c>
      <c r="BA27" s="9" t="b">
        <v>0</v>
      </c>
      <c r="BB27" s="9" t="b">
        <v>0</v>
      </c>
      <c r="BC27" s="9" t="b">
        <v>0</v>
      </c>
      <c r="BD27" s="9" t="s">
        <v>59</v>
      </c>
      <c r="BE27" s="9" t="b">
        <v>0</v>
      </c>
    </row>
    <row r="28" spans="1:57" ht="12" customHeight="1">
      <c r="A28" s="237" t="s">
        <v>157</v>
      </c>
      <c r="B28" s="238" t="str">
        <f t="shared" si="0"/>
        <v>ERN14443</v>
      </c>
      <c r="C28" s="239" t="str">
        <f t="shared" si="1"/>
        <v>Ravitex Srl</v>
      </c>
      <c r="D28" s="239" t="str">
        <f t="shared" si="2"/>
        <v>TM65RVB</v>
      </c>
      <c r="E28" s="240">
        <f t="shared" si="3"/>
        <v>46244.40625</v>
      </c>
      <c r="F28" s="241" t="s">
        <v>61</v>
      </c>
      <c r="G28" s="241"/>
      <c r="H28" s="308" t="str">
        <f>IF(VLOOKUP(A28,Outbound!$E$1:$Q$411,13,FALSE)=0,VLOOKUP(A28,AK:BL,13,FALSE),VLOOKUP(A28,Outbound!$E$1:$Q$411,13,FALSE))</f>
        <v>ENB15372</v>
      </c>
      <c r="I28" s="242" t="str">
        <f t="shared" si="6"/>
        <v>DZ5</v>
      </c>
      <c r="J28" s="269" t="str">
        <f>IFERROR(IF(VLOOKUP($A28,Outbound!$E$1:$BA$411,17,FALSE)="","","Y"),"")</f>
        <v>Y</v>
      </c>
      <c r="K28" s="243"/>
      <c r="L28" s="243"/>
      <c r="M28" s="244" t="str">
        <f t="shared" si="7"/>
        <v>DZ5 1</v>
      </c>
      <c r="N28" s="245" t="s">
        <v>421</v>
      </c>
      <c r="O28" s="245" t="s">
        <v>421</v>
      </c>
      <c r="P28" s="267" t="str">
        <f>IFERROR(IF(VLOOKUP(A28,Outbound!$E$1:$AY$411,46,FALSE)&lt;&gt;"","Y",""),"")</f>
        <v/>
      </c>
      <c r="Q28" s="267" t="str">
        <f>IFERROR(IF(VLOOKUP($A28,Outbound!$E$1:$BA$411,20,FALSE)="","","Y"),"")</f>
        <v/>
      </c>
      <c r="R28" s="267" t="str">
        <f>IFERROR(IF(VLOOKUP($A28,Outbound!$E$1:$BA$411,49,FALSE)="","","Y"),"")</f>
        <v/>
      </c>
      <c r="S28" s="309"/>
      <c r="T28" s="309"/>
      <c r="U28" s="246"/>
      <c r="V28" s="246"/>
      <c r="W28" s="117" t="str">
        <f>IFERROR(IF(VLOOKUP($A28,Outbound!$E$1:$BA$411,14,FALSE)="VARIATA","NEW TRAILER",""),"")</f>
        <v/>
      </c>
      <c r="X28" s="117">
        <f>IFERROR(IF(VLOOKUP(A28,Outbound!$E$1:$Y$411,21,FALSE)&lt;&gt;"",VLOOKUP(A28,Outbound!$E$1:$Y$411,21,FALSE),VLOOKUP(A28,Outbound!$E$1:$Y$411,19,FALSE)),"")</f>
        <v>316</v>
      </c>
      <c r="Y28" s="117" t="str">
        <f>IFERROR(CONCATENATE(VLOOKUP($A28,Outbound!$E$1:$BA$411,44,FALSE)," - ",VLOOKUP($A28,Outbound!$E$1:$BA$411,16,FALSE)," - "),"")</f>
        <v xml:space="preserve"> -  - </v>
      </c>
      <c r="Z28" s="246" t="str">
        <f>IFERROR(VLOOKUP(A28,Outbound!$E$2:$AK$412,33,FALSE),"")</f>
        <v/>
      </c>
      <c r="AA28" s="246"/>
      <c r="AB28" s="344" t="str">
        <f>IFERROR(IF(VLOOKUP($A28,Outbound!$E$1:$BA$411,48,FALSE)&lt;&gt;0,VLOOKUP($A28,Outbound!$E$1:$BA$411,48,FALSE),""),"")</f>
        <v/>
      </c>
      <c r="AC28" s="314" t="str">
        <f>IFERROR(IF(VLOOKUP($A28,Outbound!$E$1:$BA$411,49,FALSE)&lt;&gt;0,VLOOKUP($A28,Outbound!$E$1:$BA$411,49,FALSE),""),"")</f>
        <v/>
      </c>
      <c r="AK28" s="9" t="s">
        <v>69</v>
      </c>
      <c r="AL28" s="9" t="s">
        <v>182</v>
      </c>
      <c r="AM28" s="9" t="s">
        <v>1424</v>
      </c>
      <c r="AN28" s="9" t="s">
        <v>0</v>
      </c>
      <c r="AO28" s="9" t="s">
        <v>150</v>
      </c>
      <c r="AP28" s="9" t="s">
        <v>51</v>
      </c>
      <c r="AQ28" s="424">
        <v>46244.104166666664</v>
      </c>
      <c r="AR28" s="9"/>
      <c r="AS28" s="9" t="s">
        <v>1425</v>
      </c>
      <c r="AT28" s="9" t="s">
        <v>1426</v>
      </c>
      <c r="AU28" s="9" t="s">
        <v>1427</v>
      </c>
      <c r="AV28" s="9" t="s">
        <v>150</v>
      </c>
      <c r="AX28" s="9" t="b">
        <v>0</v>
      </c>
      <c r="AY28" s="9" t="s">
        <v>57</v>
      </c>
      <c r="AZ28" s="9" t="b">
        <v>0</v>
      </c>
      <c r="BA28" s="9" t="b">
        <v>0</v>
      </c>
      <c r="BB28" s="9" t="b">
        <v>0</v>
      </c>
      <c r="BC28" s="9" t="b">
        <v>0</v>
      </c>
      <c r="BD28" s="9" t="s">
        <v>1428</v>
      </c>
      <c r="BE28" s="9" t="b">
        <v>0</v>
      </c>
    </row>
    <row r="29" spans="1:57" ht="12" customHeight="1">
      <c r="A29" s="237" t="s">
        <v>161</v>
      </c>
      <c r="B29" s="238" t="str">
        <f t="shared" si="0"/>
        <v>ERN16682</v>
      </c>
      <c r="C29" s="239" t="str">
        <f t="shared" si="1"/>
        <v>T Service Spa</v>
      </c>
      <c r="D29" s="239">
        <f t="shared" si="2"/>
        <v>0</v>
      </c>
      <c r="E29" s="240">
        <f t="shared" si="3"/>
        <v>46244.416666666664</v>
      </c>
      <c r="F29" s="241" t="s">
        <v>61</v>
      </c>
      <c r="G29" s="241"/>
      <c r="H29" s="308" t="str">
        <f>IF(VLOOKUP(A29,Outbound!$E$1:$Q$411,13,FALSE)=0,VLOOKUP(A29,AK:BL,13,FALSE),VLOOKUP(A29,Outbound!$E$1:$Q$411,13,FALSE))</f>
        <v>ENBR26535</v>
      </c>
      <c r="I29" s="242" t="str">
        <f t="shared" si="6"/>
        <v>DZ5</v>
      </c>
      <c r="J29" s="269" t="str">
        <f>IFERROR(IF(VLOOKUP($A29,Outbound!$E$1:$BA$411,17,FALSE)="","","Y"),"")</f>
        <v/>
      </c>
      <c r="K29" s="243"/>
      <c r="L29" s="243"/>
      <c r="M29" s="244" t="str">
        <f t="shared" si="7"/>
        <v>DZ5 2</v>
      </c>
      <c r="N29" s="245" t="s">
        <v>421</v>
      </c>
      <c r="O29" s="245" t="s">
        <v>421</v>
      </c>
      <c r="P29" s="267" t="str">
        <f>IFERROR(IF(VLOOKUP(A29,Outbound!$E$1:$AY$411,46,FALSE)&lt;&gt;"","Y",""),"")</f>
        <v/>
      </c>
      <c r="Q29" s="267" t="str">
        <f>IFERROR(IF(VLOOKUP($A29,Outbound!$E$1:$BA$411,20,FALSE)="","","Y"),"")</f>
        <v/>
      </c>
      <c r="R29" s="267" t="str">
        <f>IFERROR(IF(VLOOKUP($A29,Outbound!$E$1:$BA$411,49,FALSE)="","","Y"),"")</f>
        <v/>
      </c>
      <c r="S29" s="309"/>
      <c r="T29" s="309"/>
      <c r="U29" s="246"/>
      <c r="V29" s="246"/>
      <c r="W29" s="117" t="str">
        <f>IFERROR(IF(VLOOKUP($A29,Outbound!$E$1:$BA$411,14,FALSE)="VARIATA","NEW TRAILER",""),"")</f>
        <v/>
      </c>
      <c r="X29" s="117">
        <f>IFERROR(IF(VLOOKUP(A29,Outbound!$E$1:$Y$411,21,FALSE)&lt;&gt;"",VLOOKUP(A29,Outbound!$E$1:$Y$411,21,FALSE),VLOOKUP(A29,Outbound!$E$1:$Y$411,19,FALSE)),"")</f>
        <v>805</v>
      </c>
      <c r="Y29" s="117" t="str">
        <f>IFERROR(CONCATENATE(VLOOKUP($A29,Outbound!$E$1:$BA$411,44,FALSE)," - ",VLOOKUP($A29,Outbound!$E$1:$BA$411,16,FALSE)," - "),"")</f>
        <v xml:space="preserve"> -  - </v>
      </c>
      <c r="Z29" s="246" t="str">
        <f>IFERROR(VLOOKUP(A29,Outbound!$E$2:$AK$412,33,FALSE),"")</f>
        <v/>
      </c>
      <c r="AA29" s="246"/>
      <c r="AB29" s="344" t="str">
        <f>IFERROR(IF(VLOOKUP($A29,Outbound!$E$1:$BA$411,48,FALSE)&lt;&gt;0,VLOOKUP($A29,Outbound!$E$1:$BA$411,48,FALSE),""),"")</f>
        <v/>
      </c>
      <c r="AC29" s="314" t="str">
        <f>IFERROR(IF(VLOOKUP($A29,Outbound!$E$1:$BA$411,49,FALSE)&lt;&gt;0,VLOOKUP($A29,Outbound!$E$1:$BA$411,49,FALSE),""),"")</f>
        <v/>
      </c>
      <c r="AK29" s="9" t="s">
        <v>86</v>
      </c>
      <c r="AL29" s="9" t="s">
        <v>1429</v>
      </c>
      <c r="AM29" s="9" t="s">
        <v>1430</v>
      </c>
      <c r="AN29" s="9" t="s">
        <v>0</v>
      </c>
      <c r="AO29" s="9" t="s">
        <v>150</v>
      </c>
      <c r="AP29" s="9" t="s">
        <v>66</v>
      </c>
      <c r="AQ29" s="424">
        <v>46244.104166666664</v>
      </c>
      <c r="AR29" s="9"/>
      <c r="AS29" s="9" t="s">
        <v>178</v>
      </c>
      <c r="AT29" s="9" t="s">
        <v>1431</v>
      </c>
      <c r="AU29" s="9" t="s">
        <v>1432</v>
      </c>
      <c r="AV29" s="9" t="s">
        <v>150</v>
      </c>
      <c r="AX29" s="9" t="b">
        <v>0</v>
      </c>
      <c r="AY29" s="9" t="s">
        <v>57</v>
      </c>
      <c r="AZ29" s="9" t="b">
        <v>0</v>
      </c>
      <c r="BA29" s="9" t="b">
        <v>0</v>
      </c>
      <c r="BB29" s="9" t="b">
        <v>0</v>
      </c>
      <c r="BC29" s="9" t="b">
        <v>0</v>
      </c>
      <c r="BD29" s="9" t="s">
        <v>59</v>
      </c>
      <c r="BE29" s="9" t="b">
        <v>0</v>
      </c>
    </row>
    <row r="30" spans="1:57" ht="12" customHeight="1">
      <c r="A30" s="237" t="s">
        <v>1433</v>
      </c>
      <c r="B30" s="238" t="str">
        <f t="shared" si="0"/>
        <v>ERN19354</v>
      </c>
      <c r="C30" s="239" t="str">
        <f t="shared" si="1"/>
        <v>Ravitex Srl</v>
      </c>
      <c r="D30" s="239" t="str">
        <f t="shared" si="2"/>
        <v>TM01RVX</v>
      </c>
      <c r="E30" s="240">
        <f t="shared" si="3"/>
        <v>46244.416666666664</v>
      </c>
      <c r="F30" s="241" t="s">
        <v>61</v>
      </c>
      <c r="G30" s="241"/>
      <c r="H30" s="308" t="str">
        <f>IF(VLOOKUP(A30,Outbound!$E$1:$Q$411,13,FALSE)=0,VLOOKUP(A30,AK:BL,13,FALSE),VLOOKUP(A30,Outbound!$E$1:$Q$411,13,FALSE))</f>
        <v>ENBR21329</v>
      </c>
      <c r="I30" s="242" t="str">
        <f t="shared" si="6"/>
        <v>QAR</v>
      </c>
      <c r="J30" s="269" t="str">
        <f>IFERROR(IF(VLOOKUP($A30,Outbound!$E$1:$BA$411,17,FALSE)="","","Y"),"")</f>
        <v/>
      </c>
      <c r="K30" s="243"/>
      <c r="L30" s="243"/>
      <c r="M30" s="244" t="str">
        <f t="shared" si="7"/>
        <v>KG4 1</v>
      </c>
      <c r="N30" s="245" t="s">
        <v>421</v>
      </c>
      <c r="O30" s="245" t="s">
        <v>421</v>
      </c>
      <c r="P30" s="267" t="str">
        <f>IFERROR(IF(VLOOKUP(A30,Outbound!$E$1:$AY$411,46,FALSE)&lt;&gt;"","Y",""),"")</f>
        <v/>
      </c>
      <c r="Q30" s="267" t="str">
        <f>IFERROR(IF(VLOOKUP($A30,Outbound!$E$1:$BA$411,20,FALSE)="","","Y"),"")</f>
        <v/>
      </c>
      <c r="R30" s="267" t="str">
        <f>IFERROR(IF(VLOOKUP($A30,Outbound!$E$1:$BA$411,49,FALSE)="","","Y"),"")</f>
        <v/>
      </c>
      <c r="S30" s="309"/>
      <c r="T30" s="309"/>
      <c r="U30" s="246"/>
      <c r="V30" s="246"/>
      <c r="W30" s="117" t="str">
        <f>IFERROR(IF(VLOOKUP($A30,Outbound!$E$1:$BA$411,14,FALSE)="VARIATA","NEW TRAILER",""),"")</f>
        <v/>
      </c>
      <c r="X30" s="117">
        <f>IFERROR(IF(VLOOKUP(A30,Outbound!$E$1:$Y$411,21,FALSE)&lt;&gt;"",VLOOKUP(A30,Outbound!$E$1:$Y$411,21,FALSE),VLOOKUP(A30,Outbound!$E$1:$Y$411,19,FALSE)),"")</f>
        <v>744</v>
      </c>
      <c r="Y30" s="117" t="str">
        <f>IFERROR(CONCATENATE(VLOOKUP($A30,Outbound!$E$1:$BA$411,44,FALSE)," - ",VLOOKUP($A30,Outbound!$E$1:$BA$411,16,FALSE)," - "),"")</f>
        <v xml:space="preserve"> -  - </v>
      </c>
      <c r="Z30" s="246" t="str">
        <f>IFERROR(VLOOKUP(A30,Outbound!$E$2:$AK$412,33,FALSE),"")</f>
        <v/>
      </c>
      <c r="AA30" s="246"/>
      <c r="AB30" s="344" t="str">
        <f>IFERROR(IF(VLOOKUP($A30,Outbound!$E$1:$BA$411,48,FALSE)&lt;&gt;0,VLOOKUP($A30,Outbound!$E$1:$BA$411,48,FALSE),""),"")</f>
        <v/>
      </c>
      <c r="AC30" s="314" t="str">
        <f>IFERROR(IF(VLOOKUP($A30,Outbound!$E$1:$BA$411,49,FALSE)&lt;&gt;0,VLOOKUP($A30,Outbound!$E$1:$BA$411,49,FALSE),""),"")</f>
        <v/>
      </c>
      <c r="AK30" s="9" t="s">
        <v>73</v>
      </c>
      <c r="AL30" s="9" t="s">
        <v>177</v>
      </c>
      <c r="AM30" s="9" t="s">
        <v>1434</v>
      </c>
      <c r="AN30" s="9" t="s">
        <v>0</v>
      </c>
      <c r="AO30" s="9" t="s">
        <v>150</v>
      </c>
      <c r="AP30" s="9" t="s">
        <v>66</v>
      </c>
      <c r="AQ30" s="424">
        <v>46244.104166666664</v>
      </c>
      <c r="AR30" s="9"/>
      <c r="AS30" s="9" t="s">
        <v>171</v>
      </c>
      <c r="AT30" s="9"/>
      <c r="AU30" s="9"/>
      <c r="AV30" s="9" t="s">
        <v>150</v>
      </c>
      <c r="AX30" s="9" t="b">
        <v>0</v>
      </c>
      <c r="AY30" s="9" t="s">
        <v>57</v>
      </c>
      <c r="AZ30" s="9" t="b">
        <v>0</v>
      </c>
      <c r="BA30" s="9" t="b">
        <v>0</v>
      </c>
      <c r="BB30" s="9" t="b">
        <v>0</v>
      </c>
      <c r="BC30" s="9" t="b">
        <v>0</v>
      </c>
      <c r="BD30" s="9" t="s">
        <v>59</v>
      </c>
      <c r="BE30" s="9" t="b">
        <v>0</v>
      </c>
    </row>
    <row r="31" spans="1:57" ht="12" customHeight="1">
      <c r="A31" s="237" t="s">
        <v>1435</v>
      </c>
      <c r="B31" s="238" t="str">
        <f t="shared" si="0"/>
        <v>ERN05729</v>
      </c>
      <c r="C31" s="239" t="str">
        <f t="shared" si="1"/>
        <v>Matelda Srl</v>
      </c>
      <c r="D31" s="239">
        <f t="shared" si="2"/>
        <v>0</v>
      </c>
      <c r="E31" s="240">
        <f t="shared" si="3"/>
        <v>46244.416666666664</v>
      </c>
      <c r="F31" s="241" t="s">
        <v>61</v>
      </c>
      <c r="G31" s="241"/>
      <c r="H31" s="308" t="str">
        <f>IF(VLOOKUP(A31,Outbound!$E$1:$Q$411,13,FALSE)=0,VLOOKUP(A31,AK:BL,13,FALSE),VLOOKUP(A31,Outbound!$E$1:$Q$411,13,FALSE))</f>
        <v>ENBD20304</v>
      </c>
      <c r="I31" s="242" t="str">
        <f t="shared" si="6"/>
        <v>KG4</v>
      </c>
      <c r="J31" s="269" t="str">
        <f>IFERROR(IF(VLOOKUP($A31,Outbound!$E$1:$BA$411,17,FALSE)="","","Y"),"")</f>
        <v>Y</v>
      </c>
      <c r="K31" s="243"/>
      <c r="L31" s="243"/>
      <c r="M31" s="244" t="str">
        <f t="shared" si="7"/>
        <v>KG4 2</v>
      </c>
      <c r="N31" s="245" t="s">
        <v>421</v>
      </c>
      <c r="O31" s="245" t="s">
        <v>421</v>
      </c>
      <c r="P31" s="267" t="str">
        <f>IFERROR(IF(VLOOKUP(A31,Outbound!$E$1:$AY$411,46,FALSE)&lt;&gt;"","Y",""),"")</f>
        <v/>
      </c>
      <c r="Q31" s="267" t="str">
        <f>IFERROR(IF(VLOOKUP($A31,Outbound!$E$1:$BA$411,20,FALSE)="","","Y"),"")</f>
        <v/>
      </c>
      <c r="R31" s="267" t="str">
        <f>IFERROR(IF(VLOOKUP($A31,Outbound!$E$1:$BA$411,49,FALSE)="","","Y"),"")</f>
        <v/>
      </c>
      <c r="S31" s="309"/>
      <c r="T31" s="309"/>
      <c r="U31" s="246"/>
      <c r="V31" s="246"/>
      <c r="W31" s="117" t="str">
        <f>IFERROR(IF(VLOOKUP($A31,Outbound!$E$1:$BA$411,14,FALSE)="VARIATA","NEW TRAILER",""),"")</f>
        <v/>
      </c>
      <c r="X31" s="117">
        <f>IFERROR(IF(VLOOKUP(A31,Outbound!$E$1:$Y$411,21,FALSE)&lt;&gt;"",VLOOKUP(A31,Outbound!$E$1:$Y$411,21,FALSE),VLOOKUP(A31,Outbound!$E$1:$Y$411,19,FALSE)),"")</f>
        <v>339</v>
      </c>
      <c r="Y31" s="117" t="str">
        <f>IFERROR(CONCATENATE(VLOOKUP($A31,Outbound!$E$1:$BA$411,44,FALSE)," - ",VLOOKUP($A31,Outbound!$E$1:$BA$411,16,FALSE)," - "),"")</f>
        <v xml:space="preserve"> -  - </v>
      </c>
      <c r="Z31" s="246" t="str">
        <f>IFERROR(VLOOKUP(A31,Outbound!$E$2:$AK$412,33,FALSE),"")</f>
        <v/>
      </c>
      <c r="AA31" s="246"/>
      <c r="AB31" s="344" t="str">
        <f>IFERROR(IF(VLOOKUP($A31,Outbound!$E$1:$BA$411,48,FALSE)&lt;&gt;0,VLOOKUP($A31,Outbound!$E$1:$BA$411,48,FALSE),""),"")</f>
        <v/>
      </c>
      <c r="AC31" s="314" t="str">
        <f>IFERROR(IF(VLOOKUP($A31,Outbound!$E$1:$BA$411,49,FALSE)&lt;&gt;0,VLOOKUP($A31,Outbound!$E$1:$BA$411,49,FALSE),""),"")</f>
        <v/>
      </c>
      <c r="AK31" s="9" t="s">
        <v>1388</v>
      </c>
      <c r="AL31" s="9" t="s">
        <v>1436</v>
      </c>
      <c r="AM31" s="9" t="s">
        <v>1437</v>
      </c>
      <c r="AN31" s="9" t="s">
        <v>0</v>
      </c>
      <c r="AO31" s="9" t="s">
        <v>1438</v>
      </c>
      <c r="AP31" s="9" t="s">
        <v>66</v>
      </c>
      <c r="AQ31" s="424">
        <v>46244.083333333336</v>
      </c>
      <c r="AR31" s="9"/>
      <c r="AS31" s="9" t="s">
        <v>178</v>
      </c>
      <c r="AT31" s="9"/>
      <c r="AU31" s="9"/>
      <c r="AV31" s="9" t="s">
        <v>1438</v>
      </c>
      <c r="AX31" s="9" t="b">
        <v>0</v>
      </c>
      <c r="AY31" s="9" t="s">
        <v>57</v>
      </c>
      <c r="AZ31" s="9" t="b">
        <v>0</v>
      </c>
      <c r="BA31" s="9" t="b">
        <v>0</v>
      </c>
      <c r="BB31" s="9" t="b">
        <v>0</v>
      </c>
      <c r="BC31" s="9" t="b">
        <v>0</v>
      </c>
      <c r="BD31" s="9" t="s">
        <v>59</v>
      </c>
      <c r="BE31" s="9" t="b">
        <v>0</v>
      </c>
    </row>
    <row r="32" spans="1:57" ht="12" customHeight="1">
      <c r="A32" s="237" t="s">
        <v>1439</v>
      </c>
      <c r="B32" s="238" t="str">
        <f t="shared" si="0"/>
        <v>ERN04154</v>
      </c>
      <c r="C32" s="239" t="str">
        <f t="shared" si="1"/>
        <v>Matelda Srl</v>
      </c>
      <c r="D32" s="239">
        <f t="shared" si="2"/>
        <v>0</v>
      </c>
      <c r="E32" s="240">
        <f t="shared" si="3"/>
        <v>46244.416666666664</v>
      </c>
      <c r="F32" s="241" t="s">
        <v>61</v>
      </c>
      <c r="G32" s="241"/>
      <c r="H32" s="308">
        <f>IF(VLOOKUP(A32,Outbound!$E$1:$Q$411,13,FALSE)=0,VLOOKUP(A32,AK:BL,13,FALSE),VLOOKUP(A32,Outbound!$E$1:$Q$411,13,FALSE))</f>
        <v>0</v>
      </c>
      <c r="I32" s="242" t="str">
        <f t="shared" si="6"/>
        <v>KG4</v>
      </c>
      <c r="J32" s="269" t="str">
        <f>IFERROR(IF(VLOOKUP($A32,Outbound!$E$1:$BA$411,17,FALSE)="","","Y"),"")</f>
        <v/>
      </c>
      <c r="K32" s="243"/>
      <c r="L32" s="243"/>
      <c r="M32" s="244" t="str">
        <f t="shared" si="7"/>
        <v>KG4 3</v>
      </c>
      <c r="N32" s="245"/>
      <c r="O32" s="245"/>
      <c r="P32" s="267" t="str">
        <f>IFERROR(IF(VLOOKUP(A32,Outbound!$E$1:$AY$411,46,FALSE)&lt;&gt;"","Y",""),"")</f>
        <v/>
      </c>
      <c r="Q32" s="267" t="str">
        <f>IFERROR(IF(VLOOKUP($A32,Outbound!$E$1:$BA$411,20,FALSE)="","","Y"),"")</f>
        <v/>
      </c>
      <c r="R32" s="267" t="str">
        <f>IFERROR(IF(VLOOKUP($A32,Outbound!$E$1:$BA$411,49,FALSE)="","","Y"),"")</f>
        <v/>
      </c>
      <c r="S32" s="309"/>
      <c r="T32" s="309"/>
      <c r="U32" s="246"/>
      <c r="V32" s="246"/>
      <c r="W32" s="117" t="str">
        <f>IFERROR(IF(VLOOKUP($A32,Outbound!$E$1:$BA$411,14,FALSE)="VARIATA","NEW TRAILER",""),"")</f>
        <v/>
      </c>
      <c r="X32" s="117">
        <f>IFERROR(IF(VLOOKUP(A32,Outbound!$E$1:$Y$411,21,FALSE)&lt;&gt;"",VLOOKUP(A32,Outbound!$E$1:$Y$411,21,FALSE),VLOOKUP(A32,Outbound!$E$1:$Y$411,19,FALSE)),"")</f>
        <v>0</v>
      </c>
      <c r="Y32" s="117" t="str">
        <f>IFERROR(CONCATENATE(VLOOKUP($A32,Outbound!$E$1:$BA$411,44,FALSE)," - ",VLOOKUP($A32,Outbound!$E$1:$BA$411,16,FALSE)," - "),"")</f>
        <v xml:space="preserve"> -  - </v>
      </c>
      <c r="Z32" s="246" t="str">
        <f>IFERROR(VLOOKUP(A32,Outbound!$E$2:$AK$412,33,FALSE),"")</f>
        <v/>
      </c>
      <c r="AA32" s="246"/>
      <c r="AB32" s="344" t="str">
        <f>IFERROR(IF(VLOOKUP($A32,Outbound!$E$1:$BA$411,48,FALSE)&lt;&gt;0,VLOOKUP($A32,Outbound!$E$1:$BA$411,48,FALSE),""),"")</f>
        <v/>
      </c>
      <c r="AC32" s="314" t="str">
        <f>IFERROR(IF(VLOOKUP($A32,Outbound!$E$1:$BA$411,49,FALSE)&lt;&gt;0,VLOOKUP($A32,Outbound!$E$1:$BA$411,49,FALSE),""),"")</f>
        <v/>
      </c>
      <c r="AK32" s="9" t="s">
        <v>1384</v>
      </c>
      <c r="AL32" s="9" t="s">
        <v>1440</v>
      </c>
      <c r="AM32" s="9" t="s">
        <v>1441</v>
      </c>
      <c r="AN32" s="9" t="s">
        <v>0</v>
      </c>
      <c r="AO32" s="9" t="s">
        <v>1438</v>
      </c>
      <c r="AP32" s="9" t="s">
        <v>51</v>
      </c>
      <c r="AQ32" s="424">
        <v>46244.083333333336</v>
      </c>
      <c r="AR32" s="9"/>
      <c r="AS32" s="9" t="s">
        <v>1442</v>
      </c>
      <c r="AT32" s="9" t="s">
        <v>1443</v>
      </c>
      <c r="AU32" s="9" t="s">
        <v>1444</v>
      </c>
      <c r="AV32" s="9" t="s">
        <v>1438</v>
      </c>
      <c r="AX32" s="9" t="b">
        <v>1</v>
      </c>
      <c r="AY32" s="9" t="s">
        <v>57</v>
      </c>
      <c r="AZ32" s="9" t="b">
        <v>0</v>
      </c>
      <c r="BA32" s="9" t="b">
        <v>0</v>
      </c>
      <c r="BB32" s="9" t="b">
        <v>0</v>
      </c>
      <c r="BC32" s="9" t="b">
        <v>0</v>
      </c>
      <c r="BD32" s="9" t="s">
        <v>59</v>
      </c>
      <c r="BE32" s="9" t="b">
        <v>0</v>
      </c>
    </row>
    <row r="33" spans="1:67" ht="12" customHeight="1">
      <c r="A33" s="237" t="s">
        <v>1445</v>
      </c>
      <c r="B33" s="238" t="str">
        <f t="shared" si="0"/>
        <v>ERN19161</v>
      </c>
      <c r="C33" s="239" t="str">
        <f t="shared" si="1"/>
        <v>T Service Spa</v>
      </c>
      <c r="D33" s="239">
        <f t="shared" si="2"/>
        <v>0</v>
      </c>
      <c r="E33" s="240">
        <f t="shared" si="3"/>
        <v>46244.083333333336</v>
      </c>
      <c r="F33" s="241" t="s">
        <v>61</v>
      </c>
      <c r="G33" s="241"/>
      <c r="H33" s="308" t="str">
        <f>IF(VLOOKUP(A33,Outbound!$E$1:$Q$411,13,FALSE)=0,VLOOKUP(A33,AK:BL,13,FALSE),VLOOKUP(A33,Outbound!$E$1:$Q$411,13,FALSE))</f>
        <v>ENB16206</v>
      </c>
      <c r="I33" s="242" t="str">
        <f t="shared" si="6"/>
        <v>XPI</v>
      </c>
      <c r="J33" s="269" t="str">
        <f>IFERROR(IF(VLOOKUP($A33,Outbound!$E$1:$BA$411,17,FALSE)="","","Y"),"")</f>
        <v>Y</v>
      </c>
      <c r="K33" s="243"/>
      <c r="L33" s="243"/>
      <c r="M33" s="244" t="str">
        <f t="shared" si="7"/>
        <v>XPI 1</v>
      </c>
      <c r="N33" s="245" t="s">
        <v>421</v>
      </c>
      <c r="O33" s="245" t="s">
        <v>421</v>
      </c>
      <c r="P33" s="267" t="str">
        <f>IFERROR(IF(VLOOKUP(A33,Outbound!$E$1:$AY$411,46,FALSE)&lt;&gt;"","Y",""),"")</f>
        <v/>
      </c>
      <c r="Q33" s="267" t="str">
        <f>IFERROR(IF(VLOOKUP($A33,Outbound!$E$1:$BA$411,20,FALSE)="","","Y"),"")</f>
        <v>Y</v>
      </c>
      <c r="R33" s="267" t="str">
        <f>IFERROR(IF(VLOOKUP($A33,Outbound!$E$1:$BA$411,49,FALSE)="","","Y"),"")</f>
        <v>Y</v>
      </c>
      <c r="S33" s="309">
        <v>3.3333333333333333E-2</v>
      </c>
      <c r="T33" s="309"/>
      <c r="U33" s="246"/>
      <c r="V33" s="246"/>
      <c r="W33" s="117" t="str">
        <f>IFERROR(IF(VLOOKUP($A33,Outbound!$E$1:$BA$411,14,FALSE)="VARIATA","NEW TRAILER",""),"")</f>
        <v/>
      </c>
      <c r="X33" s="117" t="str">
        <f>IFERROR(IF(VLOOKUP(A33,Outbound!$E$1:$Y$411,21,FALSE)&lt;&gt;"",VLOOKUP(A33,Outbound!$E$1:$Y$411,21,FALSE),VLOOKUP(A33,Outbound!$E$1:$Y$411,19,FALSE)),"")</f>
        <v>P133</v>
      </c>
      <c r="Y33" s="117" t="str">
        <f>IFERROR(CONCATENATE(VLOOKUP($A33,Outbound!$E$1:$BA$411,44,FALSE)," - ",VLOOKUP($A33,Outbound!$E$1:$BA$411,16,FALSE)," - "),"")</f>
        <v xml:space="preserve"> -  - </v>
      </c>
      <c r="Z33" s="246" t="str">
        <f>IFERROR(VLOOKUP(A33,Outbound!$E$2:$AK$412,33,FALSE),"")</f>
        <v xml:space="preserve"> LL 14  - 21 Bag</v>
      </c>
      <c r="AA33" s="246" t="s">
        <v>421</v>
      </c>
      <c r="AB33" s="344" t="str">
        <f>IFERROR(IF(VLOOKUP($A33,Outbound!$E$1:$BA$411,48,FALSE)&lt;&gt;0,VLOOKUP($A33,Outbound!$E$1:$BA$411,48,FALSE),""),"")</f>
        <v/>
      </c>
      <c r="AC33" s="314">
        <f>IFERROR(IF(VLOOKUP($A33,Outbound!$E$1:$BA$411,49,FALSE)&lt;&gt;0,VLOOKUP($A33,Outbound!$E$1:$BA$411,49,FALSE),""),"")</f>
        <v>6.8750000000000006E-2</v>
      </c>
      <c r="AK33" s="9" t="s">
        <v>187</v>
      </c>
      <c r="AL33" s="9" t="s">
        <v>188</v>
      </c>
      <c r="AM33" s="9" t="s">
        <v>1446</v>
      </c>
      <c r="AN33" s="9" t="s">
        <v>0</v>
      </c>
      <c r="AO33" s="9" t="s">
        <v>187</v>
      </c>
      <c r="AP33" s="9" t="s">
        <v>66</v>
      </c>
      <c r="AQ33" s="424">
        <v>46244.263888888891</v>
      </c>
      <c r="AR33" s="9"/>
      <c r="AS33" s="9" t="s">
        <v>1351</v>
      </c>
      <c r="AT33" s="9"/>
      <c r="AU33" s="9"/>
      <c r="AV33" s="9" t="s">
        <v>65</v>
      </c>
      <c r="AX33" s="9" t="b">
        <v>1</v>
      </c>
      <c r="AY33" s="9" t="s">
        <v>57</v>
      </c>
      <c r="AZ33" s="9" t="b">
        <v>0</v>
      </c>
      <c r="BA33" s="9" t="b">
        <v>0</v>
      </c>
      <c r="BB33" s="9" t="b">
        <v>0</v>
      </c>
      <c r="BC33" s="9" t="b">
        <v>0</v>
      </c>
      <c r="BD33" s="9" t="s">
        <v>59</v>
      </c>
      <c r="BE33" s="9" t="b">
        <v>0</v>
      </c>
      <c r="BM33" s="189"/>
      <c r="BN33" s="189"/>
      <c r="BO33" s="189"/>
    </row>
    <row r="34" spans="1:67" ht="12" customHeight="1">
      <c r="A34" s="237" t="s">
        <v>1447</v>
      </c>
      <c r="B34" s="238" t="str">
        <f t="shared" si="0"/>
        <v>ERN19164</v>
      </c>
      <c r="C34" s="239" t="str">
        <f t="shared" si="1"/>
        <v>Lpx Group Bv</v>
      </c>
      <c r="D34" s="239">
        <f t="shared" si="2"/>
        <v>0</v>
      </c>
      <c r="E34" s="240">
        <f t="shared" si="3"/>
        <v>46244.104166666664</v>
      </c>
      <c r="F34" s="241" t="s">
        <v>61</v>
      </c>
      <c r="G34" s="241"/>
      <c r="H34" s="308" t="str">
        <f>IF(VLOOKUP(A34,Outbound!$E$1:$Q$411,13,FALSE)=0,VLOOKUP(A34,AK:BL,13,FALSE),VLOOKUP(A34,Outbound!$E$1:$Q$411,13,FALSE))</f>
        <v>ENBR21056</v>
      </c>
      <c r="I34" s="242" t="str">
        <f t="shared" si="6"/>
        <v>XPI</v>
      </c>
      <c r="J34" s="269" t="str">
        <f>IFERROR(IF(VLOOKUP($A34,Outbound!$E$1:$BA$411,17,FALSE)="","","Y"),"")</f>
        <v/>
      </c>
      <c r="K34" s="243"/>
      <c r="L34" s="243"/>
      <c r="M34" s="244" t="str">
        <f t="shared" si="7"/>
        <v>XPI 2</v>
      </c>
      <c r="N34" s="245" t="s">
        <v>870</v>
      </c>
      <c r="O34" s="245" t="s">
        <v>870</v>
      </c>
      <c r="P34" s="267" t="str">
        <f>IFERROR(IF(VLOOKUP(A34,Outbound!$E$1:$AY$411,46,FALSE)&lt;&gt;"","Y",""),"")</f>
        <v/>
      </c>
      <c r="Q34" s="267" t="str">
        <f>IFERROR(IF(VLOOKUP($A34,Outbound!$E$1:$BA$411,20,FALSE)="","","Y"),"")</f>
        <v>Y</v>
      </c>
      <c r="R34" s="267" t="str">
        <f>IFERROR(IF(VLOOKUP($A34,Outbound!$E$1:$BA$411,49,FALSE)="","","Y"),"")</f>
        <v>Y</v>
      </c>
      <c r="S34" s="309">
        <v>5.8333333333333334E-2</v>
      </c>
      <c r="T34" s="309"/>
      <c r="U34" s="246"/>
      <c r="V34" s="246"/>
      <c r="W34" s="117" t="str">
        <f>IFERROR(IF(VLOOKUP($A34,Outbound!$E$1:$BA$411,14,FALSE)="VARIATA","NEW TRAILER",""),"")</f>
        <v/>
      </c>
      <c r="X34" s="117" t="str">
        <f>IFERROR(IF(VLOOKUP(A34,Outbound!$E$1:$Y$411,21,FALSE)&lt;&gt;"",VLOOKUP(A34,Outbound!$E$1:$Y$411,21,FALSE),VLOOKUP(A34,Outbound!$E$1:$Y$411,19,FALSE)),"")</f>
        <v>p608</v>
      </c>
      <c r="Y34" s="117" t="str">
        <f>IFERROR(CONCATENATE(VLOOKUP($A34,Outbound!$E$1:$BA$411,44,FALSE)," - ",VLOOKUP($A34,Outbound!$E$1:$BA$411,16,FALSE)," - "),"")</f>
        <v xml:space="preserve"> -  - </v>
      </c>
      <c r="Z34" s="246" t="str">
        <f>IFERROR(VLOOKUP(A34,Outbound!$E$2:$AK$412,33,FALSE),"")</f>
        <v xml:space="preserve"> FRT 14 </v>
      </c>
      <c r="AA34" s="246" t="s">
        <v>870</v>
      </c>
      <c r="AB34" s="344">
        <f>IFERROR(IF(VLOOKUP($A34,Outbound!$E$1:$BA$411,48,FALSE)&lt;&gt;0,VLOOKUP($A34,Outbound!$E$1:$BA$411,48,FALSE),""),"")</f>
        <v>6.3888888888888884E-2</v>
      </c>
      <c r="AC34" s="314">
        <f>IFERROR(IF(VLOOKUP($A34,Outbound!$E$1:$BA$411,49,FALSE)&lt;&gt;0,VLOOKUP($A34,Outbound!$E$1:$BA$411,49,FALSE),""),"")</f>
        <v>7.0833333333333331E-2</v>
      </c>
      <c r="AK34" s="9" t="s">
        <v>191</v>
      </c>
      <c r="AL34" s="9" t="s">
        <v>192</v>
      </c>
      <c r="AM34" s="9" t="s">
        <v>1448</v>
      </c>
      <c r="AN34" s="9" t="s">
        <v>0</v>
      </c>
      <c r="AO34" s="9" t="s">
        <v>191</v>
      </c>
      <c r="AP34" s="9" t="s">
        <v>51</v>
      </c>
      <c r="AQ34" s="424">
        <v>46244.1875</v>
      </c>
      <c r="AR34" s="9"/>
      <c r="AS34" s="9" t="s">
        <v>1449</v>
      </c>
      <c r="AT34" s="9" t="s">
        <v>1450</v>
      </c>
      <c r="AU34" s="9" t="s">
        <v>1451</v>
      </c>
      <c r="AV34" s="9" t="s">
        <v>191</v>
      </c>
      <c r="AX34" s="9" t="b">
        <v>1</v>
      </c>
      <c r="AY34" s="9" t="s">
        <v>57</v>
      </c>
      <c r="AZ34" s="9" t="b">
        <v>0</v>
      </c>
      <c r="BA34" s="9" t="b">
        <v>0</v>
      </c>
      <c r="BB34" s="9" t="b">
        <v>0</v>
      </c>
      <c r="BC34" s="9" t="b">
        <v>0</v>
      </c>
      <c r="BD34" s="9" t="s">
        <v>59</v>
      </c>
      <c r="BE34" s="9" t="b">
        <v>0</v>
      </c>
      <c r="BM34" s="189"/>
      <c r="BN34" s="189"/>
      <c r="BO34" s="189"/>
    </row>
    <row r="35" spans="1:67" ht="12" customHeight="1">
      <c r="A35" s="237" t="s">
        <v>1452</v>
      </c>
      <c r="B35" s="238" t="str">
        <f t="shared" si="0"/>
        <v>ERN14512</v>
      </c>
      <c r="C35" s="239" t="str">
        <f t="shared" si="1"/>
        <v>Rayden N.V.</v>
      </c>
      <c r="D35" s="239">
        <f t="shared" si="2"/>
        <v>0</v>
      </c>
      <c r="E35" s="240">
        <f t="shared" si="3"/>
        <v>46244.4375</v>
      </c>
      <c r="F35" s="241"/>
      <c r="G35" s="241" t="s">
        <v>61</v>
      </c>
      <c r="H35" s="308" t="str">
        <f>IF(VLOOKUP(A35,Outbound!$E$1:$Q$411,13,FALSE)=0,VLOOKUP(A35,AK:BL,13,FALSE),VLOOKUP(A35,Outbound!$E$1:$Q$411,13,FALSE))</f>
        <v>QAPJ563</v>
      </c>
      <c r="I35" s="242" t="str">
        <f t="shared" si="6"/>
        <v>XPI</v>
      </c>
      <c r="J35" s="269" t="str">
        <f>IFERROR(IF(VLOOKUP($A35,Outbound!$E$1:$BA$411,17,FALSE)="","","Y"),"")</f>
        <v>Y</v>
      </c>
      <c r="K35" s="243"/>
      <c r="L35" s="243"/>
      <c r="M35" s="244" t="str">
        <f t="shared" si="7"/>
        <v>XPI 3</v>
      </c>
      <c r="N35" s="245" t="s">
        <v>870</v>
      </c>
      <c r="O35" s="245" t="s">
        <v>870</v>
      </c>
      <c r="P35" s="267" t="str">
        <f>IFERROR(IF(VLOOKUP(A35,Outbound!$E$1:$AY$411,46,FALSE)&lt;&gt;"","Y",""),"")</f>
        <v/>
      </c>
      <c r="Q35" s="267" t="str">
        <f>IFERROR(IF(VLOOKUP($A35,Outbound!$E$1:$BA$411,20,FALSE)="","","Y"),"")</f>
        <v/>
      </c>
      <c r="R35" s="267" t="str">
        <f>IFERROR(IF(VLOOKUP($A35,Outbound!$E$1:$BA$411,49,FALSE)="","","Y"),"")</f>
        <v/>
      </c>
      <c r="S35" s="309"/>
      <c r="T35" s="309"/>
      <c r="U35" s="246"/>
      <c r="V35" s="246"/>
      <c r="W35" s="117" t="str">
        <f>IFERROR(IF(VLOOKUP($A35,Outbound!$E$1:$BA$411,14,FALSE)="VARIATA","NEW TRAILER",""),"")</f>
        <v/>
      </c>
      <c r="X35" s="117">
        <f>IFERROR(IF(VLOOKUP(A35,Outbound!$E$1:$Y$411,21,FALSE)&lt;&gt;"",VLOOKUP(A35,Outbound!$E$1:$Y$411,21,FALSE),VLOOKUP(A35,Outbound!$E$1:$Y$411,19,FALSE)),"")</f>
        <v>318</v>
      </c>
      <c r="Y35" s="117" t="str">
        <f>IFERROR(CONCATENATE(VLOOKUP($A35,Outbound!$E$1:$BA$411,44,FALSE)," - ",VLOOKUP($A35,Outbound!$E$1:$BA$411,16,FALSE)," - "),"")</f>
        <v xml:space="preserve"> -  - </v>
      </c>
      <c r="Z35" s="246" t="str">
        <f>IFERROR(VLOOKUP(A35,Outbound!$E$2:$AK$412,33,FALSE),"")</f>
        <v/>
      </c>
      <c r="AA35" s="246"/>
      <c r="AB35" s="344" t="str">
        <f>IFERROR(IF(VLOOKUP($A35,Outbound!$E$1:$BA$411,48,FALSE)&lt;&gt;0,VLOOKUP($A35,Outbound!$E$1:$BA$411,48,FALSE),""),"")</f>
        <v/>
      </c>
      <c r="AC35" s="314" t="str">
        <f>IFERROR(IF(VLOOKUP($A35,Outbound!$E$1:$BA$411,49,FALSE)&lt;&gt;0,VLOOKUP($A35,Outbound!$E$1:$BA$411,49,FALSE),""),"")</f>
        <v/>
      </c>
      <c r="AK35" s="9" t="s">
        <v>200</v>
      </c>
      <c r="AL35" s="9" t="s">
        <v>201</v>
      </c>
      <c r="AM35" s="9" t="s">
        <v>1453</v>
      </c>
      <c r="AN35" s="9" t="s">
        <v>0</v>
      </c>
      <c r="AO35" s="9" t="s">
        <v>197</v>
      </c>
      <c r="AP35" s="9" t="s">
        <v>66</v>
      </c>
      <c r="AQ35" s="424">
        <v>46213.9375</v>
      </c>
      <c r="AR35" s="9"/>
      <c r="AS35" s="9" t="s">
        <v>1454</v>
      </c>
      <c r="AT35" s="9"/>
      <c r="AU35" s="9"/>
      <c r="AV35" s="9" t="s">
        <v>197</v>
      </c>
      <c r="AX35" s="9" t="b">
        <v>1</v>
      </c>
      <c r="AY35" s="9" t="s">
        <v>57</v>
      </c>
      <c r="AZ35" s="9" t="b">
        <v>0</v>
      </c>
      <c r="BA35" s="9" t="b">
        <v>0</v>
      </c>
      <c r="BB35" s="9" t="b">
        <v>0</v>
      </c>
      <c r="BC35" s="9" t="b">
        <v>0</v>
      </c>
      <c r="BD35" s="9" t="s">
        <v>59</v>
      </c>
      <c r="BE35" s="9" t="b">
        <v>0</v>
      </c>
      <c r="BM35" s="189"/>
      <c r="BN35" s="189"/>
      <c r="BO35" s="189"/>
    </row>
    <row r="36" spans="1:67" ht="12" customHeight="1">
      <c r="A36" s="237" t="s">
        <v>1455</v>
      </c>
      <c r="B36" s="238" t="str">
        <f t="shared" si="0"/>
        <v>ERN92400</v>
      </c>
      <c r="C36" s="239" t="str">
        <f t="shared" si="1"/>
        <v>Galileo Transport Srl</v>
      </c>
      <c r="D36" s="239">
        <f t="shared" si="2"/>
        <v>0</v>
      </c>
      <c r="E36" s="240">
        <f t="shared" si="3"/>
        <v>46244.4375</v>
      </c>
      <c r="F36" s="241" t="s">
        <v>61</v>
      </c>
      <c r="G36" s="241"/>
      <c r="H36" s="308">
        <f>IF(VLOOKUP(A36,Outbound!$E$1:$Q$411,13,FALSE)=0,VLOOKUP(A36,AK:BL,13,FALSE),VLOOKUP(A36,Outbound!$E$1:$Q$411,13,FALSE))</f>
        <v>0</v>
      </c>
      <c r="I36" s="242" t="str">
        <f t="shared" si="6"/>
        <v>XPI</v>
      </c>
      <c r="J36" s="269" t="str">
        <f>IFERROR(IF(VLOOKUP($A36,Outbound!$E$1:$BA$411,17,FALSE)="","","Y"),"")</f>
        <v/>
      </c>
      <c r="K36" s="243"/>
      <c r="L36" s="243"/>
      <c r="M36" s="244" t="str">
        <f t="shared" si="7"/>
        <v>XPI 4</v>
      </c>
      <c r="N36" s="245"/>
      <c r="O36" s="245"/>
      <c r="P36" s="267" t="str">
        <f>IFERROR(IF(VLOOKUP(A36,Outbound!$E$1:$AY$411,46,FALSE)&lt;&gt;"","Y",""),"")</f>
        <v/>
      </c>
      <c r="Q36" s="267" t="str">
        <f>IFERROR(IF(VLOOKUP($A36,Outbound!$E$1:$BA$411,20,FALSE)="","","Y"),"")</f>
        <v/>
      </c>
      <c r="R36" s="267" t="str">
        <f>IFERROR(IF(VLOOKUP($A36,Outbound!$E$1:$BA$411,49,FALSE)="","","Y"),"")</f>
        <v/>
      </c>
      <c r="S36" s="309"/>
      <c r="T36" s="309"/>
      <c r="U36" s="246"/>
      <c r="V36" s="246"/>
      <c r="W36" s="117" t="str">
        <f>IFERROR(IF(VLOOKUP($A36,Outbound!$E$1:$BA$411,14,FALSE)="VARIATA","NEW TRAILER",""),"")</f>
        <v/>
      </c>
      <c r="X36" s="117">
        <f>IFERROR(IF(VLOOKUP(A36,Outbound!$E$1:$Y$411,21,FALSE)&lt;&gt;"",VLOOKUP(A36,Outbound!$E$1:$Y$411,21,FALSE),VLOOKUP(A36,Outbound!$E$1:$Y$411,19,FALSE)),"")</f>
        <v>0</v>
      </c>
      <c r="Y36" s="117" t="str">
        <f>IFERROR(CONCATENATE(VLOOKUP($A36,Outbound!$E$1:$BA$411,44,FALSE)," - ",VLOOKUP($A36,Outbound!$E$1:$BA$411,16,FALSE)," - "),"")</f>
        <v xml:space="preserve"> -  - </v>
      </c>
      <c r="Z36" s="246" t="str">
        <f>IFERROR(VLOOKUP(A36,Outbound!$E$2:$AK$412,33,FALSE),"")</f>
        <v/>
      </c>
      <c r="AA36" s="246"/>
      <c r="AB36" s="344" t="str">
        <f>IFERROR(IF(VLOOKUP($A36,Outbound!$E$1:$BA$411,48,FALSE)&lt;&gt;0,VLOOKUP($A36,Outbound!$E$1:$BA$411,48,FALSE),""),"")</f>
        <v/>
      </c>
      <c r="AC36" s="314" t="str">
        <f>IFERROR(IF(VLOOKUP($A36,Outbound!$E$1:$BA$411,49,FALSE)&lt;&gt;0,VLOOKUP($A36,Outbound!$E$1:$BA$411,49,FALSE),""),"")</f>
        <v/>
      </c>
      <c r="AK36" s="9" t="s">
        <v>1456</v>
      </c>
      <c r="AL36" s="9" t="s">
        <v>196</v>
      </c>
      <c r="AM36" s="9" t="s">
        <v>1457</v>
      </c>
      <c r="AN36" s="9" t="s">
        <v>0</v>
      </c>
      <c r="AO36" s="9" t="s">
        <v>197</v>
      </c>
      <c r="AP36" s="9" t="s">
        <v>66</v>
      </c>
      <c r="AQ36" s="424">
        <v>46213.9375</v>
      </c>
      <c r="AR36" s="9"/>
      <c r="AS36" s="9" t="s">
        <v>168</v>
      </c>
      <c r="AT36" s="9"/>
      <c r="AU36" s="9"/>
      <c r="AV36" s="9" t="s">
        <v>197</v>
      </c>
      <c r="AX36" s="9" t="b">
        <v>0</v>
      </c>
      <c r="AY36" s="9" t="s">
        <v>57</v>
      </c>
      <c r="AZ36" s="9" t="b">
        <v>0</v>
      </c>
      <c r="BA36" s="9" t="b">
        <v>0</v>
      </c>
      <c r="BB36" s="9" t="b">
        <v>0</v>
      </c>
      <c r="BC36" s="9" t="b">
        <v>0</v>
      </c>
      <c r="BD36" s="9" t="s">
        <v>59</v>
      </c>
      <c r="BE36" s="9" t="b">
        <v>0</v>
      </c>
      <c r="BM36" s="189"/>
      <c r="BN36" s="189"/>
      <c r="BO36" s="189"/>
    </row>
    <row r="37" spans="1:67" ht="12" customHeight="1">
      <c r="A37" s="237" t="s">
        <v>1458</v>
      </c>
      <c r="B37" s="238" t="str">
        <f t="shared" si="0"/>
        <v>ERN92358</v>
      </c>
      <c r="C37" s="239" t="str">
        <f t="shared" si="1"/>
        <v>T Service Spa</v>
      </c>
      <c r="D37" s="239">
        <f t="shared" si="2"/>
        <v>0</v>
      </c>
      <c r="E37" s="240">
        <f t="shared" si="3"/>
        <v>46244.4375</v>
      </c>
      <c r="F37" s="241" t="s">
        <v>61</v>
      </c>
      <c r="G37" s="241"/>
      <c r="H37" s="308">
        <f>IF(VLOOKUP(A37,Outbound!$E$1:$Q$411,13,FALSE)=0,VLOOKUP(A37,AK:BL,13,FALSE),VLOOKUP(A37,Outbound!$E$1:$Q$411,13,FALSE))</f>
        <v>0</v>
      </c>
      <c r="I37" s="242" t="str">
        <f t="shared" si="6"/>
        <v>XPI</v>
      </c>
      <c r="J37" s="269" t="str">
        <f>IFERROR(IF(VLOOKUP($A37,Outbound!$E$1:$BA$411,17,FALSE)="","","Y"),"")</f>
        <v/>
      </c>
      <c r="K37" s="243"/>
      <c r="L37" s="243"/>
      <c r="M37" s="244" t="str">
        <f t="shared" si="7"/>
        <v>XPI 5</v>
      </c>
      <c r="N37" s="245"/>
      <c r="O37" s="245"/>
      <c r="P37" s="267" t="str">
        <f>IFERROR(IF(VLOOKUP(A37,Outbound!$E$1:$AY$411,46,FALSE)&lt;&gt;"","Y",""),"")</f>
        <v/>
      </c>
      <c r="Q37" s="267" t="str">
        <f>IFERROR(IF(VLOOKUP($A37,Outbound!$E$1:$BA$411,20,FALSE)="","","Y"),"")</f>
        <v/>
      </c>
      <c r="R37" s="267" t="str">
        <f>IFERROR(IF(VLOOKUP($A37,Outbound!$E$1:$BA$411,49,FALSE)="","","Y"),"")</f>
        <v/>
      </c>
      <c r="S37" s="309"/>
      <c r="T37" s="309"/>
      <c r="U37" s="246"/>
      <c r="V37" s="246"/>
      <c r="W37" s="117" t="str">
        <f>IFERROR(IF(VLOOKUP($A37,Outbound!$E$1:$BA$411,14,FALSE)="VARIATA","NEW TRAILER",""),"")</f>
        <v/>
      </c>
      <c r="X37" s="117">
        <f>IFERROR(IF(VLOOKUP(A37,Outbound!$E$1:$Y$411,21,FALSE)&lt;&gt;"",VLOOKUP(A37,Outbound!$E$1:$Y$411,21,FALSE),VLOOKUP(A37,Outbound!$E$1:$Y$411,19,FALSE)),"")</f>
        <v>0</v>
      </c>
      <c r="Y37" s="117" t="str">
        <f>IFERROR(CONCATENATE(VLOOKUP($A37,Outbound!$E$1:$BA$411,44,FALSE)," - ",VLOOKUP($A37,Outbound!$E$1:$BA$411,16,FALSE)," - "),"")</f>
        <v xml:space="preserve"> -  - </v>
      </c>
      <c r="Z37" s="246" t="str">
        <f>IFERROR(VLOOKUP(A37,Outbound!$E$2:$AK$412,33,FALSE),"")</f>
        <v/>
      </c>
      <c r="AA37" s="246"/>
      <c r="AB37" s="344" t="str">
        <f>IFERROR(IF(VLOOKUP($A37,Outbound!$E$1:$BA$411,48,FALSE)&lt;&gt;0,VLOOKUP($A37,Outbound!$E$1:$BA$411,48,FALSE),""),"")</f>
        <v/>
      </c>
      <c r="AC37" s="314" t="str">
        <f>IFERROR(IF(VLOOKUP($A37,Outbound!$E$1:$BA$411,49,FALSE)&lt;&gt;0,VLOOKUP($A37,Outbound!$E$1:$BA$411,49,FALSE),""),"")</f>
        <v/>
      </c>
      <c r="AK37" s="9" t="s">
        <v>1459</v>
      </c>
      <c r="AL37" s="9" t="s">
        <v>1460</v>
      </c>
      <c r="AM37" s="9" t="s">
        <v>1461</v>
      </c>
      <c r="AN37" s="9" t="s">
        <v>0</v>
      </c>
      <c r="AO37" s="9" t="s">
        <v>85</v>
      </c>
      <c r="AP37" s="9" t="s">
        <v>66</v>
      </c>
      <c r="AQ37" s="424">
        <v>46244.4375</v>
      </c>
      <c r="AR37" s="9"/>
      <c r="AS37" s="9" t="s">
        <v>171</v>
      </c>
      <c r="AT37" s="9"/>
      <c r="AU37" s="9"/>
      <c r="AV37" s="9" t="s">
        <v>85</v>
      </c>
      <c r="AX37" s="9" t="b">
        <v>0</v>
      </c>
      <c r="AY37" s="9" t="s">
        <v>76</v>
      </c>
      <c r="AZ37" s="9" t="b">
        <v>0</v>
      </c>
      <c r="BA37" s="9" t="b">
        <v>0</v>
      </c>
      <c r="BB37" s="9" t="b">
        <v>0</v>
      </c>
      <c r="BC37" s="9" t="b">
        <v>0</v>
      </c>
      <c r="BD37" s="9" t="s">
        <v>59</v>
      </c>
      <c r="BE37" s="9" t="b">
        <v>0</v>
      </c>
      <c r="BM37" s="189"/>
      <c r="BN37" s="189"/>
      <c r="BO37" s="189"/>
    </row>
    <row r="38" spans="1:67" ht="12" customHeight="1">
      <c r="A38" s="237" t="s">
        <v>175</v>
      </c>
      <c r="B38" s="238" t="str">
        <f t="shared" si="0"/>
        <v>ERN01518</v>
      </c>
      <c r="C38" s="239" t="str">
        <f t="shared" si="1"/>
        <v>Ern Own Fr</v>
      </c>
      <c r="D38" s="239" t="str">
        <f t="shared" si="2"/>
        <v>HL938ZV</v>
      </c>
      <c r="E38" s="240">
        <f t="shared" si="3"/>
        <v>46244.000694444447</v>
      </c>
      <c r="F38" s="241" t="s">
        <v>61</v>
      </c>
      <c r="G38" s="241"/>
      <c r="H38" s="308" t="str">
        <f>IF(VLOOKUP(A38,Outbound!$E$1:$Q$411,13,FALSE)=0,VLOOKUP(A38,AK:BL,13,FALSE),VLOOKUP(A38,Outbound!$E$1:$Q$411,13,FALSE))</f>
        <v>ENBD20100</v>
      </c>
      <c r="I38" s="242" t="str">
        <f t="shared" si="6"/>
        <v>MV9</v>
      </c>
      <c r="J38" s="269" t="str">
        <f>IFERROR(IF(VLOOKUP($A38,Outbound!$E$1:$BA$411,17,FALSE)="","","Y"),"")</f>
        <v>Y</v>
      </c>
      <c r="K38" s="243"/>
      <c r="L38" s="243"/>
      <c r="M38" s="244" t="str">
        <f t="shared" si="7"/>
        <v>MV9 1</v>
      </c>
      <c r="N38" s="245" t="s">
        <v>870</v>
      </c>
      <c r="O38" s="245" t="s">
        <v>870</v>
      </c>
      <c r="P38" s="267" t="str">
        <f>IFERROR(IF(VLOOKUP(A38,Outbound!$E$1:$AY$411,46,FALSE)&lt;&gt;"","Y",""),"")</f>
        <v/>
      </c>
      <c r="Q38" s="267" t="str">
        <f>IFERROR(IF(VLOOKUP($A38,Outbound!$E$1:$BA$411,20,FALSE)="","","Y"),"")</f>
        <v>Y</v>
      </c>
      <c r="R38" s="267" t="str">
        <f>IFERROR(IF(VLOOKUP($A38,Outbound!$E$1:$BA$411,49,FALSE)="","","Y"),"")</f>
        <v>Y</v>
      </c>
      <c r="S38" s="309">
        <v>0.94236111111111109</v>
      </c>
      <c r="T38" s="309"/>
      <c r="U38" s="246"/>
      <c r="V38" s="246"/>
      <c r="W38" s="117" t="str">
        <f>IFERROR(IF(VLOOKUP($A38,Outbound!$E$1:$BA$411,14,FALSE)="VARIATA","NEW TRAILER",""),"")</f>
        <v/>
      </c>
      <c r="X38" s="117" t="str">
        <f>IFERROR(IF(VLOOKUP(A38,Outbound!$E$1:$Y$411,21,FALSE)&lt;&gt;"",VLOOKUP(A38,Outbound!$E$1:$Y$411,21,FALSE),VLOOKUP(A38,Outbound!$E$1:$Y$411,19,FALSE)),"")</f>
        <v>P606</v>
      </c>
      <c r="Y38" s="117" t="str">
        <f>IFERROR(CONCATENATE(VLOOKUP($A38,Outbound!$E$1:$BA$411,44,FALSE)," - ",VLOOKUP($A38,Outbound!$E$1:$BA$411,16,FALSE)," - "),"")</f>
        <v xml:space="preserve"> -  - </v>
      </c>
      <c r="Z38" s="246" t="str">
        <f>IFERROR(VLOOKUP(A38,Outbound!$E$2:$AK$412,33,FALSE),"")</f>
        <v xml:space="preserve"> LL 5.5,  FRT 8.5  - 13 Bag</v>
      </c>
      <c r="AA38" s="246" t="s">
        <v>870</v>
      </c>
      <c r="AB38" s="344">
        <f>IFERROR(IF(VLOOKUP($A38,Outbound!$E$1:$BA$411,48,FALSE)&lt;&gt;0,VLOOKUP($A38,Outbound!$E$1:$BA$411,48,FALSE),""),"")</f>
        <v>0.94444444444444442</v>
      </c>
      <c r="AC38" s="314">
        <f>IFERROR(IF(VLOOKUP($A38,Outbound!$E$1:$BA$411,49,FALSE)&lt;&gt;0,VLOOKUP($A38,Outbound!$E$1:$BA$411,49,FALSE),""),"")</f>
        <v>0.95138888888888884</v>
      </c>
      <c r="AK38" s="9" t="s">
        <v>79</v>
      </c>
      <c r="AL38" s="9" t="s">
        <v>1462</v>
      </c>
      <c r="AM38" s="9" t="s">
        <v>1463</v>
      </c>
      <c r="AN38" s="9" t="s">
        <v>0</v>
      </c>
      <c r="AO38" s="9" t="s">
        <v>85</v>
      </c>
      <c r="AP38" s="9" t="s">
        <v>66</v>
      </c>
      <c r="AQ38" s="424">
        <v>46244.083333333336</v>
      </c>
      <c r="AR38" s="9"/>
      <c r="AS38" s="9" t="s">
        <v>82</v>
      </c>
      <c r="AT38" s="9" t="s">
        <v>1464</v>
      </c>
      <c r="AU38" s="9" t="s">
        <v>1465</v>
      </c>
      <c r="AV38" s="9" t="s">
        <v>85</v>
      </c>
      <c r="AX38" s="9" t="b">
        <v>0</v>
      </c>
      <c r="AY38" s="9" t="s">
        <v>57</v>
      </c>
      <c r="AZ38" s="9" t="b">
        <v>0</v>
      </c>
      <c r="BA38" s="9" t="b">
        <v>0</v>
      </c>
      <c r="BB38" s="9" t="b">
        <v>0</v>
      </c>
      <c r="BC38" s="9" t="b">
        <v>0</v>
      </c>
      <c r="BD38" s="9" t="s">
        <v>59</v>
      </c>
      <c r="BE38" s="9" t="b">
        <v>0</v>
      </c>
      <c r="BM38" s="189"/>
      <c r="BN38" s="189"/>
      <c r="BO38" s="189"/>
    </row>
    <row r="39" spans="1:67" ht="12" customHeight="1">
      <c r="A39" s="237" t="s">
        <v>181</v>
      </c>
      <c r="B39" s="238" t="str">
        <f t="shared" si="0"/>
        <v>ERN16616</v>
      </c>
      <c r="C39" s="239" t="str">
        <f t="shared" si="1"/>
        <v>Lpx Group Bv</v>
      </c>
      <c r="D39" s="239">
        <f t="shared" si="2"/>
        <v>0</v>
      </c>
      <c r="E39" s="240">
        <f t="shared" si="3"/>
        <v>46244.09375</v>
      </c>
      <c r="F39" s="241" t="s">
        <v>61</v>
      </c>
      <c r="G39" s="241"/>
      <c r="H39" s="308" t="str">
        <f>IF(VLOOKUP(A39,Outbound!$E$1:$Q$411,13,FALSE)=0,VLOOKUP(A39,AK:BL,13,FALSE),VLOOKUP(A39,Outbound!$E$1:$Q$411,13,FALSE))</f>
        <v>ENB17859</v>
      </c>
      <c r="I39" s="242" t="str">
        <f t="shared" si="6"/>
        <v>MV9</v>
      </c>
      <c r="J39" s="269" t="str">
        <f>IFERROR(IF(VLOOKUP($A39,Outbound!$E$1:$BA$411,17,FALSE)="","","Y"),"")</f>
        <v>Y</v>
      </c>
      <c r="K39" s="243"/>
      <c r="L39" s="243"/>
      <c r="M39" s="244" t="str">
        <f t="shared" si="7"/>
        <v>MV9 2</v>
      </c>
      <c r="N39" s="245" t="s">
        <v>870</v>
      </c>
      <c r="O39" s="245" t="s">
        <v>870</v>
      </c>
      <c r="P39" s="267" t="str">
        <f>IFERROR(IF(VLOOKUP(A39,Outbound!$E$1:$AY$411,46,FALSE)&lt;&gt;"","Y",""),"")</f>
        <v/>
      </c>
      <c r="Q39" s="267" t="str">
        <f>IFERROR(IF(VLOOKUP($A39,Outbound!$E$1:$BA$411,20,FALSE)="","","Y"),"")</f>
        <v>Y</v>
      </c>
      <c r="R39" s="267" t="str">
        <f>IFERROR(IF(VLOOKUP($A39,Outbound!$E$1:$BA$411,49,FALSE)="","","Y"),"")</f>
        <v>Y</v>
      </c>
      <c r="S39" s="309">
        <v>6.458333333333334E-2</v>
      </c>
      <c r="T39" s="309"/>
      <c r="U39" s="246"/>
      <c r="V39" s="246"/>
      <c r="W39" s="117" t="str">
        <f>IFERROR(IF(VLOOKUP($A39,Outbound!$E$1:$BA$411,14,FALSE)="VARIATA","NEW TRAILER",""),"")</f>
        <v/>
      </c>
      <c r="X39" s="117" t="str">
        <f>IFERROR(IF(VLOOKUP(A39,Outbound!$E$1:$Y$411,21,FALSE)&lt;&gt;"",VLOOKUP(A39,Outbound!$E$1:$Y$411,21,FALSE),VLOOKUP(A39,Outbound!$E$1:$Y$411,19,FALSE)),"")</f>
        <v>R709</v>
      </c>
      <c r="Y39" s="117" t="str">
        <f>IFERROR(CONCATENATE(VLOOKUP($A39,Outbound!$E$1:$BA$411,44,FALSE)," - ",VLOOKUP($A39,Outbound!$E$1:$BA$411,16,FALSE)," - "),"")</f>
        <v xml:space="preserve"> -  - </v>
      </c>
      <c r="Z39" s="246" t="str">
        <f>IFERROR(VLOOKUP(A39,Outbound!$E$2:$AK$412,33,FALSE),"")</f>
        <v xml:space="preserve"> LL 5.5,  FRT 8.5  - 16 Bag</v>
      </c>
      <c r="AA39" s="246" t="s">
        <v>870</v>
      </c>
      <c r="AB39" s="344">
        <f>IFERROR(IF(VLOOKUP($A39,Outbound!$E$1:$BA$411,48,FALSE)&lt;&gt;0,VLOOKUP($A39,Outbound!$E$1:$BA$411,48,FALSE),""),"")</f>
        <v>6.7361111111111108E-2</v>
      </c>
      <c r="AC39" s="314">
        <f>IFERROR(IF(VLOOKUP($A39,Outbound!$E$1:$BA$411,49,FALSE)&lt;&gt;0,VLOOKUP($A39,Outbound!$E$1:$BA$411,49,FALSE),""),"")</f>
        <v>8.819444444444445E-2</v>
      </c>
      <c r="AK39" s="9" t="s">
        <v>206</v>
      </c>
      <c r="AL39" s="9" t="s">
        <v>1466</v>
      </c>
      <c r="AM39" s="9" t="s">
        <v>1467</v>
      </c>
      <c r="AN39" s="9" t="s">
        <v>0</v>
      </c>
      <c r="AO39" s="9" t="s">
        <v>85</v>
      </c>
      <c r="AP39" s="9" t="s">
        <v>66</v>
      </c>
      <c r="AQ39" s="424">
        <v>46244.083333333336</v>
      </c>
      <c r="AR39" s="9"/>
      <c r="AS39" s="9" t="s">
        <v>89</v>
      </c>
      <c r="AT39" s="9" t="s">
        <v>1468</v>
      </c>
      <c r="AU39" s="9" t="s">
        <v>1469</v>
      </c>
      <c r="AV39" s="9" t="s">
        <v>85</v>
      </c>
      <c r="AX39" s="9" t="b">
        <v>0</v>
      </c>
      <c r="AY39" s="9" t="s">
        <v>57</v>
      </c>
      <c r="AZ39" s="9" t="b">
        <v>0</v>
      </c>
      <c r="BA39" s="9" t="b">
        <v>0</v>
      </c>
      <c r="BB39" s="9" t="b">
        <v>0</v>
      </c>
      <c r="BC39" s="9" t="b">
        <v>0</v>
      </c>
      <c r="BD39" s="9" t="s">
        <v>59</v>
      </c>
      <c r="BE39" s="9" t="b">
        <v>0</v>
      </c>
      <c r="BM39" s="189"/>
      <c r="BN39" s="189"/>
      <c r="BO39" s="189"/>
    </row>
    <row r="40" spans="1:67" ht="12" customHeight="1">
      <c r="A40" s="237" t="s">
        <v>183</v>
      </c>
      <c r="B40" s="238" t="str">
        <f t="shared" ref="B40:B55" si="8">VLOOKUP(A40,AK:BL,2,FALSE)</f>
        <v>ERN14441</v>
      </c>
      <c r="C40" s="239" t="str">
        <f t="shared" ref="C40:C55" si="9">VLOOKUP(A40,AK:BL,9,FALSE)</f>
        <v>Matelda Srl</v>
      </c>
      <c r="D40" s="239">
        <f t="shared" ref="D40:D55" si="10">VLOOKUP(A40,AK:BL,11,FALSE)</f>
        <v>0</v>
      </c>
      <c r="E40" s="240">
        <f t="shared" ref="E40:E55" si="11">VLOOKUP(A40,AK:BL,7,FALSE)</f>
        <v>46244.4375</v>
      </c>
      <c r="F40" s="241" t="s">
        <v>61</v>
      </c>
      <c r="G40" s="241"/>
      <c r="H40" s="308" t="str">
        <f>IF(VLOOKUP(A40,Outbound!$E$1:$Q$411,13,FALSE)=0,VLOOKUP(A40,AK:BL,13,FALSE),VLOOKUP(A40,Outbound!$E$1:$Q$411,13,FALSE))</f>
        <v>RENT614</v>
      </c>
      <c r="I40" s="242" t="str">
        <f t="shared" si="6"/>
        <v>MV9</v>
      </c>
      <c r="J40" s="269" t="str">
        <f>IFERROR(IF(VLOOKUP($A40,Outbound!$E$1:$BA$411,17,FALSE)="","","Y"),"")</f>
        <v>Y</v>
      </c>
      <c r="K40" s="243"/>
      <c r="L40" s="243"/>
      <c r="M40" s="244" t="str">
        <f t="shared" si="7"/>
        <v>MV9 3</v>
      </c>
      <c r="N40" s="245" t="s">
        <v>421</v>
      </c>
      <c r="O40" s="245" t="s">
        <v>421</v>
      </c>
      <c r="P40" s="267" t="str">
        <f>IFERROR(IF(VLOOKUP(A40,Outbound!$E$1:$AY$411,46,FALSE)&lt;&gt;"","Y",""),"")</f>
        <v/>
      </c>
      <c r="Q40" s="267" t="str">
        <f>IFERROR(IF(VLOOKUP($A40,Outbound!$E$1:$BA$411,20,FALSE)="","","Y"),"")</f>
        <v/>
      </c>
      <c r="R40" s="267" t="str">
        <f>IFERROR(IF(VLOOKUP($A40,Outbound!$E$1:$BA$411,49,FALSE)="","","Y"),"")</f>
        <v/>
      </c>
      <c r="S40" s="309"/>
      <c r="T40" s="309"/>
      <c r="U40" s="246"/>
      <c r="V40" s="246"/>
      <c r="W40" s="117" t="str">
        <f>IFERROR(IF(VLOOKUP($A40,Outbound!$E$1:$BA$411,14,FALSE)="VARIATA","NEW TRAILER",""),"")</f>
        <v/>
      </c>
      <c r="X40" s="117">
        <f>IFERROR(IF(VLOOKUP(A40,Outbound!$E$1:$Y$411,21,FALSE)&lt;&gt;"",VLOOKUP(A40,Outbound!$E$1:$Y$411,21,FALSE),VLOOKUP(A40,Outbound!$E$1:$Y$411,19,FALSE)),"")</f>
        <v>319</v>
      </c>
      <c r="Y40" s="117" t="str">
        <f>IFERROR(CONCATENATE(VLOOKUP($A40,Outbound!$E$1:$BA$411,44,FALSE)," - ",VLOOKUP($A40,Outbound!$E$1:$BA$411,16,FALSE)," - "),"")</f>
        <v xml:space="preserve"> -  - </v>
      </c>
      <c r="Z40" s="246" t="str">
        <f>IFERROR(VLOOKUP(A40,Outbound!$E$2:$AK$412,33,FALSE),"")</f>
        <v/>
      </c>
      <c r="AA40" s="246"/>
      <c r="AB40" s="344" t="str">
        <f>IFERROR(IF(VLOOKUP($A40,Outbound!$E$1:$BA$411,48,FALSE)&lt;&gt;0,VLOOKUP($A40,Outbound!$E$1:$BA$411,48,FALSE),""),"")</f>
        <v/>
      </c>
      <c r="AC40" s="314" t="str">
        <f>IFERROR(IF(VLOOKUP($A40,Outbound!$E$1:$BA$411,49,FALSE)&lt;&gt;0,VLOOKUP($A40,Outbound!$E$1:$BA$411,49,FALSE),""),"")</f>
        <v/>
      </c>
      <c r="AK40" s="9" t="s">
        <v>106</v>
      </c>
      <c r="AL40" s="9" t="s">
        <v>1470</v>
      </c>
      <c r="AM40" s="9" t="s">
        <v>1471</v>
      </c>
      <c r="AN40" s="9" t="s">
        <v>0</v>
      </c>
      <c r="AO40" s="9" t="s">
        <v>85</v>
      </c>
      <c r="AP40" s="9" t="s">
        <v>66</v>
      </c>
      <c r="AQ40" s="424">
        <v>46244.4375</v>
      </c>
      <c r="AR40" s="9"/>
      <c r="AS40" s="9" t="s">
        <v>1425</v>
      </c>
      <c r="AT40" s="9" t="s">
        <v>1472</v>
      </c>
      <c r="AU40" s="9" t="s">
        <v>1473</v>
      </c>
      <c r="AV40" s="9" t="s">
        <v>85</v>
      </c>
      <c r="AX40" s="9" t="b">
        <v>0</v>
      </c>
      <c r="AY40" s="9" t="s">
        <v>57</v>
      </c>
      <c r="AZ40" s="9" t="b">
        <v>0</v>
      </c>
      <c r="BA40" s="9" t="b">
        <v>0</v>
      </c>
      <c r="BB40" s="9" t="b">
        <v>0</v>
      </c>
      <c r="BC40" s="9" t="b">
        <v>0</v>
      </c>
      <c r="BD40" s="9" t="s">
        <v>59</v>
      </c>
      <c r="BE40" s="9" t="b">
        <v>0</v>
      </c>
      <c r="BM40" s="189"/>
      <c r="BN40" s="189"/>
      <c r="BO40" s="189"/>
    </row>
    <row r="41" spans="1:67" ht="12" customHeight="1">
      <c r="A41" s="237" t="s">
        <v>186</v>
      </c>
      <c r="B41" s="238" t="str">
        <f t="shared" si="8"/>
        <v>ERN08176</v>
      </c>
      <c r="C41" s="239" t="str">
        <f t="shared" si="9"/>
        <v>Rayden N.V.</v>
      </c>
      <c r="D41" s="239">
        <f t="shared" si="10"/>
        <v>0</v>
      </c>
      <c r="E41" s="240">
        <f t="shared" si="11"/>
        <v>46244.4375</v>
      </c>
      <c r="F41" s="241"/>
      <c r="G41" s="241" t="s">
        <v>61</v>
      </c>
      <c r="H41" s="308" t="str">
        <f>IF(VLOOKUP(A41,Outbound!$E$1:$Q$411,13,FALSE)=0,VLOOKUP(A41,AK:BL,13,FALSE),VLOOKUP(A41,Outbound!$E$1:$Q$411,13,FALSE))</f>
        <v>1QEK098</v>
      </c>
      <c r="I41" s="242" t="str">
        <f t="shared" si="6"/>
        <v>MV9</v>
      </c>
      <c r="J41" s="269" t="str">
        <f>IFERROR(IF(VLOOKUP($A41,Outbound!$E$1:$BA$411,17,FALSE)="","","Y"),"")</f>
        <v/>
      </c>
      <c r="K41" s="243"/>
      <c r="L41" s="243"/>
      <c r="M41" s="244" t="str">
        <f t="shared" si="7"/>
        <v>MV9 4</v>
      </c>
      <c r="N41" s="245" t="s">
        <v>421</v>
      </c>
      <c r="O41" s="245" t="s">
        <v>421</v>
      </c>
      <c r="P41" s="267" t="str">
        <f>IFERROR(IF(VLOOKUP(A41,Outbound!$E$1:$AY$411,46,FALSE)&lt;&gt;"","Y",""),"")</f>
        <v/>
      </c>
      <c r="Q41" s="267" t="str">
        <f>IFERROR(IF(VLOOKUP($A41,Outbound!$E$1:$BA$411,20,FALSE)="","","Y"),"")</f>
        <v/>
      </c>
      <c r="R41" s="267" t="str">
        <f>IFERROR(IF(VLOOKUP($A41,Outbound!$E$1:$BA$411,49,FALSE)="","","Y"),"")</f>
        <v/>
      </c>
      <c r="S41" s="309"/>
      <c r="T41" s="309"/>
      <c r="U41" s="246"/>
      <c r="V41" s="246"/>
      <c r="W41" s="117" t="str">
        <f>IFERROR(IF(VLOOKUP($A41,Outbound!$E$1:$BA$411,14,FALSE)="VARIATA","NEW TRAILER",""),"")</f>
        <v/>
      </c>
      <c r="X41" s="117">
        <f>IFERROR(IF(VLOOKUP(A41,Outbound!$E$1:$Y$411,21,FALSE)&lt;&gt;"",VLOOKUP(A41,Outbound!$E$1:$Y$411,21,FALSE),VLOOKUP(A41,Outbound!$E$1:$Y$411,19,FALSE)),"")</f>
        <v>0</v>
      </c>
      <c r="Y41" s="117" t="str">
        <f>IFERROR(CONCATENATE(VLOOKUP($A41,Outbound!$E$1:$BA$411,44,FALSE)," - ",VLOOKUP($A41,Outbound!$E$1:$BA$411,16,FALSE)," - "),"")</f>
        <v xml:space="preserve"> -  - </v>
      </c>
      <c r="Z41" s="246" t="str">
        <f>IFERROR(VLOOKUP(A41,Outbound!$E$2:$AK$412,33,FALSE),"")</f>
        <v/>
      </c>
      <c r="AA41" s="246"/>
      <c r="AB41" s="344" t="str">
        <f>IFERROR(IF(VLOOKUP($A41,Outbound!$E$1:$BA$411,48,FALSE)&lt;&gt;0,VLOOKUP($A41,Outbound!$E$1:$BA$411,48,FALSE),""),"")</f>
        <v/>
      </c>
      <c r="AC41" s="314" t="str">
        <f>IFERROR(IF(VLOOKUP($A41,Outbound!$E$1:$BA$411,49,FALSE)&lt;&gt;0,VLOOKUP($A41,Outbound!$E$1:$BA$411,49,FALSE),""),"")</f>
        <v/>
      </c>
      <c r="AK41" s="9" t="s">
        <v>1474</v>
      </c>
      <c r="AL41" s="9" t="s">
        <v>212</v>
      </c>
      <c r="AM41" s="9" t="s">
        <v>1475</v>
      </c>
      <c r="AN41" s="9" t="s">
        <v>0</v>
      </c>
      <c r="AO41" s="9" t="s">
        <v>211</v>
      </c>
      <c r="AP41" s="9" t="s">
        <v>66</v>
      </c>
      <c r="AQ41" s="424">
        <v>46244.791666666664</v>
      </c>
      <c r="AR41" s="9"/>
      <c r="AS41" s="9" t="s">
        <v>752</v>
      </c>
      <c r="AT41" s="9" t="s">
        <v>1476</v>
      </c>
      <c r="AU41" s="9" t="s">
        <v>1477</v>
      </c>
      <c r="AV41" s="9" t="s">
        <v>211</v>
      </c>
      <c r="AX41" s="9" t="b">
        <v>0</v>
      </c>
      <c r="AY41" s="9" t="s">
        <v>57</v>
      </c>
      <c r="AZ41" s="9" t="b">
        <v>0</v>
      </c>
      <c r="BA41" s="9" t="b">
        <v>0</v>
      </c>
      <c r="BB41" s="9" t="b">
        <v>0</v>
      </c>
      <c r="BC41" s="9" t="b">
        <v>0</v>
      </c>
      <c r="BD41" s="9" t="s">
        <v>59</v>
      </c>
      <c r="BE41" s="9" t="b">
        <v>0</v>
      </c>
      <c r="BM41" s="189"/>
      <c r="BN41" s="189"/>
      <c r="BO41" s="189"/>
    </row>
    <row r="42" spans="1:67" ht="12" customHeight="1">
      <c r="A42" s="237" t="s">
        <v>1456</v>
      </c>
      <c r="B42" s="238" t="str">
        <f t="shared" si="8"/>
        <v>ERN15398</v>
      </c>
      <c r="C42" s="239" t="str">
        <f t="shared" si="9"/>
        <v>Cornali Autotrasporti Srl</v>
      </c>
      <c r="D42" s="239">
        <f t="shared" si="10"/>
        <v>0</v>
      </c>
      <c r="E42" s="240">
        <f t="shared" si="11"/>
        <v>46213.9375</v>
      </c>
      <c r="F42" s="241"/>
      <c r="G42" s="241" t="s">
        <v>61</v>
      </c>
      <c r="H42" s="308" t="str">
        <f>IF(VLOOKUP(A42,Outbound!$E$1:$Q$411,13,FALSE)=0,VLOOKUP(A42,AK:BL,13,FALSE),VLOOKUP(A42,Outbound!$E$1:$Q$411,13,FALSE))</f>
        <v>XB662AM</v>
      </c>
      <c r="I42" s="242" t="str">
        <f t="shared" si="6"/>
        <v>LYS</v>
      </c>
      <c r="J42" s="269" t="str">
        <f>IFERROR(IF(VLOOKUP($A42,Outbound!$E$1:$BA$411,17,FALSE)="","","Y"),"")</f>
        <v/>
      </c>
      <c r="K42" s="243"/>
      <c r="L42" s="243"/>
      <c r="M42" s="244" t="str">
        <f t="shared" si="7"/>
        <v>LYS X1</v>
      </c>
      <c r="N42" s="245" t="s">
        <v>421</v>
      </c>
      <c r="O42" s="245" t="s">
        <v>421</v>
      </c>
      <c r="P42" s="267" t="str">
        <f>IFERROR(IF(VLOOKUP(A42,Outbound!$E$1:$AY$411,46,FALSE)&lt;&gt;"","Y",""),"")</f>
        <v/>
      </c>
      <c r="Q42" s="267" t="str">
        <f>IFERROR(IF(VLOOKUP($A42,Outbound!$E$1:$BA$411,20,FALSE)="","","Y"),"")</f>
        <v>Y</v>
      </c>
      <c r="R42" s="267" t="str">
        <f>IFERROR(IF(VLOOKUP($A42,Outbound!$E$1:$BA$411,49,FALSE)="","","Y"),"")</f>
        <v>Y</v>
      </c>
      <c r="S42" s="309"/>
      <c r="T42" s="309"/>
      <c r="U42" s="246"/>
      <c r="V42" s="246"/>
      <c r="W42" s="117" t="str">
        <f>IFERROR(IF(VLOOKUP($A42,Outbound!$E$1:$BA$411,14,FALSE)="VARIATA","NEW TRAILER",""),"")</f>
        <v/>
      </c>
      <c r="X42" s="117" t="str">
        <f>IFERROR(IF(VLOOKUP(A42,Outbound!$E$1:$Y$411,21,FALSE)&lt;&gt;"",VLOOKUP(A42,Outbound!$E$1:$Y$411,21,FALSE),VLOOKUP(A42,Outbound!$E$1:$Y$411,19,FALSE)),"")</f>
        <v>P600</v>
      </c>
      <c r="Y42" s="117" t="str">
        <f>IFERROR(CONCATENATE(VLOOKUP($A42,Outbound!$E$1:$BA$411,44,FALSE)," - ",VLOOKUP($A42,Outbound!$E$1:$BA$411,16,FALSE)," - "),"")</f>
        <v xml:space="preserve"> -  - </v>
      </c>
      <c r="Z42" s="246" t="str">
        <f>IFERROR(VLOOKUP(A42,Outbound!$E$2:$AK$412,33,FALSE),"")</f>
        <v xml:space="preserve"> FRT 14 </v>
      </c>
      <c r="AA42" s="246" t="s">
        <v>870</v>
      </c>
      <c r="AB42" s="344">
        <f>IFERROR(IF(VLOOKUP($A42,Outbound!$E$1:$BA$411,48,FALSE)&lt;&gt;0,VLOOKUP($A42,Outbound!$E$1:$BA$411,48,FALSE),""),"")</f>
        <v>0.90277777777777779</v>
      </c>
      <c r="AC42" s="314">
        <f>IFERROR(IF(VLOOKUP($A42,Outbound!$E$1:$BA$411,49,FALSE)&lt;&gt;0,VLOOKUP($A42,Outbound!$E$1:$BA$411,49,FALSE),""),"")</f>
        <v>0.90763888888888888</v>
      </c>
      <c r="AK42" s="9" t="s">
        <v>1478</v>
      </c>
      <c r="AL42" s="9" t="s">
        <v>212</v>
      </c>
      <c r="AM42" s="9" t="s">
        <v>1475</v>
      </c>
      <c r="AN42" s="9" t="s">
        <v>0</v>
      </c>
      <c r="AO42" s="9" t="s">
        <v>211</v>
      </c>
      <c r="AP42" s="9" t="s">
        <v>51</v>
      </c>
      <c r="AQ42" s="424">
        <v>46213.791666666664</v>
      </c>
      <c r="AR42" s="9"/>
      <c r="AS42" s="9" t="s">
        <v>752</v>
      </c>
      <c r="AT42" s="9" t="s">
        <v>1479</v>
      </c>
      <c r="AU42" s="9" t="s">
        <v>1480</v>
      </c>
      <c r="AV42" s="9" t="s">
        <v>211</v>
      </c>
      <c r="AX42" s="9" t="b">
        <v>1</v>
      </c>
      <c r="AY42" s="9" t="s">
        <v>57</v>
      </c>
      <c r="AZ42" s="9" t="b">
        <v>0</v>
      </c>
      <c r="BA42" s="9" t="b">
        <v>0</v>
      </c>
      <c r="BB42" s="9" t="b">
        <v>0</v>
      </c>
      <c r="BC42" s="9" t="b">
        <v>0</v>
      </c>
      <c r="BD42" s="9" t="s">
        <v>59</v>
      </c>
      <c r="BE42" s="9" t="b">
        <v>0</v>
      </c>
      <c r="BM42" s="189"/>
      <c r="BN42" s="189"/>
      <c r="BO42" s="189"/>
    </row>
    <row r="43" spans="1:67" ht="12" customHeight="1">
      <c r="A43" s="237" t="s">
        <v>200</v>
      </c>
      <c r="B43" s="238" t="str">
        <f t="shared" si="8"/>
        <v>ERN00921</v>
      </c>
      <c r="C43" s="239" t="str">
        <f t="shared" si="9"/>
        <v>Laurent Transport Et Garage</v>
      </c>
      <c r="D43" s="239">
        <f t="shared" si="10"/>
        <v>0</v>
      </c>
      <c r="E43" s="240">
        <f t="shared" si="11"/>
        <v>46213.9375</v>
      </c>
      <c r="F43" s="241" t="s">
        <v>61</v>
      </c>
      <c r="G43" s="241"/>
      <c r="H43" s="308" t="str">
        <f>IF(VLOOKUP(A43,Outbound!$E$1:$Q$411,13,FALSE)=0,VLOOKUP(A43,AK:BL,13,FALSE),VLOOKUP(A43,Outbound!$E$1:$Q$411,13,FALSE))</f>
        <v>ENB15284</v>
      </c>
      <c r="I43" s="242" t="str">
        <f t="shared" si="6"/>
        <v>LYS</v>
      </c>
      <c r="J43" s="269" t="str">
        <f>IFERROR(IF(VLOOKUP($A43,Outbound!$E$1:$BA$411,17,FALSE)="","","Y"),"")</f>
        <v>Y</v>
      </c>
      <c r="K43" s="243"/>
      <c r="L43" s="243"/>
      <c r="M43" s="244" t="str">
        <f t="shared" si="7"/>
        <v>LYS 1</v>
      </c>
      <c r="N43" s="245" t="s">
        <v>870</v>
      </c>
      <c r="O43" s="245" t="s">
        <v>870</v>
      </c>
      <c r="P43" s="267" t="str">
        <f>IFERROR(IF(VLOOKUP(A43,Outbound!$E$1:$AY$411,46,FALSE)&lt;&gt;"","Y",""),"")</f>
        <v/>
      </c>
      <c r="Q43" s="267" t="str">
        <f>IFERROR(IF(VLOOKUP($A43,Outbound!$E$1:$BA$411,20,FALSE)="","","Y"),"")</f>
        <v>Y</v>
      </c>
      <c r="R43" s="267" t="str">
        <f>IFERROR(IF(VLOOKUP($A43,Outbound!$E$1:$BA$411,49,FALSE)="","","Y"),"")</f>
        <v>Y</v>
      </c>
      <c r="S43" s="309"/>
      <c r="T43" s="309"/>
      <c r="U43" s="246"/>
      <c r="V43" s="246"/>
      <c r="W43" s="117" t="str">
        <f>IFERROR(IF(VLOOKUP($A43,Outbound!$E$1:$BA$411,14,FALSE)="VARIATA","NEW TRAILER",""),"")</f>
        <v/>
      </c>
      <c r="X43" s="117" t="str">
        <f>IFERROR(IF(VLOOKUP(A43,Outbound!$E$1:$Y$411,21,FALSE)&lt;&gt;"",VLOOKUP(A43,Outbound!$E$1:$Y$411,21,FALSE),VLOOKUP(A43,Outbound!$E$1:$Y$411,19,FALSE)),"")</f>
        <v>P127</v>
      </c>
      <c r="Y43" s="117" t="str">
        <f>IFERROR(CONCATENATE(VLOOKUP($A43,Outbound!$E$1:$BA$411,44,FALSE)," - ",VLOOKUP($A43,Outbound!$E$1:$BA$411,16,FALSE)," - "),"")</f>
        <v xml:space="preserve"> -  - </v>
      </c>
      <c r="Z43" s="246" t="str">
        <f>IFERROR(VLOOKUP(A43,Outbound!$E$2:$AK$412,33,FALSE),"")</f>
        <v xml:space="preserve"> LL 12.5  - 22 Bag</v>
      </c>
      <c r="AA43" s="246" t="s">
        <v>870</v>
      </c>
      <c r="AB43" s="344">
        <f>IFERROR(IF(VLOOKUP($A43,Outbound!$E$1:$BA$411,48,FALSE)&lt;&gt;0,VLOOKUP($A43,Outbound!$E$1:$BA$411,48,FALSE),""),"")</f>
        <v>0.91249999999999998</v>
      </c>
      <c r="AC43" s="314">
        <f>IFERROR(IF(VLOOKUP($A43,Outbound!$E$1:$BA$411,49,FALSE)&lt;&gt;0,VLOOKUP($A43,Outbound!$E$1:$BA$411,49,FALSE),""),"")</f>
        <v>0.92013888888888884</v>
      </c>
      <c r="AK43" s="9" t="s">
        <v>175</v>
      </c>
      <c r="AL43" s="9" t="s">
        <v>213</v>
      </c>
      <c r="AM43" s="9" t="s">
        <v>1481</v>
      </c>
      <c r="AN43" s="9" t="s">
        <v>0</v>
      </c>
      <c r="AO43" s="9" t="s">
        <v>214</v>
      </c>
      <c r="AP43" s="9" t="s">
        <v>66</v>
      </c>
      <c r="AQ43" s="424">
        <v>46244.000694444447</v>
      </c>
      <c r="AR43" s="9"/>
      <c r="AS43" s="9" t="s">
        <v>215</v>
      </c>
      <c r="AT43" s="9"/>
      <c r="AU43" s="9" t="s">
        <v>1482</v>
      </c>
      <c r="AV43" s="9" t="s">
        <v>214</v>
      </c>
      <c r="AX43" s="9" t="b">
        <v>0</v>
      </c>
      <c r="AY43" s="9" t="s">
        <v>57</v>
      </c>
      <c r="AZ43" s="9" t="b">
        <v>0</v>
      </c>
      <c r="BA43" s="9" t="b">
        <v>0</v>
      </c>
      <c r="BB43" s="9" t="b">
        <v>0</v>
      </c>
      <c r="BC43" s="9" t="b">
        <v>0</v>
      </c>
      <c r="BD43" s="9" t="s">
        <v>59</v>
      </c>
      <c r="BE43" s="9" t="b">
        <v>0</v>
      </c>
      <c r="BM43" s="189"/>
      <c r="BN43" s="189"/>
      <c r="BO43" s="189"/>
    </row>
    <row r="44" spans="1:67" ht="12" customHeight="1">
      <c r="A44" s="237" t="s">
        <v>49</v>
      </c>
      <c r="B44" s="238" t="str">
        <f t="shared" si="8"/>
        <v>ERN17430</v>
      </c>
      <c r="C44" s="239" t="str">
        <f t="shared" si="9"/>
        <v>Matelda Srl</v>
      </c>
      <c r="D44" s="239">
        <f t="shared" si="10"/>
        <v>0</v>
      </c>
      <c r="E44" s="240">
        <f t="shared" si="11"/>
        <v>46244.020833333336</v>
      </c>
      <c r="F44" s="241"/>
      <c r="G44" s="241" t="s">
        <v>61</v>
      </c>
      <c r="H44" s="308" t="str">
        <f>IF(VLOOKUP(A44,Outbound!$E$1:$Q$411,13,FALSE)=0,VLOOKUP(A44,AK:BL,13,FALSE),VLOOKUP(A44,Outbound!$E$1:$Q$411,13,FALSE))</f>
        <v>XA272NH</v>
      </c>
      <c r="I44" s="242" t="str">
        <f t="shared" si="6"/>
        <v>06A</v>
      </c>
      <c r="J44" s="269" t="str">
        <f>IFERROR(IF(VLOOKUP($A44,Outbound!$E$1:$BA$411,17,FALSE)="","","Y"),"")</f>
        <v>Y</v>
      </c>
      <c r="K44" s="243"/>
      <c r="L44" s="243"/>
      <c r="M44" s="244" t="str">
        <f t="shared" si="7"/>
        <v>06A</v>
      </c>
      <c r="N44" s="245" t="s">
        <v>870</v>
      </c>
      <c r="O44" s="245" t="s">
        <v>870</v>
      </c>
      <c r="P44" s="267" t="str">
        <f>IFERROR(IF(VLOOKUP(A44,Outbound!$E$1:$AY$411,46,FALSE)&lt;&gt;"","Y",""),"")</f>
        <v/>
      </c>
      <c r="Q44" s="267" t="str">
        <f>IFERROR(IF(VLOOKUP($A44,Outbound!$E$1:$BA$411,20,FALSE)="","","Y"),"")</f>
        <v>Y</v>
      </c>
      <c r="R44" s="267" t="str">
        <f>IFERROR(IF(VLOOKUP($A44,Outbound!$E$1:$BA$411,49,FALSE)="","","Y"),"")</f>
        <v>Y</v>
      </c>
      <c r="S44" s="309">
        <v>0.98124999999999996</v>
      </c>
      <c r="T44" s="309"/>
      <c r="U44" s="246"/>
      <c r="V44" s="246"/>
      <c r="W44" s="117" t="str">
        <f>IFERROR(IF(VLOOKUP($A44,Outbound!$E$1:$BA$411,14,FALSE)="VARIATA","NEW TRAILER",""),"")</f>
        <v/>
      </c>
      <c r="X44" s="117" t="str">
        <f>IFERROR(IF(VLOOKUP(A44,Outbound!$E$1:$Y$411,21,FALSE)&lt;&gt;"",VLOOKUP(A44,Outbound!$E$1:$Y$411,21,FALSE),VLOOKUP(A44,Outbound!$E$1:$Y$411,19,FALSE)),"")</f>
        <v>R801</v>
      </c>
      <c r="Y44" s="117" t="str">
        <f>IFERROR(CONCATENATE(VLOOKUP($A44,Outbound!$E$1:$BA$411,44,FALSE)," - ",VLOOKUP($A44,Outbound!$E$1:$BA$411,16,FALSE)," - "),"")</f>
        <v xml:space="preserve"> -  - </v>
      </c>
      <c r="Z44" s="246" t="str">
        <f>IFERROR(VLOOKUP(A44,Outbound!$E$2:$AK$412,33,FALSE),"")</f>
        <v xml:space="preserve"> LL 4,  FRT 10  - 8 Bag</v>
      </c>
      <c r="AA44" s="246" t="s">
        <v>870</v>
      </c>
      <c r="AB44" s="344" t="str">
        <f>IFERROR(IF(VLOOKUP($A44,Outbound!$E$1:$BA$411,48,FALSE)&lt;&gt;0,VLOOKUP($A44,Outbound!$E$1:$BA$411,48,FALSE),""),"")</f>
        <v/>
      </c>
      <c r="AC44" s="314">
        <f>IFERROR(IF(VLOOKUP($A44,Outbound!$E$1:$BA$411,49,FALSE)&lt;&gt;0,VLOOKUP($A44,Outbound!$E$1:$BA$411,49,FALSE),""),"")</f>
        <v>0.9916666666666667</v>
      </c>
      <c r="AK44" s="9" t="s">
        <v>181</v>
      </c>
      <c r="AL44" s="9" t="s">
        <v>231</v>
      </c>
      <c r="AM44" s="9" t="s">
        <v>1483</v>
      </c>
      <c r="AN44" s="9" t="s">
        <v>0</v>
      </c>
      <c r="AO44" s="9" t="s">
        <v>214</v>
      </c>
      <c r="AP44" s="9" t="s">
        <v>66</v>
      </c>
      <c r="AQ44" s="424">
        <v>46244.09375</v>
      </c>
      <c r="AR44" s="9"/>
      <c r="AS44" s="9" t="s">
        <v>1484</v>
      </c>
      <c r="AT44" s="9"/>
      <c r="AU44" s="9"/>
      <c r="AV44" s="9" t="s">
        <v>214</v>
      </c>
      <c r="AX44" s="9" t="b">
        <v>0</v>
      </c>
      <c r="AY44" s="9" t="s">
        <v>57</v>
      </c>
      <c r="AZ44" s="9" t="b">
        <v>0</v>
      </c>
      <c r="BA44" s="9" t="b">
        <v>0</v>
      </c>
      <c r="BB44" s="9" t="b">
        <v>0</v>
      </c>
      <c r="BC44" s="9" t="b">
        <v>0</v>
      </c>
      <c r="BD44" s="9" t="s">
        <v>59</v>
      </c>
      <c r="BE44" s="9" t="b">
        <v>0</v>
      </c>
      <c r="BM44" s="189"/>
      <c r="BN44" s="189"/>
      <c r="BO44" s="189"/>
    </row>
    <row r="45" spans="1:67" ht="12" customHeight="1">
      <c r="A45" s="237" t="s">
        <v>1478</v>
      </c>
      <c r="B45" s="238" t="str">
        <f t="shared" si="8"/>
        <v>ERN16946</v>
      </c>
      <c r="C45" s="239" t="str">
        <f t="shared" si="9"/>
        <v>T&amp;ti Cargo Line Srl</v>
      </c>
      <c r="D45" s="239" t="str">
        <f t="shared" si="10"/>
        <v>HC884MJ</v>
      </c>
      <c r="E45" s="240">
        <f t="shared" si="11"/>
        <v>46213.791666666664</v>
      </c>
      <c r="F45" s="241" t="s">
        <v>61</v>
      </c>
      <c r="G45" s="241"/>
      <c r="H45" s="308" t="str">
        <f>IF(VLOOKUP(A45,Outbound!$E$1:$Q$411,13,FALSE)=0,VLOOKUP(A45,AK:BL,13,FALSE),VLOOKUP(A45,Outbound!$E$1:$Q$411,13,FALSE))</f>
        <v>enbd20284</v>
      </c>
      <c r="I45" s="242" t="str">
        <f t="shared" si="6"/>
        <v>MRS</v>
      </c>
      <c r="J45" s="269" t="str">
        <f>IFERROR(IF(VLOOKUP($A45,Outbound!$E$1:$BA$411,17,FALSE)="","","Y"),"")</f>
        <v>Y</v>
      </c>
      <c r="K45" s="243"/>
      <c r="L45" s="243"/>
      <c r="M45" s="244" t="str">
        <f t="shared" si="7"/>
        <v>MRS X1</v>
      </c>
      <c r="N45" s="245"/>
      <c r="O45" s="245"/>
      <c r="P45" s="267" t="str">
        <f>IFERROR(IF(VLOOKUP(A45,Outbound!$E$1:$AY$411,46,FALSE)&lt;&gt;"","Y",""),"")</f>
        <v/>
      </c>
      <c r="Q45" s="267" t="str">
        <f>IFERROR(IF(VLOOKUP($A45,Outbound!$E$1:$BA$411,20,FALSE)="","","Y"),"")</f>
        <v/>
      </c>
      <c r="R45" s="267" t="str">
        <f>IFERROR(IF(VLOOKUP($A45,Outbound!$E$1:$BA$411,49,FALSE)="","","Y"),"")</f>
        <v/>
      </c>
      <c r="S45" s="309"/>
      <c r="T45" s="309"/>
      <c r="U45" s="246"/>
      <c r="V45" s="246"/>
      <c r="W45" s="117" t="str">
        <f>IFERROR(IF(VLOOKUP($A45,Outbound!$E$1:$BA$411,14,FALSE)="VARIATA","NEW TRAILER",""),"")</f>
        <v/>
      </c>
      <c r="X45" s="117">
        <f>IFERROR(IF(VLOOKUP(A45,Outbound!$E$1:$Y$411,21,FALSE)&lt;&gt;"",VLOOKUP(A45,Outbound!$E$1:$Y$411,21,FALSE),VLOOKUP(A45,Outbound!$E$1:$Y$411,19,FALSE)),"")</f>
        <v>403</v>
      </c>
      <c r="Y45" s="117" t="str">
        <f>IFERROR(CONCATENATE(VLOOKUP($A45,Outbound!$E$1:$BA$411,44,FALSE)," - ",VLOOKUP($A45,Outbound!$E$1:$BA$411,16,FALSE)," - "),"")</f>
        <v xml:space="preserve"> -  - </v>
      </c>
      <c r="Z45" s="246" t="str">
        <f>IFERROR(VLOOKUP(A45,Outbound!$E$2:$AK$412,33,FALSE),"")</f>
        <v/>
      </c>
      <c r="AA45" s="246"/>
      <c r="AB45" s="344" t="str">
        <f>IFERROR(IF(VLOOKUP($A45,Outbound!$E$1:$BA$411,48,FALSE)&lt;&gt;0,VLOOKUP($A45,Outbound!$E$1:$BA$411,48,FALSE),""),"")</f>
        <v/>
      </c>
      <c r="AC45" s="314" t="str">
        <f>IFERROR(IF(VLOOKUP($A45,Outbound!$E$1:$BA$411,49,FALSE)&lt;&gt;0,VLOOKUP($A45,Outbound!$E$1:$BA$411,49,FALSE),""),"")</f>
        <v/>
      </c>
      <c r="AK45" s="9" t="s">
        <v>186</v>
      </c>
      <c r="AL45" s="9" t="s">
        <v>224</v>
      </c>
      <c r="AM45" s="9" t="s">
        <v>1485</v>
      </c>
      <c r="AN45" s="9" t="s">
        <v>0</v>
      </c>
      <c r="AO45" s="9" t="s">
        <v>214</v>
      </c>
      <c r="AP45" s="9" t="s">
        <v>66</v>
      </c>
      <c r="AQ45" s="424">
        <v>46244.4375</v>
      </c>
      <c r="AR45" s="9"/>
      <c r="AS45" s="9" t="s">
        <v>135</v>
      </c>
      <c r="AT45" s="9"/>
      <c r="AU45" s="9"/>
      <c r="AV45" s="9" t="s">
        <v>214</v>
      </c>
      <c r="AX45" s="9" t="b">
        <v>0</v>
      </c>
      <c r="AY45" s="9" t="s">
        <v>76</v>
      </c>
      <c r="AZ45" s="9" t="b">
        <v>0</v>
      </c>
      <c r="BA45" s="9" t="b">
        <v>0</v>
      </c>
      <c r="BB45" s="9" t="b">
        <v>0</v>
      </c>
      <c r="BC45" s="9" t="b">
        <v>0</v>
      </c>
      <c r="BD45" s="9" t="s">
        <v>59</v>
      </c>
      <c r="BE45" s="9" t="b">
        <v>0</v>
      </c>
      <c r="BM45" s="189"/>
      <c r="BN45" s="189"/>
      <c r="BO45" s="189"/>
    </row>
    <row r="46" spans="1:67" ht="12" customHeight="1">
      <c r="A46" s="237" t="s">
        <v>1474</v>
      </c>
      <c r="B46" s="238" t="str">
        <f t="shared" si="8"/>
        <v>ERN16946</v>
      </c>
      <c r="C46" s="239" t="str">
        <f t="shared" si="9"/>
        <v>T&amp;ti Cargo Line Srl</v>
      </c>
      <c r="D46" s="239" t="str">
        <f t="shared" si="10"/>
        <v>HC973KJ</v>
      </c>
      <c r="E46" s="240">
        <f t="shared" si="11"/>
        <v>46244.791666666664</v>
      </c>
      <c r="F46" s="241" t="s">
        <v>61</v>
      </c>
      <c r="G46" s="241"/>
      <c r="H46" s="308" t="str">
        <f>IF(VLOOKUP(A46,Outbound!$E$1:$Q$411,13,FALSE)=0,VLOOKUP(A46,AK:BL,13,FALSE),VLOOKUP(A46,Outbound!$E$1:$Q$411,13,FALSE))</f>
        <v>enbr21209</v>
      </c>
      <c r="I46" s="242" t="str">
        <f t="shared" si="6"/>
        <v>MRS</v>
      </c>
      <c r="J46" s="269" t="str">
        <f>IFERROR(IF(VLOOKUP($A46,Outbound!$E$1:$BA$411,17,FALSE)="","","Y"),"")</f>
        <v>Y</v>
      </c>
      <c r="K46" s="243"/>
      <c r="L46" s="243"/>
      <c r="M46" s="244" t="str">
        <f t="shared" si="7"/>
        <v>MRS 1</v>
      </c>
      <c r="N46" s="245" t="s">
        <v>421</v>
      </c>
      <c r="O46" s="245" t="s">
        <v>421</v>
      </c>
      <c r="P46" s="267" t="str">
        <f>IFERROR(IF(VLOOKUP(A46,Outbound!$E$1:$AY$411,46,FALSE)&lt;&gt;"","Y",""),"")</f>
        <v/>
      </c>
      <c r="Q46" s="267" t="str">
        <f>IFERROR(IF(VLOOKUP($A46,Outbound!$E$1:$BA$411,20,FALSE)="","","Y"),"")</f>
        <v>Y</v>
      </c>
      <c r="R46" s="267" t="str">
        <f>IFERROR(IF(VLOOKUP($A46,Outbound!$E$1:$BA$411,49,FALSE)="","","Y"),"")</f>
        <v>Y</v>
      </c>
      <c r="S46" s="309"/>
      <c r="T46" s="309"/>
      <c r="U46" s="246"/>
      <c r="V46" s="246"/>
      <c r="W46" s="117" t="str">
        <f>IFERROR(IF(VLOOKUP($A46,Outbound!$E$1:$BA$411,14,FALSE)="VARIATA","NEW TRAILER",""),"")</f>
        <v/>
      </c>
      <c r="X46" s="117" t="str">
        <f>IFERROR(IF(VLOOKUP(A46,Outbound!$E$1:$Y$411,21,FALSE)&lt;&gt;"",VLOOKUP(A46,Outbound!$E$1:$Y$411,21,FALSE),VLOOKUP(A46,Outbound!$E$1:$Y$411,19,FALSE)),"")</f>
        <v>R746</v>
      </c>
      <c r="Y46" s="117" t="str">
        <f>IFERROR(CONCATENATE(VLOOKUP($A46,Outbound!$E$1:$BA$411,44,FALSE)," - ",VLOOKUP($A46,Outbound!$E$1:$BA$411,16,FALSE)," - "),"")</f>
        <v xml:space="preserve"> -  - </v>
      </c>
      <c r="Z46" s="246" t="str">
        <f>IFERROR(VLOOKUP(A46,Outbound!$E$2:$AK$412,33,FALSE),"")</f>
        <v xml:space="preserve"> LL 10,  FRT 4  - 14 Bag</v>
      </c>
      <c r="AA46" s="246" t="s">
        <v>870</v>
      </c>
      <c r="AB46" s="344">
        <f>IFERROR(IF(VLOOKUP($A46,Outbound!$E$1:$BA$411,48,FALSE)&lt;&gt;0,VLOOKUP($A46,Outbound!$E$1:$BA$411,48,FALSE),""),"")</f>
        <v>0.77083333333333337</v>
      </c>
      <c r="AC46" s="314">
        <f>IFERROR(IF(VLOOKUP($A46,Outbound!$E$1:$BA$411,49,FALSE)&lt;&gt;0,VLOOKUP($A46,Outbound!$E$1:$BA$411,49,FALSE),""),"")</f>
        <v>0.77847222222222223</v>
      </c>
      <c r="AK46" s="9" t="s">
        <v>183</v>
      </c>
      <c r="AL46" s="9" t="s">
        <v>217</v>
      </c>
      <c r="AM46" s="9" t="s">
        <v>1486</v>
      </c>
      <c r="AN46" s="9" t="s">
        <v>0</v>
      </c>
      <c r="AO46" s="9" t="s">
        <v>214</v>
      </c>
      <c r="AP46" s="9" t="s">
        <v>66</v>
      </c>
      <c r="AQ46" s="424">
        <v>46244.4375</v>
      </c>
      <c r="AR46" s="9"/>
      <c r="AS46" s="9" t="s">
        <v>52</v>
      </c>
      <c r="AT46" s="9"/>
      <c r="AU46" s="9"/>
      <c r="AV46" s="9" t="s">
        <v>214</v>
      </c>
      <c r="AX46" s="9" t="b">
        <v>0</v>
      </c>
      <c r="AY46" s="9" t="s">
        <v>57</v>
      </c>
      <c r="AZ46" s="9" t="b">
        <v>0</v>
      </c>
      <c r="BA46" s="9" t="b">
        <v>0</v>
      </c>
      <c r="BB46" s="9" t="b">
        <v>0</v>
      </c>
      <c r="BC46" s="9" t="b">
        <v>0</v>
      </c>
      <c r="BD46" s="9" t="s">
        <v>59</v>
      </c>
      <c r="BE46" s="9" t="b">
        <v>0</v>
      </c>
      <c r="BM46" s="189"/>
      <c r="BN46" s="189"/>
      <c r="BO46" s="189"/>
    </row>
    <row r="47" spans="1:67" ht="12" customHeight="1">
      <c r="A47" s="237" t="s">
        <v>223</v>
      </c>
      <c r="B47" s="238" t="str">
        <f t="shared" si="8"/>
        <v>ERN06793</v>
      </c>
      <c r="C47" s="239" t="str">
        <f t="shared" si="9"/>
        <v>Dunca Expeditii S.A.</v>
      </c>
      <c r="D47" s="239" t="str">
        <f t="shared" si="10"/>
        <v>B142DEX</v>
      </c>
      <c r="E47" s="240">
        <f t="shared" si="11"/>
        <v>46244.000694444447</v>
      </c>
      <c r="F47" s="241" t="s">
        <v>61</v>
      </c>
      <c r="G47" s="241"/>
      <c r="H47" s="308" t="str">
        <f>IF(VLOOKUP(A47,Outbound!$E$1:$Q$411,13,FALSE)=0,VLOOKUP(A47,AK:BL,13,FALSE),VLOOKUP(A47,Outbound!$E$1:$Q$411,13,FALSE))</f>
        <v>RENT487</v>
      </c>
      <c r="I47" s="242" t="str">
        <f t="shared" si="6"/>
        <v>XWT</v>
      </c>
      <c r="J47" s="269" t="str">
        <f>IFERROR(IF(VLOOKUP($A47,Outbound!$E$1:$BA$411,17,FALSE)="","","Y"),"")</f>
        <v>Y</v>
      </c>
      <c r="K47" s="243"/>
      <c r="L47" s="243"/>
      <c r="M47" s="244" t="str">
        <f t="shared" si="7"/>
        <v>XWT 1</v>
      </c>
      <c r="N47" s="245" t="s">
        <v>870</v>
      </c>
      <c r="O47" s="245" t="s">
        <v>870</v>
      </c>
      <c r="P47" s="267" t="str">
        <f>IFERROR(IF(VLOOKUP(A47,Outbound!$E$1:$AY$411,46,FALSE)&lt;&gt;"","Y",""),"")</f>
        <v/>
      </c>
      <c r="Q47" s="267" t="str">
        <f>IFERROR(IF(VLOOKUP($A47,Outbound!$E$1:$BA$411,20,FALSE)="","","Y"),"")</f>
        <v>Y</v>
      </c>
      <c r="R47" s="267" t="str">
        <f>IFERROR(IF(VLOOKUP($A47,Outbound!$E$1:$BA$411,49,FALSE)="","","Y"),"")</f>
        <v>Y</v>
      </c>
      <c r="S47" s="309">
        <v>0.9506944444444444</v>
      </c>
      <c r="T47" s="309"/>
      <c r="U47" s="246"/>
      <c r="V47" s="246"/>
      <c r="W47" s="117" t="str">
        <f>IFERROR(IF(VLOOKUP($A47,Outbound!$E$1:$BA$411,14,FALSE)="VARIATA","NEW TRAILER",""),"")</f>
        <v/>
      </c>
      <c r="X47" s="117" t="str">
        <f>IFERROR(IF(VLOOKUP(A47,Outbound!$E$1:$Y$411,21,FALSE)&lt;&gt;"",VLOOKUP(A47,Outbound!$E$1:$Y$411,21,FALSE),VLOOKUP(A47,Outbound!$E$1:$Y$411,19,FALSE)),"")</f>
        <v>R736</v>
      </c>
      <c r="Y47" s="117" t="str">
        <f>IFERROR(CONCATENATE(VLOOKUP($A47,Outbound!$E$1:$BA$411,44,FALSE)," - ",VLOOKUP($A47,Outbound!$E$1:$BA$411,16,FALSE)," - "),"")</f>
        <v xml:space="preserve"> -  - </v>
      </c>
      <c r="Z47" s="246" t="str">
        <f>IFERROR(VLOOKUP(A47,Outbound!$E$2:$AK$412,33,FALSE),"")</f>
        <v xml:space="preserve"> LL 8.5,  FRT 5.5  - 9 Bag</v>
      </c>
      <c r="AA47" s="246" t="s">
        <v>421</v>
      </c>
      <c r="AB47" s="344">
        <f>IFERROR(IF(VLOOKUP($A47,Outbound!$E$1:$BA$411,48,FALSE)&lt;&gt;0,VLOOKUP($A47,Outbound!$E$1:$BA$411,48,FALSE),""),"")</f>
        <v>0.95694444444444449</v>
      </c>
      <c r="AC47" s="314">
        <f>IFERROR(IF(VLOOKUP($A47,Outbound!$E$1:$BA$411,49,FALSE)&lt;&gt;0,VLOOKUP($A47,Outbound!$E$1:$BA$411,49,FALSE),""),"")</f>
        <v>0.96666666666666667</v>
      </c>
      <c r="AK47" s="9" t="s">
        <v>1487</v>
      </c>
      <c r="AL47" s="9" t="s">
        <v>1488</v>
      </c>
      <c r="AM47" s="9" t="s">
        <v>1489</v>
      </c>
      <c r="AN47" s="9" t="s">
        <v>0</v>
      </c>
      <c r="AO47" s="9" t="s">
        <v>238</v>
      </c>
      <c r="AP47" s="9" t="s">
        <v>66</v>
      </c>
      <c r="AQ47" s="424">
        <v>46244.291666666664</v>
      </c>
      <c r="AR47" s="9"/>
      <c r="AS47" s="9" t="s">
        <v>128</v>
      </c>
      <c r="AT47" s="9"/>
      <c r="AU47" s="9"/>
      <c r="AV47" s="9" t="s">
        <v>238</v>
      </c>
      <c r="AX47" s="9" t="b">
        <v>0</v>
      </c>
      <c r="AY47" s="9" t="s">
        <v>57</v>
      </c>
      <c r="AZ47" s="9" t="b">
        <v>0</v>
      </c>
      <c r="BA47" s="9" t="b">
        <v>0</v>
      </c>
      <c r="BB47" s="9" t="b">
        <v>0</v>
      </c>
      <c r="BC47" s="9" t="b">
        <v>0</v>
      </c>
      <c r="BD47" s="9" t="s">
        <v>59</v>
      </c>
      <c r="BE47" s="9" t="b">
        <v>0</v>
      </c>
      <c r="BM47" s="189"/>
      <c r="BN47" s="189"/>
      <c r="BO47" s="189"/>
    </row>
    <row r="48" spans="1:67" ht="12" customHeight="1">
      <c r="A48" s="237" t="s">
        <v>228</v>
      </c>
      <c r="B48" s="238" t="str">
        <f t="shared" si="8"/>
        <v>ERN15952</v>
      </c>
      <c r="C48" s="239" t="str">
        <f t="shared" si="9"/>
        <v>T&amp;ti Cargo Line Srl</v>
      </c>
      <c r="D48" s="239" t="str">
        <f t="shared" si="10"/>
        <v>GV048XL</v>
      </c>
      <c r="E48" s="240">
        <f t="shared" si="11"/>
        <v>46244.104166666664</v>
      </c>
      <c r="F48" s="241" t="s">
        <v>61</v>
      </c>
      <c r="G48" s="241"/>
      <c r="H48" s="308" t="str">
        <f>IF(VLOOKUP(A48,Outbound!$E$1:$Q$411,13,FALSE)=0,VLOOKUP(A48,AK:BL,13,FALSE),VLOOKUP(A48,Outbound!$E$1:$Q$411,13,FALSE))</f>
        <v>enbd20115</v>
      </c>
      <c r="I48" s="242" t="str">
        <f t="shared" si="6"/>
        <v>XWT</v>
      </c>
      <c r="J48" s="269" t="str">
        <f>IFERROR(IF(VLOOKUP($A48,Outbound!$E$1:$BA$411,17,FALSE)="","","Y"),"")</f>
        <v/>
      </c>
      <c r="K48" s="243"/>
      <c r="L48" s="243"/>
      <c r="M48" s="244" t="str">
        <f t="shared" si="7"/>
        <v>XWT 2</v>
      </c>
      <c r="N48" s="245" t="s">
        <v>870</v>
      </c>
      <c r="O48" s="245" t="s">
        <v>870</v>
      </c>
      <c r="P48" s="267" t="str">
        <f>IFERROR(IF(VLOOKUP(A48,Outbound!$E$1:$AY$411,46,FALSE)&lt;&gt;"","Y",""),"")</f>
        <v/>
      </c>
      <c r="Q48" s="267" t="str">
        <f>IFERROR(IF(VLOOKUP($A48,Outbound!$E$1:$BA$411,20,FALSE)="","","Y"),"")</f>
        <v>Y</v>
      </c>
      <c r="R48" s="267" t="str">
        <f>IFERROR(IF(VLOOKUP($A48,Outbound!$E$1:$BA$411,49,FALSE)="","","Y"),"")</f>
        <v>Y</v>
      </c>
      <c r="S48" s="309">
        <v>4.8611111111111112E-2</v>
      </c>
      <c r="T48" s="309"/>
      <c r="U48" s="246"/>
      <c r="V48" s="246"/>
      <c r="W48" s="117" t="str">
        <f>IFERROR(IF(VLOOKUP($A48,Outbound!$E$1:$BA$411,14,FALSE)="VARIATA","NEW TRAILER",""),"")</f>
        <v/>
      </c>
      <c r="X48" s="117" t="str">
        <f>IFERROR(IF(VLOOKUP(A48,Outbound!$E$1:$Y$411,21,FALSE)&lt;&gt;"",VLOOKUP(A48,Outbound!$E$1:$Y$411,21,FALSE),VLOOKUP(A48,Outbound!$E$1:$Y$411,19,FALSE)),"")</f>
        <v>P601</v>
      </c>
      <c r="Y48" s="117" t="str">
        <f>IFERROR(CONCATENATE(VLOOKUP($A48,Outbound!$E$1:$BA$411,44,FALSE)," - ",VLOOKUP($A48,Outbound!$E$1:$BA$411,16,FALSE)," - "),"")</f>
        <v xml:space="preserve"> -  - </v>
      </c>
      <c r="Z48" s="246" t="str">
        <f>IFERROR(VLOOKUP(A48,Outbound!$E$2:$AK$412,33,FALSE),"")</f>
        <v xml:space="preserve"> FRT 14,  DG 0 </v>
      </c>
      <c r="AA48" s="246" t="s">
        <v>870</v>
      </c>
      <c r="AB48" s="344" t="str">
        <f>IFERROR(IF(VLOOKUP($A48,Outbound!$E$1:$BA$411,48,FALSE)&lt;&gt;0,VLOOKUP($A48,Outbound!$E$1:$BA$411,48,FALSE),""),"")</f>
        <v/>
      </c>
      <c r="AC48" s="314">
        <f>IFERROR(IF(VLOOKUP($A48,Outbound!$E$1:$BA$411,49,FALSE)&lt;&gt;0,VLOOKUP($A48,Outbound!$E$1:$BA$411,49,FALSE),""),"")</f>
        <v>5.9722222222222225E-2</v>
      </c>
      <c r="AK48" s="9" t="s">
        <v>1490</v>
      </c>
      <c r="AL48" s="9" t="s">
        <v>1491</v>
      </c>
      <c r="AM48" s="9" t="s">
        <v>1492</v>
      </c>
      <c r="AN48" s="9" t="s">
        <v>0</v>
      </c>
      <c r="AO48" s="9" t="s">
        <v>238</v>
      </c>
      <c r="AP48" s="9" t="s">
        <v>66</v>
      </c>
      <c r="AQ48" s="424">
        <v>46244.25</v>
      </c>
      <c r="AR48" s="9"/>
      <c r="AS48" s="9" t="s">
        <v>286</v>
      </c>
      <c r="AT48" s="9" t="s">
        <v>1493</v>
      </c>
      <c r="AU48" s="9" t="s">
        <v>1494</v>
      </c>
      <c r="AV48" s="9" t="s">
        <v>238</v>
      </c>
      <c r="AX48" s="9" t="b">
        <v>0</v>
      </c>
      <c r="AY48" s="9" t="s">
        <v>57</v>
      </c>
      <c r="AZ48" s="9" t="b">
        <v>0</v>
      </c>
      <c r="BA48" s="9" t="b">
        <v>0</v>
      </c>
      <c r="BB48" s="9" t="b">
        <v>0</v>
      </c>
      <c r="BC48" s="9" t="b">
        <v>0</v>
      </c>
      <c r="BD48" s="9" t="s">
        <v>59</v>
      </c>
      <c r="BE48" s="9" t="b">
        <v>0</v>
      </c>
      <c r="BM48" s="189"/>
      <c r="BN48" s="189"/>
      <c r="BO48" s="189"/>
    </row>
    <row r="49" spans="1:67" ht="12" customHeight="1">
      <c r="A49" s="237" t="s">
        <v>230</v>
      </c>
      <c r="B49" s="238" t="str">
        <f t="shared" si="8"/>
        <v>ERN16607</v>
      </c>
      <c r="C49" s="239" t="str">
        <f t="shared" si="9"/>
        <v>Maracana Srl</v>
      </c>
      <c r="D49" s="239">
        <f t="shared" si="10"/>
        <v>0</v>
      </c>
      <c r="E49" s="240">
        <f t="shared" si="11"/>
        <v>46244.104166666664</v>
      </c>
      <c r="F49" s="241" t="s">
        <v>61</v>
      </c>
      <c r="G49" s="241"/>
      <c r="H49" s="308" t="str">
        <f>IF(VLOOKUP(A49,Outbound!$E$1:$Q$411,13,FALSE)=0,VLOOKUP(A49,AK:BL,13,FALSE),VLOOKUP(A49,Outbound!$E$1:$Q$411,13,FALSE))</f>
        <v>RENT212</v>
      </c>
      <c r="I49" s="242" t="str">
        <f t="shared" si="6"/>
        <v>XWT</v>
      </c>
      <c r="J49" s="269" t="str">
        <f>IFERROR(IF(VLOOKUP($A49,Outbound!$E$1:$BA$411,17,FALSE)="","","Y"),"")</f>
        <v>Y</v>
      </c>
      <c r="K49" s="243"/>
      <c r="L49" s="243"/>
      <c r="M49" s="244" t="str">
        <f t="shared" si="7"/>
        <v>XWT 3</v>
      </c>
      <c r="N49" s="245" t="s">
        <v>870</v>
      </c>
      <c r="O49" s="245" t="s">
        <v>870</v>
      </c>
      <c r="P49" s="267" t="str">
        <f>IFERROR(IF(VLOOKUP(A49,Outbound!$E$1:$AY$411,46,FALSE)&lt;&gt;"","Y",""),"")</f>
        <v/>
      </c>
      <c r="Q49" s="267" t="str">
        <f>IFERROR(IF(VLOOKUP($A49,Outbound!$E$1:$BA$411,20,FALSE)="","","Y"),"")</f>
        <v>Y</v>
      </c>
      <c r="R49" s="267" t="str">
        <f>IFERROR(IF(VLOOKUP($A49,Outbound!$E$1:$BA$411,49,FALSE)="","","Y"),"")</f>
        <v>Y</v>
      </c>
      <c r="S49" s="309">
        <v>5.0694444444444445E-2</v>
      </c>
      <c r="T49" s="309"/>
      <c r="U49" s="246"/>
      <c r="V49" s="246"/>
      <c r="W49" s="117" t="str">
        <f>IFERROR(IF(VLOOKUP($A49,Outbound!$E$1:$BA$411,14,FALSE)="VARIATA","NEW TRAILER",""),"")</f>
        <v/>
      </c>
      <c r="X49" s="117" t="str">
        <f>IFERROR(IF(VLOOKUP(A49,Outbound!$E$1:$Y$411,21,FALSE)&lt;&gt;"",VLOOKUP(A49,Outbound!$E$1:$Y$411,21,FALSE),VLOOKUP(A49,Outbound!$E$1:$Y$411,19,FALSE)),"")</f>
        <v>p131</v>
      </c>
      <c r="Y49" s="117" t="str">
        <f>IFERROR(CONCATENATE(VLOOKUP($A49,Outbound!$E$1:$BA$411,44,FALSE)," - ",VLOOKUP($A49,Outbound!$E$1:$BA$411,16,FALSE)," - "),"")</f>
        <v xml:space="preserve"> -  - </v>
      </c>
      <c r="Z49" s="246" t="str">
        <f>IFERROR(VLOOKUP(A49,Outbound!$E$2:$AK$412,33,FALSE),"")</f>
        <v xml:space="preserve"> LL 14  - 8 Bag</v>
      </c>
      <c r="AA49" s="246" t="s">
        <v>421</v>
      </c>
      <c r="AB49" s="344" t="str">
        <f>IFERROR(IF(VLOOKUP($A49,Outbound!$E$1:$BA$411,48,FALSE)&lt;&gt;0,VLOOKUP($A49,Outbound!$E$1:$BA$411,48,FALSE),""),"")</f>
        <v/>
      </c>
      <c r="AC49" s="314">
        <f>IFERROR(IF(VLOOKUP($A49,Outbound!$E$1:$BA$411,49,FALSE)&lt;&gt;0,VLOOKUP($A49,Outbound!$E$1:$BA$411,49,FALSE),""),"")</f>
        <v>6.5972222222222224E-2</v>
      </c>
      <c r="AK49" s="9"/>
      <c r="AL49" s="9" t="s">
        <v>1495</v>
      </c>
      <c r="AM49" s="9" t="s">
        <v>1496</v>
      </c>
      <c r="AN49" s="9" t="s">
        <v>0</v>
      </c>
      <c r="AO49" s="9" t="s">
        <v>831</v>
      </c>
      <c r="AP49" s="9" t="s">
        <v>66</v>
      </c>
      <c r="AQ49" s="424">
        <v>46213.895833333336</v>
      </c>
      <c r="AR49" s="9"/>
      <c r="AS49" s="9" t="s">
        <v>128</v>
      </c>
      <c r="AT49" s="9" t="s">
        <v>1497</v>
      </c>
      <c r="AU49" s="9" t="s">
        <v>1498</v>
      </c>
      <c r="AV49" s="9" t="s">
        <v>831</v>
      </c>
      <c r="AX49" s="9" t="b">
        <v>0</v>
      </c>
      <c r="AY49" s="9" t="s">
        <v>57</v>
      </c>
      <c r="AZ49" s="9" t="b">
        <v>0</v>
      </c>
      <c r="BA49" s="9" t="b">
        <v>0</v>
      </c>
      <c r="BB49" s="9" t="b">
        <v>0</v>
      </c>
      <c r="BC49" s="9" t="b">
        <v>0</v>
      </c>
      <c r="BD49" s="9" t="s">
        <v>59</v>
      </c>
      <c r="BE49" s="9" t="b">
        <v>0</v>
      </c>
      <c r="BM49" s="189"/>
      <c r="BN49" s="189"/>
      <c r="BO49" s="189"/>
    </row>
    <row r="50" spans="1:67" ht="12" customHeight="1">
      <c r="A50" s="237" t="s">
        <v>232</v>
      </c>
      <c r="B50" s="238" t="str">
        <f t="shared" si="8"/>
        <v>ERN92365</v>
      </c>
      <c r="C50" s="239" t="str">
        <f t="shared" si="9"/>
        <v>Matelda Srl</v>
      </c>
      <c r="D50" s="239">
        <f t="shared" si="10"/>
        <v>0</v>
      </c>
      <c r="E50" s="240">
        <f t="shared" si="11"/>
        <v>46244.104166666664</v>
      </c>
      <c r="F50" s="241"/>
      <c r="G50" s="241" t="s">
        <v>61</v>
      </c>
      <c r="H50" s="308" t="str">
        <f>IF(VLOOKUP(A50,Outbound!$E$1:$Q$411,13,FALSE)=0,VLOOKUP(A50,AK:BL,13,FALSE),VLOOKUP(A50,Outbound!$E$1:$Q$411,13,FALSE))</f>
        <v>XA318EY</v>
      </c>
      <c r="I50" s="242" t="str">
        <f t="shared" si="6"/>
        <v>XWT</v>
      </c>
      <c r="J50" s="269" t="str">
        <f>IFERROR(IF(VLOOKUP($A50,Outbound!$E$1:$BA$411,17,FALSE)="","","Y"),"")</f>
        <v>Y</v>
      </c>
      <c r="K50" s="243"/>
      <c r="L50" s="243"/>
      <c r="M50" s="244" t="str">
        <f t="shared" si="7"/>
        <v>XWT 4</v>
      </c>
      <c r="N50" s="245" t="s">
        <v>870</v>
      </c>
      <c r="O50" s="245" t="s">
        <v>870</v>
      </c>
      <c r="P50" s="267" t="str">
        <f>IFERROR(IF(VLOOKUP(A50,Outbound!$E$1:$AY$411,46,FALSE)&lt;&gt;"","Y",""),"")</f>
        <v/>
      </c>
      <c r="Q50" s="267" t="str">
        <f>IFERROR(IF(VLOOKUP($A50,Outbound!$E$1:$BA$411,20,FALSE)="","","Y"),"")</f>
        <v>Y</v>
      </c>
      <c r="R50" s="267" t="str">
        <f>IFERROR(IF(VLOOKUP($A50,Outbound!$E$1:$BA$411,49,FALSE)="","","Y"),"")</f>
        <v>Y</v>
      </c>
      <c r="S50" s="309">
        <v>6.7361111111111108E-2</v>
      </c>
      <c r="T50" s="309" t="s">
        <v>1499</v>
      </c>
      <c r="U50" s="246"/>
      <c r="V50" s="246"/>
      <c r="W50" s="117" t="str">
        <f>IFERROR(IF(VLOOKUP($A50,Outbound!$E$1:$BA$411,14,FALSE)="VARIATA","NEW TRAILER",""),"")</f>
        <v/>
      </c>
      <c r="X50" s="117" t="str">
        <f>IFERROR(IF(VLOOKUP(A50,Outbound!$E$1:$Y$411,21,FALSE)&lt;&gt;"",VLOOKUP(A50,Outbound!$E$1:$Y$411,21,FALSE),VLOOKUP(A50,Outbound!$E$1:$Y$411,19,FALSE)),"")</f>
        <v>R738</v>
      </c>
      <c r="Y50" s="117" t="str">
        <f>IFERROR(CONCATENATE(VLOOKUP($A50,Outbound!$E$1:$BA$411,44,FALSE)," - ",VLOOKUP($A50,Outbound!$E$1:$BA$411,16,FALSE)," - "),"")</f>
        <v xml:space="preserve"> -  - </v>
      </c>
      <c r="Z50" s="246" t="str">
        <f>IFERROR(VLOOKUP(A50,Outbound!$E$2:$AK$412,33,FALSE),"")</f>
        <v xml:space="preserve"> LL 5.5,  FRT 8.5  - 3 Bag</v>
      </c>
      <c r="AA50" s="246" t="s">
        <v>421</v>
      </c>
      <c r="AB50" s="344">
        <f>IFERROR(IF(VLOOKUP($A50,Outbound!$E$1:$BA$411,48,FALSE)&lt;&gt;0,VLOOKUP($A50,Outbound!$E$1:$BA$411,48,FALSE),""),"")</f>
        <v>7.4305555555555555E-2</v>
      </c>
      <c r="AC50" s="314">
        <f>IFERROR(IF(VLOOKUP($A50,Outbound!$E$1:$BA$411,49,FALSE)&lt;&gt;0,VLOOKUP($A50,Outbound!$E$1:$BA$411,49,FALSE),""),"")</f>
        <v>8.1250000000000003E-2</v>
      </c>
      <c r="AK50" s="9"/>
      <c r="AL50" s="9" t="s">
        <v>1500</v>
      </c>
      <c r="AM50" s="9" t="s">
        <v>1501</v>
      </c>
      <c r="AN50" s="9" t="s">
        <v>0</v>
      </c>
      <c r="AO50" s="9" t="s">
        <v>831</v>
      </c>
      <c r="AP50" s="9" t="s">
        <v>66</v>
      </c>
      <c r="AQ50" s="424">
        <v>46213.895833333336</v>
      </c>
      <c r="AR50" s="9"/>
      <c r="AS50" s="9" t="s">
        <v>128</v>
      </c>
      <c r="AT50" s="9" t="s">
        <v>1502</v>
      </c>
      <c r="AU50" s="9" t="s">
        <v>1503</v>
      </c>
      <c r="AV50" s="9" t="s">
        <v>831</v>
      </c>
      <c r="AX50" s="9" t="b">
        <v>0</v>
      </c>
      <c r="AY50" s="9" t="s">
        <v>57</v>
      </c>
      <c r="AZ50" s="9" t="b">
        <v>0</v>
      </c>
      <c r="BA50" s="9" t="b">
        <v>0</v>
      </c>
      <c r="BB50" s="9" t="b">
        <v>0</v>
      </c>
      <c r="BC50" s="9" t="b">
        <v>0</v>
      </c>
      <c r="BD50" s="9" t="s">
        <v>59</v>
      </c>
      <c r="BE50" s="9" t="b">
        <v>0</v>
      </c>
      <c r="BM50" s="189"/>
      <c r="BN50" s="189"/>
      <c r="BO50" s="189"/>
    </row>
    <row r="51" spans="1:67" ht="12" customHeight="1">
      <c r="A51" s="237" t="s">
        <v>234</v>
      </c>
      <c r="B51" s="238" t="str">
        <f t="shared" si="8"/>
        <v>ERN11076</v>
      </c>
      <c r="C51" s="239" t="str">
        <f t="shared" si="9"/>
        <v>Fedex Express Romania Transportation Srl</v>
      </c>
      <c r="D51" s="239" t="str">
        <f t="shared" si="10"/>
        <v>B-527-TIP</v>
      </c>
      <c r="E51" s="240">
        <f t="shared" si="11"/>
        <v>46244.4375</v>
      </c>
      <c r="F51" s="241" t="s">
        <v>61</v>
      </c>
      <c r="G51" s="241"/>
      <c r="H51" s="308" t="str">
        <f>IF(VLOOKUP(A51,Outbound!$E$1:$Q$411,13,FALSE)=0,VLOOKUP(A51,AK:BL,13,FALSE),VLOOKUP(A51,Outbound!$E$1:$Q$411,13,FALSE))</f>
        <v>ENB15436</v>
      </c>
      <c r="I51" s="242" t="str">
        <f t="shared" si="6"/>
        <v>XWT</v>
      </c>
      <c r="J51" s="269" t="str">
        <f>IFERROR(IF(VLOOKUP($A51,Outbound!$E$1:$BA$411,17,FALSE)="","","Y"),"")</f>
        <v>Y</v>
      </c>
      <c r="K51" s="243"/>
      <c r="L51" s="243"/>
      <c r="M51" s="244" t="str">
        <f t="shared" si="7"/>
        <v>XWT 5</v>
      </c>
      <c r="N51" s="245" t="s">
        <v>870</v>
      </c>
      <c r="O51" s="245" t="s">
        <v>870</v>
      </c>
      <c r="P51" s="267" t="str">
        <f>IFERROR(IF(VLOOKUP(A51,Outbound!$E$1:$AY$411,46,FALSE)&lt;&gt;"","Y",""),"")</f>
        <v/>
      </c>
      <c r="Q51" s="267" t="str">
        <f>IFERROR(IF(VLOOKUP($A51,Outbound!$E$1:$BA$411,20,FALSE)="","","Y"),"")</f>
        <v/>
      </c>
      <c r="R51" s="267" t="str">
        <f>IFERROR(IF(VLOOKUP($A51,Outbound!$E$1:$BA$411,49,FALSE)="","","Y"),"")</f>
        <v/>
      </c>
      <c r="S51" s="309"/>
      <c r="T51" s="309"/>
      <c r="U51" s="246"/>
      <c r="V51" s="246"/>
      <c r="W51" s="117" t="str">
        <f>IFERROR(IF(VLOOKUP($A51,Outbound!$E$1:$BA$411,14,FALSE)="VARIATA","NEW TRAILER",""),"")</f>
        <v/>
      </c>
      <c r="X51" s="117">
        <f>IFERROR(IF(VLOOKUP(A51,Outbound!$E$1:$Y$411,21,FALSE)&lt;&gt;"",VLOOKUP(A51,Outbound!$E$1:$Y$411,21,FALSE),VLOOKUP(A51,Outbound!$E$1:$Y$411,19,FALSE)),"")</f>
        <v>315</v>
      </c>
      <c r="Y51" s="117" t="str">
        <f>IFERROR(CONCATENATE(VLOOKUP($A51,Outbound!$E$1:$BA$411,44,FALSE)," - ",VLOOKUP($A51,Outbound!$E$1:$BA$411,16,FALSE)," - "),"")</f>
        <v xml:space="preserve"> -  - </v>
      </c>
      <c r="Z51" s="246" t="str">
        <f>IFERROR(VLOOKUP(A51,Outbound!$E$2:$AK$412,33,FALSE),"")</f>
        <v/>
      </c>
      <c r="AA51" s="246"/>
      <c r="AB51" s="344" t="str">
        <f>IFERROR(IF(VLOOKUP($A51,Outbound!$E$1:$BA$411,48,FALSE)&lt;&gt;0,VLOOKUP($A51,Outbound!$E$1:$BA$411,48,FALSE),""),"")</f>
        <v/>
      </c>
      <c r="AC51" s="314" t="str">
        <f>IFERROR(IF(VLOOKUP($A51,Outbound!$E$1:$BA$411,49,FALSE)&lt;&gt;0,VLOOKUP($A51,Outbound!$E$1:$BA$411,49,FALSE),""),"")</f>
        <v/>
      </c>
      <c r="AK51" s="9"/>
      <c r="AL51" s="9" t="s">
        <v>1504</v>
      </c>
      <c r="AM51" s="9" t="s">
        <v>1505</v>
      </c>
      <c r="AN51" s="9" t="s">
        <v>0</v>
      </c>
      <c r="AO51" s="9" t="s">
        <v>831</v>
      </c>
      <c r="AP51" s="9" t="s">
        <v>66</v>
      </c>
      <c r="AQ51" s="424">
        <v>46213.895833333336</v>
      </c>
      <c r="AR51" s="9"/>
      <c r="AS51" s="9" t="s">
        <v>128</v>
      </c>
      <c r="AT51" s="9" t="s">
        <v>1506</v>
      </c>
      <c r="AU51" s="9" t="s">
        <v>1507</v>
      </c>
      <c r="AV51" s="9" t="s">
        <v>831</v>
      </c>
      <c r="AX51" s="9" t="b">
        <v>0</v>
      </c>
      <c r="AY51" s="9" t="s">
        <v>57</v>
      </c>
      <c r="AZ51" s="9" t="b">
        <v>0</v>
      </c>
      <c r="BA51" s="9" t="b">
        <v>0</v>
      </c>
      <c r="BB51" s="9" t="b">
        <v>0</v>
      </c>
      <c r="BC51" s="9" t="b">
        <v>0</v>
      </c>
      <c r="BD51" s="9" t="s">
        <v>59</v>
      </c>
      <c r="BE51" s="9" t="b">
        <v>0</v>
      </c>
      <c r="BM51" s="189"/>
      <c r="BN51" s="189"/>
      <c r="BO51" s="189"/>
    </row>
    <row r="52" spans="1:67" ht="12" customHeight="1">
      <c r="A52" s="237" t="s">
        <v>236</v>
      </c>
      <c r="B52" s="238" t="str">
        <f t="shared" si="8"/>
        <v>ERN92385</v>
      </c>
      <c r="C52" s="239" t="str">
        <f t="shared" si="9"/>
        <v>T Service Spa</v>
      </c>
      <c r="D52" s="239">
        <f t="shared" si="10"/>
        <v>0</v>
      </c>
      <c r="E52" s="240">
        <f t="shared" si="11"/>
        <v>46244.4375</v>
      </c>
      <c r="F52" s="241" t="s">
        <v>61</v>
      </c>
      <c r="G52" s="241"/>
      <c r="H52" s="308" t="str">
        <f>IF(VLOOKUP(A52,Outbound!$E$1:$Q$411,13,FALSE)=0,VLOOKUP(A52,AK:BL,13,FALSE),VLOOKUP(A52,Outbound!$E$1:$Q$411,13,FALSE))</f>
        <v>ENBD20193</v>
      </c>
      <c r="I52" s="242" t="str">
        <f t="shared" si="6"/>
        <v>XWT</v>
      </c>
      <c r="J52" s="269" t="str">
        <f>IFERROR(IF(VLOOKUP($A52,Outbound!$E$1:$BA$411,17,FALSE)="","","Y"),"")</f>
        <v/>
      </c>
      <c r="K52" s="243"/>
      <c r="L52" s="243"/>
      <c r="M52" s="244" t="str">
        <f t="shared" si="7"/>
        <v>XWT 6</v>
      </c>
      <c r="N52" s="245" t="s">
        <v>870</v>
      </c>
      <c r="O52" s="245" t="s">
        <v>870</v>
      </c>
      <c r="P52" s="267" t="str">
        <f>IFERROR(IF(VLOOKUP(A52,Outbound!$E$1:$AY$411,46,FALSE)&lt;&gt;"","Y",""),"")</f>
        <v/>
      </c>
      <c r="Q52" s="267" t="str">
        <f>IFERROR(IF(VLOOKUP($A52,Outbound!$E$1:$BA$411,20,FALSE)="","","Y"),"")</f>
        <v/>
      </c>
      <c r="R52" s="267" t="str">
        <f>IFERROR(IF(VLOOKUP($A52,Outbound!$E$1:$BA$411,49,FALSE)="","","Y"),"")</f>
        <v/>
      </c>
      <c r="S52" s="309"/>
      <c r="T52" s="309"/>
      <c r="U52" s="246"/>
      <c r="V52" s="246"/>
      <c r="W52" s="117" t="str">
        <f>IFERROR(IF(VLOOKUP($A52,Outbound!$E$1:$BA$411,14,FALSE)="VARIATA","NEW TRAILER",""),"")</f>
        <v/>
      </c>
      <c r="X52" s="117">
        <f>IFERROR(IF(VLOOKUP(A52,Outbound!$E$1:$Y$411,21,FALSE)&lt;&gt;"",VLOOKUP(A52,Outbound!$E$1:$Y$411,21,FALSE),VLOOKUP(A52,Outbound!$E$1:$Y$411,19,FALSE)),"")</f>
        <v>738</v>
      </c>
      <c r="Y52" s="117" t="str">
        <f>IFERROR(CONCATENATE(VLOOKUP($A52,Outbound!$E$1:$BA$411,44,FALSE)," - ",VLOOKUP($A52,Outbound!$E$1:$BA$411,16,FALSE)," - "),"")</f>
        <v xml:space="preserve"> -  - </v>
      </c>
      <c r="Z52" s="246" t="str">
        <f>IFERROR(VLOOKUP(A52,Outbound!$E$2:$AK$412,33,FALSE),"")</f>
        <v/>
      </c>
      <c r="AA52" s="246"/>
      <c r="AB52" s="344" t="str">
        <f>IFERROR(IF(VLOOKUP($A52,Outbound!$E$1:$BA$411,48,FALSE)&lt;&gt;0,VLOOKUP($A52,Outbound!$E$1:$BA$411,48,FALSE),""),"")</f>
        <v/>
      </c>
      <c r="AC52" s="314" t="str">
        <f>IFERROR(IF(VLOOKUP($A52,Outbound!$E$1:$BA$411,49,FALSE)&lt;&gt;0,VLOOKUP($A52,Outbound!$E$1:$BA$411,49,FALSE),""),"")</f>
        <v/>
      </c>
      <c r="AK52" s="9" t="s">
        <v>1418</v>
      </c>
      <c r="AL52" s="9" t="s">
        <v>1508</v>
      </c>
      <c r="AM52" s="9" t="s">
        <v>1509</v>
      </c>
      <c r="AN52" s="9" t="s">
        <v>0</v>
      </c>
      <c r="AO52" s="9" t="s">
        <v>241</v>
      </c>
      <c r="AP52" s="9" t="s">
        <v>66</v>
      </c>
      <c r="AQ52" s="424">
        <v>46244.416666666664</v>
      </c>
      <c r="AR52" s="9"/>
      <c r="AS52" s="9" t="s">
        <v>185</v>
      </c>
      <c r="AT52" s="9"/>
      <c r="AU52" s="9"/>
      <c r="AV52" s="9" t="s">
        <v>241</v>
      </c>
      <c r="AX52" s="9" t="b">
        <v>0</v>
      </c>
      <c r="AY52" s="9" t="s">
        <v>61</v>
      </c>
      <c r="AZ52" s="9" t="b">
        <v>0</v>
      </c>
      <c r="BA52" s="9" t="b">
        <v>0</v>
      </c>
      <c r="BB52" s="9" t="b">
        <v>0</v>
      </c>
      <c r="BC52" s="9" t="b">
        <v>0</v>
      </c>
      <c r="BD52" s="9" t="s">
        <v>1510</v>
      </c>
      <c r="BE52" s="9" t="b">
        <v>0</v>
      </c>
      <c r="BM52" s="189"/>
      <c r="BN52" s="189"/>
      <c r="BO52" s="189"/>
    </row>
    <row r="53" spans="1:67" ht="12" customHeight="1">
      <c r="A53" s="237" t="s">
        <v>239</v>
      </c>
      <c r="B53" s="238" t="str">
        <f t="shared" si="8"/>
        <v>ERN92361</v>
      </c>
      <c r="C53" s="239" t="str">
        <f t="shared" si="9"/>
        <v>T Service Spa</v>
      </c>
      <c r="D53" s="239">
        <f t="shared" si="10"/>
        <v>0</v>
      </c>
      <c r="E53" s="240">
        <f t="shared" si="11"/>
        <v>46244.4375</v>
      </c>
      <c r="F53" s="241" t="s">
        <v>61</v>
      </c>
      <c r="G53" s="241"/>
      <c r="H53" s="308">
        <f>IF(VLOOKUP(A53,Outbound!$E$1:$Q$411,13,FALSE)=0,VLOOKUP(A53,AK:BL,13,FALSE),VLOOKUP(A53,Outbound!$E$1:$Q$411,13,FALSE))</f>
        <v>0</v>
      </c>
      <c r="I53" s="242" t="str">
        <f t="shared" si="6"/>
        <v>XWT</v>
      </c>
      <c r="J53" s="269" t="str">
        <f>IFERROR(IF(VLOOKUP($A53,Outbound!$E$1:$BA$411,17,FALSE)="","","Y"),"")</f>
        <v>Y</v>
      </c>
      <c r="K53" s="243"/>
      <c r="L53" s="243"/>
      <c r="M53" s="244" t="str">
        <f t="shared" si="7"/>
        <v>XWT 7</v>
      </c>
      <c r="N53" s="245"/>
      <c r="O53" s="245"/>
      <c r="P53" s="267" t="str">
        <f>IFERROR(IF(VLOOKUP(A53,Outbound!$E$1:$AY$411,46,FALSE)&lt;&gt;"","Y",""),"")</f>
        <v/>
      </c>
      <c r="Q53" s="267" t="str">
        <f>IFERROR(IF(VLOOKUP($A53,Outbound!$E$1:$BA$411,20,FALSE)="","","Y"),"")</f>
        <v/>
      </c>
      <c r="R53" s="267" t="str">
        <f>IFERROR(IF(VLOOKUP($A53,Outbound!$E$1:$BA$411,49,FALSE)="","","Y"),"")</f>
        <v/>
      </c>
      <c r="S53" s="309"/>
      <c r="T53" s="309"/>
      <c r="U53" s="246"/>
      <c r="V53" s="246"/>
      <c r="W53" s="117" t="str">
        <f>IFERROR(IF(VLOOKUP($A53,Outbound!$E$1:$BA$411,14,FALSE)="VARIATA","NEW TRAILER",""),"")</f>
        <v/>
      </c>
      <c r="X53" s="117">
        <f>IFERROR(IF(VLOOKUP(A53,Outbound!$E$1:$Y$411,21,FALSE)&lt;&gt;"",VLOOKUP(A53,Outbound!$E$1:$Y$411,21,FALSE),VLOOKUP(A53,Outbound!$E$1:$Y$411,19,FALSE)),"")</f>
        <v>0</v>
      </c>
      <c r="Y53" s="117" t="str">
        <f>IFERROR(CONCATENATE(VLOOKUP($A53,Outbound!$E$1:$BA$411,44,FALSE)," - ",VLOOKUP($A53,Outbound!$E$1:$BA$411,16,FALSE)," - "),"")</f>
        <v xml:space="preserve"> -  - </v>
      </c>
      <c r="Z53" s="246" t="str">
        <f>IFERROR(VLOOKUP(A53,Outbound!$E$2:$AK$412,33,FALSE),"")</f>
        <v/>
      </c>
      <c r="AA53" s="246"/>
      <c r="AB53" s="344" t="str">
        <f>IFERROR(IF(VLOOKUP($A53,Outbound!$E$1:$BA$411,48,FALSE)&lt;&gt;0,VLOOKUP($A53,Outbound!$E$1:$BA$411,48,FALSE),""),"")</f>
        <v/>
      </c>
      <c r="AC53" s="314" t="str">
        <f>IFERROR(IF(VLOOKUP($A53,Outbound!$E$1:$BA$411,49,FALSE)&lt;&gt;0,VLOOKUP($A53,Outbound!$E$1:$BA$411,49,FALSE),""),"")</f>
        <v/>
      </c>
      <c r="AK53" s="9" t="s">
        <v>1413</v>
      </c>
      <c r="AL53" s="9" t="s">
        <v>1511</v>
      </c>
      <c r="AM53" s="9" t="s">
        <v>1512</v>
      </c>
      <c r="AN53" s="9" t="s">
        <v>0</v>
      </c>
      <c r="AO53" s="9" t="s">
        <v>241</v>
      </c>
      <c r="AP53" s="9" t="s">
        <v>66</v>
      </c>
      <c r="AQ53" s="424">
        <v>46244.416666666664</v>
      </c>
      <c r="AR53" s="9"/>
      <c r="AS53" s="9" t="s">
        <v>185</v>
      </c>
      <c r="AT53" s="9"/>
      <c r="AU53" s="9"/>
      <c r="AV53" s="9" t="s">
        <v>241</v>
      </c>
      <c r="AX53" s="9" t="b">
        <v>0</v>
      </c>
      <c r="AY53" s="9" t="s">
        <v>76</v>
      </c>
      <c r="AZ53" s="9" t="b">
        <v>0</v>
      </c>
      <c r="BA53" s="9" t="b">
        <v>0</v>
      </c>
      <c r="BB53" s="9" t="b">
        <v>0</v>
      </c>
      <c r="BC53" s="9" t="b">
        <v>0</v>
      </c>
      <c r="BD53" s="9" t="s">
        <v>59</v>
      </c>
      <c r="BE53" s="9" t="b">
        <v>0</v>
      </c>
      <c r="BM53" s="189"/>
      <c r="BN53" s="189"/>
      <c r="BO53" s="189"/>
    </row>
    <row r="54" spans="1:67" ht="12" customHeight="1">
      <c r="A54" s="237" t="s">
        <v>1513</v>
      </c>
      <c r="B54" s="238" t="str">
        <f t="shared" si="8"/>
        <v>ERN18882</v>
      </c>
      <c r="C54" s="239" t="str">
        <f t="shared" si="9"/>
        <v>P.H.U Transbed Grzegorz Bednarek</v>
      </c>
      <c r="D54" s="239" t="str">
        <f t="shared" si="10"/>
        <v>WGM3417C</v>
      </c>
      <c r="E54" s="240">
        <f t="shared" si="11"/>
        <v>46244.09375</v>
      </c>
      <c r="F54" s="241" t="s">
        <v>61</v>
      </c>
      <c r="G54" s="241"/>
      <c r="H54" s="308" t="str">
        <f>IF(VLOOKUP(A54,Outbound!$E$1:$Q$411,13,FALSE)=0,VLOOKUP(A54,AK:BL,13,FALSE),VLOOKUP(A54,Outbound!$E$1:$Q$411,13,FALSE))</f>
        <v>ENBR21025</v>
      </c>
      <c r="I54" s="242" t="str">
        <f t="shared" si="6"/>
        <v>WA1</v>
      </c>
      <c r="J54" s="269" t="str">
        <f>IFERROR(IF(VLOOKUP($A54,Outbound!$E$1:$BA$411,17,FALSE)="","","Y"),"")</f>
        <v>Y</v>
      </c>
      <c r="K54" s="243"/>
      <c r="L54" s="243"/>
      <c r="M54" s="244" t="str">
        <f t="shared" si="7"/>
        <v>WA1 1</v>
      </c>
      <c r="N54" s="245" t="s">
        <v>421</v>
      </c>
      <c r="O54" s="245" t="s">
        <v>421</v>
      </c>
      <c r="P54" s="267" t="str">
        <f>IFERROR(IF(VLOOKUP(A54,Outbound!$E$1:$AY$411,46,FALSE)&lt;&gt;"","Y",""),"")</f>
        <v/>
      </c>
      <c r="Q54" s="267" t="str">
        <f>IFERROR(IF(VLOOKUP($A54,Outbound!$E$1:$BA$411,20,FALSE)="","","Y"),"")</f>
        <v>Y</v>
      </c>
      <c r="R54" s="267" t="str">
        <f>IFERROR(IF(VLOOKUP($A54,Outbound!$E$1:$BA$411,49,FALSE)="","","Y"),"")</f>
        <v>Y</v>
      </c>
      <c r="S54" s="309"/>
      <c r="T54" s="309"/>
      <c r="U54" s="246"/>
      <c r="V54" s="246"/>
      <c r="W54" s="117" t="str">
        <f>IFERROR(IF(VLOOKUP($A54,Outbound!$E$1:$BA$411,14,FALSE)="VARIATA","NEW TRAILER",""),"")</f>
        <v/>
      </c>
      <c r="X54" s="117" t="str">
        <f>IFERROR(IF(VLOOKUP(A54,Outbound!$E$1:$Y$411,21,FALSE)&lt;&gt;"",VLOOKUP(A54,Outbound!$E$1:$Y$411,21,FALSE),VLOOKUP(A54,Outbound!$E$1:$Y$411,19,FALSE)),"")</f>
        <v>P603</v>
      </c>
      <c r="Y54" s="117" t="str">
        <f>IFERROR(CONCATENATE(VLOOKUP($A54,Outbound!$E$1:$BA$411,44,FALSE)," - ",VLOOKUP($A54,Outbound!$E$1:$BA$411,16,FALSE)," - "),"")</f>
        <v xml:space="preserve"> -  - </v>
      </c>
      <c r="Z54" s="246" t="str">
        <f>IFERROR(VLOOKUP(A54,Outbound!$E$2:$AK$412,33,FALSE),"")</f>
        <v xml:space="preserve"> FRT 10,  LL 4  - 1 Bag</v>
      </c>
      <c r="AA54" s="246" t="s">
        <v>870</v>
      </c>
      <c r="AB54" s="344" t="str">
        <f>IFERROR(IF(VLOOKUP($A54,Outbound!$E$1:$BA$411,48,FALSE)&lt;&gt;0,VLOOKUP($A54,Outbound!$E$1:$BA$411,48,FALSE),""),"")</f>
        <v/>
      </c>
      <c r="AC54" s="314">
        <f>IFERROR(IF(VLOOKUP($A54,Outbound!$E$1:$BA$411,49,FALSE)&lt;&gt;0,VLOOKUP($A54,Outbound!$E$1:$BA$411,49,FALSE),""),"")</f>
        <v>6.5972222222222224E-2</v>
      </c>
      <c r="AK54" s="9" t="s">
        <v>1410</v>
      </c>
      <c r="AL54" s="9" t="s">
        <v>1514</v>
      </c>
      <c r="AM54" s="9" t="s">
        <v>1515</v>
      </c>
      <c r="AN54" s="9" t="s">
        <v>0</v>
      </c>
      <c r="AO54" s="9" t="s">
        <v>241</v>
      </c>
      <c r="AP54" s="9" t="s">
        <v>66</v>
      </c>
      <c r="AQ54" s="424">
        <v>46244.09375</v>
      </c>
      <c r="AR54" s="9"/>
      <c r="AS54" s="9" t="s">
        <v>128</v>
      </c>
      <c r="AT54" s="9"/>
      <c r="AU54" s="9"/>
      <c r="AV54" s="9" t="s">
        <v>241</v>
      </c>
      <c r="AX54" s="9" t="b">
        <v>0</v>
      </c>
      <c r="AY54" s="9" t="s">
        <v>57</v>
      </c>
      <c r="AZ54" s="9" t="b">
        <v>0</v>
      </c>
      <c r="BA54" s="9" t="b">
        <v>0</v>
      </c>
      <c r="BB54" s="9" t="b">
        <v>0</v>
      </c>
      <c r="BC54" s="9" t="b">
        <v>0</v>
      </c>
      <c r="BD54" s="9" t="s">
        <v>59</v>
      </c>
      <c r="BE54" s="9" t="b">
        <v>0</v>
      </c>
      <c r="BM54" s="189"/>
      <c r="BN54" s="189"/>
      <c r="BO54" s="189"/>
    </row>
    <row r="55" spans="1:67" ht="12" customHeight="1">
      <c r="A55" s="237" t="s">
        <v>1516</v>
      </c>
      <c r="B55" s="238" t="str">
        <f t="shared" si="8"/>
        <v>ERN19613</v>
      </c>
      <c r="C55" s="239" t="str">
        <f t="shared" si="9"/>
        <v>Matelda Srl</v>
      </c>
      <c r="D55" s="239">
        <f t="shared" si="10"/>
        <v>0</v>
      </c>
      <c r="E55" s="240">
        <f t="shared" si="11"/>
        <v>46244.09375</v>
      </c>
      <c r="F55" s="241" t="s">
        <v>61</v>
      </c>
      <c r="G55" s="241"/>
      <c r="H55" s="308" t="str">
        <f>IF(VLOOKUP(A55,Outbound!$E$1:$Q$411,13,FALSE)=0,VLOOKUP(A55,AK:BL,13,FALSE),VLOOKUP(A55,Outbound!$E$1:$Q$411,13,FALSE))</f>
        <v>ENB17843</v>
      </c>
      <c r="I55" s="242" t="str">
        <f t="shared" si="6"/>
        <v>WA1</v>
      </c>
      <c r="J55" s="269" t="str">
        <f>IFERROR(IF(VLOOKUP($A55,Outbound!$E$1:$BA$411,17,FALSE)="","","Y"),"")</f>
        <v>Y</v>
      </c>
      <c r="K55" s="243"/>
      <c r="L55" s="243"/>
      <c r="M55" s="244" t="str">
        <f t="shared" si="7"/>
        <v>WA1 2</v>
      </c>
      <c r="N55" s="245" t="s">
        <v>421</v>
      </c>
      <c r="O55" s="245" t="s">
        <v>421</v>
      </c>
      <c r="P55" s="267" t="str">
        <f>IFERROR(IF(VLOOKUP(A55,Outbound!$E$1:$AY$411,46,FALSE)&lt;&gt;"","Y",""),"")</f>
        <v/>
      </c>
      <c r="Q55" s="267" t="str">
        <f>IFERROR(IF(VLOOKUP($A55,Outbound!$E$1:$BA$411,20,FALSE)="","","Y"),"")</f>
        <v>Y</v>
      </c>
      <c r="R55" s="267" t="str">
        <f>IFERROR(IF(VLOOKUP($A55,Outbound!$E$1:$BA$411,49,FALSE)="","","Y"),"")</f>
        <v>Y</v>
      </c>
      <c r="S55" s="309">
        <v>5.0694444444444445E-2</v>
      </c>
      <c r="T55" s="309"/>
      <c r="U55" s="246"/>
      <c r="V55" s="246"/>
      <c r="W55" s="117" t="str">
        <f>IFERROR(IF(VLOOKUP($A55,Outbound!$E$1:$BA$411,14,FALSE)="VARIATA","NEW TRAILER",""),"")</f>
        <v/>
      </c>
      <c r="X55" s="117" t="str">
        <f>IFERROR(IF(VLOOKUP(A55,Outbound!$E$1:$Y$411,21,FALSE)&lt;&gt;"",VLOOKUP(A55,Outbound!$E$1:$Y$411,21,FALSE),VLOOKUP(A55,Outbound!$E$1:$Y$411,19,FALSE)),"")</f>
        <v>p130</v>
      </c>
      <c r="Y55" s="117" t="str">
        <f>IFERROR(CONCATENATE(VLOOKUP($A55,Outbound!$E$1:$BA$411,44,FALSE)," - ",VLOOKUP($A55,Outbound!$E$1:$BA$411,16,FALSE)," - "),"")</f>
        <v xml:space="preserve"> -  - </v>
      </c>
      <c r="Z55" s="246" t="str">
        <f>IFERROR(VLOOKUP(A55,Outbound!$E$2:$AK$412,33,FALSE),"")</f>
        <v xml:space="preserve"> LL 14  - 17 Bag</v>
      </c>
      <c r="AA55" s="246" t="s">
        <v>421</v>
      </c>
      <c r="AB55" s="344">
        <f>IFERROR(IF(VLOOKUP($A55,Outbound!$E$1:$BA$411,48,FALSE)&lt;&gt;0,VLOOKUP($A55,Outbound!$E$1:$BA$411,48,FALSE),""),"")</f>
        <v>6.1111111111111109E-2</v>
      </c>
      <c r="AC55" s="314" t="str">
        <f>IFERROR(IF(VLOOKUP($A55,Outbound!$E$1:$BA$411,49,FALSE)&lt;&gt;0,VLOOKUP($A55,Outbound!$E$1:$BA$411,49,FALSE),""),"")</f>
        <v>X</v>
      </c>
      <c r="AK55" s="9" t="s">
        <v>1422</v>
      </c>
      <c r="AL55" s="9" t="s">
        <v>1517</v>
      </c>
      <c r="AM55" s="9" t="s">
        <v>1518</v>
      </c>
      <c r="AN55" s="9" t="s">
        <v>0</v>
      </c>
      <c r="AO55" s="9" t="s">
        <v>241</v>
      </c>
      <c r="AP55" s="9" t="s">
        <v>66</v>
      </c>
      <c r="AQ55" s="424">
        <v>46244.416666666664</v>
      </c>
      <c r="AR55" s="9"/>
      <c r="AS55" s="9" t="s">
        <v>171</v>
      </c>
      <c r="AT55" s="9"/>
      <c r="AU55" s="9"/>
      <c r="AV55" s="9" t="s">
        <v>241</v>
      </c>
      <c r="AX55" s="9" t="b">
        <v>0</v>
      </c>
      <c r="AY55" s="9" t="s">
        <v>57</v>
      </c>
      <c r="AZ55" s="9" t="b">
        <v>0</v>
      </c>
      <c r="BA55" s="9" t="b">
        <v>0</v>
      </c>
      <c r="BB55" s="9" t="b">
        <v>0</v>
      </c>
      <c r="BC55" s="9" t="b">
        <v>0</v>
      </c>
      <c r="BD55" s="9" t="s">
        <v>59</v>
      </c>
      <c r="BE55" s="9" t="b">
        <v>0</v>
      </c>
      <c r="BM55" s="189"/>
      <c r="BN55" s="189"/>
      <c r="BO55" s="189"/>
    </row>
    <row r="56" spans="1:67" ht="12" customHeight="1">
      <c r="A56" s="237" t="s">
        <v>94</v>
      </c>
      <c r="B56" s="238" t="str">
        <f t="shared" ref="B56:B87" si="12">VLOOKUP(A56,AK:BL,2,FALSE)</f>
        <v>ERN12476</v>
      </c>
      <c r="C56" s="239" t="str">
        <f t="shared" ref="C56:C87" si="13">VLOOKUP(A56,AK:BL,9,FALSE)</f>
        <v>Furgo-trayler</v>
      </c>
      <c r="D56" s="239" t="str">
        <f t="shared" ref="D56:D87" si="14">VLOOKUP(A56,AK:BL,11,FALSE)</f>
        <v>6068MWH</v>
      </c>
      <c r="E56" s="240">
        <f t="shared" ref="E56:E87" si="15">VLOOKUP(A56,AK:BL,7,FALSE)</f>
        <v>46244.09375</v>
      </c>
      <c r="F56" s="241" t="s">
        <v>61</v>
      </c>
      <c r="G56" s="241"/>
      <c r="H56" s="308" t="str">
        <f>IF(VLOOKUP(A56,Outbound!$E$1:$Q$411,13,FALSE)=0,VLOOKUP(A56,AK:BL,13,FALSE),VLOOKUP(A56,Outbound!$E$1:$Q$411,13,FALSE))</f>
        <v>ENBR21391</v>
      </c>
      <c r="I56" s="242" t="str">
        <f t="shared" si="6"/>
        <v>BCN</v>
      </c>
      <c r="J56" s="269" t="str">
        <f>IFERROR(IF(VLOOKUP($A56,Outbound!$E$1:$BA$411,17,FALSE)="","","Y"),"")</f>
        <v/>
      </c>
      <c r="K56" s="243"/>
      <c r="L56" s="243"/>
      <c r="M56" s="244" t="str">
        <f t="shared" si="7"/>
        <v>BCN 1</v>
      </c>
      <c r="N56" s="245" t="s">
        <v>421</v>
      </c>
      <c r="O56" s="245" t="s">
        <v>421</v>
      </c>
      <c r="P56" s="267" t="str">
        <f>IFERROR(IF(VLOOKUP(A56,Outbound!$E$1:$AY$411,46,FALSE)&lt;&gt;"","Y",""),"")</f>
        <v/>
      </c>
      <c r="Q56" s="267" t="str">
        <f>IFERROR(IF(VLOOKUP($A56,Outbound!$E$1:$BA$411,20,FALSE)="","","Y"),"")</f>
        <v>Y</v>
      </c>
      <c r="R56" s="267" t="str">
        <f>IFERROR(IF(VLOOKUP($A56,Outbound!$E$1:$BA$411,49,FALSE)="","","Y"),"")</f>
        <v>Y</v>
      </c>
      <c r="S56" s="309">
        <v>6.1111111111111109E-2</v>
      </c>
      <c r="T56" s="309"/>
      <c r="U56" s="246"/>
      <c r="V56" s="246"/>
      <c r="W56" s="117" t="str">
        <f>IFERROR(IF(VLOOKUP($A56,Outbound!$E$1:$BA$411,14,FALSE)="VARIATA","NEW TRAILER",""),"")</f>
        <v/>
      </c>
      <c r="X56" s="117" t="str">
        <f>IFERROR(IF(VLOOKUP(A56,Outbound!$E$1:$Y$411,21,FALSE)&lt;&gt;"",VLOOKUP(A56,Outbound!$E$1:$Y$411,21,FALSE),VLOOKUP(A56,Outbound!$E$1:$Y$411,19,FALSE)),"")</f>
        <v>P605</v>
      </c>
      <c r="Y56" s="117" t="str">
        <f>IFERROR(CONCATENATE(VLOOKUP($A56,Outbound!$E$1:$BA$411,44,FALSE)," - ",VLOOKUP($A56,Outbound!$E$1:$BA$411,16,FALSE)," - "),"")</f>
        <v xml:space="preserve"> -  - </v>
      </c>
      <c r="Z56" s="246" t="str">
        <f>IFERROR(VLOOKUP(A56,Outbound!$E$2:$AK$412,33,FALSE),"")</f>
        <v xml:space="preserve"> FRT 14, DD 8 </v>
      </c>
      <c r="AA56" s="246" t="s">
        <v>421</v>
      </c>
      <c r="AB56" s="344">
        <f>IFERROR(IF(VLOOKUP($A56,Outbound!$E$1:$BA$411,48,FALSE)&lt;&gt;0,VLOOKUP($A56,Outbound!$E$1:$BA$411,48,FALSE),""),"")</f>
        <v>6.3888888888888884E-2</v>
      </c>
      <c r="AC56" s="314">
        <f>IFERROR(IF(VLOOKUP($A56,Outbound!$E$1:$BA$411,49,FALSE)&lt;&gt;0,VLOOKUP($A56,Outbound!$E$1:$BA$411,49,FALSE),""),"")</f>
        <v>6.9444444444444448E-2</v>
      </c>
      <c r="AK56" s="9" t="s">
        <v>142</v>
      </c>
      <c r="AL56" s="9" t="s">
        <v>1519</v>
      </c>
      <c r="AM56" s="9" t="s">
        <v>1520</v>
      </c>
      <c r="AN56" s="9" t="s">
        <v>0</v>
      </c>
      <c r="AO56" s="9" t="s">
        <v>241</v>
      </c>
      <c r="AP56" s="9" t="s">
        <v>66</v>
      </c>
      <c r="AQ56" s="424">
        <v>46244.083333333336</v>
      </c>
      <c r="AR56" s="9"/>
      <c r="AS56" s="9" t="s">
        <v>249</v>
      </c>
      <c r="AT56" s="9" t="s">
        <v>1521</v>
      </c>
      <c r="AU56" s="9" t="s">
        <v>1522</v>
      </c>
      <c r="AV56" s="9" t="s">
        <v>241</v>
      </c>
      <c r="AX56" s="9" t="b">
        <v>0</v>
      </c>
      <c r="AY56" s="9" t="s">
        <v>57</v>
      </c>
      <c r="AZ56" s="9" t="b">
        <v>0</v>
      </c>
      <c r="BA56" s="9" t="b">
        <v>0</v>
      </c>
      <c r="BB56" s="9" t="b">
        <v>0</v>
      </c>
      <c r="BC56" s="9" t="b">
        <v>0</v>
      </c>
      <c r="BD56" s="9" t="s">
        <v>59</v>
      </c>
      <c r="BE56" s="9" t="b">
        <v>0</v>
      </c>
      <c r="BM56" s="189"/>
      <c r="BN56" s="189"/>
      <c r="BO56" s="189"/>
    </row>
    <row r="57" spans="1:67" ht="12" customHeight="1">
      <c r="A57" s="237" t="s">
        <v>87</v>
      </c>
      <c r="B57" s="238" t="str">
        <f t="shared" si="12"/>
        <v>ERN15902</v>
      </c>
      <c r="C57" s="239" t="str">
        <f t="shared" si="13"/>
        <v>Logistica Grillo, S.L.</v>
      </c>
      <c r="D57" s="239" t="str">
        <f t="shared" si="14"/>
        <v>9710NSC</v>
      </c>
      <c r="E57" s="240">
        <f t="shared" si="15"/>
        <v>46244.09375</v>
      </c>
      <c r="F57" s="241"/>
      <c r="G57" s="241" t="s">
        <v>61</v>
      </c>
      <c r="H57" s="308" t="str">
        <f>IF(VLOOKUP(A57,Outbound!$E$1:$Q$411,13,FALSE)=0,VLOOKUP(A57,AK:BL,13,FALSE),VLOOKUP(A57,Outbound!$E$1:$Q$411,13,FALSE))</f>
        <v>r7097bdg</v>
      </c>
      <c r="I57" s="242" t="str">
        <f t="shared" si="6"/>
        <v>BCN</v>
      </c>
      <c r="J57" s="269" t="str">
        <f>IFERROR(IF(VLOOKUP($A57,Outbound!$E$1:$BA$411,17,FALSE)="","","Y"),"")</f>
        <v>Y</v>
      </c>
      <c r="K57" s="243"/>
      <c r="L57" s="243"/>
      <c r="M57" s="244" t="str">
        <f t="shared" si="7"/>
        <v>BCN 2</v>
      </c>
      <c r="N57" s="245" t="s">
        <v>870</v>
      </c>
      <c r="O57" s="245" t="s">
        <v>870</v>
      </c>
      <c r="P57" s="267" t="str">
        <f>IFERROR(IF(VLOOKUP(A57,Outbound!$E$1:$AY$411,46,FALSE)&lt;&gt;"","Y",""),"")</f>
        <v/>
      </c>
      <c r="Q57" s="267" t="str">
        <f>IFERROR(IF(VLOOKUP($A57,Outbound!$E$1:$BA$411,20,FALSE)="","","Y"),"")</f>
        <v>Y</v>
      </c>
      <c r="R57" s="267" t="str">
        <f>IFERROR(IF(VLOOKUP($A57,Outbound!$E$1:$BA$411,49,FALSE)="","","Y"),"")</f>
        <v>Y</v>
      </c>
      <c r="S57" s="309"/>
      <c r="T57" s="309"/>
      <c r="U57" s="246"/>
      <c r="V57" s="246"/>
      <c r="W57" s="117" t="str">
        <f>IFERROR(IF(VLOOKUP($A57,Outbound!$E$1:$BA$411,14,FALSE)="VARIATA","NEW TRAILER",""),"")</f>
        <v/>
      </c>
      <c r="X57" s="117" t="str">
        <f>IFERROR(IF(VLOOKUP(A57,Outbound!$E$1:$Y$411,21,FALSE)&lt;&gt;"",VLOOKUP(A57,Outbound!$E$1:$Y$411,21,FALSE),VLOOKUP(A57,Outbound!$E$1:$Y$411,19,FALSE)),"")</f>
        <v>P140</v>
      </c>
      <c r="Y57" s="117" t="str">
        <f>IFERROR(CONCATENATE(VLOOKUP($A57,Outbound!$E$1:$BA$411,44,FALSE)," - ",VLOOKUP($A57,Outbound!$E$1:$BA$411,16,FALSE)," - "),"")</f>
        <v xml:space="preserve"> -  - </v>
      </c>
      <c r="Z57" s="246" t="str">
        <f>IFERROR(VLOOKUP(A57,Outbound!$E$2:$AK$412,33,FALSE),"")</f>
        <v xml:space="preserve"> LL 14  - 24 Bag</v>
      </c>
      <c r="AA57" s="246" t="s">
        <v>870</v>
      </c>
      <c r="AB57" s="344" t="str">
        <f>IFERROR(IF(VLOOKUP($A57,Outbound!$E$1:$BA$411,48,FALSE)&lt;&gt;0,VLOOKUP($A57,Outbound!$E$1:$BA$411,48,FALSE),""),"")</f>
        <v/>
      </c>
      <c r="AC57" s="314">
        <f>IFERROR(IF(VLOOKUP($A57,Outbound!$E$1:$BA$411,49,FALSE)&lt;&gt;0,VLOOKUP($A57,Outbound!$E$1:$BA$411,49,FALSE),""),"")</f>
        <v>0.99722222222222223</v>
      </c>
      <c r="AK57" s="9" t="s">
        <v>155</v>
      </c>
      <c r="AL57" s="9" t="s">
        <v>1523</v>
      </c>
      <c r="AM57" s="9" t="s">
        <v>1524</v>
      </c>
      <c r="AN57" s="9" t="s">
        <v>0</v>
      </c>
      <c r="AO57" s="9" t="s">
        <v>241</v>
      </c>
      <c r="AP57" s="9" t="s">
        <v>51</v>
      </c>
      <c r="AQ57" s="424">
        <v>46244.09375</v>
      </c>
      <c r="AR57" s="9"/>
      <c r="AS57" s="9" t="s">
        <v>249</v>
      </c>
      <c r="AT57" s="9" t="s">
        <v>1525</v>
      </c>
      <c r="AU57" s="9" t="s">
        <v>1526</v>
      </c>
      <c r="AV57" s="9" t="s">
        <v>241</v>
      </c>
      <c r="AX57" s="9" t="b">
        <v>1</v>
      </c>
      <c r="AY57" s="9" t="s">
        <v>57</v>
      </c>
      <c r="AZ57" s="9" t="b">
        <v>0</v>
      </c>
      <c r="BA57" s="9" t="b">
        <v>0</v>
      </c>
      <c r="BB57" s="9" t="b">
        <v>0</v>
      </c>
      <c r="BC57" s="9" t="b">
        <v>0</v>
      </c>
      <c r="BD57" s="9" t="s">
        <v>59</v>
      </c>
      <c r="BE57" s="9" t="b">
        <v>0</v>
      </c>
      <c r="BM57" s="189"/>
      <c r="BN57" s="189"/>
      <c r="BO57" s="189"/>
    </row>
    <row r="58" spans="1:67" ht="12" customHeight="1">
      <c r="A58" s="237" t="s">
        <v>99</v>
      </c>
      <c r="B58" s="238" t="str">
        <f t="shared" si="12"/>
        <v>ERN92396</v>
      </c>
      <c r="C58" s="239" t="str">
        <f t="shared" si="13"/>
        <v>Galileo Transport Srl</v>
      </c>
      <c r="D58" s="239">
        <f t="shared" si="14"/>
        <v>0</v>
      </c>
      <c r="E58" s="240">
        <f t="shared" si="15"/>
        <v>46244.09375</v>
      </c>
      <c r="F58" s="241" t="s">
        <v>61</v>
      </c>
      <c r="G58" s="241"/>
      <c r="H58" s="308" t="str">
        <f>IF(VLOOKUP(A58,Outbound!$E$1:$Q$411,13,FALSE)=0,VLOOKUP(A58,AK:BL,13,FALSE),VLOOKUP(A58,Outbound!$E$1:$Q$411,13,FALSE))</f>
        <v>enbd20373</v>
      </c>
      <c r="I58" s="242" t="str">
        <f t="shared" si="6"/>
        <v>BCN</v>
      </c>
      <c r="J58" s="269" t="str">
        <f>IFERROR(IF(VLOOKUP($A58,Outbound!$E$1:$BA$411,17,FALSE)="","","Y"),"")</f>
        <v>Y</v>
      </c>
      <c r="K58" s="243"/>
      <c r="L58" s="243"/>
      <c r="M58" s="244" t="str">
        <f t="shared" si="7"/>
        <v>BCN 3</v>
      </c>
      <c r="N58" s="245" t="s">
        <v>870</v>
      </c>
      <c r="O58" s="245" t="s">
        <v>870</v>
      </c>
      <c r="P58" s="267" t="str">
        <f>IFERROR(IF(VLOOKUP(A58,Outbound!$E$1:$AY$411,46,FALSE)&lt;&gt;"","Y",""),"")</f>
        <v/>
      </c>
      <c r="Q58" s="267" t="str">
        <f>IFERROR(IF(VLOOKUP($A58,Outbound!$E$1:$BA$411,20,FALSE)="","","Y"),"")</f>
        <v>Y</v>
      </c>
      <c r="R58" s="267" t="str">
        <f>IFERROR(IF(VLOOKUP($A58,Outbound!$E$1:$BA$411,49,FALSE)="","","Y"),"")</f>
        <v>Y</v>
      </c>
      <c r="S58" s="309">
        <v>5.5555555555555552E-2</v>
      </c>
      <c r="T58" s="309" t="s">
        <v>1397</v>
      </c>
      <c r="U58" s="246"/>
      <c r="V58" s="246"/>
      <c r="W58" s="117" t="str">
        <f>IFERROR(IF(VLOOKUP($A58,Outbound!$E$1:$BA$411,14,FALSE)="VARIATA","NEW TRAILER",""),"")</f>
        <v/>
      </c>
      <c r="X58" s="117" t="str">
        <f>IFERROR(IF(VLOOKUP(A58,Outbound!$E$1:$Y$411,21,FALSE)&lt;&gt;"",VLOOKUP(A58,Outbound!$E$1:$Y$411,21,FALSE),VLOOKUP(A58,Outbound!$E$1:$Y$411,19,FALSE)),"")</f>
        <v>R341</v>
      </c>
      <c r="Y58" s="117" t="str">
        <f>IFERROR(CONCATENATE(VLOOKUP($A58,Outbound!$E$1:$BA$411,44,FALSE)," - ",VLOOKUP($A58,Outbound!$E$1:$BA$411,16,FALSE)," - "),"")</f>
        <v xml:space="preserve"> -  - </v>
      </c>
      <c r="Z58" s="246" t="str">
        <f>IFERROR(VLOOKUP(A58,Outbound!$E$2:$AK$412,33,FALSE),"")</f>
        <v xml:space="preserve"> LL 12.5  - 12 Bag</v>
      </c>
      <c r="AA58" s="246" t="s">
        <v>870</v>
      </c>
      <c r="AB58" s="344">
        <f>IFERROR(IF(VLOOKUP($A58,Outbound!$E$1:$BA$411,48,FALSE)&lt;&gt;0,VLOOKUP($A58,Outbound!$E$1:$BA$411,48,FALSE),""),"")</f>
        <v>6.3888888888888884E-2</v>
      </c>
      <c r="AC58" s="314">
        <f>IFERROR(IF(VLOOKUP($A58,Outbound!$E$1:$BA$411,49,FALSE)&lt;&gt;0,VLOOKUP($A58,Outbound!$E$1:$BA$411,49,FALSE),""),"")</f>
        <v>7.1527777777777773E-2</v>
      </c>
      <c r="AK58" s="9" t="s">
        <v>1433</v>
      </c>
      <c r="AL58" s="9" t="s">
        <v>1527</v>
      </c>
      <c r="AM58" s="9" t="s">
        <v>1528</v>
      </c>
      <c r="AN58" s="9" t="s">
        <v>0</v>
      </c>
      <c r="AO58" s="9" t="s">
        <v>241</v>
      </c>
      <c r="AP58" s="9" t="s">
        <v>66</v>
      </c>
      <c r="AQ58" s="424">
        <v>46244.416666666664</v>
      </c>
      <c r="AR58" s="9"/>
      <c r="AS58" s="9" t="s">
        <v>1425</v>
      </c>
      <c r="AT58" s="9" t="s">
        <v>1529</v>
      </c>
      <c r="AU58" s="9" t="s">
        <v>1530</v>
      </c>
      <c r="AV58" s="9" t="s">
        <v>241</v>
      </c>
      <c r="AX58" s="9" t="b">
        <v>0</v>
      </c>
      <c r="AY58" s="9" t="s">
        <v>57</v>
      </c>
      <c r="AZ58" s="9" t="b">
        <v>0</v>
      </c>
      <c r="BA58" s="9" t="b">
        <v>0</v>
      </c>
      <c r="BB58" s="9" t="b">
        <v>0</v>
      </c>
      <c r="BC58" s="9" t="b">
        <v>0</v>
      </c>
      <c r="BD58" s="9" t="s">
        <v>59</v>
      </c>
      <c r="BE58" s="9" t="b">
        <v>0</v>
      </c>
      <c r="BM58" s="189"/>
      <c r="BN58" s="189"/>
      <c r="BO58" s="189"/>
    </row>
    <row r="59" spans="1:67" ht="12" customHeight="1">
      <c r="A59" s="237" t="s">
        <v>112</v>
      </c>
      <c r="B59" s="238" t="str">
        <f t="shared" si="12"/>
        <v>ERN13502</v>
      </c>
      <c r="C59" s="239" t="str">
        <f t="shared" si="13"/>
        <v>J.V.,Sl Central De Servicios Y Seleccion</v>
      </c>
      <c r="D59" s="239" t="str">
        <f t="shared" si="14"/>
        <v>7011MTG</v>
      </c>
      <c r="E59" s="240">
        <f t="shared" si="15"/>
        <v>46244.4375</v>
      </c>
      <c r="F59" s="241" t="s">
        <v>61</v>
      </c>
      <c r="G59" s="241"/>
      <c r="H59" s="308" t="str">
        <f>IF(VLOOKUP(A59,Outbound!$E$1:$Q$411,13,FALSE)=0,VLOOKUP(A59,AK:BL,13,FALSE),VLOOKUP(A59,Outbound!$E$1:$Q$411,13,FALSE))</f>
        <v>ENB14356</v>
      </c>
      <c r="I59" s="242" t="str">
        <f t="shared" si="6"/>
        <v>BCN</v>
      </c>
      <c r="J59" s="269" t="str">
        <f>IFERROR(IF(VLOOKUP($A59,Outbound!$E$1:$BA$411,17,FALSE)="","","Y"),"")</f>
        <v>Y</v>
      </c>
      <c r="K59" s="243"/>
      <c r="L59" s="243"/>
      <c r="M59" s="244" t="str">
        <f t="shared" si="7"/>
        <v>BCN 4</v>
      </c>
      <c r="N59" s="245" t="s">
        <v>870</v>
      </c>
      <c r="O59" s="245" t="s">
        <v>870</v>
      </c>
      <c r="P59" s="267" t="str">
        <f>IFERROR(IF(VLOOKUP(A59,Outbound!$E$1:$AY$411,46,FALSE)&lt;&gt;"","Y",""),"")</f>
        <v/>
      </c>
      <c r="Q59" s="267" t="str">
        <f>IFERROR(IF(VLOOKUP($A59,Outbound!$E$1:$BA$411,20,FALSE)="","","Y"),"")</f>
        <v/>
      </c>
      <c r="R59" s="267" t="str">
        <f>IFERROR(IF(VLOOKUP($A59,Outbound!$E$1:$BA$411,49,FALSE)="","","Y"),"")</f>
        <v/>
      </c>
      <c r="S59" s="309"/>
      <c r="T59" s="309"/>
      <c r="U59" s="246"/>
      <c r="V59" s="246"/>
      <c r="W59" s="117" t="str">
        <f>IFERROR(IF(VLOOKUP($A59,Outbound!$E$1:$BA$411,14,FALSE)="VARIATA","NEW TRAILER",""),"")</f>
        <v/>
      </c>
      <c r="X59" s="117">
        <f>IFERROR(IF(VLOOKUP(A59,Outbound!$E$1:$Y$411,21,FALSE)&lt;&gt;"",VLOOKUP(A59,Outbound!$E$1:$Y$411,21,FALSE),VLOOKUP(A59,Outbound!$E$1:$Y$411,19,FALSE)),"")</f>
        <v>340</v>
      </c>
      <c r="Y59" s="117" t="str">
        <f>IFERROR(CONCATENATE(VLOOKUP($A59,Outbound!$E$1:$BA$411,44,FALSE)," - ",VLOOKUP($A59,Outbound!$E$1:$BA$411,16,FALSE)," - "),"")</f>
        <v xml:space="preserve"> -  - </v>
      </c>
      <c r="Z59" s="246" t="str">
        <f>IFERROR(VLOOKUP(A59,Outbound!$E$2:$AK$412,33,FALSE),"")</f>
        <v/>
      </c>
      <c r="AA59" s="246"/>
      <c r="AB59" s="344" t="str">
        <f>IFERROR(IF(VLOOKUP($A59,Outbound!$E$1:$BA$411,48,FALSE)&lt;&gt;0,VLOOKUP($A59,Outbound!$E$1:$BA$411,48,FALSE),""),"")</f>
        <v/>
      </c>
      <c r="AC59" s="314" t="str">
        <f>IFERROR(IF(VLOOKUP($A59,Outbound!$E$1:$BA$411,49,FALSE)&lt;&gt;0,VLOOKUP($A59,Outbound!$E$1:$BA$411,49,FALSE),""),"")</f>
        <v/>
      </c>
      <c r="AK59" s="9" t="s">
        <v>148</v>
      </c>
      <c r="AL59" s="9" t="s">
        <v>248</v>
      </c>
      <c r="AM59" s="9" t="s">
        <v>1531</v>
      </c>
      <c r="AN59" s="9" t="s">
        <v>0</v>
      </c>
      <c r="AO59" s="9" t="s">
        <v>241</v>
      </c>
      <c r="AP59" s="9" t="s">
        <v>66</v>
      </c>
      <c r="AQ59" s="424">
        <v>46244.083333333336</v>
      </c>
      <c r="AR59" s="9"/>
      <c r="AS59" s="9" t="s">
        <v>249</v>
      </c>
      <c r="AT59" s="9" t="s">
        <v>1532</v>
      </c>
      <c r="AU59" s="9" t="s">
        <v>1533</v>
      </c>
      <c r="AV59" s="9" t="s">
        <v>241</v>
      </c>
      <c r="AX59" s="9" t="b">
        <v>0</v>
      </c>
      <c r="AY59" s="9" t="s">
        <v>57</v>
      </c>
      <c r="AZ59" s="9" t="b">
        <v>0</v>
      </c>
      <c r="BA59" s="9" t="b">
        <v>0</v>
      </c>
      <c r="BB59" s="9" t="b">
        <v>0</v>
      </c>
      <c r="BC59" s="9" t="b">
        <v>0</v>
      </c>
      <c r="BD59" s="9" t="s">
        <v>59</v>
      </c>
      <c r="BE59" s="9" t="b">
        <v>0</v>
      </c>
      <c r="BM59" s="189"/>
      <c r="BN59" s="189"/>
      <c r="BO59" s="189"/>
    </row>
    <row r="60" spans="1:67" ht="12" customHeight="1">
      <c r="A60" s="237" t="s">
        <v>119</v>
      </c>
      <c r="B60" s="238" t="str">
        <f t="shared" si="12"/>
        <v>ERN13137</v>
      </c>
      <c r="C60" s="239" t="str">
        <f t="shared" si="13"/>
        <v>J.V.,Sl Central De Servicios Y Seleccion</v>
      </c>
      <c r="D60" s="239" t="str">
        <f t="shared" si="14"/>
        <v>8802MCJ</v>
      </c>
      <c r="E60" s="240">
        <f t="shared" si="15"/>
        <v>46244.4375</v>
      </c>
      <c r="F60" s="241" t="s">
        <v>61</v>
      </c>
      <c r="G60" s="241"/>
      <c r="H60" s="308" t="str">
        <f>IF(VLOOKUP(A60,Outbound!$E$1:$Q$411,13,FALSE)=0,VLOOKUP(A60,AK:BL,13,FALSE),VLOOKUP(A60,Outbound!$E$1:$Q$411,13,FALSE))</f>
        <v>ENBR21394</v>
      </c>
      <c r="I60" s="242" t="str">
        <f t="shared" si="6"/>
        <v>BCN</v>
      </c>
      <c r="J60" s="269" t="str">
        <f>IFERROR(IF(VLOOKUP($A60,Outbound!$E$1:$BA$411,17,FALSE)="","","Y"),"")</f>
        <v>Y</v>
      </c>
      <c r="K60" s="243"/>
      <c r="L60" s="243"/>
      <c r="M60" s="244" t="str">
        <f t="shared" si="7"/>
        <v>BCN 5</v>
      </c>
      <c r="N60" s="245" t="s">
        <v>870</v>
      </c>
      <c r="O60" s="245" t="s">
        <v>870</v>
      </c>
      <c r="P60" s="267" t="str">
        <f>IFERROR(IF(VLOOKUP(A60,Outbound!$E$1:$AY$411,46,FALSE)&lt;&gt;"","Y",""),"")</f>
        <v/>
      </c>
      <c r="Q60" s="267" t="str">
        <f>IFERROR(IF(VLOOKUP($A60,Outbound!$E$1:$BA$411,20,FALSE)="","","Y"),"")</f>
        <v/>
      </c>
      <c r="R60" s="267" t="str">
        <f>IFERROR(IF(VLOOKUP($A60,Outbound!$E$1:$BA$411,49,FALSE)="","","Y"),"")</f>
        <v/>
      </c>
      <c r="S60" s="309"/>
      <c r="T60" s="309"/>
      <c r="U60" s="246"/>
      <c r="V60" s="246"/>
      <c r="W60" s="117" t="str">
        <f>IFERROR(IF(VLOOKUP($A60,Outbound!$E$1:$BA$411,14,FALSE)="VARIATA","NEW TRAILER",""),"")</f>
        <v/>
      </c>
      <c r="X60" s="117">
        <f>IFERROR(IF(VLOOKUP(A60,Outbound!$E$1:$Y$411,21,FALSE)&lt;&gt;"",VLOOKUP(A60,Outbound!$E$1:$Y$411,21,FALSE),VLOOKUP(A60,Outbound!$E$1:$Y$411,19,FALSE)),"")</f>
        <v>743</v>
      </c>
      <c r="Y60" s="117" t="str">
        <f>IFERROR(CONCATENATE(VLOOKUP($A60,Outbound!$E$1:$BA$411,44,FALSE)," - ",VLOOKUP($A60,Outbound!$E$1:$BA$411,16,FALSE)," - "),"")</f>
        <v xml:space="preserve"> -  - </v>
      </c>
      <c r="Z60" s="246" t="str">
        <f>IFERROR(VLOOKUP(A60,Outbound!$E$2:$AK$412,33,FALSE),"")</f>
        <v/>
      </c>
      <c r="AA60" s="246"/>
      <c r="AB60" s="344" t="str">
        <f>IFERROR(IF(VLOOKUP($A60,Outbound!$E$1:$BA$411,48,FALSE)&lt;&gt;0,VLOOKUP($A60,Outbound!$E$1:$BA$411,48,FALSE),""),"")</f>
        <v/>
      </c>
      <c r="AC60" s="314" t="str">
        <f>IFERROR(IF(VLOOKUP($A60,Outbound!$E$1:$BA$411,49,FALSE)&lt;&gt;0,VLOOKUP($A60,Outbound!$E$1:$BA$411,49,FALSE),""),"")</f>
        <v/>
      </c>
      <c r="AK60" s="9" t="s">
        <v>161</v>
      </c>
      <c r="AL60" s="9" t="s">
        <v>1534</v>
      </c>
      <c r="AM60" s="9" t="s">
        <v>1535</v>
      </c>
      <c r="AN60" s="9" t="s">
        <v>0</v>
      </c>
      <c r="AO60" s="9" t="s">
        <v>241</v>
      </c>
      <c r="AP60" s="9" t="s">
        <v>66</v>
      </c>
      <c r="AQ60" s="424">
        <v>46244.416666666664</v>
      </c>
      <c r="AR60" s="9"/>
      <c r="AS60" s="9" t="s">
        <v>171</v>
      </c>
      <c r="AT60" s="9"/>
      <c r="AU60" s="9"/>
      <c r="AV60" s="9" t="s">
        <v>246</v>
      </c>
      <c r="AX60" s="9" t="b">
        <v>0</v>
      </c>
      <c r="AY60" s="9" t="s">
        <v>57</v>
      </c>
      <c r="AZ60" s="9" t="b">
        <v>0</v>
      </c>
      <c r="BA60" s="9" t="b">
        <v>0</v>
      </c>
      <c r="BB60" s="9" t="b">
        <v>0</v>
      </c>
      <c r="BC60" s="9" t="b">
        <v>0</v>
      </c>
      <c r="BD60" s="9" t="s">
        <v>59</v>
      </c>
      <c r="BE60" s="9" t="b">
        <v>0</v>
      </c>
      <c r="BM60" s="189"/>
      <c r="BN60" s="189"/>
      <c r="BO60" s="189"/>
    </row>
    <row r="61" spans="1:67" ht="12" customHeight="1">
      <c r="A61" s="237" t="s">
        <v>79</v>
      </c>
      <c r="B61" s="238" t="str">
        <f t="shared" si="12"/>
        <v>ERN18726</v>
      </c>
      <c r="C61" s="239" t="str">
        <f t="shared" si="13"/>
        <v>Furgo-trayler</v>
      </c>
      <c r="D61" s="239" t="str">
        <f t="shared" si="14"/>
        <v>1519NHR</v>
      </c>
      <c r="E61" s="240">
        <f t="shared" si="15"/>
        <v>46244.083333333336</v>
      </c>
      <c r="F61" s="241" t="s">
        <v>61</v>
      </c>
      <c r="G61" s="241"/>
      <c r="H61" s="308" t="str">
        <f>IF(VLOOKUP(A61,Outbound!$E$1:$Q$411,13,FALSE)=0,VLOOKUP(A61,AK:BL,13,FALSE),VLOOKUP(A61,Outbound!$E$1:$Q$411,13,FALSE))</f>
        <v>ENBR21008</v>
      </c>
      <c r="I61" s="242" t="str">
        <f t="shared" si="6"/>
        <v>MAD</v>
      </c>
      <c r="J61" s="269" t="str">
        <f>IFERROR(IF(VLOOKUP($A61,Outbound!$E$1:$BA$411,17,FALSE)="","","Y"),"")</f>
        <v/>
      </c>
      <c r="K61" s="243"/>
      <c r="L61" s="243"/>
      <c r="M61" s="244" t="str">
        <f t="shared" si="7"/>
        <v>MAD 1</v>
      </c>
      <c r="N61" s="245" t="s">
        <v>421</v>
      </c>
      <c r="O61" s="245" t="s">
        <v>421</v>
      </c>
      <c r="P61" s="267" t="str">
        <f>IFERROR(IF(VLOOKUP(A61,Outbound!$E$1:$AY$411,46,FALSE)&lt;&gt;"","Y",""),"")</f>
        <v/>
      </c>
      <c r="Q61" s="267" t="str">
        <f>IFERROR(IF(VLOOKUP($A61,Outbound!$E$1:$BA$411,20,FALSE)="","","Y"),"")</f>
        <v>Y</v>
      </c>
      <c r="R61" s="267" t="str">
        <f>IFERROR(IF(VLOOKUP($A61,Outbound!$E$1:$BA$411,49,FALSE)="","","Y"),"")</f>
        <v>Y</v>
      </c>
      <c r="S61" s="309">
        <v>2.9166666666666667E-2</v>
      </c>
      <c r="T61" s="309"/>
      <c r="U61" s="246"/>
      <c r="V61" s="246"/>
      <c r="W61" s="117" t="str">
        <f>IFERROR(IF(VLOOKUP($A61,Outbound!$E$1:$BA$411,14,FALSE)="VARIATA","NEW TRAILER",""),"")</f>
        <v/>
      </c>
      <c r="X61" s="117" t="str">
        <f>IFERROR(IF(VLOOKUP(A61,Outbound!$E$1:$Y$411,21,FALSE)&lt;&gt;"",VLOOKUP(A61,Outbound!$E$1:$Y$411,21,FALSE),VLOOKUP(A61,Outbound!$E$1:$Y$411,19,FALSE)),"")</f>
        <v>R739</v>
      </c>
      <c r="Y61" s="117" t="str">
        <f>IFERROR(CONCATENATE(VLOOKUP($A61,Outbound!$E$1:$BA$411,44,FALSE)," - ",VLOOKUP($A61,Outbound!$E$1:$BA$411,16,FALSE)," - "),"")</f>
        <v xml:space="preserve"> -  - </v>
      </c>
      <c r="Z61" s="246" t="str">
        <f>IFERROR(VLOOKUP(A61,Outbound!$E$2:$AK$412,33,FALSE),"")</f>
        <v xml:space="preserve"> FRT 14,  DG 0, DD 8 </v>
      </c>
      <c r="AA61" s="246" t="s">
        <v>421</v>
      </c>
      <c r="AB61" s="344">
        <f>IFERROR(IF(VLOOKUP($A61,Outbound!$E$1:$BA$411,48,FALSE)&lt;&gt;0,VLOOKUP($A61,Outbound!$E$1:$BA$411,48,FALSE),""),"")</f>
        <v>3.2638888888888891E-2</v>
      </c>
      <c r="AC61" s="314">
        <f>IFERROR(IF(VLOOKUP($A61,Outbound!$E$1:$BA$411,49,FALSE)&lt;&gt;0,VLOOKUP($A61,Outbound!$E$1:$BA$411,49,FALSE),""),"")</f>
        <v>4.0972222222222222E-2</v>
      </c>
      <c r="AK61" s="9" t="s">
        <v>1435</v>
      </c>
      <c r="AL61" s="9" t="s">
        <v>268</v>
      </c>
      <c r="AM61" s="9" t="s">
        <v>1536</v>
      </c>
      <c r="AN61" s="9" t="s">
        <v>0</v>
      </c>
      <c r="AO61" s="9" t="s">
        <v>241</v>
      </c>
      <c r="AP61" s="9" t="s">
        <v>66</v>
      </c>
      <c r="AQ61" s="424">
        <v>46244.416666666664</v>
      </c>
      <c r="AR61" s="9"/>
      <c r="AS61" s="9" t="s">
        <v>52</v>
      </c>
      <c r="AT61" s="9"/>
      <c r="AU61" s="9"/>
      <c r="AV61" s="9" t="s">
        <v>1537</v>
      </c>
      <c r="AX61" s="9" t="b">
        <v>0</v>
      </c>
      <c r="AY61" s="9" t="s">
        <v>57</v>
      </c>
      <c r="AZ61" s="9" t="b">
        <v>0</v>
      </c>
      <c r="BA61" s="9" t="b">
        <v>0</v>
      </c>
      <c r="BB61" s="9" t="b">
        <v>0</v>
      </c>
      <c r="BC61" s="9" t="b">
        <v>0</v>
      </c>
      <c r="BD61" s="9" t="s">
        <v>59</v>
      </c>
      <c r="BE61" s="9" t="b">
        <v>0</v>
      </c>
      <c r="BM61" s="189"/>
      <c r="BN61" s="189"/>
      <c r="BO61" s="189"/>
    </row>
    <row r="62" spans="1:67" ht="12" customHeight="1">
      <c r="A62" s="237" t="s">
        <v>206</v>
      </c>
      <c r="B62" s="238" t="str">
        <f t="shared" si="12"/>
        <v>ERN15904</v>
      </c>
      <c r="C62" s="239" t="str">
        <f t="shared" si="13"/>
        <v>Logistica Grillo, S.L.</v>
      </c>
      <c r="D62" s="239" t="str">
        <f t="shared" si="14"/>
        <v>3296MYH</v>
      </c>
      <c r="E62" s="240">
        <f t="shared" si="15"/>
        <v>46244.083333333336</v>
      </c>
      <c r="F62" s="241" t="s">
        <v>61</v>
      </c>
      <c r="G62" s="241"/>
      <c r="H62" s="308" t="str">
        <f>IF(VLOOKUP(A62,Outbound!$E$1:$Q$411,13,FALSE)=0,VLOOKUP(A62,AK:BL,13,FALSE),VLOOKUP(A62,Outbound!$E$1:$Q$411,13,FALSE))</f>
        <v>ENBD20172</v>
      </c>
      <c r="I62" s="242" t="str">
        <f t="shared" si="6"/>
        <v>MAD</v>
      </c>
      <c r="J62" s="269" t="str">
        <f>IFERROR(IF(VLOOKUP($A62,Outbound!$E$1:$BA$411,17,FALSE)="","","Y"),"")</f>
        <v>Y</v>
      </c>
      <c r="K62" s="243"/>
      <c r="L62" s="243"/>
      <c r="M62" s="244" t="str">
        <f t="shared" si="7"/>
        <v>MAD 2</v>
      </c>
      <c r="N62" s="245" t="s">
        <v>421</v>
      </c>
      <c r="O62" s="245" t="s">
        <v>421</v>
      </c>
      <c r="P62" s="267" t="str">
        <f>IFERROR(IF(VLOOKUP(A62,Outbound!$E$1:$AY$411,46,FALSE)&lt;&gt;"","Y",""),"")</f>
        <v/>
      </c>
      <c r="Q62" s="267" t="str">
        <f>IFERROR(IF(VLOOKUP($A62,Outbound!$E$1:$BA$411,20,FALSE)="","","Y"),"")</f>
        <v>Y</v>
      </c>
      <c r="R62" s="267" t="str">
        <f>IFERROR(IF(VLOOKUP($A62,Outbound!$E$1:$BA$411,49,FALSE)="","","Y"),"")</f>
        <v>Y</v>
      </c>
      <c r="S62" s="309">
        <v>1.4583333333333334E-2</v>
      </c>
      <c r="T62" s="309"/>
      <c r="U62" s="246"/>
      <c r="V62" s="246"/>
      <c r="W62" s="117" t="str">
        <f>IFERROR(IF(VLOOKUP($A62,Outbound!$E$1:$BA$411,14,FALSE)="VARIATA","NEW TRAILER",""),"")</f>
        <v/>
      </c>
      <c r="X62" s="117" t="str">
        <f>IFERROR(IF(VLOOKUP(A62,Outbound!$E$1:$Y$411,21,FALSE)&lt;&gt;"",VLOOKUP(A62,Outbound!$E$1:$Y$411,21,FALSE),VLOOKUP(A62,Outbound!$E$1:$Y$411,19,FALSE)),"")</f>
        <v>P603</v>
      </c>
      <c r="Y62" s="117" t="str">
        <f>IFERROR(CONCATENATE(VLOOKUP($A62,Outbound!$E$1:$BA$411,44,FALSE)," - ",VLOOKUP($A62,Outbound!$E$1:$BA$411,16,FALSE)," - "),"")</f>
        <v xml:space="preserve"> -  - </v>
      </c>
      <c r="Z62" s="246" t="str">
        <f>IFERROR(VLOOKUP(A62,Outbound!$E$2:$AK$412,33,FALSE),"")</f>
        <v xml:space="preserve"> LL 14  - 12 Bag</v>
      </c>
      <c r="AA62" s="246" t="s">
        <v>870</v>
      </c>
      <c r="AB62" s="344">
        <f>IFERROR(IF(VLOOKUP($A62,Outbound!$E$1:$BA$411,48,FALSE)&lt;&gt;0,VLOOKUP($A62,Outbound!$E$1:$BA$411,48,FALSE),""),"")</f>
        <v>2.361111111111111E-2</v>
      </c>
      <c r="AC62" s="314">
        <f>IFERROR(IF(VLOOKUP($A62,Outbound!$E$1:$BA$411,49,FALSE)&lt;&gt;0,VLOOKUP($A62,Outbound!$E$1:$BA$411,49,FALSE),""),"")</f>
        <v>3.0555555555555555E-2</v>
      </c>
      <c r="AK62" s="9" t="s">
        <v>1439</v>
      </c>
      <c r="AL62" s="9" t="s">
        <v>1538</v>
      </c>
      <c r="AM62" s="9" t="s">
        <v>1539</v>
      </c>
      <c r="AN62" s="9" t="s">
        <v>0</v>
      </c>
      <c r="AO62" s="9" t="s">
        <v>241</v>
      </c>
      <c r="AP62" s="9" t="s">
        <v>66</v>
      </c>
      <c r="AQ62" s="424">
        <v>46244.416666666664</v>
      </c>
      <c r="AR62" s="9"/>
      <c r="AS62" s="9" t="s">
        <v>52</v>
      </c>
      <c r="AT62" s="9"/>
      <c r="AU62" s="9"/>
      <c r="AV62" s="9" t="s">
        <v>1537</v>
      </c>
      <c r="AX62" s="9" t="b">
        <v>1</v>
      </c>
      <c r="AY62" s="9" t="s">
        <v>57</v>
      </c>
      <c r="AZ62" s="9" t="b">
        <v>0</v>
      </c>
      <c r="BA62" s="9" t="b">
        <v>0</v>
      </c>
      <c r="BB62" s="9" t="b">
        <v>0</v>
      </c>
      <c r="BC62" s="9" t="b">
        <v>0</v>
      </c>
      <c r="BD62" s="9" t="s">
        <v>59</v>
      </c>
      <c r="BE62" s="9" t="b">
        <v>0</v>
      </c>
      <c r="BM62" s="189"/>
      <c r="BN62" s="189"/>
      <c r="BO62" s="189"/>
    </row>
    <row r="63" spans="1:67" ht="12" customHeight="1">
      <c r="A63" s="237" t="s">
        <v>106</v>
      </c>
      <c r="B63" s="238" t="str">
        <f t="shared" si="12"/>
        <v>ERN19135</v>
      </c>
      <c r="C63" s="239" t="str">
        <f t="shared" si="13"/>
        <v>Ravitex Srl</v>
      </c>
      <c r="D63" s="239" t="str">
        <f t="shared" si="14"/>
        <v>TM06RVX</v>
      </c>
      <c r="E63" s="240">
        <f t="shared" si="15"/>
        <v>46244.4375</v>
      </c>
      <c r="F63" s="241" t="s">
        <v>61</v>
      </c>
      <c r="G63" s="241"/>
      <c r="H63" s="308" t="str">
        <f>IF(VLOOKUP(A63,Outbound!$E$1:$Q$411,13,FALSE)=0,VLOOKUP(A63,AK:BL,13,FALSE),VLOOKUP(A63,Outbound!$E$1:$Q$411,13,FALSE))</f>
        <v>ENBR22040</v>
      </c>
      <c r="I63" s="242" t="str">
        <f t="shared" si="6"/>
        <v>MAD</v>
      </c>
      <c r="J63" s="269" t="str">
        <f>IFERROR(IF(VLOOKUP($A63,Outbound!$E$1:$BA$411,17,FALSE)="","","Y"),"")</f>
        <v>Y</v>
      </c>
      <c r="K63" s="243"/>
      <c r="L63" s="243"/>
      <c r="M63" s="244" t="str">
        <f t="shared" si="7"/>
        <v>MAD 3</v>
      </c>
      <c r="N63" s="245" t="s">
        <v>421</v>
      </c>
      <c r="O63" s="245" t="s">
        <v>421</v>
      </c>
      <c r="P63" s="267" t="str">
        <f>IFERROR(IF(VLOOKUP(A63,Outbound!$E$1:$AY$411,46,FALSE)&lt;&gt;"","Y",""),"")</f>
        <v/>
      </c>
      <c r="Q63" s="267" t="str">
        <f>IFERROR(IF(VLOOKUP($A63,Outbound!$E$1:$BA$411,20,FALSE)="","","Y"),"")</f>
        <v/>
      </c>
      <c r="R63" s="267" t="str">
        <f>IFERROR(IF(VLOOKUP($A63,Outbound!$E$1:$BA$411,49,FALSE)="","","Y"),"")</f>
        <v/>
      </c>
      <c r="S63" s="309"/>
      <c r="T63" s="309"/>
      <c r="U63" s="246"/>
      <c r="V63" s="246"/>
      <c r="W63" s="117" t="str">
        <f>IFERROR(IF(VLOOKUP($A63,Outbound!$E$1:$BA$411,14,FALSE)="VARIATA","NEW TRAILER",""),"")</f>
        <v/>
      </c>
      <c r="X63" s="117">
        <f>IFERROR(IF(VLOOKUP(A63,Outbound!$E$1:$Y$411,21,FALSE)&lt;&gt;"",VLOOKUP(A63,Outbound!$E$1:$Y$411,21,FALSE),VLOOKUP(A63,Outbound!$E$1:$Y$411,19,FALSE)),"")</f>
        <v>342</v>
      </c>
      <c r="Y63" s="117" t="str">
        <f>IFERROR(CONCATENATE(VLOOKUP($A63,Outbound!$E$1:$BA$411,44,FALSE)," - ",VLOOKUP($A63,Outbound!$E$1:$BA$411,16,FALSE)," - "),"")</f>
        <v xml:space="preserve"> -  - </v>
      </c>
      <c r="Z63" s="246" t="str">
        <f>IFERROR(VLOOKUP(A63,Outbound!$E$2:$AK$412,33,FALSE),"")</f>
        <v/>
      </c>
      <c r="AA63" s="246"/>
      <c r="AB63" s="344" t="str">
        <f>IFERROR(IF(VLOOKUP($A63,Outbound!$E$1:$BA$411,48,FALSE)&lt;&gt;0,VLOOKUP($A63,Outbound!$E$1:$BA$411,48,FALSE),""),"")</f>
        <v/>
      </c>
      <c r="AC63" s="314" t="str">
        <f>IFERROR(IF(VLOOKUP($A63,Outbound!$E$1:$BA$411,49,FALSE)&lt;&gt;0,VLOOKUP($A63,Outbound!$E$1:$BA$411,49,FALSE),""),"")</f>
        <v/>
      </c>
      <c r="AK63" s="9" t="s">
        <v>157</v>
      </c>
      <c r="AL63" s="9" t="s">
        <v>261</v>
      </c>
      <c r="AM63" s="9" t="s">
        <v>1540</v>
      </c>
      <c r="AN63" s="9" t="s">
        <v>0</v>
      </c>
      <c r="AO63" s="9" t="s">
        <v>241</v>
      </c>
      <c r="AP63" s="9" t="s">
        <v>51</v>
      </c>
      <c r="AQ63" s="424">
        <v>46244.40625</v>
      </c>
      <c r="AR63" s="9"/>
      <c r="AS63" s="9" t="s">
        <v>1425</v>
      </c>
      <c r="AT63" s="9" t="s">
        <v>1541</v>
      </c>
      <c r="AU63" s="9" t="s">
        <v>1542</v>
      </c>
      <c r="AV63" s="9" t="s">
        <v>246</v>
      </c>
      <c r="AX63" s="9" t="b">
        <v>1</v>
      </c>
      <c r="AY63" s="9" t="s">
        <v>57</v>
      </c>
      <c r="AZ63" s="9" t="b">
        <v>0</v>
      </c>
      <c r="BA63" s="9" t="b">
        <v>0</v>
      </c>
      <c r="BB63" s="9" t="b">
        <v>0</v>
      </c>
      <c r="BC63" s="9" t="b">
        <v>0</v>
      </c>
      <c r="BD63" s="9" t="s">
        <v>59</v>
      </c>
      <c r="BE63" s="9" t="b">
        <v>0</v>
      </c>
      <c r="BM63" s="189"/>
      <c r="BN63" s="189"/>
      <c r="BO63" s="189"/>
    </row>
    <row r="64" spans="1:67" ht="12" customHeight="1">
      <c r="A64" s="237" t="s">
        <v>1459</v>
      </c>
      <c r="B64" s="238" t="str">
        <f t="shared" si="12"/>
        <v>ERN92347</v>
      </c>
      <c r="C64" s="239" t="str">
        <f t="shared" si="13"/>
        <v>T Service Spa</v>
      </c>
      <c r="D64" s="239">
        <f t="shared" si="14"/>
        <v>0</v>
      </c>
      <c r="E64" s="240">
        <f t="shared" si="15"/>
        <v>46244.4375</v>
      </c>
      <c r="F64" s="241"/>
      <c r="G64" s="241" t="s">
        <v>61</v>
      </c>
      <c r="H64" s="308" t="str">
        <f>IF(VLOOKUP(A64,Outbound!$E$1:$Q$411,13,FALSE)=0,VLOOKUP(A64,AK:BL,13,FALSE),VLOOKUP(A64,Outbound!$E$1:$Q$411,13,FALSE))</f>
        <v>xa783ww</v>
      </c>
      <c r="I64" s="242" t="str">
        <f t="shared" si="6"/>
        <v>MAD</v>
      </c>
      <c r="J64" s="269" t="str">
        <f>IFERROR(IF(VLOOKUP($A64,Outbound!$E$1:$BA$411,17,FALSE)="","","Y"),"")</f>
        <v>Y</v>
      </c>
      <c r="K64" s="243"/>
      <c r="L64" s="243"/>
      <c r="M64" s="244" t="str">
        <f t="shared" si="7"/>
        <v>MAD 4</v>
      </c>
      <c r="N64" s="245" t="s">
        <v>421</v>
      </c>
      <c r="O64" s="245" t="s">
        <v>421</v>
      </c>
      <c r="P64" s="267" t="str">
        <f>IFERROR(IF(VLOOKUP(A64,Outbound!$E$1:$AY$411,46,FALSE)&lt;&gt;"","Y",""),"")</f>
        <v/>
      </c>
      <c r="Q64" s="267" t="str">
        <f>IFERROR(IF(VLOOKUP($A64,Outbound!$E$1:$BA$411,20,FALSE)="","","Y"),"")</f>
        <v>Y</v>
      </c>
      <c r="R64" s="267" t="str">
        <f>IFERROR(IF(VLOOKUP($A64,Outbound!$E$1:$BA$411,49,FALSE)="","","Y"),"")</f>
        <v/>
      </c>
      <c r="S64" s="309"/>
      <c r="T64" s="309"/>
      <c r="U64" s="246"/>
      <c r="V64" s="246"/>
      <c r="W64" s="117" t="str">
        <f>IFERROR(IF(VLOOKUP($A64,Outbound!$E$1:$BA$411,14,FALSE)="VARIATA","NEW TRAILER",""),"")</f>
        <v/>
      </c>
      <c r="X64" s="117" t="str">
        <f>IFERROR(IF(VLOOKUP(A64,Outbound!$E$1:$Y$411,21,FALSE)&lt;&gt;"",VLOOKUP(A64,Outbound!$E$1:$Y$411,21,FALSE),VLOOKUP(A64,Outbound!$E$1:$Y$411,19,FALSE)),"")</f>
        <v>P140</v>
      </c>
      <c r="Y64" s="117" t="str">
        <f>IFERROR(CONCATENATE(VLOOKUP($A64,Outbound!$E$1:$BA$411,44,FALSE)," - ",VLOOKUP($A64,Outbound!$E$1:$BA$411,16,FALSE)," - "),"")</f>
        <v xml:space="preserve"> -  - </v>
      </c>
      <c r="Z64" s="246" t="str">
        <f>IFERROR(VLOOKUP(A64,Outbound!$E$2:$AK$412,33,FALSE),"")</f>
        <v xml:space="preserve"> LL 14  - 12 Bag</v>
      </c>
      <c r="AA64" s="246" t="s">
        <v>870</v>
      </c>
      <c r="AB64" s="344" t="str">
        <f>IFERROR(IF(VLOOKUP($A64,Outbound!$E$1:$BA$411,48,FALSE)&lt;&gt;0,VLOOKUP($A64,Outbound!$E$1:$BA$411,48,FALSE),""),"")</f>
        <v/>
      </c>
      <c r="AC64" s="314" t="str">
        <f>IFERROR(IF(VLOOKUP($A64,Outbound!$E$1:$BA$411,49,FALSE)&lt;&gt;0,VLOOKUP($A64,Outbound!$E$1:$BA$411,49,FALSE),""),"")</f>
        <v/>
      </c>
      <c r="AK64" s="9" t="s">
        <v>262</v>
      </c>
      <c r="AL64" s="9" t="s">
        <v>263</v>
      </c>
      <c r="AM64" s="9" t="s">
        <v>1543</v>
      </c>
      <c r="AN64" s="9" t="s">
        <v>0</v>
      </c>
      <c r="AO64" s="9" t="s">
        <v>264</v>
      </c>
      <c r="AP64" s="9" t="s">
        <v>66</v>
      </c>
      <c r="AQ64" s="424">
        <v>46244.270833333336</v>
      </c>
      <c r="AR64" s="9"/>
      <c r="AS64" s="9" t="s">
        <v>1351</v>
      </c>
      <c r="AT64" s="9"/>
      <c r="AU64" s="9"/>
      <c r="AV64" s="9" t="s">
        <v>264</v>
      </c>
      <c r="AX64" s="9" t="b">
        <v>1</v>
      </c>
      <c r="AY64" s="9" t="s">
        <v>57</v>
      </c>
      <c r="AZ64" s="9" t="b">
        <v>0</v>
      </c>
      <c r="BA64" s="9" t="b">
        <v>0</v>
      </c>
      <c r="BB64" s="9" t="b">
        <v>0</v>
      </c>
      <c r="BC64" s="9" t="b">
        <v>0</v>
      </c>
      <c r="BD64" s="9" t="s">
        <v>59</v>
      </c>
      <c r="BE64" s="9" t="b">
        <v>0</v>
      </c>
      <c r="BM64" s="189"/>
      <c r="BN64" s="189"/>
      <c r="BO64" s="189"/>
    </row>
    <row r="65" spans="1:67" ht="12" customHeight="1">
      <c r="A65" s="237" t="s">
        <v>1368</v>
      </c>
      <c r="B65" s="238" t="str">
        <f t="shared" si="12"/>
        <v>ERN92363</v>
      </c>
      <c r="C65" s="239" t="str">
        <f t="shared" si="13"/>
        <v>T Service Spa</v>
      </c>
      <c r="D65" s="239">
        <f t="shared" si="14"/>
        <v>0</v>
      </c>
      <c r="E65" s="240">
        <f t="shared" si="15"/>
        <v>46244.4375</v>
      </c>
      <c r="F65" s="241" t="s">
        <v>61</v>
      </c>
      <c r="G65" s="241"/>
      <c r="H65" s="308">
        <f>IF(VLOOKUP(A65,Outbound!$E$1:$Q$411,13,FALSE)=0,VLOOKUP(A65,AK:BL,13,FALSE),VLOOKUP(A65,Outbound!$E$1:$Q$411,13,FALSE))</f>
        <v>0</v>
      </c>
      <c r="I65" s="242" t="str">
        <f t="shared" si="6"/>
        <v>BCN</v>
      </c>
      <c r="J65" s="269" t="str">
        <f>IFERROR(IF(VLOOKUP($A65,Outbound!$E$1:$BA$411,17,FALSE)="","","Y"),"")</f>
        <v/>
      </c>
      <c r="K65" s="243"/>
      <c r="L65" s="243"/>
      <c r="M65" s="244" t="str">
        <f t="shared" si="7"/>
        <v>MAD 5</v>
      </c>
      <c r="N65" s="245"/>
      <c r="O65" s="245"/>
      <c r="P65" s="267" t="str">
        <f>IFERROR(IF(VLOOKUP(A65,Outbound!$E$1:$AY$411,46,FALSE)&lt;&gt;"","Y",""),"")</f>
        <v/>
      </c>
      <c r="Q65" s="267" t="str">
        <f>IFERROR(IF(VLOOKUP($A65,Outbound!$E$1:$BA$411,20,FALSE)="","","Y"),"")</f>
        <v/>
      </c>
      <c r="R65" s="267" t="str">
        <f>IFERROR(IF(VLOOKUP($A65,Outbound!$E$1:$BA$411,49,FALSE)="","","Y"),"")</f>
        <v/>
      </c>
      <c r="S65" s="309"/>
      <c r="T65" s="309"/>
      <c r="U65" s="246"/>
      <c r="V65" s="246"/>
      <c r="W65" s="117" t="str">
        <f>IFERROR(IF(VLOOKUP($A65,Outbound!$E$1:$BA$411,14,FALSE)="VARIATA","NEW TRAILER",""),"")</f>
        <v/>
      </c>
      <c r="X65" s="117">
        <f>IFERROR(IF(VLOOKUP(A65,Outbound!$E$1:$Y$411,21,FALSE)&lt;&gt;"",VLOOKUP(A65,Outbound!$E$1:$Y$411,21,FALSE),VLOOKUP(A65,Outbound!$E$1:$Y$411,19,FALSE)),"")</f>
        <v>0</v>
      </c>
      <c r="Y65" s="117" t="str">
        <f>IFERROR(CONCATENATE(VLOOKUP($A65,Outbound!$E$1:$BA$411,44,FALSE)," - ",VLOOKUP($A65,Outbound!$E$1:$BA$411,16,FALSE)," - "),"")</f>
        <v xml:space="preserve"> -  - </v>
      </c>
      <c r="Z65" s="246" t="str">
        <f>IFERROR(VLOOKUP(A65,Outbound!$E$2:$AK$412,33,FALSE),"")</f>
        <v/>
      </c>
      <c r="AA65" s="246"/>
      <c r="AB65" s="344" t="str">
        <f>IFERROR(IF(VLOOKUP($A65,Outbound!$E$1:$BA$411,48,FALSE)&lt;&gt;0,VLOOKUP($A65,Outbound!$E$1:$BA$411,48,FALSE),""),"")</f>
        <v/>
      </c>
      <c r="AC65" s="314" t="str">
        <f>IFERROR(IF(VLOOKUP($A65,Outbound!$E$1:$BA$411,49,FALSE)&lt;&gt;0,VLOOKUP($A65,Outbound!$E$1:$BA$411,49,FALSE),""),"")</f>
        <v/>
      </c>
      <c r="AK65" s="9" t="s">
        <v>266</v>
      </c>
      <c r="AL65" s="9" t="s">
        <v>267</v>
      </c>
      <c r="AM65" s="9" t="s">
        <v>1544</v>
      </c>
      <c r="AN65" s="9" t="s">
        <v>0</v>
      </c>
      <c r="AO65" s="9" t="s">
        <v>264</v>
      </c>
      <c r="AP65" s="9" t="s">
        <v>66</v>
      </c>
      <c r="AQ65" s="424">
        <v>46244.270833333336</v>
      </c>
      <c r="AR65" s="9"/>
      <c r="AS65" s="9" t="s">
        <v>1351</v>
      </c>
      <c r="AT65" s="9"/>
      <c r="AU65" s="9"/>
      <c r="AV65" s="9" t="s">
        <v>264</v>
      </c>
      <c r="AX65" s="9" t="b">
        <v>0</v>
      </c>
      <c r="AY65" s="9" t="s">
        <v>76</v>
      </c>
      <c r="AZ65" s="9" t="b">
        <v>0</v>
      </c>
      <c r="BA65" s="9" t="b">
        <v>0</v>
      </c>
      <c r="BB65" s="9" t="b">
        <v>0</v>
      </c>
      <c r="BC65" s="9" t="b">
        <v>0</v>
      </c>
      <c r="BD65" s="9" t="s">
        <v>59</v>
      </c>
      <c r="BE65" s="9" t="b">
        <v>0</v>
      </c>
      <c r="BM65" s="189"/>
      <c r="BN65" s="189"/>
      <c r="BO65" s="189"/>
    </row>
    <row r="66" spans="1:67" ht="12" customHeight="1">
      <c r="A66" s="237" t="s">
        <v>191</v>
      </c>
      <c r="B66" s="238" t="str">
        <f t="shared" si="12"/>
        <v>ERN04125</v>
      </c>
      <c r="C66" s="239" t="str">
        <f t="shared" si="13"/>
        <v>Mlk Trans&amp;logistic Srl</v>
      </c>
      <c r="D66" s="239" t="str">
        <f t="shared" si="14"/>
        <v>B367MLK</v>
      </c>
      <c r="E66" s="240">
        <f t="shared" si="15"/>
        <v>46244.1875</v>
      </c>
      <c r="F66" s="241" t="s">
        <v>61</v>
      </c>
      <c r="G66" s="241"/>
      <c r="H66" s="308" t="str">
        <f>IF(VLOOKUP(A66,Outbound!$E$1:$Q$411,13,FALSE)=0,VLOOKUP(A66,AK:BL,13,FALSE),VLOOKUP(A66,Outbound!$E$1:$Q$411,13,FALSE))</f>
        <v>ENBR26445</v>
      </c>
      <c r="I66" s="242" t="str">
        <f t="shared" si="6"/>
        <v>LUG</v>
      </c>
      <c r="J66" s="269" t="str">
        <f>IFERROR(IF(VLOOKUP($A66,Outbound!$E$1:$BA$411,17,FALSE)="","","Y"),"")</f>
        <v>Y</v>
      </c>
      <c r="K66" s="243"/>
      <c r="L66" s="243"/>
      <c r="M66" s="244" t="str">
        <f t="shared" si="7"/>
        <v>LUG</v>
      </c>
      <c r="N66" s="245" t="s">
        <v>870</v>
      </c>
      <c r="O66" s="245" t="s">
        <v>870</v>
      </c>
      <c r="P66" s="267" t="str">
        <f>IFERROR(IF(VLOOKUP(A66,Outbound!$E$1:$AY$411,46,FALSE)&lt;&gt;"","Y",""),"")</f>
        <v/>
      </c>
      <c r="Q66" s="267" t="str">
        <f>IFERROR(IF(VLOOKUP($A66,Outbound!$E$1:$BA$411,20,FALSE)="","","Y"),"")</f>
        <v>Y</v>
      </c>
      <c r="R66" s="267" t="str">
        <f>IFERROR(IF(VLOOKUP($A66,Outbound!$E$1:$BA$411,49,FALSE)="","","Y"),"")</f>
        <v/>
      </c>
      <c r="S66" s="309">
        <v>0.13680555555555557</v>
      </c>
      <c r="T66" s="309"/>
      <c r="U66" s="246"/>
      <c r="V66" s="246"/>
      <c r="W66" s="117" t="str">
        <f>IFERROR(IF(VLOOKUP($A66,Outbound!$E$1:$BA$411,14,FALSE)="VARIATA","NEW TRAILER",""),"")</f>
        <v/>
      </c>
      <c r="X66" s="117" t="str">
        <f>IFERROR(IF(VLOOKUP(A66,Outbound!$E$1:$Y$411,21,FALSE)&lt;&gt;"",VLOOKUP(A66,Outbound!$E$1:$Y$411,21,FALSE),VLOOKUP(A66,Outbound!$E$1:$Y$411,19,FALSE)),"")</f>
        <v>R704</v>
      </c>
      <c r="Y66" s="117" t="str">
        <f>IFERROR(CONCATENATE(VLOOKUP($A66,Outbound!$E$1:$BA$411,44,FALSE)," - ",VLOOKUP($A66,Outbound!$E$1:$BA$411,16,FALSE)," - "),"")</f>
        <v xml:space="preserve"> -  - </v>
      </c>
      <c r="Z66" s="246" t="str">
        <f>IFERROR(VLOOKUP(A66,Outbound!$E$2:$AK$412,33,FALSE),"")</f>
        <v xml:space="preserve"> LL 3,  FRT 3  - 1 Bag</v>
      </c>
      <c r="AA66" s="246" t="s">
        <v>870</v>
      </c>
      <c r="AB66" s="344" t="str">
        <f>IFERROR(IF(VLOOKUP($A66,Outbound!$E$1:$BA$411,48,FALSE)&lt;&gt;0,VLOOKUP($A66,Outbound!$E$1:$BA$411,48,FALSE),""),"")</f>
        <v/>
      </c>
      <c r="AC66" s="314" t="str">
        <f>IFERROR(IF(VLOOKUP($A66,Outbound!$E$1:$BA$411,49,FALSE)&lt;&gt;0,VLOOKUP($A66,Outbound!$E$1:$BA$411,49,FALSE),""),"")</f>
        <v/>
      </c>
      <c r="AK66" s="9" t="s">
        <v>1513</v>
      </c>
      <c r="AL66" s="9" t="s">
        <v>1545</v>
      </c>
      <c r="AM66" s="9" t="s">
        <v>1546</v>
      </c>
      <c r="AN66" s="9" t="s">
        <v>0</v>
      </c>
      <c r="AO66" s="9" t="s">
        <v>247</v>
      </c>
      <c r="AP66" s="9" t="s">
        <v>51</v>
      </c>
      <c r="AQ66" s="424">
        <v>46244.09375</v>
      </c>
      <c r="AR66" s="9"/>
      <c r="AS66" s="9" t="s">
        <v>279</v>
      </c>
      <c r="AT66" s="9" t="s">
        <v>280</v>
      </c>
      <c r="AU66" s="9" t="s">
        <v>281</v>
      </c>
      <c r="AV66" s="9" t="s">
        <v>247</v>
      </c>
      <c r="AX66" s="9" t="b">
        <v>0</v>
      </c>
      <c r="AY66" s="9" t="s">
        <v>57</v>
      </c>
      <c r="AZ66" s="9" t="b">
        <v>0</v>
      </c>
      <c r="BA66" s="9" t="b">
        <v>0</v>
      </c>
      <c r="BB66" s="9" t="b">
        <v>0</v>
      </c>
      <c r="BC66" s="9" t="b">
        <v>0</v>
      </c>
      <c r="BD66" s="9" t="s">
        <v>59</v>
      </c>
      <c r="BE66" s="9" t="b">
        <v>0</v>
      </c>
      <c r="BM66" s="189"/>
      <c r="BN66" s="189"/>
      <c r="BO66" s="189"/>
    </row>
    <row r="67" spans="1:67" ht="12" customHeight="1">
      <c r="A67" s="237" t="s">
        <v>283</v>
      </c>
      <c r="B67" s="238" t="str">
        <f t="shared" si="12"/>
        <v>ERN03542</v>
      </c>
      <c r="C67" s="239" t="str">
        <f t="shared" si="13"/>
        <v>Ravitex Srl</v>
      </c>
      <c r="D67" s="239" t="str">
        <f t="shared" si="14"/>
        <v>TM66RVB</v>
      </c>
      <c r="E67" s="240">
        <f t="shared" si="15"/>
        <v>46244.166666666664</v>
      </c>
      <c r="F67" s="241" t="s">
        <v>61</v>
      </c>
      <c r="G67" s="241"/>
      <c r="H67" s="308" t="str">
        <f>IF(VLOOKUP(A67,Outbound!$E$1:$Q$411,13,FALSE)=0,VLOOKUP(A67,AK:BL,13,FALSE),VLOOKUP(A67,Outbound!$E$1:$Q$411,13,FALSE))</f>
        <v>ENBR26444</v>
      </c>
      <c r="I67" s="242" t="str">
        <f t="shared" si="6"/>
        <v>ZRH</v>
      </c>
      <c r="J67" s="269" t="str">
        <f>IFERROR(IF(VLOOKUP($A67,Outbound!$E$1:$BA$411,17,FALSE)="","","Y"),"")</f>
        <v/>
      </c>
      <c r="K67" s="243"/>
      <c r="L67" s="243"/>
      <c r="M67" s="244" t="str">
        <f t="shared" si="7"/>
        <v>ZRH 1</v>
      </c>
      <c r="N67" s="245" t="s">
        <v>870</v>
      </c>
      <c r="O67" s="245" t="s">
        <v>870</v>
      </c>
      <c r="P67" s="267" t="str">
        <f>IFERROR(IF(VLOOKUP(A67,Outbound!$E$1:$AY$411,46,FALSE)&lt;&gt;"","Y",""),"")</f>
        <v/>
      </c>
      <c r="Q67" s="267" t="str">
        <f>IFERROR(IF(VLOOKUP($A67,Outbound!$E$1:$BA$411,20,FALSE)="","","Y"),"")</f>
        <v>Y</v>
      </c>
      <c r="R67" s="267" t="str">
        <f>IFERROR(IF(VLOOKUP($A67,Outbound!$E$1:$BA$411,49,FALSE)="","","Y"),"")</f>
        <v>Y</v>
      </c>
      <c r="S67" s="309">
        <v>9.8611111111111108E-2</v>
      </c>
      <c r="T67" s="309"/>
      <c r="U67" s="246"/>
      <c r="V67" s="246"/>
      <c r="W67" s="117" t="str">
        <f>IFERROR(IF(VLOOKUP($A67,Outbound!$E$1:$BA$411,14,FALSE)="VARIATA","NEW TRAILER",""),"")</f>
        <v/>
      </c>
      <c r="X67" s="117" t="str">
        <f>IFERROR(IF(VLOOKUP(A67,Outbound!$E$1:$Y$411,21,FALSE)&lt;&gt;"",VLOOKUP(A67,Outbound!$E$1:$Y$411,21,FALSE),VLOOKUP(A67,Outbound!$E$1:$Y$411,19,FALSE)),"")</f>
        <v>R705</v>
      </c>
      <c r="Y67" s="117" t="str">
        <f>IFERROR(CONCATENATE(VLOOKUP($A67,Outbound!$E$1:$BA$411,44,FALSE)," - ",VLOOKUP($A67,Outbound!$E$1:$BA$411,16,FALSE)," - "),"")</f>
        <v xml:space="preserve"> -  - </v>
      </c>
      <c r="Z67" s="246" t="str">
        <f>IFERROR(VLOOKUP(A67,Outbound!$E$2:$AK$412,33,FALSE),"")</f>
        <v xml:space="preserve"> FRT 14 </v>
      </c>
      <c r="AA67" s="246" t="s">
        <v>870</v>
      </c>
      <c r="AB67" s="344" t="str">
        <f>IFERROR(IF(VLOOKUP($A67,Outbound!$E$1:$BA$411,48,FALSE)&lt;&gt;0,VLOOKUP($A67,Outbound!$E$1:$BA$411,48,FALSE),""),"")</f>
        <v/>
      </c>
      <c r="AC67" s="314">
        <f>IFERROR(IF(VLOOKUP($A67,Outbound!$E$1:$BA$411,49,FALSE)&lt;&gt;0,VLOOKUP($A67,Outbound!$E$1:$BA$411,49,FALSE),""),"")</f>
        <v>0.1076388888888889</v>
      </c>
      <c r="AK67" s="9" t="s">
        <v>1516</v>
      </c>
      <c r="AL67" s="9" t="s">
        <v>1547</v>
      </c>
      <c r="AM67" s="9" t="s">
        <v>1548</v>
      </c>
      <c r="AN67" s="9" t="s">
        <v>0</v>
      </c>
      <c r="AO67" s="9" t="s">
        <v>247</v>
      </c>
      <c r="AP67" s="9" t="s">
        <v>66</v>
      </c>
      <c r="AQ67" s="424">
        <v>46244.09375</v>
      </c>
      <c r="AR67" s="9"/>
      <c r="AS67" s="9" t="s">
        <v>52</v>
      </c>
      <c r="AT67" s="9"/>
      <c r="AU67" s="9"/>
      <c r="AV67" s="9" t="s">
        <v>247</v>
      </c>
      <c r="AX67" s="9" t="b">
        <v>1</v>
      </c>
      <c r="AY67" s="9" t="s">
        <v>57</v>
      </c>
      <c r="AZ67" s="9" t="b">
        <v>0</v>
      </c>
      <c r="BA67" s="9" t="b">
        <v>0</v>
      </c>
      <c r="BB67" s="9" t="b">
        <v>0</v>
      </c>
      <c r="BC67" s="9" t="b">
        <v>0</v>
      </c>
      <c r="BD67" s="9" t="s">
        <v>59</v>
      </c>
      <c r="BE67" s="9" t="b">
        <v>0</v>
      </c>
      <c r="BM67" s="189"/>
      <c r="BN67" s="189"/>
      <c r="BO67" s="189"/>
    </row>
    <row r="68" spans="1:67" ht="12" customHeight="1">
      <c r="A68" s="237" t="s">
        <v>289</v>
      </c>
      <c r="B68" s="238" t="str">
        <f t="shared" si="12"/>
        <v>ERN07482</v>
      </c>
      <c r="C68" s="239" t="str">
        <f t="shared" si="13"/>
        <v>Ravitex Srl</v>
      </c>
      <c r="D68" s="239" t="str">
        <f t="shared" si="14"/>
        <v>TM62RAV</v>
      </c>
      <c r="E68" s="240">
        <f t="shared" si="15"/>
        <v>46244.166666666664</v>
      </c>
      <c r="F68" s="241" t="s">
        <v>61</v>
      </c>
      <c r="G68" s="241"/>
      <c r="H68" s="308" t="str">
        <f>IF(VLOOKUP(A68,Outbound!$E$1:$Q$411,13,FALSE)=0,VLOOKUP(A68,AK:BL,13,FALSE),VLOOKUP(A68,Outbound!$E$1:$Q$411,13,FALSE))</f>
        <v>ENBR26514</v>
      </c>
      <c r="I68" s="242" t="str">
        <f t="shared" si="6"/>
        <v>ZRH</v>
      </c>
      <c r="J68" s="269" t="str">
        <f>IFERROR(IF(VLOOKUP($A68,Outbound!$E$1:$BA$411,17,FALSE)="","","Y"),"")</f>
        <v>Y</v>
      </c>
      <c r="K68" s="243"/>
      <c r="L68" s="243"/>
      <c r="M68" s="244" t="str">
        <f t="shared" si="7"/>
        <v>ZRH 2</v>
      </c>
      <c r="N68" s="245" t="s">
        <v>870</v>
      </c>
      <c r="O68" s="245" t="s">
        <v>870</v>
      </c>
      <c r="P68" s="267" t="str">
        <f>IFERROR(IF(VLOOKUP(A68,Outbound!$E$1:$AY$411,46,FALSE)&lt;&gt;"","Y",""),"")</f>
        <v/>
      </c>
      <c r="Q68" s="267" t="str">
        <f>IFERROR(IF(VLOOKUP($A68,Outbound!$E$1:$BA$411,20,FALSE)="","","Y"),"")</f>
        <v>Y</v>
      </c>
      <c r="R68" s="267" t="str">
        <f>IFERROR(IF(VLOOKUP($A68,Outbound!$E$1:$BA$411,49,FALSE)="","","Y"),"")</f>
        <v/>
      </c>
      <c r="S68" s="309"/>
      <c r="T68" s="309"/>
      <c r="U68" s="246"/>
      <c r="V68" s="246"/>
      <c r="W68" s="117" t="str">
        <f>IFERROR(IF(VLOOKUP($A68,Outbound!$E$1:$BA$411,14,FALSE)="VARIATA","NEW TRAILER",""),"")</f>
        <v/>
      </c>
      <c r="X68" s="117" t="str">
        <f>IFERROR(IF(VLOOKUP(A68,Outbound!$E$1:$Y$411,21,FALSE)&lt;&gt;"",VLOOKUP(A68,Outbound!$E$1:$Y$411,21,FALSE),VLOOKUP(A68,Outbound!$E$1:$Y$411,19,FALSE)),"")</f>
        <v>P601</v>
      </c>
      <c r="Y68" s="117" t="str">
        <f>IFERROR(CONCATENATE(VLOOKUP($A68,Outbound!$E$1:$BA$411,44,FALSE)," - ",VLOOKUP($A68,Outbound!$E$1:$BA$411,16,FALSE)," - "),"")</f>
        <v xml:space="preserve"> -  - </v>
      </c>
      <c r="Z68" s="246" t="str">
        <f>IFERROR(VLOOKUP(A68,Outbound!$E$2:$AK$412,33,FALSE),"")</f>
        <v xml:space="preserve"> LL 8.5  - 11 Bag</v>
      </c>
      <c r="AA68" s="246" t="s">
        <v>870</v>
      </c>
      <c r="AB68" s="344" t="str">
        <f>IFERROR(IF(VLOOKUP($A68,Outbound!$E$1:$BA$411,48,FALSE)&lt;&gt;0,VLOOKUP($A68,Outbound!$E$1:$BA$411,48,FALSE),""),"")</f>
        <v/>
      </c>
      <c r="AC68" s="314" t="str">
        <f>IFERROR(IF(VLOOKUP($A68,Outbound!$E$1:$BA$411,49,FALSE)&lt;&gt;0,VLOOKUP($A68,Outbound!$E$1:$BA$411,49,FALSE),""),"")</f>
        <v/>
      </c>
      <c r="AK68" s="9" t="s">
        <v>1455</v>
      </c>
      <c r="AL68" s="9" t="s">
        <v>1549</v>
      </c>
      <c r="AM68" s="9" t="s">
        <v>1496</v>
      </c>
      <c r="AN68" s="9" t="s">
        <v>0</v>
      </c>
      <c r="AO68" s="9" t="s">
        <v>1550</v>
      </c>
      <c r="AP68" s="9" t="s">
        <v>66</v>
      </c>
      <c r="AQ68" s="424">
        <v>46244.4375</v>
      </c>
      <c r="AR68" s="9"/>
      <c r="AS68" s="9" t="s">
        <v>128</v>
      </c>
      <c r="AT68" s="9"/>
      <c r="AU68" s="9"/>
      <c r="AV68" s="9" t="s">
        <v>1550</v>
      </c>
      <c r="AX68" s="9" t="b">
        <v>0</v>
      </c>
      <c r="AY68" s="9" t="s">
        <v>1551</v>
      </c>
      <c r="AZ68" s="9" t="b">
        <v>0</v>
      </c>
      <c r="BA68" s="9" t="b">
        <v>0</v>
      </c>
      <c r="BB68" s="9" t="b">
        <v>0</v>
      </c>
      <c r="BC68" s="9" t="b">
        <v>0</v>
      </c>
      <c r="BD68" s="9" t="s">
        <v>59</v>
      </c>
      <c r="BE68" s="9" t="b">
        <v>0</v>
      </c>
      <c r="BM68" s="189"/>
      <c r="BN68" s="189"/>
      <c r="BO68" s="189"/>
    </row>
    <row r="69" spans="1:67" ht="12" customHeight="1">
      <c r="A69" s="237" t="s">
        <v>70</v>
      </c>
      <c r="B69" s="238" t="str">
        <f t="shared" si="12"/>
        <v>ERN20363</v>
      </c>
      <c r="C69" s="239" t="str">
        <f t="shared" si="13"/>
        <v>Eurofast International Transports Srl</v>
      </c>
      <c r="D69" s="239">
        <f t="shared" si="14"/>
        <v>0</v>
      </c>
      <c r="E69" s="240">
        <f t="shared" si="15"/>
        <v>46244.263888888891</v>
      </c>
      <c r="F69" s="241" t="s">
        <v>61</v>
      </c>
      <c r="G69" s="241"/>
      <c r="H69" s="308" t="str">
        <f>IF(VLOOKUP(A69,Outbound!$E$1:$Q$411,13,FALSE)=0,VLOOKUP(A69,AK:BL,13,FALSE),VLOOKUP(A69,Outbound!$E$1:$Q$411,13,FALSE))</f>
        <v>ENBR21018</v>
      </c>
      <c r="I69" s="242" t="str">
        <f t="shared" si="6"/>
        <v>ATH</v>
      </c>
      <c r="J69" s="269" t="str">
        <f>IFERROR(IF(VLOOKUP($A69,Outbound!$E$1:$BA$411,17,FALSE)="","","Y"),"")</f>
        <v/>
      </c>
      <c r="K69" s="243"/>
      <c r="L69" s="243"/>
      <c r="M69" s="244" t="str">
        <f t="shared" si="7"/>
        <v>ATH 1</v>
      </c>
      <c r="N69" s="245" t="s">
        <v>870</v>
      </c>
      <c r="O69" s="245" t="s">
        <v>870</v>
      </c>
      <c r="P69" s="267" t="str">
        <f>IFERROR(IF(VLOOKUP(A69,Outbound!$E$1:$AY$411,46,FALSE)&lt;&gt;"","Y",""),"")</f>
        <v/>
      </c>
      <c r="Q69" s="267" t="str">
        <f>IFERROR(IF(VLOOKUP($A69,Outbound!$E$1:$BA$411,20,FALSE)="","","Y"),"")</f>
        <v>Y</v>
      </c>
      <c r="R69" s="267" t="str">
        <f>IFERROR(IF(VLOOKUP($A69,Outbound!$E$1:$BA$411,49,FALSE)="","","Y"),"")</f>
        <v/>
      </c>
      <c r="S69" s="309"/>
      <c r="T69" s="309"/>
      <c r="U69" s="246"/>
      <c r="V69" s="246"/>
      <c r="W69" s="117" t="str">
        <f>IFERROR(IF(VLOOKUP($A69,Outbound!$E$1:$BA$411,14,FALSE)="VARIATA","NEW TRAILER",""),"")</f>
        <v/>
      </c>
      <c r="X69" s="117" t="str">
        <f>IFERROR(IF(VLOOKUP(A69,Outbound!$E$1:$Y$411,21,FALSE)&lt;&gt;"",VLOOKUP(A69,Outbound!$E$1:$Y$411,21,FALSE),VLOOKUP(A69,Outbound!$E$1:$Y$411,19,FALSE)),"")</f>
        <v>P602</v>
      </c>
      <c r="Y69" s="117" t="str">
        <f>IFERROR(CONCATENATE(VLOOKUP($A69,Outbound!$E$1:$BA$411,44,FALSE)," - ",VLOOKUP($A69,Outbound!$E$1:$BA$411,16,FALSE)," - "),"")</f>
        <v xml:space="preserve"> -  - </v>
      </c>
      <c r="Z69" s="246" t="str">
        <f>IFERROR(VLOOKUP(A69,Outbound!$E$2:$AK$412,33,FALSE),"")</f>
        <v xml:space="preserve"> FRT 14, DD 11 </v>
      </c>
      <c r="AA69" s="246" t="s">
        <v>870</v>
      </c>
      <c r="AB69" s="344" t="str">
        <f>IFERROR(IF(VLOOKUP($A69,Outbound!$E$1:$BA$411,48,FALSE)&lt;&gt;0,VLOOKUP($A69,Outbound!$E$1:$BA$411,48,FALSE),""),"")</f>
        <v/>
      </c>
      <c r="AC69" s="314" t="str">
        <f>IFERROR(IF(VLOOKUP($A69,Outbound!$E$1:$BA$411,49,FALSE)&lt;&gt;0,VLOOKUP($A69,Outbound!$E$1:$BA$411,49,FALSE),""),"")</f>
        <v/>
      </c>
      <c r="AK69" s="9" t="s">
        <v>1458</v>
      </c>
      <c r="AL69" s="9" t="s">
        <v>1552</v>
      </c>
      <c r="AM69" s="9" t="s">
        <v>1553</v>
      </c>
      <c r="AN69" s="9" t="s">
        <v>0</v>
      </c>
      <c r="AO69" s="9" t="s">
        <v>1550</v>
      </c>
      <c r="AP69" s="9" t="s">
        <v>66</v>
      </c>
      <c r="AQ69" s="424">
        <v>46244.4375</v>
      </c>
      <c r="AR69" s="9"/>
      <c r="AS69" s="9" t="s">
        <v>171</v>
      </c>
      <c r="AT69" s="9"/>
      <c r="AU69" s="9"/>
      <c r="AV69" s="9" t="s">
        <v>1550</v>
      </c>
      <c r="AX69" s="9" t="b">
        <v>0</v>
      </c>
      <c r="AY69" s="9" t="s">
        <v>57</v>
      </c>
      <c r="AZ69" s="9" t="b">
        <v>0</v>
      </c>
      <c r="BA69" s="9" t="b">
        <v>0</v>
      </c>
      <c r="BB69" s="9" t="b">
        <v>0</v>
      </c>
      <c r="BC69" s="9" t="b">
        <v>0</v>
      </c>
      <c r="BD69" s="9" t="s">
        <v>59</v>
      </c>
      <c r="BE69" s="9" t="b">
        <v>0</v>
      </c>
      <c r="BM69" s="189"/>
      <c r="BN69" s="189"/>
      <c r="BO69" s="189"/>
    </row>
    <row r="70" spans="1:67" ht="12" customHeight="1">
      <c r="A70" s="237" t="s">
        <v>63</v>
      </c>
      <c r="B70" s="238" t="str">
        <f t="shared" si="12"/>
        <v>ERN02218</v>
      </c>
      <c r="C70" s="239" t="str">
        <f t="shared" si="13"/>
        <v>Eurofast International Transports Srl</v>
      </c>
      <c r="D70" s="239">
        <f t="shared" si="14"/>
        <v>0</v>
      </c>
      <c r="E70" s="240">
        <f t="shared" si="15"/>
        <v>46244.263888888891</v>
      </c>
      <c r="F70" s="241"/>
      <c r="G70" s="241" t="s">
        <v>61</v>
      </c>
      <c r="H70" s="308" t="str">
        <f>IF(VLOOKUP(A70,Outbound!$E$1:$Q$411,13,FALSE)=0,VLOOKUP(A70,AK:BL,13,FALSE),VLOOKUP(A70,Outbound!$E$1:$Q$411,13,FALSE))</f>
        <v>p56755</v>
      </c>
      <c r="I70" s="242" t="str">
        <f t="shared" ref="I70:I120" si="16">VLOOKUP(A70,AK:BL,12,FALSE)</f>
        <v>ATH</v>
      </c>
      <c r="J70" s="269" t="str">
        <f>IFERROR(IF(VLOOKUP($A70,Outbound!$E$1:$BA$411,17,FALSE)="","","Y"),"")</f>
        <v>Y</v>
      </c>
      <c r="K70" s="243"/>
      <c r="L70" s="243"/>
      <c r="M70" s="244" t="str">
        <f t="shared" ref="M70:M120" si="17">A70</f>
        <v>ATH 2</v>
      </c>
      <c r="N70" s="245" t="s">
        <v>870</v>
      </c>
      <c r="O70" s="245" t="s">
        <v>870</v>
      </c>
      <c r="P70" s="267" t="str">
        <f>IFERROR(IF(VLOOKUP(A70,Outbound!$E$1:$AY$411,46,FALSE)&lt;&gt;"","Y",""),"")</f>
        <v/>
      </c>
      <c r="Q70" s="267" t="str">
        <f>IFERROR(IF(VLOOKUP($A70,Outbound!$E$1:$BA$411,20,FALSE)="","","Y"),"")</f>
        <v>Y</v>
      </c>
      <c r="R70" s="267" t="str">
        <f>IFERROR(IF(VLOOKUP($A70,Outbound!$E$1:$BA$411,49,FALSE)="","","Y"),"")</f>
        <v/>
      </c>
      <c r="S70" s="309"/>
      <c r="T70" s="309"/>
      <c r="U70" s="246"/>
      <c r="V70" s="246"/>
      <c r="W70" s="117" t="str">
        <f>IFERROR(IF(VLOOKUP($A70,Outbound!$E$1:$BA$411,14,FALSE)="VARIATA","NEW TRAILER",""),"")</f>
        <v/>
      </c>
      <c r="X70" s="117" t="str">
        <f>IFERROR(IF(VLOOKUP(A70,Outbound!$E$1:$Y$411,21,FALSE)&lt;&gt;"",VLOOKUP(A70,Outbound!$E$1:$Y$411,21,FALSE),VLOOKUP(A70,Outbound!$E$1:$Y$411,19,FALSE)),"")</f>
        <v>P128</v>
      </c>
      <c r="Y70" s="117" t="str">
        <f>IFERROR(CONCATENATE(VLOOKUP($A70,Outbound!$E$1:$BA$411,44,FALSE)," - ",VLOOKUP($A70,Outbound!$E$1:$BA$411,16,FALSE)," - "),"")</f>
        <v xml:space="preserve"> -  - </v>
      </c>
      <c r="Z70" s="246" t="str">
        <f>IFERROR(VLOOKUP(A70,Outbound!$E$2:$AK$412,33,FALSE),"")</f>
        <v xml:space="preserve"> LL 14  - 9 Bag</v>
      </c>
      <c r="AA70" s="246" t="s">
        <v>870</v>
      </c>
      <c r="AB70" s="344" t="str">
        <f>IFERROR(IF(VLOOKUP($A70,Outbound!$E$1:$BA$411,48,FALSE)&lt;&gt;0,VLOOKUP($A70,Outbound!$E$1:$BA$411,48,FALSE),""),"")</f>
        <v/>
      </c>
      <c r="AC70" s="314" t="str">
        <f>IFERROR(IF(VLOOKUP($A70,Outbound!$E$1:$BA$411,49,FALSE)&lt;&gt;0,VLOOKUP($A70,Outbound!$E$1:$BA$411,49,FALSE),""),"")</f>
        <v/>
      </c>
      <c r="AK70" s="9" t="s">
        <v>1452</v>
      </c>
      <c r="AL70" s="9" t="s">
        <v>235</v>
      </c>
      <c r="AM70" s="9" t="s">
        <v>1554</v>
      </c>
      <c r="AN70" s="9" t="s">
        <v>0</v>
      </c>
      <c r="AO70" s="9" t="s">
        <v>1550</v>
      </c>
      <c r="AP70" s="9" t="s">
        <v>66</v>
      </c>
      <c r="AQ70" s="424">
        <v>46244.4375</v>
      </c>
      <c r="AR70" s="9"/>
      <c r="AS70" s="9" t="s">
        <v>135</v>
      </c>
      <c r="AT70" s="9"/>
      <c r="AU70" s="9"/>
      <c r="AV70" s="9" t="s">
        <v>1550</v>
      </c>
      <c r="AX70" s="9" t="b">
        <v>0</v>
      </c>
      <c r="AY70" s="9" t="s">
        <v>76</v>
      </c>
      <c r="AZ70" s="9" t="b">
        <v>0</v>
      </c>
      <c r="BA70" s="9" t="b">
        <v>0</v>
      </c>
      <c r="BB70" s="9" t="b">
        <v>0</v>
      </c>
      <c r="BC70" s="9" t="b">
        <v>0</v>
      </c>
      <c r="BD70" s="9" t="s">
        <v>59</v>
      </c>
      <c r="BE70" s="9" t="b">
        <v>0</v>
      </c>
      <c r="BM70" s="189"/>
      <c r="BN70" s="189"/>
      <c r="BO70" s="189"/>
    </row>
    <row r="71" spans="1:67" ht="12" customHeight="1">
      <c r="A71" s="237" t="s">
        <v>74</v>
      </c>
      <c r="B71" s="238" t="str">
        <f t="shared" si="12"/>
        <v>ERN19361</v>
      </c>
      <c r="C71" s="239" t="str">
        <f t="shared" si="13"/>
        <v>Eurofast International Transports Srl</v>
      </c>
      <c r="D71" s="239">
        <f t="shared" si="14"/>
        <v>0</v>
      </c>
      <c r="E71" s="240">
        <f t="shared" si="15"/>
        <v>46244.263888888891</v>
      </c>
      <c r="F71" s="241"/>
      <c r="G71" s="241" t="s">
        <v>61</v>
      </c>
      <c r="H71" s="308" t="str">
        <f>IF(VLOOKUP(A71,Outbound!$E$1:$Q$411,13,FALSE)=0,VLOOKUP(A71,AK:BL,13,FALSE),VLOOKUP(A71,Outbound!$E$1:$Q$411,13,FALSE))</f>
        <v>P58812</v>
      </c>
      <c r="I71" s="242" t="str">
        <f t="shared" si="16"/>
        <v>ATH</v>
      </c>
      <c r="J71" s="269" t="str">
        <f>IFERROR(IF(VLOOKUP($A71,Outbound!$E$1:$BA$411,17,FALSE)="","","Y"),"")</f>
        <v>Y</v>
      </c>
      <c r="K71" s="243"/>
      <c r="L71" s="243"/>
      <c r="M71" s="244" t="str">
        <f t="shared" si="17"/>
        <v>ATH 3</v>
      </c>
      <c r="N71" s="245" t="s">
        <v>870</v>
      </c>
      <c r="O71" s="245" t="s">
        <v>870</v>
      </c>
      <c r="P71" s="267" t="str">
        <f>IFERROR(IF(VLOOKUP(A71,Outbound!$E$1:$AY$411,46,FALSE)&lt;&gt;"","Y",""),"")</f>
        <v/>
      </c>
      <c r="Q71" s="267" t="str">
        <f>IFERROR(IF(VLOOKUP($A71,Outbound!$E$1:$BA$411,20,FALSE)="","","Y"),"")</f>
        <v/>
      </c>
      <c r="R71" s="267" t="str">
        <f>IFERROR(IF(VLOOKUP($A71,Outbound!$E$1:$BA$411,49,FALSE)="","","Y"),"")</f>
        <v/>
      </c>
      <c r="S71" s="309"/>
      <c r="T71" s="309"/>
      <c r="U71" s="246"/>
      <c r="V71" s="246"/>
      <c r="W71" s="117" t="str">
        <f>IFERROR(IF(VLOOKUP($A71,Outbound!$E$1:$BA$411,14,FALSE)="VARIATA","NEW TRAILER",""),"")</f>
        <v/>
      </c>
      <c r="X71" s="117">
        <f>IFERROR(IF(VLOOKUP(A71,Outbound!$E$1:$Y$411,21,FALSE)&lt;&gt;"",VLOOKUP(A71,Outbound!$E$1:$Y$411,21,FALSE),VLOOKUP(A71,Outbound!$E$1:$Y$411,19,FALSE)),"")</f>
        <v>346</v>
      </c>
      <c r="Y71" s="117" t="str">
        <f>IFERROR(CONCATENATE(VLOOKUP($A71,Outbound!$E$1:$BA$411,44,FALSE)," - ",VLOOKUP($A71,Outbound!$E$1:$BA$411,16,FALSE)," - "),"")</f>
        <v xml:space="preserve"> -  - </v>
      </c>
      <c r="Z71" s="246" t="str">
        <f>IFERROR(VLOOKUP(A71,Outbound!$E$2:$AK$412,33,FALSE),"")</f>
        <v/>
      </c>
      <c r="AA71" s="246"/>
      <c r="AB71" s="344" t="str">
        <f>IFERROR(IF(VLOOKUP($A71,Outbound!$E$1:$BA$411,48,FALSE)&lt;&gt;0,VLOOKUP($A71,Outbound!$E$1:$BA$411,48,FALSE),""),"")</f>
        <v/>
      </c>
      <c r="AC71" s="314" t="str">
        <f>IFERROR(IF(VLOOKUP($A71,Outbound!$E$1:$BA$411,49,FALSE)&lt;&gt;0,VLOOKUP($A71,Outbound!$E$1:$BA$411,49,FALSE),""),"")</f>
        <v/>
      </c>
      <c r="AK71" s="9" t="s">
        <v>1447</v>
      </c>
      <c r="AL71" s="9" t="s">
        <v>1555</v>
      </c>
      <c r="AM71" s="9" t="s">
        <v>1556</v>
      </c>
      <c r="AN71" s="9" t="s">
        <v>0</v>
      </c>
      <c r="AO71" s="9" t="s">
        <v>1550</v>
      </c>
      <c r="AP71" s="9" t="s">
        <v>66</v>
      </c>
      <c r="AQ71" s="424">
        <v>46244.104166666664</v>
      </c>
      <c r="AR71" s="9"/>
      <c r="AS71" s="9" t="s">
        <v>1484</v>
      </c>
      <c r="AT71" s="9"/>
      <c r="AU71" s="9"/>
      <c r="AV71" s="9" t="s">
        <v>1550</v>
      </c>
      <c r="AX71" s="9" t="b">
        <v>0</v>
      </c>
      <c r="AY71" s="9" t="s">
        <v>57</v>
      </c>
      <c r="AZ71" s="9" t="b">
        <v>0</v>
      </c>
      <c r="BA71" s="9" t="b">
        <v>0</v>
      </c>
      <c r="BB71" s="9" t="b">
        <v>0</v>
      </c>
      <c r="BC71" s="9" t="b">
        <v>0</v>
      </c>
      <c r="BD71" s="9" t="s">
        <v>59</v>
      </c>
      <c r="BE71" s="9" t="b">
        <v>0</v>
      </c>
      <c r="BM71" s="189"/>
      <c r="BN71" s="189"/>
      <c r="BO71" s="189"/>
    </row>
    <row r="72" spans="1:67" ht="12" customHeight="1">
      <c r="A72" s="237" t="s">
        <v>1361</v>
      </c>
      <c r="B72" s="238" t="str">
        <f t="shared" si="12"/>
        <v>ERN20137</v>
      </c>
      <c r="C72" s="239" t="str">
        <f t="shared" si="13"/>
        <v>Eurofast International Transports Srl</v>
      </c>
      <c r="D72" s="239">
        <f t="shared" si="14"/>
        <v>0</v>
      </c>
      <c r="E72" s="240">
        <f t="shared" si="15"/>
        <v>46244.263888888891</v>
      </c>
      <c r="F72" s="241"/>
      <c r="G72" s="241" t="s">
        <v>61</v>
      </c>
      <c r="H72" s="308" t="str">
        <f>IF(VLOOKUP(A72,Outbound!$E$1:$Q$411,13,FALSE)=0,VLOOKUP(A72,AK:BL,13,FALSE),VLOOKUP(A72,Outbound!$E$1:$Q$411,13,FALSE))</f>
        <v>P56762</v>
      </c>
      <c r="I72" s="242" t="str">
        <f t="shared" si="16"/>
        <v>ATH</v>
      </c>
      <c r="J72" s="269" t="str">
        <f>IFERROR(IF(VLOOKUP($A72,Outbound!$E$1:$BA$411,17,FALSE)="","","Y"),"")</f>
        <v>Y</v>
      </c>
      <c r="K72" s="243"/>
      <c r="L72" s="243"/>
      <c r="M72" s="244" t="str">
        <f t="shared" si="17"/>
        <v>ATH 4</v>
      </c>
      <c r="N72" s="245" t="s">
        <v>421</v>
      </c>
      <c r="O72" s="245" t="s">
        <v>421</v>
      </c>
      <c r="P72" s="267" t="str">
        <f>IFERROR(IF(VLOOKUP(A72,Outbound!$E$1:$AY$411,46,FALSE)&lt;&gt;"","Y",""),"")</f>
        <v/>
      </c>
      <c r="Q72" s="267" t="str">
        <f>IFERROR(IF(VLOOKUP($A72,Outbound!$E$1:$BA$411,20,FALSE)="","","Y"),"")</f>
        <v/>
      </c>
      <c r="R72" s="267" t="str">
        <f>IFERROR(IF(VLOOKUP($A72,Outbound!$E$1:$BA$411,49,FALSE)="","","Y"),"")</f>
        <v/>
      </c>
      <c r="S72" s="309"/>
      <c r="T72" s="309"/>
      <c r="U72" s="246"/>
      <c r="V72" s="246"/>
      <c r="W72" s="117" t="str">
        <f>IFERROR(IF(VLOOKUP($A72,Outbound!$E$1:$BA$411,14,FALSE)="VARIATA","NEW TRAILER",""),"")</f>
        <v/>
      </c>
      <c r="X72" s="117">
        <f>IFERROR(IF(VLOOKUP(A72,Outbound!$E$1:$Y$411,21,FALSE)&lt;&gt;"",VLOOKUP(A72,Outbound!$E$1:$Y$411,21,FALSE),VLOOKUP(A72,Outbound!$E$1:$Y$411,19,FALSE)),"")</f>
        <v>317</v>
      </c>
      <c r="Y72" s="117" t="str">
        <f>IFERROR(CONCATENATE(VLOOKUP($A72,Outbound!$E$1:$BA$411,44,FALSE)," - ",VLOOKUP($A72,Outbound!$E$1:$BA$411,16,FALSE)," - "),"")</f>
        <v xml:space="preserve"> -  - </v>
      </c>
      <c r="Z72" s="246" t="str">
        <f>IFERROR(VLOOKUP(A72,Outbound!$E$2:$AK$412,33,FALSE),"")</f>
        <v/>
      </c>
      <c r="AA72" s="246"/>
      <c r="AB72" s="344" t="str">
        <f>IFERROR(IF(VLOOKUP($A72,Outbound!$E$1:$BA$411,48,FALSE)&lt;&gt;0,VLOOKUP($A72,Outbound!$E$1:$BA$411,48,FALSE),""),"")</f>
        <v/>
      </c>
      <c r="AC72" s="314" t="str">
        <f>IFERROR(IF(VLOOKUP($A72,Outbound!$E$1:$BA$411,49,FALSE)&lt;&gt;0,VLOOKUP($A72,Outbound!$E$1:$BA$411,49,FALSE),""),"")</f>
        <v/>
      </c>
      <c r="AK72" s="9" t="s">
        <v>1445</v>
      </c>
      <c r="AL72" s="9" t="s">
        <v>1557</v>
      </c>
      <c r="AM72" s="9" t="s">
        <v>1558</v>
      </c>
      <c r="AN72" s="9" t="s">
        <v>0</v>
      </c>
      <c r="AO72" s="9" t="s">
        <v>1550</v>
      </c>
      <c r="AP72" s="9" t="s">
        <v>66</v>
      </c>
      <c r="AQ72" s="424">
        <v>46244.083333333336</v>
      </c>
      <c r="AR72" s="9"/>
      <c r="AS72" s="9" t="s">
        <v>171</v>
      </c>
      <c r="AT72" s="9"/>
      <c r="AU72" s="9"/>
      <c r="AV72" s="9" t="s">
        <v>1550</v>
      </c>
      <c r="AX72" s="9" t="b">
        <v>0</v>
      </c>
      <c r="AY72" s="9" t="s">
        <v>57</v>
      </c>
      <c r="AZ72" s="9" t="b">
        <v>0</v>
      </c>
      <c r="BA72" s="9" t="b">
        <v>0</v>
      </c>
      <c r="BB72" s="9" t="b">
        <v>0</v>
      </c>
      <c r="BC72" s="9" t="b">
        <v>0</v>
      </c>
      <c r="BD72" s="9" t="s">
        <v>59</v>
      </c>
      <c r="BE72" s="9" t="b">
        <v>0</v>
      </c>
      <c r="BM72" s="189"/>
      <c r="BN72" s="189"/>
      <c r="BO72" s="189"/>
    </row>
    <row r="73" spans="1:67" ht="12" customHeight="1">
      <c r="A73" s="237" t="s">
        <v>1348</v>
      </c>
      <c r="B73" s="238" t="str">
        <f t="shared" si="12"/>
        <v>ERN92348</v>
      </c>
      <c r="C73" s="239" t="str">
        <f t="shared" si="13"/>
        <v>Eurofast International Transports Srl</v>
      </c>
      <c r="D73" s="239">
        <f t="shared" si="14"/>
        <v>0</v>
      </c>
      <c r="E73" s="240">
        <f t="shared" si="15"/>
        <v>46244.263888888891</v>
      </c>
      <c r="F73" s="241"/>
      <c r="G73" s="241" t="s">
        <v>61</v>
      </c>
      <c r="H73" s="308">
        <f>IF(VLOOKUP(A73,Outbound!$E$1:$Q$411,13,FALSE)=0,VLOOKUP(A73,AK:BL,13,FALSE),VLOOKUP(A73,Outbound!$E$1:$Q$411,13,FALSE))</f>
        <v>0</v>
      </c>
      <c r="I73" s="242" t="str">
        <f t="shared" si="16"/>
        <v>ATH</v>
      </c>
      <c r="J73" s="269" t="str">
        <f>IFERROR(IF(VLOOKUP($A73,Outbound!$E$1:$BA$411,17,FALSE)="","","Y"),"")</f>
        <v/>
      </c>
      <c r="K73" s="243"/>
      <c r="L73" s="243"/>
      <c r="M73" s="244" t="str">
        <f t="shared" si="17"/>
        <v>ATH 5</v>
      </c>
      <c r="N73" s="245"/>
      <c r="O73" s="245"/>
      <c r="P73" s="267" t="str">
        <f>IFERROR(IF(VLOOKUP(A73,Outbound!$E$1:$AY$411,46,FALSE)&lt;&gt;"","Y",""),"")</f>
        <v/>
      </c>
      <c r="Q73" s="267" t="str">
        <f>IFERROR(IF(VLOOKUP($A73,Outbound!$E$1:$BA$411,20,FALSE)="","","Y"),"")</f>
        <v/>
      </c>
      <c r="R73" s="267" t="str">
        <f>IFERROR(IF(VLOOKUP($A73,Outbound!$E$1:$BA$411,49,FALSE)="","","Y"),"")</f>
        <v/>
      </c>
      <c r="S73" s="309"/>
      <c r="T73" s="309"/>
      <c r="U73" s="246"/>
      <c r="V73" s="246"/>
      <c r="W73" s="117" t="str">
        <f>IFERROR(IF(VLOOKUP($A73,Outbound!$E$1:$BA$411,14,FALSE)="VARIATA","NEW TRAILER",""),"")</f>
        <v/>
      </c>
      <c r="X73" s="117">
        <f>IFERROR(IF(VLOOKUP(A73,Outbound!$E$1:$Y$411,21,FALSE)&lt;&gt;"",VLOOKUP(A73,Outbound!$E$1:$Y$411,21,FALSE),VLOOKUP(A73,Outbound!$E$1:$Y$411,19,FALSE)),"")</f>
        <v>0</v>
      </c>
      <c r="Y73" s="117" t="str">
        <f>IFERROR(CONCATENATE(VLOOKUP($A73,Outbound!$E$1:$BA$411,44,FALSE)," - ",VLOOKUP($A73,Outbound!$E$1:$BA$411,16,FALSE)," - "),"")</f>
        <v xml:space="preserve"> -  - </v>
      </c>
      <c r="Z73" s="246" t="str">
        <f>IFERROR(VLOOKUP(A73,Outbound!$E$2:$AK$412,33,FALSE),"")</f>
        <v/>
      </c>
      <c r="AA73" s="246"/>
      <c r="AB73" s="344" t="str">
        <f>IFERROR(IF(VLOOKUP($A73,Outbound!$E$1:$BA$411,48,FALSE)&lt;&gt;0,VLOOKUP($A73,Outbound!$E$1:$BA$411,48,FALSE),""),"")</f>
        <v/>
      </c>
      <c r="AC73" s="314" t="str">
        <f>IFERROR(IF(VLOOKUP($A73,Outbound!$E$1:$BA$411,49,FALSE)&lt;&gt;0,VLOOKUP($A73,Outbound!$E$1:$BA$411,49,FALSE),""),"")</f>
        <v/>
      </c>
      <c r="AK73" s="9" t="s">
        <v>239</v>
      </c>
      <c r="AL73" s="9" t="s">
        <v>1559</v>
      </c>
      <c r="AM73" s="9" t="s">
        <v>1560</v>
      </c>
      <c r="AN73" s="9" t="s">
        <v>0</v>
      </c>
      <c r="AO73" s="9" t="s">
        <v>285</v>
      </c>
      <c r="AP73" s="9" t="s">
        <v>66</v>
      </c>
      <c r="AQ73" s="424">
        <v>46244.4375</v>
      </c>
      <c r="AR73" s="9"/>
      <c r="AS73" s="9" t="s">
        <v>171</v>
      </c>
      <c r="AT73" s="9"/>
      <c r="AU73" s="9"/>
      <c r="AV73" s="9" t="s">
        <v>285</v>
      </c>
      <c r="AX73" s="9" t="b">
        <v>0</v>
      </c>
      <c r="AY73" s="9" t="s">
        <v>57</v>
      </c>
      <c r="AZ73" s="9" t="b">
        <v>0</v>
      </c>
      <c r="BA73" s="9" t="b">
        <v>0</v>
      </c>
      <c r="BB73" s="9" t="b">
        <v>0</v>
      </c>
      <c r="BC73" s="9" t="b">
        <v>0</v>
      </c>
      <c r="BD73" s="9" t="s">
        <v>59</v>
      </c>
      <c r="BE73" s="9" t="b">
        <v>0</v>
      </c>
      <c r="BM73" s="189"/>
      <c r="BN73" s="189"/>
      <c r="BO73" s="189"/>
    </row>
    <row r="74" spans="1:67" ht="12" customHeight="1">
      <c r="A74" s="237" t="s">
        <v>262</v>
      </c>
      <c r="B74" s="238" t="str">
        <f t="shared" si="12"/>
        <v>ERN17420</v>
      </c>
      <c r="C74" s="239" t="str">
        <f t="shared" si="13"/>
        <v>Eurofast International Transports Srl</v>
      </c>
      <c r="D74" s="239">
        <f t="shared" si="14"/>
        <v>0</v>
      </c>
      <c r="E74" s="240">
        <f t="shared" si="15"/>
        <v>46244.270833333336</v>
      </c>
      <c r="F74" s="241"/>
      <c r="G74" s="241" t="s">
        <v>61</v>
      </c>
      <c r="H74" s="308" t="str">
        <f>IF(VLOOKUP(A74,Outbound!$E$1:$Q$411,13,FALSE)=0,VLOOKUP(A74,AK:BL,13,FALSE),VLOOKUP(A74,Outbound!$E$1:$Q$411,13,FALSE))</f>
        <v>P58844</v>
      </c>
      <c r="I74" s="242" t="str">
        <f t="shared" si="16"/>
        <v>SKG</v>
      </c>
      <c r="J74" s="269" t="str">
        <f>IFERROR(IF(VLOOKUP($A74,Outbound!$E$1:$BA$411,17,FALSE)="","","Y"),"")</f>
        <v>Y</v>
      </c>
      <c r="K74" s="243"/>
      <c r="L74" s="243"/>
      <c r="M74" s="244" t="str">
        <f t="shared" si="17"/>
        <v>SKG 1</v>
      </c>
      <c r="N74" s="245" t="s">
        <v>421</v>
      </c>
      <c r="O74" s="245" t="s">
        <v>421</v>
      </c>
      <c r="P74" s="267" t="str">
        <f>IFERROR(IF(VLOOKUP(A74,Outbound!$E$1:$AY$411,46,FALSE)&lt;&gt;"","Y",""),"")</f>
        <v/>
      </c>
      <c r="Q74" s="267" t="str">
        <f>IFERROR(IF(VLOOKUP($A74,Outbound!$E$1:$BA$411,20,FALSE)="","","Y"),"")</f>
        <v>Y</v>
      </c>
      <c r="R74" s="267" t="str">
        <f>IFERROR(IF(VLOOKUP($A74,Outbound!$E$1:$BA$411,49,FALSE)="","","Y"),"")</f>
        <v/>
      </c>
      <c r="S74" s="309"/>
      <c r="T74" s="309"/>
      <c r="U74" s="246"/>
      <c r="V74" s="246"/>
      <c r="W74" s="117" t="str">
        <f>IFERROR(IF(VLOOKUP($A74,Outbound!$E$1:$BA$411,14,FALSE)="VARIATA","NEW TRAILER",""),"")</f>
        <v/>
      </c>
      <c r="X74" s="117" t="str">
        <f>IFERROR(IF(VLOOKUP(A74,Outbound!$E$1:$Y$411,21,FALSE)&lt;&gt;"",VLOOKUP(A74,Outbound!$E$1:$Y$411,21,FALSE),VLOOKUP(A74,Outbound!$E$1:$Y$411,19,FALSE)),"")</f>
        <v>P605</v>
      </c>
      <c r="Y74" s="117" t="str">
        <f>IFERROR(CONCATENATE(VLOOKUP($A74,Outbound!$E$1:$BA$411,44,FALSE)," - ",VLOOKUP($A74,Outbound!$E$1:$BA$411,16,FALSE)," - "),"")</f>
        <v xml:space="preserve"> -  - </v>
      </c>
      <c r="Z74" s="246" t="str">
        <f>IFERROR(VLOOKUP(A74,Outbound!$E$2:$AK$412,33,FALSE),"")</f>
        <v xml:space="preserve"> LL 14  - 10 Bag</v>
      </c>
      <c r="AA74" s="246" t="s">
        <v>870</v>
      </c>
      <c r="AB74" s="344" t="str">
        <f>IFERROR(IF(VLOOKUP($A74,Outbound!$E$1:$BA$411,48,FALSE)&lt;&gt;0,VLOOKUP($A74,Outbound!$E$1:$BA$411,48,FALSE),""),"")</f>
        <v/>
      </c>
      <c r="AC74" s="314" t="str">
        <f>IFERROR(IF(VLOOKUP($A74,Outbound!$E$1:$BA$411,49,FALSE)&lt;&gt;0,VLOOKUP($A74,Outbound!$E$1:$BA$411,49,FALSE),""),"")</f>
        <v/>
      </c>
      <c r="AK74" s="9" t="s">
        <v>232</v>
      </c>
      <c r="AL74" s="9" t="s">
        <v>1561</v>
      </c>
      <c r="AM74" s="9" t="s">
        <v>1562</v>
      </c>
      <c r="AN74" s="9" t="s">
        <v>0</v>
      </c>
      <c r="AO74" s="9" t="s">
        <v>285</v>
      </c>
      <c r="AP74" s="9" t="s">
        <v>66</v>
      </c>
      <c r="AQ74" s="424">
        <v>46244.104166666664</v>
      </c>
      <c r="AR74" s="9"/>
      <c r="AS74" s="9" t="s">
        <v>52</v>
      </c>
      <c r="AT74" s="9"/>
      <c r="AU74" s="9"/>
      <c r="AV74" s="9" t="s">
        <v>285</v>
      </c>
      <c r="AX74" s="9" t="b">
        <v>0</v>
      </c>
      <c r="AY74" s="9" t="s">
        <v>76</v>
      </c>
      <c r="AZ74" s="9" t="b">
        <v>0</v>
      </c>
      <c r="BA74" s="9" t="b">
        <v>0</v>
      </c>
      <c r="BB74" s="9" t="b">
        <v>0</v>
      </c>
      <c r="BC74" s="9" t="b">
        <v>0</v>
      </c>
      <c r="BD74" s="9" t="s">
        <v>59</v>
      </c>
      <c r="BE74" s="9" t="b">
        <v>0</v>
      </c>
      <c r="BM74" s="189"/>
      <c r="BN74" s="189"/>
      <c r="BO74" s="189"/>
    </row>
    <row r="75" spans="1:67" ht="12" customHeight="1">
      <c r="A75" s="237" t="s">
        <v>266</v>
      </c>
      <c r="B75" s="238" t="str">
        <f t="shared" si="12"/>
        <v>ERN02712</v>
      </c>
      <c r="C75" s="239" t="str">
        <f t="shared" si="13"/>
        <v>Eurofast International Transports Srl</v>
      </c>
      <c r="D75" s="239">
        <f t="shared" si="14"/>
        <v>0</v>
      </c>
      <c r="E75" s="240">
        <f t="shared" si="15"/>
        <v>46244.270833333336</v>
      </c>
      <c r="F75" s="241"/>
      <c r="G75" s="241" t="s">
        <v>61</v>
      </c>
      <c r="H75" s="308" t="str">
        <f>IF(VLOOKUP(A75,Outbound!$E$1:$Q$411,13,FALSE)=0,VLOOKUP(A75,AK:BL,13,FALSE),VLOOKUP(A75,Outbound!$E$1:$Q$411,13,FALSE))</f>
        <v>P58807</v>
      </c>
      <c r="I75" s="242" t="str">
        <f t="shared" si="16"/>
        <v>SKG</v>
      </c>
      <c r="J75" s="269" t="str">
        <f>IFERROR(IF(VLOOKUP($A75,Outbound!$E$1:$BA$411,17,FALSE)="","","Y"),"")</f>
        <v/>
      </c>
      <c r="K75" s="243"/>
      <c r="L75" s="243"/>
      <c r="M75" s="244" t="str">
        <f t="shared" si="17"/>
        <v>SKG 2</v>
      </c>
      <c r="N75" s="245" t="s">
        <v>870</v>
      </c>
      <c r="O75" s="245" t="s">
        <v>870</v>
      </c>
      <c r="P75" s="267" t="str">
        <f>IFERROR(IF(VLOOKUP(A75,Outbound!$E$1:$AY$411,46,FALSE)&lt;&gt;"","Y",""),"")</f>
        <v/>
      </c>
      <c r="Q75" s="267" t="str">
        <f>IFERROR(IF(VLOOKUP($A75,Outbound!$E$1:$BA$411,20,FALSE)="","","Y"),"")</f>
        <v/>
      </c>
      <c r="R75" s="267" t="str">
        <f>IFERROR(IF(VLOOKUP($A75,Outbound!$E$1:$BA$411,49,FALSE)="","","Y"),"")</f>
        <v/>
      </c>
      <c r="S75" s="309"/>
      <c r="T75" s="309"/>
      <c r="U75" s="246"/>
      <c r="V75" s="246"/>
      <c r="W75" s="117" t="str">
        <f>IFERROR(IF(VLOOKUP($A75,Outbound!$E$1:$BA$411,14,FALSE)="VARIATA","NEW TRAILER",""),"")</f>
        <v/>
      </c>
      <c r="X75" s="117">
        <f>IFERROR(IF(VLOOKUP(A75,Outbound!$E$1:$Y$411,21,FALSE)&lt;&gt;"",VLOOKUP(A75,Outbound!$E$1:$Y$411,21,FALSE),VLOOKUP(A75,Outbound!$E$1:$Y$411,19,FALSE)),"")</f>
        <v>809</v>
      </c>
      <c r="Y75" s="117" t="str">
        <f>IFERROR(CONCATENATE(VLOOKUP($A75,Outbound!$E$1:$BA$411,44,FALSE)," - ",VLOOKUP($A75,Outbound!$E$1:$BA$411,16,FALSE)," - "),"")</f>
        <v xml:space="preserve"> -  - </v>
      </c>
      <c r="Z75" s="246" t="str">
        <f>IFERROR(VLOOKUP(A75,Outbound!$E$2:$AK$412,33,FALSE),"")</f>
        <v/>
      </c>
      <c r="AA75" s="246"/>
      <c r="AB75" s="344" t="str">
        <f>IFERROR(IF(VLOOKUP($A75,Outbound!$E$1:$BA$411,48,FALSE)&lt;&gt;0,VLOOKUP($A75,Outbound!$E$1:$BA$411,48,FALSE),""),"")</f>
        <v/>
      </c>
      <c r="AC75" s="314" t="str">
        <f>IFERROR(IF(VLOOKUP($A75,Outbound!$E$1:$BA$411,49,FALSE)&lt;&gt;0,VLOOKUP($A75,Outbound!$E$1:$BA$411,49,FALSE),""),"")</f>
        <v/>
      </c>
      <c r="AK75" s="9" t="s">
        <v>236</v>
      </c>
      <c r="AL75" s="9" t="s">
        <v>1563</v>
      </c>
      <c r="AM75" s="9" t="s">
        <v>1564</v>
      </c>
      <c r="AN75" s="9" t="s">
        <v>0</v>
      </c>
      <c r="AO75" s="9" t="s">
        <v>285</v>
      </c>
      <c r="AP75" s="9" t="s">
        <v>66</v>
      </c>
      <c r="AQ75" s="424">
        <v>46244.4375</v>
      </c>
      <c r="AR75" s="9"/>
      <c r="AS75" s="9" t="s">
        <v>171</v>
      </c>
      <c r="AT75" s="9"/>
      <c r="AU75" s="9"/>
      <c r="AV75" s="9" t="s">
        <v>285</v>
      </c>
      <c r="AX75" s="9" t="b">
        <v>0</v>
      </c>
      <c r="AY75" s="9" t="s">
        <v>57</v>
      </c>
      <c r="AZ75" s="9" t="b">
        <v>0</v>
      </c>
      <c r="BA75" s="9" t="b">
        <v>0</v>
      </c>
      <c r="BB75" s="9" t="b">
        <v>0</v>
      </c>
      <c r="BC75" s="9" t="b">
        <v>0</v>
      </c>
      <c r="BD75" s="9" t="s">
        <v>59</v>
      </c>
      <c r="BE75" s="9" t="b">
        <v>0</v>
      </c>
      <c r="BM75" s="189"/>
      <c r="BN75" s="189"/>
      <c r="BO75" s="189"/>
    </row>
    <row r="76" spans="1:67" ht="12" customHeight="1">
      <c r="A76" s="237" t="s">
        <v>187</v>
      </c>
      <c r="B76" s="238" t="str">
        <f t="shared" si="12"/>
        <v>ERN14393</v>
      </c>
      <c r="C76" s="239" t="str">
        <f t="shared" si="13"/>
        <v>Eurofast International Transports Srl</v>
      </c>
      <c r="D76" s="239">
        <f t="shared" si="14"/>
        <v>0</v>
      </c>
      <c r="E76" s="240">
        <f t="shared" si="15"/>
        <v>46244.263888888891</v>
      </c>
      <c r="F76" s="241"/>
      <c r="G76" s="241" t="s">
        <v>61</v>
      </c>
      <c r="H76" s="308" t="str">
        <f>IF(VLOOKUP(A76,Outbound!$E$1:$Q$411,13,FALSE)=0,VLOOKUP(A76,AK:BL,13,FALSE),VLOOKUP(A76,Outbound!$E$1:$Q$411,13,FALSE))</f>
        <v>P56793</v>
      </c>
      <c r="I76" s="242" t="str">
        <f t="shared" si="16"/>
        <v>ATH</v>
      </c>
      <c r="J76" s="269" t="str">
        <f>IFERROR(IF(VLOOKUP($A76,Outbound!$E$1:$BA$411,17,FALSE)="","","Y"),"")</f>
        <v>Y</v>
      </c>
      <c r="K76" s="243"/>
      <c r="L76" s="243"/>
      <c r="M76" s="244" t="str">
        <f t="shared" si="17"/>
        <v>KR9</v>
      </c>
      <c r="N76" s="245" t="s">
        <v>870</v>
      </c>
      <c r="O76" s="245" t="s">
        <v>870</v>
      </c>
      <c r="P76" s="267" t="str">
        <f>IFERROR(IF(VLOOKUP(A76,Outbound!$E$1:$AY$411,46,FALSE)&lt;&gt;"","Y",""),"")</f>
        <v/>
      </c>
      <c r="Q76" s="267" t="str">
        <f>IFERROR(IF(VLOOKUP($A76,Outbound!$E$1:$BA$411,20,FALSE)="","","Y"),"")</f>
        <v/>
      </c>
      <c r="R76" s="267" t="str">
        <f>IFERROR(IF(VLOOKUP($A76,Outbound!$E$1:$BA$411,49,FALSE)="","","Y"),"")</f>
        <v/>
      </c>
      <c r="S76" s="309"/>
      <c r="T76" s="309"/>
      <c r="U76" s="246"/>
      <c r="V76" s="246"/>
      <c r="W76" s="117" t="str">
        <f>IFERROR(IF(VLOOKUP($A76,Outbound!$E$1:$BA$411,14,FALSE)="VARIATA","NEW TRAILER",""),"")</f>
        <v/>
      </c>
      <c r="X76" s="117">
        <f>IFERROR(IF(VLOOKUP(A76,Outbound!$E$1:$Y$411,21,FALSE)&lt;&gt;"",VLOOKUP(A76,Outbound!$E$1:$Y$411,21,FALSE),VLOOKUP(A76,Outbound!$E$1:$Y$411,19,FALSE)),"")</f>
        <v>324</v>
      </c>
      <c r="Y76" s="117" t="str">
        <f>IFERROR(CONCATENATE(VLOOKUP($A76,Outbound!$E$1:$BA$411,44,FALSE)," - ",VLOOKUP($A76,Outbound!$E$1:$BA$411,16,FALSE)," - "),"")</f>
        <v xml:space="preserve"> -  - </v>
      </c>
      <c r="Z76" s="246" t="str">
        <f>IFERROR(VLOOKUP(A76,Outbound!$E$2:$AK$412,33,FALSE),"")</f>
        <v/>
      </c>
      <c r="AA76" s="246"/>
      <c r="AB76" s="344" t="str">
        <f>IFERROR(IF(VLOOKUP($A76,Outbound!$E$1:$BA$411,48,FALSE)&lt;&gt;0,VLOOKUP($A76,Outbound!$E$1:$BA$411,48,FALSE),""),"")</f>
        <v/>
      </c>
      <c r="AC76" s="314" t="str">
        <f>IFERROR(IF(VLOOKUP($A76,Outbound!$E$1:$BA$411,49,FALSE)&lt;&gt;0,VLOOKUP($A76,Outbound!$E$1:$BA$411,49,FALSE),""),"")</f>
        <v/>
      </c>
      <c r="AK76" s="9" t="s">
        <v>223</v>
      </c>
      <c r="AL76" s="9" t="s">
        <v>298</v>
      </c>
      <c r="AM76" s="9" t="s">
        <v>1565</v>
      </c>
      <c r="AN76" s="9" t="s">
        <v>0</v>
      </c>
      <c r="AO76" s="9" t="s">
        <v>285</v>
      </c>
      <c r="AP76" s="9" t="s">
        <v>66</v>
      </c>
      <c r="AQ76" s="424">
        <v>46244.000694444447</v>
      </c>
      <c r="AR76" s="9"/>
      <c r="AS76" s="9" t="s">
        <v>225</v>
      </c>
      <c r="AT76" s="9" t="s">
        <v>1566</v>
      </c>
      <c r="AU76" s="9" t="s">
        <v>1567</v>
      </c>
      <c r="AV76" s="9" t="s">
        <v>285</v>
      </c>
      <c r="AX76" s="9" t="b">
        <v>0</v>
      </c>
      <c r="AY76" s="9" t="s">
        <v>57</v>
      </c>
      <c r="AZ76" s="9" t="b">
        <v>0</v>
      </c>
      <c r="BA76" s="9" t="b">
        <v>0</v>
      </c>
      <c r="BB76" s="9" t="b">
        <v>0</v>
      </c>
      <c r="BC76" s="9" t="b">
        <v>0</v>
      </c>
      <c r="BD76" s="9" t="s">
        <v>59</v>
      </c>
      <c r="BE76" s="9" t="b">
        <v>0</v>
      </c>
      <c r="BM76" s="189"/>
      <c r="BN76" s="189"/>
      <c r="BO76" s="189"/>
    </row>
    <row r="77" spans="1:67" ht="12" customHeight="1">
      <c r="A77" s="237" t="s">
        <v>1490</v>
      </c>
      <c r="B77" s="238" t="str">
        <f t="shared" si="12"/>
        <v>ERN19818</v>
      </c>
      <c r="C77" s="239" t="str">
        <f t="shared" si="13"/>
        <v>Fedex Express Romania Transportation Srl</v>
      </c>
      <c r="D77" s="239" t="str">
        <f t="shared" si="14"/>
        <v>B-527-TIP</v>
      </c>
      <c r="E77" s="240">
        <f t="shared" si="15"/>
        <v>46244.25</v>
      </c>
      <c r="F77" s="241" t="s">
        <v>61</v>
      </c>
      <c r="G77" s="241"/>
      <c r="H77" s="308" t="str">
        <f>IF(VLOOKUP(A77,Outbound!$E$1:$Q$411,13,FALSE)=0,VLOOKUP(A77,AK:BL,13,FALSE),VLOOKUP(A77,Outbound!$E$1:$Q$411,13,FALSE))</f>
        <v>enbd20101</v>
      </c>
      <c r="I77" s="242" t="str">
        <f t="shared" si="16"/>
        <v>MXP</v>
      </c>
      <c r="J77" s="269" t="str">
        <f>IFERROR(IF(VLOOKUP($A77,Outbound!$E$1:$BA$411,17,FALSE)="","","Y"),"")</f>
        <v/>
      </c>
      <c r="K77" s="243"/>
      <c r="L77" s="243"/>
      <c r="M77" s="244" t="str">
        <f t="shared" si="17"/>
        <v>MXP 1</v>
      </c>
      <c r="N77" s="245" t="s">
        <v>870</v>
      </c>
      <c r="O77" s="245" t="s">
        <v>870</v>
      </c>
      <c r="P77" s="267" t="str">
        <f>IFERROR(IF(VLOOKUP(A77,Outbound!$E$1:$AY$411,46,FALSE)&lt;&gt;"","Y",""),"")</f>
        <v/>
      </c>
      <c r="Q77" s="267" t="str">
        <f>IFERROR(IF(VLOOKUP($A77,Outbound!$E$1:$BA$411,20,FALSE)="","","Y"),"")</f>
        <v>Y</v>
      </c>
      <c r="R77" s="267" t="str">
        <f>IFERROR(IF(VLOOKUP($A77,Outbound!$E$1:$BA$411,49,FALSE)="","","Y"),"")</f>
        <v/>
      </c>
      <c r="S77" s="309"/>
      <c r="T77" s="309"/>
      <c r="U77" s="246"/>
      <c r="V77" s="246"/>
      <c r="W77" s="117" t="str">
        <f>IFERROR(IF(VLOOKUP($A77,Outbound!$E$1:$BA$411,14,FALSE)="VARIATA","NEW TRAILER",""),"")</f>
        <v/>
      </c>
      <c r="X77" s="117" t="str">
        <f>IFERROR(IF(VLOOKUP(A77,Outbound!$E$1:$Y$411,21,FALSE)&lt;&gt;"",VLOOKUP(A77,Outbound!$E$1:$Y$411,21,FALSE),VLOOKUP(A77,Outbound!$E$1:$Y$411,19,FALSE)),"")</f>
        <v>P604</v>
      </c>
      <c r="Y77" s="117" t="str">
        <f>IFERROR(CONCATENATE(VLOOKUP($A77,Outbound!$E$1:$BA$411,44,FALSE)," - ",VLOOKUP($A77,Outbound!$E$1:$BA$411,16,FALSE)," - "),"")</f>
        <v xml:space="preserve"> -  - </v>
      </c>
      <c r="Z77" s="246" t="str">
        <f>IFERROR(VLOOKUP(A77,Outbound!$E$2:$AK$412,33,FALSE),"")</f>
        <v xml:space="preserve"> FRT 14, DD 10 </v>
      </c>
      <c r="AA77" s="246" t="s">
        <v>870</v>
      </c>
      <c r="AB77" s="344" t="str">
        <f>IFERROR(IF(VLOOKUP($A77,Outbound!$E$1:$BA$411,48,FALSE)&lt;&gt;0,VLOOKUP($A77,Outbound!$E$1:$BA$411,48,FALSE),""),"")</f>
        <v/>
      </c>
      <c r="AC77" s="314" t="str">
        <f>IFERROR(IF(VLOOKUP($A77,Outbound!$E$1:$BA$411,49,FALSE)&lt;&gt;0,VLOOKUP($A77,Outbound!$E$1:$BA$411,49,FALSE),""),"")</f>
        <v/>
      </c>
      <c r="AK77" s="9" t="s">
        <v>234</v>
      </c>
      <c r="AL77" s="9" t="s">
        <v>284</v>
      </c>
      <c r="AM77" s="9" t="s">
        <v>1568</v>
      </c>
      <c r="AN77" s="9" t="s">
        <v>0</v>
      </c>
      <c r="AO77" s="9" t="s">
        <v>285</v>
      </c>
      <c r="AP77" s="9" t="s">
        <v>66</v>
      </c>
      <c r="AQ77" s="424">
        <v>46244.4375</v>
      </c>
      <c r="AR77" s="9"/>
      <c r="AS77" s="9" t="s">
        <v>286</v>
      </c>
      <c r="AT77" s="9" t="s">
        <v>1493</v>
      </c>
      <c r="AU77" s="9" t="s">
        <v>1494</v>
      </c>
      <c r="AV77" s="9" t="s">
        <v>285</v>
      </c>
      <c r="AX77" s="9" t="b">
        <v>0</v>
      </c>
      <c r="AY77" s="9" t="s">
        <v>57</v>
      </c>
      <c r="AZ77" s="9" t="b">
        <v>0</v>
      </c>
      <c r="BA77" s="9" t="b">
        <v>0</v>
      </c>
      <c r="BB77" s="9" t="b">
        <v>0</v>
      </c>
      <c r="BC77" s="9" t="b">
        <v>0</v>
      </c>
      <c r="BD77" s="9" t="s">
        <v>59</v>
      </c>
      <c r="BE77" s="9" t="b">
        <v>0</v>
      </c>
      <c r="BM77" s="189"/>
      <c r="BN77" s="189"/>
      <c r="BO77" s="189"/>
    </row>
    <row r="78" spans="1:67" ht="12" customHeight="1">
      <c r="A78" s="237" t="s">
        <v>1487</v>
      </c>
      <c r="B78" s="238" t="str">
        <f t="shared" si="12"/>
        <v>ERN19820</v>
      </c>
      <c r="C78" s="239" t="str">
        <f t="shared" si="13"/>
        <v>Galileo Transport Srl</v>
      </c>
      <c r="D78" s="239">
        <f t="shared" si="14"/>
        <v>0</v>
      </c>
      <c r="E78" s="240">
        <f t="shared" si="15"/>
        <v>46244.291666666664</v>
      </c>
      <c r="F78" s="241" t="s">
        <v>61</v>
      </c>
      <c r="G78" s="241"/>
      <c r="H78" s="308" t="str">
        <f>IF(VLOOKUP(A78,Outbound!$E$1:$Q$411,13,FALSE)=0,VLOOKUP(A78,AK:BL,13,FALSE),VLOOKUP(A78,Outbound!$E$1:$Q$411,13,FALSE))</f>
        <v>ENBR26621</v>
      </c>
      <c r="I78" s="242" t="str">
        <f t="shared" si="16"/>
        <v>MXP</v>
      </c>
      <c r="J78" s="269" t="str">
        <f>IFERROR(IF(VLOOKUP($A78,Outbound!$E$1:$BA$411,17,FALSE)="","","Y"),"")</f>
        <v/>
      </c>
      <c r="K78" s="243"/>
      <c r="L78" s="243"/>
      <c r="M78" s="244" t="str">
        <f t="shared" si="17"/>
        <v>MXP 2</v>
      </c>
      <c r="N78" s="245" t="s">
        <v>421</v>
      </c>
      <c r="O78" s="245" t="s">
        <v>421</v>
      </c>
      <c r="P78" s="267" t="str">
        <f>IFERROR(IF(VLOOKUP(A78,Outbound!$E$1:$AY$411,46,FALSE)&lt;&gt;"","Y",""),"")</f>
        <v/>
      </c>
      <c r="Q78" s="267" t="str">
        <f>IFERROR(IF(VLOOKUP($A78,Outbound!$E$1:$BA$411,20,FALSE)="","","Y"),"")</f>
        <v/>
      </c>
      <c r="R78" s="267" t="str">
        <f>IFERROR(IF(VLOOKUP($A78,Outbound!$E$1:$BA$411,49,FALSE)="","","Y"),"")</f>
        <v/>
      </c>
      <c r="S78" s="309"/>
      <c r="T78" s="309"/>
      <c r="U78" s="246"/>
      <c r="V78" s="246"/>
      <c r="W78" s="117" t="str">
        <f>IFERROR(IF(VLOOKUP($A78,Outbound!$E$1:$BA$411,14,FALSE)="VARIATA","NEW TRAILER",""),"")</f>
        <v/>
      </c>
      <c r="X78" s="117">
        <f>IFERROR(IF(VLOOKUP(A78,Outbound!$E$1:$Y$411,21,FALSE)&lt;&gt;"",VLOOKUP(A78,Outbound!$E$1:$Y$411,21,FALSE),VLOOKUP(A78,Outbound!$E$1:$Y$411,19,FALSE)),"")</f>
        <v>828</v>
      </c>
      <c r="Y78" s="117" t="str">
        <f>IFERROR(CONCATENATE(VLOOKUP($A78,Outbound!$E$1:$BA$411,44,FALSE)," - ",VLOOKUP($A78,Outbound!$E$1:$BA$411,16,FALSE)," - "),"")</f>
        <v xml:space="preserve"> -  - </v>
      </c>
      <c r="Z78" s="246" t="str">
        <f>IFERROR(VLOOKUP(A78,Outbound!$E$2:$AK$412,33,FALSE),"")</f>
        <v/>
      </c>
      <c r="AA78" s="246"/>
      <c r="AB78" s="344" t="str">
        <f>IFERROR(IF(VLOOKUP($A78,Outbound!$E$1:$BA$411,48,FALSE)&lt;&gt;0,VLOOKUP($A78,Outbound!$E$1:$BA$411,48,FALSE),""),"")</f>
        <v/>
      </c>
      <c r="AC78" s="314" t="str">
        <f>IFERROR(IF(VLOOKUP($A78,Outbound!$E$1:$BA$411,49,FALSE)&lt;&gt;0,VLOOKUP($A78,Outbound!$E$1:$BA$411,49,FALSE),""),"")</f>
        <v/>
      </c>
      <c r="AK78" s="9" t="s">
        <v>228</v>
      </c>
      <c r="AL78" s="9" t="s">
        <v>301</v>
      </c>
      <c r="AM78" s="9" t="s">
        <v>1569</v>
      </c>
      <c r="AN78" s="9" t="s">
        <v>0</v>
      </c>
      <c r="AO78" s="9" t="s">
        <v>285</v>
      </c>
      <c r="AP78" s="9" t="s">
        <v>66</v>
      </c>
      <c r="AQ78" s="424">
        <v>46244.104166666664</v>
      </c>
      <c r="AR78" s="9"/>
      <c r="AS78" s="9" t="s">
        <v>752</v>
      </c>
      <c r="AT78" s="9" t="s">
        <v>1570</v>
      </c>
      <c r="AU78" s="9" t="s">
        <v>1571</v>
      </c>
      <c r="AV78" s="9" t="s">
        <v>285</v>
      </c>
      <c r="AX78" s="9" t="b">
        <v>0</v>
      </c>
      <c r="AY78" s="9" t="s">
        <v>57</v>
      </c>
      <c r="AZ78" s="9" t="b">
        <v>0</v>
      </c>
      <c r="BA78" s="9" t="b">
        <v>0</v>
      </c>
      <c r="BB78" s="9" t="b">
        <v>0</v>
      </c>
      <c r="BC78" s="9" t="b">
        <v>0</v>
      </c>
      <c r="BD78" s="9" t="s">
        <v>59</v>
      </c>
      <c r="BE78" s="9" t="b">
        <v>0</v>
      </c>
      <c r="BM78" s="189"/>
      <c r="BN78" s="189"/>
      <c r="BO78" s="189"/>
    </row>
    <row r="79" spans="1:67" ht="12" customHeight="1">
      <c r="A79" s="237" t="s">
        <v>1572</v>
      </c>
      <c r="B79" s="238" t="str">
        <f t="shared" si="12"/>
        <v>ERN90414</v>
      </c>
      <c r="C79" s="239" t="str">
        <f t="shared" si="13"/>
        <v>Transimeksa Uab</v>
      </c>
      <c r="D79" s="239" t="str">
        <f t="shared" si="14"/>
        <v>MNU486</v>
      </c>
      <c r="E79" s="240">
        <f t="shared" si="15"/>
        <v>46244.416666666664</v>
      </c>
      <c r="F79" s="241" t="s">
        <v>61</v>
      </c>
      <c r="G79" s="241"/>
      <c r="H79" s="308" t="str">
        <f>IF(VLOOKUP(A79,Outbound!$E$1:$Q$411,13,FALSE)=0,VLOOKUP(A79,AK:BL,13,FALSE),VLOOKUP(A79,Outbound!$E$1:$Q$411,13,FALSE))</f>
        <v>ENBR26568</v>
      </c>
      <c r="I79" s="242" t="str">
        <f t="shared" si="16"/>
        <v>ZNF</v>
      </c>
      <c r="J79" s="269" t="str">
        <f>IFERROR(IF(VLOOKUP($A79,Outbound!$E$1:$BA$411,17,FALSE)="","","Y"),"")</f>
        <v/>
      </c>
      <c r="K79" s="243"/>
      <c r="L79" s="243"/>
      <c r="M79" s="244" t="str">
        <f t="shared" si="17"/>
        <v>ZNF</v>
      </c>
      <c r="N79" s="245" t="s">
        <v>421</v>
      </c>
      <c r="O79" s="245" t="s">
        <v>421</v>
      </c>
      <c r="P79" s="267" t="str">
        <f>IFERROR(IF(VLOOKUP(A79,Outbound!$E$1:$AY$411,46,FALSE)&lt;&gt;"","Y",""),"")</f>
        <v/>
      </c>
      <c r="Q79" s="267" t="str">
        <f>IFERROR(IF(VLOOKUP($A79,Outbound!$E$1:$BA$411,20,FALSE)="","","Y"),"")</f>
        <v/>
      </c>
      <c r="R79" s="267" t="str">
        <f>IFERROR(IF(VLOOKUP($A79,Outbound!$E$1:$BA$411,49,FALSE)="","","Y"),"")</f>
        <v/>
      </c>
      <c r="S79" s="309"/>
      <c r="T79" s="309"/>
      <c r="U79" s="246"/>
      <c r="V79" s="246"/>
      <c r="W79" s="117" t="str">
        <f>IFERROR(IF(VLOOKUP($A79,Outbound!$E$1:$BA$411,14,FALSE)="VARIATA","NEW TRAILER",""),"")</f>
        <v/>
      </c>
      <c r="X79" s="117">
        <f>IFERROR(IF(VLOOKUP(A79,Outbound!$E$1:$Y$411,21,FALSE)&lt;&gt;"",VLOOKUP(A79,Outbound!$E$1:$Y$411,21,FALSE),VLOOKUP(A79,Outbound!$E$1:$Y$411,19,FALSE)),"")</f>
        <v>740</v>
      </c>
      <c r="Y79" s="117" t="str">
        <f>IFERROR(CONCATENATE(VLOOKUP($A79,Outbound!$E$1:$BA$411,44,FALSE)," - ",VLOOKUP($A79,Outbound!$E$1:$BA$411,16,FALSE)," - "),"")</f>
        <v xml:space="preserve"> -  - </v>
      </c>
      <c r="Z79" s="246" t="str">
        <f>IFERROR(VLOOKUP(A79,Outbound!$E$2:$AK$412,33,FALSE),"")</f>
        <v/>
      </c>
      <c r="AA79" s="246"/>
      <c r="AB79" s="344" t="str">
        <f>IFERROR(IF(VLOOKUP($A79,Outbound!$E$1:$BA$411,48,FALSE)&lt;&gt;0,VLOOKUP($A79,Outbound!$E$1:$BA$411,48,FALSE),""),"")</f>
        <v/>
      </c>
      <c r="AC79" s="314" t="str">
        <f>IFERROR(IF(VLOOKUP($A79,Outbound!$E$1:$BA$411,49,FALSE)&lt;&gt;0,VLOOKUP($A79,Outbound!$E$1:$BA$411,49,FALSE),""),"")</f>
        <v/>
      </c>
      <c r="AK79" s="9" t="s">
        <v>230</v>
      </c>
      <c r="AL79" s="9" t="s">
        <v>304</v>
      </c>
      <c r="AM79" s="9" t="s">
        <v>1573</v>
      </c>
      <c r="AN79" s="9" t="s">
        <v>0</v>
      </c>
      <c r="AO79" s="9" t="s">
        <v>285</v>
      </c>
      <c r="AP79" s="9" t="s">
        <v>66</v>
      </c>
      <c r="AQ79" s="424">
        <v>46244.104166666664</v>
      </c>
      <c r="AR79" s="9"/>
      <c r="AS79" s="9" t="s">
        <v>178</v>
      </c>
      <c r="AT79" s="9"/>
      <c r="AU79" s="9"/>
      <c r="AV79" s="9" t="s">
        <v>285</v>
      </c>
      <c r="AX79" s="9" t="b">
        <v>0</v>
      </c>
      <c r="AY79" s="9" t="s">
        <v>57</v>
      </c>
      <c r="AZ79" s="9" t="b">
        <v>0</v>
      </c>
      <c r="BA79" s="9" t="b">
        <v>0</v>
      </c>
      <c r="BB79" s="9" t="b">
        <v>0</v>
      </c>
      <c r="BC79" s="9" t="b">
        <v>0</v>
      </c>
      <c r="BD79" s="9" t="s">
        <v>59</v>
      </c>
      <c r="BE79" s="9" t="b">
        <v>0</v>
      </c>
      <c r="BM79" s="189"/>
      <c r="BN79" s="189"/>
      <c r="BO79" s="189"/>
    </row>
    <row r="80" spans="1:67" ht="12" customHeight="1">
      <c r="A80" s="237" t="s">
        <v>1574</v>
      </c>
      <c r="B80" s="238" t="str">
        <f t="shared" si="12"/>
        <v>ERN18191</v>
      </c>
      <c r="C80" s="239" t="str">
        <f t="shared" si="13"/>
        <v>Galileo Transport Srl</v>
      </c>
      <c r="D80" s="239">
        <f t="shared" si="14"/>
        <v>0</v>
      </c>
      <c r="E80" s="240">
        <f t="shared" si="15"/>
        <v>46244.083333333336</v>
      </c>
      <c r="F80" s="241" t="s">
        <v>61</v>
      </c>
      <c r="G80" s="241"/>
      <c r="H80" s="308" t="str">
        <f>IF(VLOOKUP(A80,Outbound!$E$1:$Q$411,13,FALSE)=0,VLOOKUP(A80,AK:BL,13,FALSE),VLOOKUP(A80,Outbound!$E$1:$Q$411,13,FALSE))</f>
        <v>enb17832</v>
      </c>
      <c r="I80" s="242" t="str">
        <f t="shared" si="16"/>
        <v>Z8C</v>
      </c>
      <c r="J80" s="269" t="str">
        <f>IFERROR(IF(VLOOKUP($A80,Outbound!$E$1:$BA$411,17,FALSE)="","","Y"),"")</f>
        <v>Y</v>
      </c>
      <c r="K80" s="243"/>
      <c r="L80" s="243"/>
      <c r="M80" s="244" t="str">
        <f t="shared" si="17"/>
        <v>Z8C</v>
      </c>
      <c r="N80" s="245" t="s">
        <v>421</v>
      </c>
      <c r="O80" s="245" t="s">
        <v>421</v>
      </c>
      <c r="P80" s="267" t="str">
        <f>IFERROR(IF(VLOOKUP(A80,Outbound!$E$1:$AY$411,46,FALSE)&lt;&gt;"","Y",""),"")</f>
        <v/>
      </c>
      <c r="Q80" s="267" t="str">
        <f>IFERROR(IF(VLOOKUP($A80,Outbound!$E$1:$BA$411,20,FALSE)="","","Y"),"")</f>
        <v>Y</v>
      </c>
      <c r="R80" s="267" t="str">
        <f>IFERROR(IF(VLOOKUP($A80,Outbound!$E$1:$BA$411,49,FALSE)="","","Y"),"")</f>
        <v>Y</v>
      </c>
      <c r="S80" s="309">
        <v>3.6111111111111108E-2</v>
      </c>
      <c r="T80" s="309"/>
      <c r="U80" s="246"/>
      <c r="V80" s="246"/>
      <c r="W80" s="117" t="str">
        <f>IFERROR(IF(VLOOKUP($A80,Outbound!$E$1:$BA$411,14,FALSE)="VARIATA","NEW TRAILER",""),"")</f>
        <v/>
      </c>
      <c r="X80" s="117" t="str">
        <f>IFERROR(IF(VLOOKUP(A80,Outbound!$E$1:$Y$411,21,FALSE)&lt;&gt;"",VLOOKUP(A80,Outbound!$E$1:$Y$411,21,FALSE),VLOOKUP(A80,Outbound!$E$1:$Y$411,19,FALSE)),"")</f>
        <v>P134</v>
      </c>
      <c r="Y80" s="117" t="str">
        <f>IFERROR(CONCATENATE(VLOOKUP($A80,Outbound!$E$1:$BA$411,44,FALSE)," - ",VLOOKUP($A80,Outbound!$E$1:$BA$411,16,FALSE)," - "),"")</f>
        <v xml:space="preserve"> -  - </v>
      </c>
      <c r="Z80" s="246" t="str">
        <f>IFERROR(VLOOKUP(A80,Outbound!$E$2:$AK$412,33,FALSE),"")</f>
        <v xml:space="preserve"> LL 5.5  - 38 Bag</v>
      </c>
      <c r="AA80" s="246" t="s">
        <v>421</v>
      </c>
      <c r="AB80" s="344">
        <f>IFERROR(IF(VLOOKUP($A80,Outbound!$E$1:$BA$411,48,FALSE)&lt;&gt;0,VLOOKUP($A80,Outbound!$E$1:$BA$411,48,FALSE),""),"")</f>
        <v>4.1666666666666664E-2</v>
      </c>
      <c r="AC80" s="314">
        <f>IFERROR(IF(VLOOKUP($A80,Outbound!$E$1:$BA$411,49,FALSE)&lt;&gt;0,VLOOKUP($A80,Outbound!$E$1:$BA$411,49,FALSE),""),"")</f>
        <v>5.4166666666666669E-2</v>
      </c>
      <c r="AK80" s="9" t="s">
        <v>1574</v>
      </c>
      <c r="AL80" s="9" t="s">
        <v>1575</v>
      </c>
      <c r="AM80" s="9" t="s">
        <v>1576</v>
      </c>
      <c r="AN80" s="9" t="s">
        <v>0</v>
      </c>
      <c r="AO80" s="9" t="s">
        <v>1574</v>
      </c>
      <c r="AP80" s="9" t="s">
        <v>66</v>
      </c>
      <c r="AQ80" s="424">
        <v>46244.083333333336</v>
      </c>
      <c r="AR80" s="9"/>
      <c r="AS80" s="9" t="s">
        <v>128</v>
      </c>
      <c r="AT80" s="9"/>
      <c r="AU80" s="9"/>
      <c r="AV80" s="9" t="s">
        <v>1574</v>
      </c>
      <c r="AX80" s="9" t="b">
        <v>1</v>
      </c>
      <c r="AY80" s="9" t="s">
        <v>57</v>
      </c>
      <c r="AZ80" s="9" t="b">
        <v>0</v>
      </c>
      <c r="BA80" s="9" t="b">
        <v>0</v>
      </c>
      <c r="BB80" s="9" t="b">
        <v>0</v>
      </c>
      <c r="BC80" s="9" t="b">
        <v>0</v>
      </c>
      <c r="BD80" s="9" t="s">
        <v>59</v>
      </c>
      <c r="BE80" s="9" t="b">
        <v>0</v>
      </c>
      <c r="BM80" s="189"/>
      <c r="BN80" s="189"/>
      <c r="BO80" s="189"/>
    </row>
    <row r="81" spans="1:67" ht="12" customHeight="1">
      <c r="A81" s="237" t="s">
        <v>1577</v>
      </c>
      <c r="B81" s="238" t="str">
        <f t="shared" si="12"/>
        <v>ERN92617</v>
      </c>
      <c r="C81" s="239" t="str">
        <f t="shared" si="13"/>
        <v>Maracana Srl</v>
      </c>
      <c r="D81" s="239">
        <f t="shared" si="14"/>
        <v>0</v>
      </c>
      <c r="E81" s="240">
        <f t="shared" si="15"/>
        <v>46244.09375</v>
      </c>
      <c r="F81" s="241"/>
      <c r="G81" s="241"/>
      <c r="H81" s="308" t="str">
        <f>IF(VLOOKUP(A81,Outbound!$E$1:$Q$411,13,FALSE)=0,VLOOKUP(A81,AK:BL,13,FALSE),VLOOKUP(A81,Outbound!$E$1:$Q$411,13,FALSE))</f>
        <v>ENBR21210</v>
      </c>
      <c r="I81" s="242" t="str">
        <f t="shared" si="16"/>
        <v>QAR</v>
      </c>
      <c r="J81" s="269" t="str">
        <f>IFERROR(IF(VLOOKUP($A81,Outbound!$E$1:$BA$411,17,FALSE)="","","Y"),"")</f>
        <v>Y</v>
      </c>
      <c r="K81" s="243"/>
      <c r="L81" s="243"/>
      <c r="M81" s="244" t="str">
        <f t="shared" si="17"/>
        <v>EXTRA QAR</v>
      </c>
      <c r="N81" s="245" t="s">
        <v>421</v>
      </c>
      <c r="O81" s="245" t="s">
        <v>421</v>
      </c>
      <c r="P81" s="267" t="str">
        <f>IFERROR(IF(VLOOKUP(A81,Outbound!$E$1:$AY$411,46,FALSE)&lt;&gt;"","Y",""),"")</f>
        <v/>
      </c>
      <c r="Q81" s="267" t="str">
        <f>IFERROR(IF(VLOOKUP($A81,Outbound!$E$1:$BA$411,20,FALSE)="","","Y"),"")</f>
        <v>Y</v>
      </c>
      <c r="R81" s="267" t="str">
        <f>IFERROR(IF(VLOOKUP($A81,Outbound!$E$1:$BA$411,49,FALSE)="","","Y"),"")</f>
        <v>Y</v>
      </c>
      <c r="S81" s="309">
        <v>7.4305555555555555E-2</v>
      </c>
      <c r="T81" s="309"/>
      <c r="U81" s="246"/>
      <c r="V81" s="246"/>
      <c r="W81" s="117" t="str">
        <f>IFERROR(IF(VLOOKUP($A81,Outbound!$E$1:$BA$411,14,FALSE)="VARIATA","NEW TRAILER",""),"")</f>
        <v/>
      </c>
      <c r="X81" s="117" t="str">
        <f>IFERROR(IF(VLOOKUP(A81,Outbound!$E$1:$Y$411,21,FALSE)&lt;&gt;"",VLOOKUP(A81,Outbound!$E$1:$Y$411,21,FALSE),VLOOKUP(A81,Outbound!$E$1:$Y$411,19,FALSE)),"")</f>
        <v>R344</v>
      </c>
      <c r="Y81" s="117" t="str">
        <f>IFERROR(CONCATENATE(VLOOKUP($A81,Outbound!$E$1:$BA$411,44,FALSE)," - ",VLOOKUP($A81,Outbound!$E$1:$BA$411,16,FALSE)," - "),"")</f>
        <v xml:space="preserve"> -  - </v>
      </c>
      <c r="Z81" s="246" t="str">
        <f>IFERROR(VLOOKUP(A81,Outbound!$E$2:$AK$412,33,FALSE),"")</f>
        <v xml:space="preserve"> LL 5.5  - 6 Bag</v>
      </c>
      <c r="AA81" s="246" t="s">
        <v>421</v>
      </c>
      <c r="AB81" s="344">
        <f>IFERROR(IF(VLOOKUP($A81,Outbound!$E$1:$BA$411,48,FALSE)&lt;&gt;0,VLOOKUP($A81,Outbound!$E$1:$BA$411,48,FALSE),""),"")</f>
        <v>7.7777777777777779E-2</v>
      </c>
      <c r="AC81" s="314">
        <f>IFERROR(IF(VLOOKUP($A81,Outbound!$E$1:$BA$411,49,FALSE)&lt;&gt;0,VLOOKUP($A81,Outbound!$E$1:$BA$411,49,FALSE),""),"")</f>
        <v>8.4722222222222227E-2</v>
      </c>
      <c r="AK81" s="9" t="s">
        <v>1572</v>
      </c>
      <c r="AL81" s="9" t="s">
        <v>1578</v>
      </c>
      <c r="AM81" s="9" t="s">
        <v>1579</v>
      </c>
      <c r="AN81" s="9" t="s">
        <v>0</v>
      </c>
      <c r="AO81" s="9" t="s">
        <v>1572</v>
      </c>
      <c r="AP81" s="9" t="s">
        <v>66</v>
      </c>
      <c r="AQ81" s="424">
        <v>46244.416666666664</v>
      </c>
      <c r="AR81" s="9"/>
      <c r="AS81" s="9" t="s">
        <v>1406</v>
      </c>
      <c r="AT81" s="9" t="s">
        <v>1580</v>
      </c>
      <c r="AU81" s="9" t="s">
        <v>1581</v>
      </c>
      <c r="AV81" s="9" t="s">
        <v>1572</v>
      </c>
      <c r="AX81" s="9" t="b">
        <v>0</v>
      </c>
      <c r="AY81" s="9" t="s">
        <v>57</v>
      </c>
      <c r="AZ81" s="9" t="b">
        <v>0</v>
      </c>
      <c r="BA81" s="9" t="b">
        <v>0</v>
      </c>
      <c r="BB81" s="9" t="b">
        <v>0</v>
      </c>
      <c r="BC81" s="9" t="b">
        <v>0</v>
      </c>
      <c r="BD81" s="9" t="s">
        <v>59</v>
      </c>
      <c r="BE81" s="9" t="b">
        <v>0</v>
      </c>
      <c r="BM81" s="189"/>
      <c r="BN81" s="189"/>
      <c r="BO81" s="189"/>
    </row>
    <row r="82" spans="1:67" ht="12" customHeight="1">
      <c r="A82" s="237"/>
      <c r="B82" s="238" t="e">
        <f t="shared" si="12"/>
        <v>#N/A</v>
      </c>
      <c r="C82" s="239" t="e">
        <f t="shared" si="13"/>
        <v>#N/A</v>
      </c>
      <c r="D82" s="239" t="e">
        <f t="shared" si="14"/>
        <v>#N/A</v>
      </c>
      <c r="E82" s="240" t="e">
        <f t="shared" si="15"/>
        <v>#N/A</v>
      </c>
      <c r="F82" s="241"/>
      <c r="G82" s="241"/>
      <c r="H82" s="308" t="e">
        <f>IF(VLOOKUP(A82,Outbound!$E$1:$Q$411,13,FALSE)=0,VLOOKUP(A82,AK:BL,13,FALSE),VLOOKUP(A82,Outbound!$E$1:$Q$411,13,FALSE))</f>
        <v>#N/A</v>
      </c>
      <c r="I82" s="242" t="e">
        <f t="shared" si="16"/>
        <v>#N/A</v>
      </c>
      <c r="J82" s="269" t="str">
        <f>IFERROR(IF(VLOOKUP($A82,Outbound!$E$1:$BA$411,17,FALSE)="","","Y"),"")</f>
        <v/>
      </c>
      <c r="K82" s="243"/>
      <c r="L82" s="243"/>
      <c r="M82" s="244">
        <f t="shared" si="17"/>
        <v>0</v>
      </c>
      <c r="N82" s="245"/>
      <c r="O82" s="245"/>
      <c r="P82" s="267" t="str">
        <f>IFERROR(IF(VLOOKUP(A82,Outbound!$E$1:$AY$411,46,FALSE)&lt;&gt;"","Y",""),"")</f>
        <v/>
      </c>
      <c r="Q82" s="267" t="str">
        <f>IFERROR(IF(VLOOKUP($A82,Outbound!$E$1:$BA$411,20,FALSE)="","","Y"),"")</f>
        <v/>
      </c>
      <c r="R82" s="267" t="str">
        <f>IFERROR(IF(VLOOKUP($A82,Outbound!$E$1:$BA$411,49,FALSE)="","","Y"),"")</f>
        <v/>
      </c>
      <c r="S82" s="309"/>
      <c r="T82" s="309"/>
      <c r="U82" s="246"/>
      <c r="V82" s="246"/>
      <c r="W82" s="117" t="str">
        <f>IFERROR(IF(VLOOKUP($A82,Outbound!$E$1:$BA$411,14,FALSE)="VARIATA","NEW TRAILER",""),"")</f>
        <v/>
      </c>
      <c r="X82" s="117" t="str">
        <f>IFERROR(IF(VLOOKUP(A82,Outbound!$E$1:$Y$411,21,FALSE)&lt;&gt;"",VLOOKUP(A82,Outbound!$E$1:$Y$411,21,FALSE),VLOOKUP(A82,Outbound!$E$1:$Y$411,19,FALSE)),"")</f>
        <v/>
      </c>
      <c r="Y82" s="117" t="str">
        <f>IFERROR(CONCATENATE(VLOOKUP($A82,Outbound!$E$1:$BA$411,44,FALSE)," - ",VLOOKUP($A82,Outbound!$E$1:$BA$411,16,FALSE)," - "),"")</f>
        <v/>
      </c>
      <c r="Z82" s="246" t="str">
        <f>IFERROR(VLOOKUP(A82,Outbound!$E$2:$AK$412,33,FALSE),"")</f>
        <v/>
      </c>
      <c r="AA82" s="246"/>
      <c r="AB82" s="344" t="str">
        <f>IFERROR(IF(VLOOKUP($A82,Outbound!$E$1:$BA$411,48,FALSE)&lt;&gt;0,VLOOKUP($A82,Outbound!$E$1:$BA$411,48,FALSE),""),"")</f>
        <v/>
      </c>
      <c r="AC82" s="314" t="str">
        <f>IFERROR(IF(VLOOKUP($A82,Outbound!$E$1:$BA$411,49,FALSE)&lt;&gt;0,VLOOKUP($A82,Outbound!$E$1:$BA$411,49,FALSE),""),"")</f>
        <v/>
      </c>
      <c r="AK82" s="9" t="s">
        <v>283</v>
      </c>
      <c r="AL82" s="9" t="s">
        <v>313</v>
      </c>
      <c r="AM82" s="9" t="s">
        <v>1582</v>
      </c>
      <c r="AN82" s="9" t="s">
        <v>0</v>
      </c>
      <c r="AO82" s="9" t="s">
        <v>308</v>
      </c>
      <c r="AP82" s="9" t="s">
        <v>51</v>
      </c>
      <c r="AQ82" s="424">
        <v>46244.166666666664</v>
      </c>
      <c r="AR82" s="9"/>
      <c r="AS82" s="9" t="s">
        <v>1425</v>
      </c>
      <c r="AT82" s="9" t="s">
        <v>1583</v>
      </c>
      <c r="AU82" s="9" t="s">
        <v>1584</v>
      </c>
      <c r="AV82" s="9" t="s">
        <v>308</v>
      </c>
      <c r="AX82" s="9" t="b">
        <v>0</v>
      </c>
      <c r="AY82" s="9" t="s">
        <v>57</v>
      </c>
      <c r="AZ82" s="9" t="b">
        <v>0</v>
      </c>
      <c r="BA82" s="9" t="b">
        <v>0</v>
      </c>
      <c r="BB82" s="9" t="b">
        <v>0</v>
      </c>
      <c r="BC82" s="9" t="b">
        <v>0</v>
      </c>
      <c r="BD82" s="9" t="s">
        <v>59</v>
      </c>
      <c r="BE82" s="9" t="b">
        <v>0</v>
      </c>
      <c r="BM82" s="189"/>
      <c r="BN82" s="189"/>
      <c r="BO82" s="189"/>
    </row>
    <row r="83" spans="1:67" ht="12" customHeight="1">
      <c r="A83" s="237"/>
      <c r="B83" s="238" t="e">
        <f t="shared" si="12"/>
        <v>#N/A</v>
      </c>
      <c r="C83" s="239" t="e">
        <f t="shared" si="13"/>
        <v>#N/A</v>
      </c>
      <c r="D83" s="239" t="e">
        <f t="shared" si="14"/>
        <v>#N/A</v>
      </c>
      <c r="E83" s="240" t="e">
        <f t="shared" si="15"/>
        <v>#N/A</v>
      </c>
      <c r="F83" s="241"/>
      <c r="G83" s="241"/>
      <c r="H83" s="308" t="e">
        <f>IF(VLOOKUP(A83,Outbound!$E$1:$Q$411,13,FALSE)=0,VLOOKUP(A83,AK:BL,13,FALSE),VLOOKUP(A83,Outbound!$E$1:$Q$411,13,FALSE))</f>
        <v>#N/A</v>
      </c>
      <c r="I83" s="242" t="e">
        <f t="shared" si="16"/>
        <v>#N/A</v>
      </c>
      <c r="J83" s="269" t="str">
        <f>IFERROR(IF(VLOOKUP($A83,Outbound!$E$1:$BA$411,17,FALSE)="","","Y"),"")</f>
        <v/>
      </c>
      <c r="K83" s="243"/>
      <c r="L83" s="243"/>
      <c r="M83" s="244">
        <f t="shared" si="17"/>
        <v>0</v>
      </c>
      <c r="N83" s="245"/>
      <c r="O83" s="245"/>
      <c r="P83" s="267" t="str">
        <f>IFERROR(IF(VLOOKUP(A83,Outbound!$E$1:$AY$411,46,FALSE)&lt;&gt;"","Y",""),"")</f>
        <v/>
      </c>
      <c r="Q83" s="267" t="str">
        <f>IFERROR(IF(VLOOKUP($A83,Outbound!$E$1:$BA$411,20,FALSE)="","","Y"),"")</f>
        <v/>
      </c>
      <c r="R83" s="267" t="str">
        <f>IFERROR(IF(VLOOKUP($A83,Outbound!$E$1:$BA$411,49,FALSE)="","","Y"),"")</f>
        <v/>
      </c>
      <c r="S83" s="309"/>
      <c r="T83" s="309"/>
      <c r="U83" s="246"/>
      <c r="V83" s="246"/>
      <c r="W83" s="117" t="str">
        <f>IFERROR(IF(VLOOKUP($A83,Outbound!$E$1:$BA$411,14,FALSE)="VARIATA","NEW TRAILER",""),"")</f>
        <v/>
      </c>
      <c r="X83" s="117" t="str">
        <f>IFERROR(IF(VLOOKUP(A83,Outbound!$E$1:$Y$411,21,FALSE)&lt;&gt;"",VLOOKUP(A83,Outbound!$E$1:$Y$411,21,FALSE),VLOOKUP(A83,Outbound!$E$1:$Y$411,19,FALSE)),"")</f>
        <v/>
      </c>
      <c r="Y83" s="117" t="str">
        <f>IFERROR(CONCATENATE(VLOOKUP($A83,Outbound!$E$1:$BA$411,44,FALSE)," - ",VLOOKUP($A83,Outbound!$E$1:$BA$411,16,FALSE)," - "),"")</f>
        <v/>
      </c>
      <c r="Z83" s="246" t="str">
        <f>IFERROR(VLOOKUP(A83,Outbound!$E$2:$AK$412,33,FALSE),"")</f>
        <v/>
      </c>
      <c r="AA83" s="246"/>
      <c r="AB83" s="344" t="str">
        <f>IFERROR(IF(VLOOKUP($A83,Outbound!$E$1:$BA$411,48,FALSE)&lt;&gt;0,VLOOKUP($A83,Outbound!$E$1:$BA$411,48,FALSE),""),"")</f>
        <v/>
      </c>
      <c r="AC83" s="314" t="str">
        <f>IFERROR(IF(VLOOKUP($A83,Outbound!$E$1:$BA$411,49,FALSE)&lt;&gt;0,VLOOKUP($A83,Outbound!$E$1:$BA$411,49,FALSE),""),"")</f>
        <v/>
      </c>
      <c r="AK83" s="9" t="s">
        <v>289</v>
      </c>
      <c r="AL83" s="9" t="s">
        <v>307</v>
      </c>
      <c r="AM83" s="9" t="s">
        <v>1585</v>
      </c>
      <c r="AN83" s="9" t="s">
        <v>0</v>
      </c>
      <c r="AO83" s="9" t="s">
        <v>308</v>
      </c>
      <c r="AP83" s="9" t="s">
        <v>51</v>
      </c>
      <c r="AQ83" s="424">
        <v>46244.166666666664</v>
      </c>
      <c r="AR83" s="9"/>
      <c r="AS83" s="9" t="s">
        <v>1425</v>
      </c>
      <c r="AT83" s="9" t="s">
        <v>1586</v>
      </c>
      <c r="AU83" s="9" t="s">
        <v>1587</v>
      </c>
      <c r="AV83" s="9" t="s">
        <v>308</v>
      </c>
      <c r="AX83" s="9" t="b">
        <v>1</v>
      </c>
      <c r="AY83" s="9" t="s">
        <v>57</v>
      </c>
      <c r="AZ83" s="9" t="b">
        <v>0</v>
      </c>
      <c r="BA83" s="9" t="b">
        <v>0</v>
      </c>
      <c r="BB83" s="9" t="b">
        <v>0</v>
      </c>
      <c r="BC83" s="9" t="b">
        <v>0</v>
      </c>
      <c r="BD83" s="9" t="s">
        <v>59</v>
      </c>
      <c r="BE83" s="9" t="b">
        <v>0</v>
      </c>
      <c r="BM83" s="189"/>
      <c r="BN83" s="189"/>
      <c r="BO83" s="189"/>
    </row>
    <row r="84" spans="1:67" ht="12" customHeight="1">
      <c r="A84" s="237"/>
      <c r="B84" s="238" t="e">
        <f t="shared" si="12"/>
        <v>#N/A</v>
      </c>
      <c r="C84" s="239" t="e">
        <f t="shared" si="13"/>
        <v>#N/A</v>
      </c>
      <c r="D84" s="239" t="e">
        <f t="shared" si="14"/>
        <v>#N/A</v>
      </c>
      <c r="E84" s="240" t="e">
        <f t="shared" si="15"/>
        <v>#N/A</v>
      </c>
      <c r="F84" s="241"/>
      <c r="G84" s="241"/>
      <c r="H84" s="308" t="e">
        <f>IF(VLOOKUP(A84,Outbound!$E$1:$Q$411,13,FALSE)=0,VLOOKUP(A84,AK:BL,13,FALSE),VLOOKUP(A84,Outbound!$E$1:$Q$411,13,FALSE))</f>
        <v>#N/A</v>
      </c>
      <c r="I84" s="242" t="e">
        <f t="shared" si="16"/>
        <v>#N/A</v>
      </c>
      <c r="J84" s="269" t="str">
        <f>IFERROR(IF(VLOOKUP($A84,Outbound!$E$1:$BA$411,17,FALSE)="","","Y"),"")</f>
        <v/>
      </c>
      <c r="K84" s="243"/>
      <c r="L84" s="243"/>
      <c r="M84" s="244">
        <f t="shared" si="17"/>
        <v>0</v>
      </c>
      <c r="N84" s="245"/>
      <c r="O84" s="245"/>
      <c r="P84" s="267" t="str">
        <f>IFERROR(IF(VLOOKUP(A84,Outbound!$E$1:$AY$411,46,FALSE)&lt;&gt;"","Y",""),"")</f>
        <v/>
      </c>
      <c r="Q84" s="267" t="str">
        <f>IFERROR(IF(VLOOKUP($A84,Outbound!$E$1:$BA$411,20,FALSE)="","","Y"),"")</f>
        <v/>
      </c>
      <c r="R84" s="267" t="str">
        <f>IFERROR(IF(VLOOKUP($A84,Outbound!$E$1:$BA$411,49,FALSE)="","","Y"),"")</f>
        <v/>
      </c>
      <c r="S84" s="309"/>
      <c r="T84" s="309"/>
      <c r="U84" s="246"/>
      <c r="V84" s="246"/>
      <c r="W84" s="117" t="str">
        <f>IFERROR(IF(VLOOKUP($A84,Outbound!$E$1:$BA$411,14,FALSE)="VARIATA","NEW TRAILER",""),"")</f>
        <v/>
      </c>
      <c r="X84" s="117" t="str">
        <f>IFERROR(IF(VLOOKUP(A84,Outbound!$E$1:$Y$411,21,FALSE)&lt;&gt;"",VLOOKUP(A84,Outbound!$E$1:$Y$411,21,FALSE),VLOOKUP(A84,Outbound!$E$1:$Y$411,19,FALSE)),"")</f>
        <v/>
      </c>
      <c r="Y84" s="117" t="str">
        <f>IFERROR(CONCATENATE(VLOOKUP($A84,Outbound!$E$1:$BA$411,44,FALSE)," - ",VLOOKUP($A84,Outbound!$E$1:$BA$411,16,FALSE)," - "),"")</f>
        <v/>
      </c>
      <c r="Z84" s="246" t="str">
        <f>IFERROR(VLOOKUP(A84,Outbound!$E$2:$AK$412,33,FALSE),"")</f>
        <v/>
      </c>
      <c r="AA84" s="246"/>
      <c r="AB84" s="344" t="str">
        <f>IFERROR(IF(VLOOKUP($A84,Outbound!$E$1:$BA$411,48,FALSE)&lt;&gt;0,VLOOKUP($A84,Outbound!$E$1:$BA$411,48,FALSE),""),"")</f>
        <v/>
      </c>
      <c r="AC84" s="314" t="str">
        <f>IFERROR(IF(VLOOKUP($A84,Outbound!$E$1:$BA$411,49,FALSE)&lt;&gt;0,VLOOKUP($A84,Outbound!$E$1:$BA$411,49,FALSE),""),"")</f>
        <v/>
      </c>
      <c r="AK84" s="236" t="s">
        <v>1577</v>
      </c>
      <c r="AL84" s="189" t="s">
        <v>1588</v>
      </c>
      <c r="AM84" s="189" t="s">
        <v>1589</v>
      </c>
      <c r="AN84" s="189" t="s">
        <v>0</v>
      </c>
      <c r="AO84" s="189" t="s">
        <v>241</v>
      </c>
      <c r="AQ84" s="424">
        <v>46244.09375</v>
      </c>
      <c r="AR84" s="229"/>
      <c r="AS84" s="9" t="s">
        <v>178</v>
      </c>
      <c r="AV84" s="189" t="s">
        <v>241</v>
      </c>
      <c r="BM84" s="189"/>
      <c r="BN84" s="189"/>
      <c r="BO84" s="189"/>
    </row>
    <row r="85" spans="1:67" ht="12" customHeight="1">
      <c r="A85" s="237"/>
      <c r="B85" s="238" t="e">
        <f t="shared" si="12"/>
        <v>#N/A</v>
      </c>
      <c r="C85" s="239" t="e">
        <f t="shared" si="13"/>
        <v>#N/A</v>
      </c>
      <c r="D85" s="239" t="e">
        <f t="shared" si="14"/>
        <v>#N/A</v>
      </c>
      <c r="E85" s="240" t="e">
        <f t="shared" si="15"/>
        <v>#N/A</v>
      </c>
      <c r="F85" s="241"/>
      <c r="G85" s="241"/>
      <c r="H85" s="308" t="e">
        <f>IF(VLOOKUP(A85,Outbound!$E$1:$Q$411,13,FALSE)=0,VLOOKUP(A85,AK:BL,13,FALSE),VLOOKUP(A85,Outbound!$E$1:$Q$411,13,FALSE))</f>
        <v>#N/A</v>
      </c>
      <c r="I85" s="242" t="e">
        <f t="shared" si="16"/>
        <v>#N/A</v>
      </c>
      <c r="J85" s="269" t="str">
        <f>IFERROR(IF(VLOOKUP($A85,Outbound!$E$1:$BA$411,17,FALSE)="","","Y"),"")</f>
        <v/>
      </c>
      <c r="K85" s="243"/>
      <c r="L85" s="243"/>
      <c r="M85" s="244">
        <f t="shared" si="17"/>
        <v>0</v>
      </c>
      <c r="N85" s="245"/>
      <c r="O85" s="245"/>
      <c r="P85" s="267" t="str">
        <f>IFERROR(IF(VLOOKUP(A85,Outbound!$E$1:$AY$411,46,FALSE)&lt;&gt;"","Y",""),"")</f>
        <v/>
      </c>
      <c r="Q85" s="267" t="str">
        <f>IFERROR(IF(VLOOKUP($A85,Outbound!$E$1:$BA$411,20,FALSE)="","","Y"),"")</f>
        <v/>
      </c>
      <c r="R85" s="267" t="str">
        <f>IFERROR(IF(VLOOKUP($A85,Outbound!$E$1:$BA$411,49,FALSE)="","","Y"),"")</f>
        <v/>
      </c>
      <c r="S85" s="309"/>
      <c r="T85" s="309"/>
      <c r="U85" s="246"/>
      <c r="V85" s="246"/>
      <c r="W85" s="117" t="str">
        <f>IFERROR(IF(VLOOKUP($A85,Outbound!$E$1:$BA$411,14,FALSE)="VARIATA","NEW TRAILER",""),"")</f>
        <v/>
      </c>
      <c r="X85" s="117" t="str">
        <f>IFERROR(IF(VLOOKUP(A85,Outbound!$E$1:$Y$411,21,FALSE)&lt;&gt;"",VLOOKUP(A85,Outbound!$E$1:$Y$411,21,FALSE),VLOOKUP(A85,Outbound!$E$1:$Y$411,19,FALSE)),"")</f>
        <v/>
      </c>
      <c r="Y85" s="117" t="str">
        <f>IFERROR(CONCATENATE(VLOOKUP($A85,Outbound!$E$1:$BA$411,44,FALSE)," - ",VLOOKUP($A85,Outbound!$E$1:$BA$411,16,FALSE)," - "),"")</f>
        <v/>
      </c>
      <c r="Z85" s="246" t="str">
        <f>IFERROR(VLOOKUP(A85,Outbound!$E$2:$AK$412,33,FALSE),"")</f>
        <v/>
      </c>
      <c r="AA85" s="246"/>
      <c r="AB85" s="344" t="str">
        <f>IFERROR(IF(VLOOKUP($A85,Outbound!$E$1:$BA$411,48,FALSE)&lt;&gt;0,VLOOKUP($A85,Outbound!$E$1:$BA$411,48,FALSE),""),"")</f>
        <v/>
      </c>
      <c r="AC85" s="314" t="str">
        <f>IFERROR(IF(VLOOKUP($A85,Outbound!$E$1:$BA$411,49,FALSE)&lt;&gt;0,VLOOKUP($A85,Outbound!$E$1:$BA$411,49,FALSE),""),"")</f>
        <v/>
      </c>
      <c r="AQ85" s="424"/>
      <c r="AR85" s="229"/>
      <c r="AS85" s="229"/>
      <c r="BM85" s="189"/>
      <c r="BN85" s="189"/>
      <c r="BO85" s="189"/>
    </row>
    <row r="86" spans="1:67" ht="12" customHeight="1">
      <c r="A86" s="237"/>
      <c r="B86" s="238" t="e">
        <f t="shared" si="12"/>
        <v>#N/A</v>
      </c>
      <c r="C86" s="239" t="e">
        <f t="shared" si="13"/>
        <v>#N/A</v>
      </c>
      <c r="D86" s="239" t="e">
        <f t="shared" si="14"/>
        <v>#N/A</v>
      </c>
      <c r="E86" s="240" t="e">
        <f t="shared" si="15"/>
        <v>#N/A</v>
      </c>
      <c r="F86" s="241"/>
      <c r="G86" s="241"/>
      <c r="H86" s="308" t="e">
        <f>IF(VLOOKUP(A86,Outbound!$E$1:$Q$411,13,FALSE)=0,VLOOKUP(A86,AK:BL,13,FALSE),VLOOKUP(A86,Outbound!$E$1:$Q$411,13,FALSE))</f>
        <v>#N/A</v>
      </c>
      <c r="I86" s="242" t="e">
        <f t="shared" si="16"/>
        <v>#N/A</v>
      </c>
      <c r="J86" s="269" t="str">
        <f>IFERROR(IF(VLOOKUP($A86,Outbound!$E$1:$BA$411,17,FALSE)="","","Y"),"")</f>
        <v/>
      </c>
      <c r="K86" s="243"/>
      <c r="L86" s="243"/>
      <c r="M86" s="244">
        <f t="shared" si="17"/>
        <v>0</v>
      </c>
      <c r="N86" s="245"/>
      <c r="O86" s="245"/>
      <c r="P86" s="267" t="str">
        <f>IFERROR(IF(VLOOKUP(A86,Outbound!$E$1:$AY$411,46,FALSE)&lt;&gt;"","Y",""),"")</f>
        <v/>
      </c>
      <c r="Q86" s="267" t="str">
        <f>IFERROR(IF(VLOOKUP($A86,Outbound!$E$1:$BA$411,20,FALSE)="","","Y"),"")</f>
        <v/>
      </c>
      <c r="R86" s="267" t="str">
        <f>IFERROR(IF(VLOOKUP($A86,Outbound!$E$1:$BA$411,49,FALSE)="","","Y"),"")</f>
        <v/>
      </c>
      <c r="S86" s="309"/>
      <c r="T86" s="309"/>
      <c r="U86" s="246"/>
      <c r="V86" s="246"/>
      <c r="W86" s="117" t="str">
        <f>IFERROR(IF(VLOOKUP($A86,Outbound!$E$1:$BA$411,14,FALSE)="VARIATA","NEW TRAILER",""),"")</f>
        <v/>
      </c>
      <c r="X86" s="117" t="str">
        <f>IFERROR(IF(VLOOKUP(A86,Outbound!$E$1:$Y$411,21,FALSE)&lt;&gt;"",VLOOKUP(A86,Outbound!$E$1:$Y$411,21,FALSE),VLOOKUP(A86,Outbound!$E$1:$Y$411,19,FALSE)),"")</f>
        <v/>
      </c>
      <c r="Y86" s="117" t="str">
        <f>IFERROR(CONCATENATE(VLOOKUP($A86,Outbound!$E$1:$BA$411,44,FALSE)," - ",VLOOKUP($A86,Outbound!$E$1:$BA$411,16,FALSE)," - "),"")</f>
        <v/>
      </c>
      <c r="Z86" s="246" t="str">
        <f>IFERROR(VLOOKUP(A86,Outbound!$E$2:$AK$412,33,FALSE),"")</f>
        <v/>
      </c>
      <c r="AA86" s="246"/>
      <c r="AB86" s="344" t="str">
        <f>IFERROR(IF(VLOOKUP($A86,Outbound!$E$1:$BA$411,48,FALSE)&lt;&gt;0,VLOOKUP($A86,Outbound!$E$1:$BA$411,48,FALSE),""),"")</f>
        <v/>
      </c>
      <c r="AC86" s="314" t="str">
        <f>IFERROR(IF(VLOOKUP($A86,Outbound!$E$1:$BA$411,49,FALSE)&lt;&gt;0,VLOOKUP($A86,Outbound!$E$1:$BA$411,49,FALSE),""),"")</f>
        <v/>
      </c>
      <c r="AQ86" s="229"/>
      <c r="AR86" s="229"/>
      <c r="AS86" s="229"/>
      <c r="BM86" s="189"/>
      <c r="BN86" s="189"/>
      <c r="BO86" s="189"/>
    </row>
    <row r="87" spans="1:67" ht="12" customHeight="1">
      <c r="A87" s="237"/>
      <c r="B87" s="238" t="e">
        <f t="shared" si="12"/>
        <v>#N/A</v>
      </c>
      <c r="C87" s="239" t="e">
        <f t="shared" si="13"/>
        <v>#N/A</v>
      </c>
      <c r="D87" s="239" t="e">
        <f t="shared" si="14"/>
        <v>#N/A</v>
      </c>
      <c r="E87" s="240" t="e">
        <f t="shared" si="15"/>
        <v>#N/A</v>
      </c>
      <c r="F87" s="241"/>
      <c r="G87" s="241"/>
      <c r="H87" s="308" t="e">
        <f>IF(VLOOKUP(A87,Outbound!$E$1:$Q$411,13,FALSE)=0,VLOOKUP(A87,AK:BL,13,FALSE),VLOOKUP(A87,Outbound!$E$1:$Q$411,13,FALSE))</f>
        <v>#N/A</v>
      </c>
      <c r="I87" s="242" t="e">
        <f t="shared" si="16"/>
        <v>#N/A</v>
      </c>
      <c r="J87" s="269" t="str">
        <f>IFERROR(IF(VLOOKUP($A87,Outbound!$E$1:$BA$411,17,FALSE)="","","Y"),"")</f>
        <v/>
      </c>
      <c r="K87" s="243"/>
      <c r="L87" s="243"/>
      <c r="M87" s="244">
        <f t="shared" si="17"/>
        <v>0</v>
      </c>
      <c r="N87" s="245"/>
      <c r="O87" s="245"/>
      <c r="P87" s="267" t="str">
        <f>IFERROR(IF(VLOOKUP(A87,Outbound!$E$1:$AY$411,46,FALSE)&lt;&gt;"","Y",""),"")</f>
        <v/>
      </c>
      <c r="Q87" s="267" t="str">
        <f>IFERROR(IF(VLOOKUP($A87,Outbound!$E$1:$BA$411,20,FALSE)="","","Y"),"")</f>
        <v/>
      </c>
      <c r="R87" s="267" t="str">
        <f>IFERROR(IF(VLOOKUP($A87,Outbound!$E$1:$BA$411,49,FALSE)="","","Y"),"")</f>
        <v/>
      </c>
      <c r="S87" s="309"/>
      <c r="T87" s="309"/>
      <c r="U87" s="246"/>
      <c r="V87" s="246"/>
      <c r="W87" s="117" t="str">
        <f>IFERROR(IF(VLOOKUP($A87,Outbound!$E$1:$BA$411,14,FALSE)="VARIATA","NEW TRAILER",""),"")</f>
        <v/>
      </c>
      <c r="X87" s="117" t="str">
        <f>IFERROR(IF(VLOOKUP(A87,Outbound!$E$1:$Y$411,21,FALSE)&lt;&gt;"",VLOOKUP(A87,Outbound!$E$1:$Y$411,21,FALSE),VLOOKUP(A87,Outbound!$E$1:$Y$411,19,FALSE)),"")</f>
        <v/>
      </c>
      <c r="Y87" s="117" t="str">
        <f>IFERROR(CONCATENATE(VLOOKUP($A87,Outbound!$E$1:$BA$411,44,FALSE)," - ",VLOOKUP($A87,Outbound!$E$1:$BA$411,16,FALSE)," - "),"")</f>
        <v/>
      </c>
      <c r="Z87" s="246" t="str">
        <f>IFERROR(VLOOKUP(A87,Outbound!$E$2:$AK$412,33,FALSE),"")</f>
        <v/>
      </c>
      <c r="AA87" s="246"/>
      <c r="AB87" s="344" t="str">
        <f>IFERROR(IF(VLOOKUP($A87,Outbound!$E$1:$BA$411,48,FALSE)&lt;&gt;0,VLOOKUP($A87,Outbound!$E$1:$BA$411,48,FALSE),""),"")</f>
        <v/>
      </c>
      <c r="AC87" s="314" t="str">
        <f>IFERROR(IF(VLOOKUP($A87,Outbound!$E$1:$BA$411,49,FALSE)&lt;&gt;0,VLOOKUP($A87,Outbound!$E$1:$BA$411,49,FALSE),""),"")</f>
        <v/>
      </c>
      <c r="AQ87" s="229"/>
      <c r="AR87" s="229"/>
      <c r="AS87" s="229"/>
      <c r="BM87" s="189"/>
      <c r="BN87" s="189"/>
      <c r="BO87" s="189"/>
    </row>
    <row r="88" spans="1:67" ht="12" customHeight="1">
      <c r="A88" s="237"/>
      <c r="B88" s="238" t="e">
        <f t="shared" ref="B88:B119" si="18">VLOOKUP(A88,AK:BL,2,FALSE)</f>
        <v>#N/A</v>
      </c>
      <c r="C88" s="239" t="e">
        <f t="shared" ref="C88:C120" si="19">VLOOKUP(A88,AK:BL,9,FALSE)</f>
        <v>#N/A</v>
      </c>
      <c r="D88" s="239" t="e">
        <f t="shared" ref="D88:D120" si="20">VLOOKUP(A88,AK:BL,11,FALSE)</f>
        <v>#N/A</v>
      </c>
      <c r="E88" s="240" t="e">
        <f t="shared" ref="E88:E120" si="21">VLOOKUP(A88,AK:BL,7,FALSE)</f>
        <v>#N/A</v>
      </c>
      <c r="F88" s="241"/>
      <c r="G88" s="241"/>
      <c r="H88" s="308" t="e">
        <f>IF(VLOOKUP(A88,Outbound!$E$1:$Q$411,13,FALSE)=0,VLOOKUP(A88,AK:BL,13,FALSE),VLOOKUP(A88,Outbound!$E$1:$Q$411,13,FALSE))</f>
        <v>#N/A</v>
      </c>
      <c r="I88" s="242" t="e">
        <f t="shared" si="16"/>
        <v>#N/A</v>
      </c>
      <c r="J88" s="269" t="str">
        <f>IFERROR(IF(VLOOKUP($A88,Outbound!$E$1:$BA$411,17,FALSE)="","","Y"),"")</f>
        <v/>
      </c>
      <c r="K88" s="243"/>
      <c r="L88" s="243"/>
      <c r="M88" s="244">
        <f t="shared" si="17"/>
        <v>0</v>
      </c>
      <c r="N88" s="245"/>
      <c r="O88" s="245"/>
      <c r="P88" s="267" t="str">
        <f>IFERROR(IF(VLOOKUP(A88,Outbound!$E$1:$AY$411,46,FALSE)&lt;&gt;"","Y",""),"")</f>
        <v/>
      </c>
      <c r="Q88" s="267" t="str">
        <f>IFERROR(IF(VLOOKUP($A88,Outbound!$E$1:$BA$411,20,FALSE)="","","Y"),"")</f>
        <v/>
      </c>
      <c r="R88" s="267" t="str">
        <f>IFERROR(IF(VLOOKUP($A88,Outbound!$E$1:$BA$411,49,FALSE)="","","Y"),"")</f>
        <v/>
      </c>
      <c r="S88" s="309"/>
      <c r="T88" s="309"/>
      <c r="U88" s="246"/>
      <c r="V88" s="246"/>
      <c r="W88" s="117" t="str">
        <f>IFERROR(IF(VLOOKUP($A88,Outbound!$E$1:$BA$411,14,FALSE)="VARIATA","NEW TRAILER",""),"")</f>
        <v/>
      </c>
      <c r="X88" s="117" t="str">
        <f>IFERROR(IF(VLOOKUP(A88,Outbound!$E$1:$Y$411,21,FALSE)&lt;&gt;"",VLOOKUP(A88,Outbound!$E$1:$Y$411,21,FALSE),VLOOKUP(A88,Outbound!$E$1:$Y$411,19,FALSE)),"")</f>
        <v/>
      </c>
      <c r="Y88" s="117" t="str">
        <f>IFERROR(CONCATENATE(VLOOKUP($A88,Outbound!$E$1:$BA$411,44,FALSE)," - ",VLOOKUP($A88,Outbound!$E$1:$BA$411,16,FALSE)," - "),"")</f>
        <v/>
      </c>
      <c r="Z88" s="246" t="str">
        <f>IFERROR(VLOOKUP(A88,Outbound!$E$2:$AK$412,33,FALSE),"")</f>
        <v/>
      </c>
      <c r="AA88" s="246"/>
      <c r="AB88" s="344" t="str">
        <f>IFERROR(IF(VLOOKUP($A88,Outbound!$E$1:$BA$411,48,FALSE)&lt;&gt;0,VLOOKUP($A88,Outbound!$E$1:$BA$411,48,FALSE),""),"")</f>
        <v/>
      </c>
      <c r="AC88" s="314" t="str">
        <f>IFERROR(IF(VLOOKUP($A88,Outbound!$E$1:$BA$411,49,FALSE)&lt;&gt;0,VLOOKUP($A88,Outbound!$E$1:$BA$411,49,FALSE),""),"")</f>
        <v/>
      </c>
      <c r="AQ88" s="229"/>
      <c r="AR88" s="229"/>
      <c r="AS88" s="229"/>
      <c r="BM88" s="189"/>
      <c r="BN88" s="189"/>
      <c r="BO88" s="189"/>
    </row>
    <row r="89" spans="1:67" ht="12" customHeight="1">
      <c r="A89" s="237"/>
      <c r="B89" s="238" t="e">
        <f t="shared" si="18"/>
        <v>#N/A</v>
      </c>
      <c r="C89" s="239" t="e">
        <f t="shared" si="19"/>
        <v>#N/A</v>
      </c>
      <c r="D89" s="239" t="e">
        <f t="shared" si="20"/>
        <v>#N/A</v>
      </c>
      <c r="E89" s="240" t="e">
        <f t="shared" si="21"/>
        <v>#N/A</v>
      </c>
      <c r="F89" s="241"/>
      <c r="G89" s="241"/>
      <c r="H89" s="308" t="e">
        <f>IF(VLOOKUP(A89,Outbound!$E$1:$Q$411,13,FALSE)=0,VLOOKUP(A89,AK:BL,13,FALSE),VLOOKUP(A89,Outbound!$E$1:$Q$411,13,FALSE))</f>
        <v>#N/A</v>
      </c>
      <c r="I89" s="242" t="e">
        <f t="shared" si="16"/>
        <v>#N/A</v>
      </c>
      <c r="J89" s="269" t="str">
        <f>IFERROR(IF(VLOOKUP($A89,Outbound!$E$1:$BA$411,17,FALSE)="","","Y"),"")</f>
        <v/>
      </c>
      <c r="K89" s="243"/>
      <c r="L89" s="243"/>
      <c r="M89" s="244">
        <f t="shared" si="17"/>
        <v>0</v>
      </c>
      <c r="N89" s="245"/>
      <c r="O89" s="245"/>
      <c r="P89" s="267" t="str">
        <f>IFERROR(IF(VLOOKUP(A89,Outbound!$E$1:$AY$411,46,FALSE)&lt;&gt;"","Y",""),"")</f>
        <v/>
      </c>
      <c r="Q89" s="267" t="str">
        <f>IFERROR(IF(VLOOKUP($A89,Outbound!$E$1:$BA$411,20,FALSE)="","","Y"),"")</f>
        <v/>
      </c>
      <c r="R89" s="267" t="str">
        <f>IFERROR(IF(VLOOKUP($A89,Outbound!$E$1:$BA$411,49,FALSE)="","","Y"),"")</f>
        <v/>
      </c>
      <c r="S89" s="309"/>
      <c r="T89" s="309"/>
      <c r="U89" s="246"/>
      <c r="V89" s="246"/>
      <c r="W89" s="117" t="str">
        <f>IFERROR(IF(VLOOKUP($A89,Outbound!$E$1:$BA$411,14,FALSE)="VARIATA","NEW TRAILER",""),"")</f>
        <v/>
      </c>
      <c r="X89" s="117" t="str">
        <f>IFERROR(IF(VLOOKUP(A89,Outbound!$E$1:$Y$411,21,FALSE)&lt;&gt;"",VLOOKUP(A89,Outbound!$E$1:$Y$411,21,FALSE),VLOOKUP(A89,Outbound!$E$1:$Y$411,19,FALSE)),"")</f>
        <v/>
      </c>
      <c r="Y89" s="117" t="str">
        <f>IFERROR(CONCATENATE(VLOOKUP($A89,Outbound!$E$1:$BA$411,44,FALSE)," - ",VLOOKUP($A89,Outbound!$E$1:$BA$411,16,FALSE)," - "),"")</f>
        <v/>
      </c>
      <c r="Z89" s="246" t="str">
        <f>IFERROR(VLOOKUP(A89,Outbound!$E$2:$AK$412,33,FALSE),"")</f>
        <v/>
      </c>
      <c r="AA89" s="246"/>
      <c r="AB89" s="344" t="str">
        <f>IFERROR(IF(VLOOKUP($A89,Outbound!$E$1:$BA$411,48,FALSE)&lt;&gt;0,VLOOKUP($A89,Outbound!$E$1:$BA$411,48,FALSE),""),"")</f>
        <v/>
      </c>
      <c r="AC89" s="314" t="str">
        <f>IFERROR(IF(VLOOKUP($A89,Outbound!$E$1:$BA$411,49,FALSE)&lt;&gt;0,VLOOKUP($A89,Outbound!$E$1:$BA$411,49,FALSE),""),"")</f>
        <v/>
      </c>
      <c r="AQ89" s="229"/>
      <c r="AR89" s="229"/>
      <c r="AS89" s="229"/>
      <c r="BM89" s="189"/>
      <c r="BN89" s="189"/>
      <c r="BO89" s="189"/>
    </row>
    <row r="90" spans="1:67" ht="12" customHeight="1">
      <c r="A90" s="237"/>
      <c r="B90" s="238" t="e">
        <f t="shared" si="18"/>
        <v>#N/A</v>
      </c>
      <c r="C90" s="239" t="e">
        <f t="shared" si="19"/>
        <v>#N/A</v>
      </c>
      <c r="D90" s="239" t="e">
        <f t="shared" si="20"/>
        <v>#N/A</v>
      </c>
      <c r="E90" s="240" t="e">
        <f t="shared" si="21"/>
        <v>#N/A</v>
      </c>
      <c r="F90" s="241"/>
      <c r="G90" s="241"/>
      <c r="H90" s="308" t="e">
        <f>IF(VLOOKUP(A90,Outbound!$E$1:$Q$411,13,FALSE)=0,VLOOKUP(A90,AK:BL,13,FALSE),VLOOKUP(A90,Outbound!$E$1:$Q$411,13,FALSE))</f>
        <v>#N/A</v>
      </c>
      <c r="I90" s="242" t="e">
        <f t="shared" si="16"/>
        <v>#N/A</v>
      </c>
      <c r="J90" s="269" t="str">
        <f>IFERROR(IF(VLOOKUP($A90,Outbound!$E$1:$BA$411,17,FALSE)="","","Y"),"")</f>
        <v/>
      </c>
      <c r="K90" s="243"/>
      <c r="L90" s="243"/>
      <c r="M90" s="244">
        <f t="shared" si="17"/>
        <v>0</v>
      </c>
      <c r="N90" s="245"/>
      <c r="O90" s="245"/>
      <c r="P90" s="267" t="str">
        <f>IFERROR(IF(VLOOKUP(A90,Outbound!$E$1:$AY$411,46,FALSE)&lt;&gt;"","Y",""),"")</f>
        <v/>
      </c>
      <c r="Q90" s="267" t="str">
        <f>IFERROR(IF(VLOOKUP($A90,Outbound!$E$1:$BA$411,20,FALSE)="","","Y"),"")</f>
        <v/>
      </c>
      <c r="R90" s="267" t="str">
        <f>IFERROR(IF(VLOOKUP($A90,Outbound!$E$1:$BA$411,49,FALSE)="","","Y"),"")</f>
        <v/>
      </c>
      <c r="S90" s="309"/>
      <c r="T90" s="309"/>
      <c r="U90" s="246"/>
      <c r="V90" s="246"/>
      <c r="W90" s="117" t="str">
        <f>IFERROR(IF(VLOOKUP($A90,Outbound!$E$1:$BA$411,14,FALSE)="VARIATA","NEW TRAILER",""),"")</f>
        <v/>
      </c>
      <c r="X90" s="117" t="str">
        <f>IFERROR(IF(VLOOKUP(A90,Outbound!$E$1:$Y$411,21,FALSE)&lt;&gt;"",VLOOKUP(A90,Outbound!$E$1:$Y$411,21,FALSE),VLOOKUP(A90,Outbound!$E$1:$Y$411,19,FALSE)),"")</f>
        <v/>
      </c>
      <c r="Y90" s="117" t="str">
        <f>IFERROR(CONCATENATE(VLOOKUP($A90,Outbound!$E$1:$BA$411,44,FALSE)," - ",VLOOKUP($A90,Outbound!$E$1:$BA$411,16,FALSE)," - "),"")</f>
        <v/>
      </c>
      <c r="Z90" s="246" t="str">
        <f>IFERROR(VLOOKUP(A90,Outbound!$E$2:$AK$412,33,FALSE),"")</f>
        <v/>
      </c>
      <c r="AA90" s="246"/>
      <c r="AB90" s="344" t="str">
        <f>IFERROR(IF(VLOOKUP($A90,Outbound!$E$1:$BA$411,48,FALSE)&lt;&gt;0,VLOOKUP($A90,Outbound!$E$1:$BA$411,48,FALSE),""),"")</f>
        <v/>
      </c>
      <c r="AC90" s="314" t="str">
        <f>IFERROR(IF(VLOOKUP($A90,Outbound!$E$1:$BA$411,49,FALSE)&lt;&gt;0,VLOOKUP($A90,Outbound!$E$1:$BA$411,49,FALSE),""),"")</f>
        <v/>
      </c>
      <c r="AQ90" s="229"/>
      <c r="AR90" s="229"/>
      <c r="AS90" s="229"/>
      <c r="BM90" s="189"/>
      <c r="BN90" s="189"/>
      <c r="BO90" s="189"/>
    </row>
    <row r="91" spans="1:67" ht="12" customHeight="1">
      <c r="A91" s="237"/>
      <c r="B91" s="238" t="e">
        <f t="shared" si="18"/>
        <v>#N/A</v>
      </c>
      <c r="C91" s="239" t="e">
        <f t="shared" si="19"/>
        <v>#N/A</v>
      </c>
      <c r="D91" s="239" t="e">
        <f t="shared" si="20"/>
        <v>#N/A</v>
      </c>
      <c r="E91" s="240" t="e">
        <f t="shared" si="21"/>
        <v>#N/A</v>
      </c>
      <c r="F91" s="241"/>
      <c r="G91" s="241"/>
      <c r="H91" s="308" t="e">
        <f>IF(VLOOKUP(A91,Outbound!$E$1:$Q$411,13,FALSE)=0,VLOOKUP(A91,AK:BL,13,FALSE),VLOOKUP(A91,Outbound!$E$1:$Q$411,13,FALSE))</f>
        <v>#N/A</v>
      </c>
      <c r="I91" s="242" t="e">
        <f t="shared" si="16"/>
        <v>#N/A</v>
      </c>
      <c r="J91" s="269" t="str">
        <f>IFERROR(IF(VLOOKUP($A91,Outbound!$E$1:$BA$411,17,FALSE)="","","Y"),"")</f>
        <v/>
      </c>
      <c r="K91" s="243"/>
      <c r="L91" s="243"/>
      <c r="M91" s="244">
        <f t="shared" si="17"/>
        <v>0</v>
      </c>
      <c r="N91" s="245"/>
      <c r="O91" s="245"/>
      <c r="P91" s="267" t="str">
        <f>IFERROR(IF(VLOOKUP(A91,Outbound!$E$1:$AY$411,46,FALSE)&lt;&gt;"","Y",""),"")</f>
        <v/>
      </c>
      <c r="Q91" s="267" t="str">
        <f>IFERROR(IF(VLOOKUP($A91,Outbound!$E$1:$BA$411,20,FALSE)="","","Y"),"")</f>
        <v/>
      </c>
      <c r="R91" s="267" t="str">
        <f>IFERROR(IF(VLOOKUP($A91,Outbound!$E$1:$BA$411,49,FALSE)="","","Y"),"")</f>
        <v/>
      </c>
      <c r="S91" s="309"/>
      <c r="T91" s="309"/>
      <c r="U91" s="246"/>
      <c r="V91" s="246"/>
      <c r="W91" s="117" t="str">
        <f>IFERROR(IF(VLOOKUP($A91,Outbound!$E$1:$BA$411,14,FALSE)="VARIATA","NEW TRAILER",""),"")</f>
        <v/>
      </c>
      <c r="X91" s="117" t="str">
        <f>IFERROR(IF(VLOOKUP(A91,Outbound!$E$1:$Y$411,21,FALSE)&lt;&gt;"",VLOOKUP(A91,Outbound!$E$1:$Y$411,21,FALSE),VLOOKUP(A91,Outbound!$E$1:$Y$411,19,FALSE)),"")</f>
        <v/>
      </c>
      <c r="Y91" s="117" t="str">
        <f>IFERROR(CONCATENATE(VLOOKUP($A91,Outbound!$E$1:$BA$411,44,FALSE)," - ",VLOOKUP($A91,Outbound!$E$1:$BA$411,16,FALSE)," - "),"")</f>
        <v/>
      </c>
      <c r="Z91" s="246" t="str">
        <f>IFERROR(VLOOKUP(A91,Outbound!$E$2:$AK$412,33,FALSE),"")</f>
        <v/>
      </c>
      <c r="AA91" s="246"/>
      <c r="AB91" s="344" t="str">
        <f>IFERROR(IF(VLOOKUP($A91,Outbound!$E$1:$BA$411,48,FALSE)&lt;&gt;0,VLOOKUP($A91,Outbound!$E$1:$BA$411,48,FALSE),""),"")</f>
        <v/>
      </c>
      <c r="AC91" s="314" t="str">
        <f>IFERROR(IF(VLOOKUP($A91,Outbound!$E$1:$BA$411,49,FALSE)&lt;&gt;0,VLOOKUP($A91,Outbound!$E$1:$BA$411,49,FALSE),""),"")</f>
        <v/>
      </c>
      <c r="AQ91" s="229"/>
      <c r="AR91" s="229"/>
      <c r="AS91" s="229"/>
      <c r="BM91" s="189"/>
      <c r="BN91" s="189"/>
      <c r="BO91" s="189"/>
    </row>
    <row r="92" spans="1:67" ht="12" customHeight="1">
      <c r="A92" s="237"/>
      <c r="B92" s="238" t="e">
        <f t="shared" si="18"/>
        <v>#N/A</v>
      </c>
      <c r="C92" s="239" t="e">
        <f t="shared" si="19"/>
        <v>#N/A</v>
      </c>
      <c r="D92" s="239" t="e">
        <f t="shared" si="20"/>
        <v>#N/A</v>
      </c>
      <c r="E92" s="240" t="e">
        <f t="shared" si="21"/>
        <v>#N/A</v>
      </c>
      <c r="F92" s="241"/>
      <c r="G92" s="241"/>
      <c r="H92" s="308" t="e">
        <f>IF(VLOOKUP(A92,Outbound!$E$1:$Q$411,13,FALSE)=0,VLOOKUP(A92,AK:BL,13,FALSE),VLOOKUP(A92,Outbound!$E$1:$Q$411,13,FALSE))</f>
        <v>#N/A</v>
      </c>
      <c r="I92" s="242" t="e">
        <f t="shared" si="16"/>
        <v>#N/A</v>
      </c>
      <c r="J92" s="269" t="str">
        <f>IFERROR(IF(VLOOKUP($A92,Outbound!$E$1:$BA$411,17,FALSE)="","","Y"),"")</f>
        <v/>
      </c>
      <c r="K92" s="243"/>
      <c r="L92" s="243"/>
      <c r="M92" s="244">
        <f t="shared" si="17"/>
        <v>0</v>
      </c>
      <c r="N92" s="245"/>
      <c r="O92" s="245"/>
      <c r="P92" s="267" t="str">
        <f>IFERROR(IF(VLOOKUP(A92,Outbound!$E$1:$AY$411,46,FALSE)&lt;&gt;"","Y",""),"")</f>
        <v/>
      </c>
      <c r="Q92" s="267" t="str">
        <f>IFERROR(IF(VLOOKUP($A92,Outbound!$E$1:$BA$411,20,FALSE)="","","Y"),"")</f>
        <v/>
      </c>
      <c r="R92" s="267" t="str">
        <f>IFERROR(IF(VLOOKUP($A92,Outbound!$E$1:$BA$411,49,FALSE)="","","Y"),"")</f>
        <v/>
      </c>
      <c r="S92" s="309"/>
      <c r="T92" s="309"/>
      <c r="U92" s="246"/>
      <c r="V92" s="246"/>
      <c r="W92" s="117" t="str">
        <f>IFERROR(IF(VLOOKUP($A92,Outbound!$E$1:$BA$411,14,FALSE)="VARIATA","NEW TRAILER",""),"")</f>
        <v/>
      </c>
      <c r="X92" s="117" t="str">
        <f>IFERROR(IF(VLOOKUP(A92,Outbound!$E$1:$Y$411,21,FALSE)&lt;&gt;"",VLOOKUP(A92,Outbound!$E$1:$Y$411,21,FALSE),VLOOKUP(A92,Outbound!$E$1:$Y$411,19,FALSE)),"")</f>
        <v/>
      </c>
      <c r="Y92" s="117" t="str">
        <f>IFERROR(CONCATENATE(VLOOKUP($A92,Outbound!$E$1:$BA$411,44,FALSE)," - ",VLOOKUP($A92,Outbound!$E$1:$BA$411,16,FALSE)," - "),"")</f>
        <v/>
      </c>
      <c r="Z92" s="246" t="str">
        <f>IFERROR(VLOOKUP(A92,Outbound!$E$2:$AK$412,33,FALSE),"")</f>
        <v/>
      </c>
      <c r="AA92" s="246"/>
      <c r="AB92" s="344" t="str">
        <f>IFERROR(IF(VLOOKUP($A92,Outbound!$E$1:$BA$411,48,FALSE)&lt;&gt;0,VLOOKUP($A92,Outbound!$E$1:$BA$411,48,FALSE),""),"")</f>
        <v/>
      </c>
      <c r="AC92" s="314" t="str">
        <f>IFERROR(IF(VLOOKUP($A92,Outbound!$E$1:$BA$411,49,FALSE)&lt;&gt;0,VLOOKUP($A92,Outbound!$E$1:$BA$411,49,FALSE),""),"")</f>
        <v/>
      </c>
      <c r="AQ92" s="229"/>
      <c r="AR92" s="229"/>
      <c r="AS92" s="229"/>
      <c r="BM92" s="189"/>
      <c r="BN92" s="189"/>
      <c r="BO92" s="189"/>
    </row>
    <row r="93" spans="1:67" ht="12" customHeight="1">
      <c r="A93" s="237"/>
      <c r="B93" s="238" t="e">
        <f t="shared" si="18"/>
        <v>#N/A</v>
      </c>
      <c r="C93" s="239" t="e">
        <f t="shared" si="19"/>
        <v>#N/A</v>
      </c>
      <c r="D93" s="239" t="e">
        <f t="shared" si="20"/>
        <v>#N/A</v>
      </c>
      <c r="E93" s="240" t="e">
        <f t="shared" si="21"/>
        <v>#N/A</v>
      </c>
      <c r="F93" s="241"/>
      <c r="G93" s="241"/>
      <c r="H93" s="308" t="e">
        <f>IF(VLOOKUP(A93,Outbound!$E$1:$Q$411,13,FALSE)=0,VLOOKUP(A93,AK:BL,13,FALSE),VLOOKUP(A93,Outbound!$E$1:$Q$411,13,FALSE))</f>
        <v>#N/A</v>
      </c>
      <c r="I93" s="242" t="e">
        <f t="shared" si="16"/>
        <v>#N/A</v>
      </c>
      <c r="J93" s="269" t="str">
        <f>IFERROR(IF(VLOOKUP($A93,Outbound!$E$1:$BA$411,17,FALSE)="","","Y"),"")</f>
        <v/>
      </c>
      <c r="K93" s="243"/>
      <c r="L93" s="243"/>
      <c r="M93" s="244">
        <f t="shared" si="17"/>
        <v>0</v>
      </c>
      <c r="N93" s="245"/>
      <c r="O93" s="245"/>
      <c r="P93" s="267" t="str">
        <f>IFERROR(IF(VLOOKUP(A93,Outbound!$E$1:$AY$411,46,FALSE)&lt;&gt;"","Y",""),"")</f>
        <v/>
      </c>
      <c r="Q93" s="267" t="str">
        <f>IFERROR(IF(VLOOKUP($A93,Outbound!$E$1:$BA$411,20,FALSE)="","","Y"),"")</f>
        <v/>
      </c>
      <c r="R93" s="267" t="str">
        <f>IFERROR(IF(VLOOKUP($A93,Outbound!$E$1:$BA$411,49,FALSE)="","","Y"),"")</f>
        <v/>
      </c>
      <c r="S93" s="309"/>
      <c r="T93" s="309"/>
      <c r="U93" s="246"/>
      <c r="V93" s="246"/>
      <c r="W93" s="117" t="str">
        <f>IFERROR(IF(VLOOKUP($A93,Outbound!$E$1:$BA$411,14,FALSE)="VARIATA","NEW TRAILER",""),"")</f>
        <v/>
      </c>
      <c r="X93" s="117" t="str">
        <f>IFERROR(IF(VLOOKUP(A93,Outbound!$E$1:$Y$411,21,FALSE)&lt;&gt;"",VLOOKUP(A93,Outbound!$E$1:$Y$411,21,FALSE),VLOOKUP(A93,Outbound!$E$1:$Y$411,19,FALSE)),"")</f>
        <v/>
      </c>
      <c r="Y93" s="117" t="str">
        <f>IFERROR(CONCATENATE(VLOOKUP($A93,Outbound!$E$1:$BA$411,44,FALSE)," - ",VLOOKUP($A93,Outbound!$E$1:$BA$411,16,FALSE)," - "),"")</f>
        <v/>
      </c>
      <c r="Z93" s="246" t="str">
        <f>IFERROR(VLOOKUP(A93,Outbound!$E$2:$AK$412,33,FALSE),"")</f>
        <v/>
      </c>
      <c r="AA93" s="246"/>
      <c r="AB93" s="344" t="str">
        <f>IFERROR(IF(VLOOKUP($A93,Outbound!$E$1:$BA$411,48,FALSE)&lt;&gt;0,VLOOKUP($A93,Outbound!$E$1:$BA$411,48,FALSE),""),"")</f>
        <v/>
      </c>
      <c r="AC93" s="314" t="str">
        <f>IFERROR(IF(VLOOKUP($A93,Outbound!$E$1:$BA$411,49,FALSE)&lt;&gt;0,VLOOKUP($A93,Outbound!$E$1:$BA$411,49,FALSE),""),"")</f>
        <v/>
      </c>
      <c r="AQ93" s="229"/>
      <c r="AR93" s="229"/>
      <c r="AS93" s="229"/>
      <c r="BM93" s="189"/>
      <c r="BN93" s="189"/>
      <c r="BO93" s="189"/>
    </row>
    <row r="94" spans="1:67" ht="12" customHeight="1">
      <c r="A94" s="237"/>
      <c r="B94" s="238" t="e">
        <f t="shared" si="18"/>
        <v>#N/A</v>
      </c>
      <c r="C94" s="239" t="e">
        <f t="shared" si="19"/>
        <v>#N/A</v>
      </c>
      <c r="D94" s="239" t="e">
        <f t="shared" si="20"/>
        <v>#N/A</v>
      </c>
      <c r="E94" s="240" t="e">
        <f t="shared" si="21"/>
        <v>#N/A</v>
      </c>
      <c r="F94" s="241"/>
      <c r="G94" s="241"/>
      <c r="H94" s="308" t="e">
        <f>IF(VLOOKUP(A94,Outbound!$E$1:$Q$411,13,FALSE)=0,VLOOKUP(A94,AK:BL,13,FALSE),VLOOKUP(A94,Outbound!$E$1:$Q$411,13,FALSE))</f>
        <v>#N/A</v>
      </c>
      <c r="I94" s="242" t="e">
        <f t="shared" si="16"/>
        <v>#N/A</v>
      </c>
      <c r="J94" s="269" t="str">
        <f>IFERROR(IF(VLOOKUP($A94,Outbound!$E$1:$BA$411,17,FALSE)="","","Y"),"")</f>
        <v/>
      </c>
      <c r="K94" s="243"/>
      <c r="L94" s="243"/>
      <c r="M94" s="244">
        <f t="shared" si="17"/>
        <v>0</v>
      </c>
      <c r="N94" s="245"/>
      <c r="O94" s="245"/>
      <c r="P94" s="267" t="str">
        <f>IFERROR(IF(VLOOKUP(A94,Outbound!$E$1:$AY$411,46,FALSE)&lt;&gt;"","Y",""),"")</f>
        <v/>
      </c>
      <c r="Q94" s="267" t="str">
        <f>IFERROR(IF(VLOOKUP($A94,Outbound!$E$1:$BA$411,20,FALSE)="","","Y"),"")</f>
        <v/>
      </c>
      <c r="R94" s="267" t="str">
        <f>IFERROR(IF(VLOOKUP($A94,Outbound!$E$1:$BA$411,49,FALSE)="","","Y"),"")</f>
        <v/>
      </c>
      <c r="S94" s="309"/>
      <c r="T94" s="309"/>
      <c r="U94" s="246"/>
      <c r="V94" s="246"/>
      <c r="W94" s="117" t="str">
        <f>IFERROR(IF(VLOOKUP($A94,Outbound!$E$1:$BA$411,14,FALSE)="VARIATA","NEW TRAILER",""),"")</f>
        <v/>
      </c>
      <c r="X94" s="117" t="str">
        <f>IFERROR(IF(VLOOKUP(A94,Outbound!$E$1:$Y$411,21,FALSE)&lt;&gt;"",VLOOKUP(A94,Outbound!$E$1:$Y$411,21,FALSE),VLOOKUP(A94,Outbound!$E$1:$Y$411,19,FALSE)),"")</f>
        <v/>
      </c>
      <c r="Y94" s="117" t="str">
        <f>IFERROR(CONCATENATE(VLOOKUP($A94,Outbound!$E$1:$BA$411,44,FALSE)," - ",VLOOKUP($A94,Outbound!$E$1:$BA$411,16,FALSE)," - "),"")</f>
        <v/>
      </c>
      <c r="Z94" s="246" t="str">
        <f>IFERROR(VLOOKUP(A94,Outbound!$E$2:$AK$412,33,FALSE),"")</f>
        <v/>
      </c>
      <c r="AA94" s="246"/>
      <c r="AB94" s="344" t="str">
        <f>IFERROR(IF(VLOOKUP($A94,Outbound!$E$1:$BA$411,48,FALSE)&lt;&gt;0,VLOOKUP($A94,Outbound!$E$1:$BA$411,48,FALSE),""),"")</f>
        <v/>
      </c>
      <c r="AC94" s="314" t="str">
        <f>IFERROR(IF(VLOOKUP($A94,Outbound!$E$1:$BA$411,49,FALSE)&lt;&gt;0,VLOOKUP($A94,Outbound!$E$1:$BA$411,49,FALSE),""),"")</f>
        <v/>
      </c>
      <c r="AQ94" s="229"/>
      <c r="AR94" s="229"/>
      <c r="AS94" s="229"/>
      <c r="BM94" s="189"/>
      <c r="BN94" s="189"/>
      <c r="BO94" s="189"/>
    </row>
    <row r="95" spans="1:67" ht="12" customHeight="1">
      <c r="A95" s="237"/>
      <c r="B95" s="238" t="e">
        <f t="shared" si="18"/>
        <v>#N/A</v>
      </c>
      <c r="C95" s="239" t="e">
        <f t="shared" si="19"/>
        <v>#N/A</v>
      </c>
      <c r="D95" s="239" t="e">
        <f t="shared" si="20"/>
        <v>#N/A</v>
      </c>
      <c r="E95" s="240" t="e">
        <f t="shared" si="21"/>
        <v>#N/A</v>
      </c>
      <c r="F95" s="241"/>
      <c r="G95" s="241"/>
      <c r="H95" s="308" t="e">
        <f>IF(VLOOKUP(A95,Outbound!$E$1:$Q$411,13,FALSE)=0,VLOOKUP(A95,AK:BL,13,FALSE),VLOOKUP(A95,Outbound!$E$1:$Q$411,13,FALSE))</f>
        <v>#N/A</v>
      </c>
      <c r="I95" s="242" t="e">
        <f t="shared" si="16"/>
        <v>#N/A</v>
      </c>
      <c r="J95" s="269" t="str">
        <f>IFERROR(IF(VLOOKUP($A95,Outbound!$E$1:$BA$411,17,FALSE)="","","Y"),"")</f>
        <v/>
      </c>
      <c r="K95" s="243"/>
      <c r="L95" s="243"/>
      <c r="M95" s="244">
        <f t="shared" si="17"/>
        <v>0</v>
      </c>
      <c r="N95" s="245"/>
      <c r="O95" s="245"/>
      <c r="P95" s="267" t="str">
        <f>IFERROR(IF(VLOOKUP(A95,Outbound!$E$1:$AY$411,46,FALSE)&lt;&gt;"","Y",""),"")</f>
        <v/>
      </c>
      <c r="Q95" s="267" t="str">
        <f>IFERROR(IF(VLOOKUP($A95,Outbound!$E$1:$BA$411,20,FALSE)="","","Y"),"")</f>
        <v/>
      </c>
      <c r="R95" s="267" t="str">
        <f>IFERROR(IF(VLOOKUP($A95,Outbound!$E$1:$BA$411,49,FALSE)="","","Y"),"")</f>
        <v/>
      </c>
      <c r="S95" s="309"/>
      <c r="T95" s="309"/>
      <c r="U95" s="246"/>
      <c r="V95" s="246"/>
      <c r="W95" s="117" t="str">
        <f>IFERROR(IF(VLOOKUP($A95,Outbound!$E$1:$BA$411,14,FALSE)="VARIATA","NEW TRAILER",""),"")</f>
        <v/>
      </c>
      <c r="X95" s="117" t="str">
        <f>IFERROR(IF(VLOOKUP(A95,Outbound!$E$1:$Y$411,21,FALSE)&lt;&gt;"",VLOOKUP(A95,Outbound!$E$1:$Y$411,21,FALSE),VLOOKUP(A95,Outbound!$E$1:$Y$411,19,FALSE)),"")</f>
        <v/>
      </c>
      <c r="Y95" s="117" t="str">
        <f>IFERROR(CONCATENATE(VLOOKUP($A95,Outbound!$E$1:$BA$411,44,FALSE)," - ",VLOOKUP($A95,Outbound!$E$1:$BA$411,16,FALSE)," - "),"")</f>
        <v/>
      </c>
      <c r="Z95" s="246" t="str">
        <f>IFERROR(VLOOKUP(A95,Outbound!$E$2:$AK$412,33,FALSE),"")</f>
        <v/>
      </c>
      <c r="AA95" s="246"/>
      <c r="AB95" s="344" t="str">
        <f>IFERROR(IF(VLOOKUP($A95,Outbound!$E$1:$BA$411,48,FALSE)&lt;&gt;0,VLOOKUP($A95,Outbound!$E$1:$BA$411,48,FALSE),""),"")</f>
        <v/>
      </c>
      <c r="AC95" s="314" t="str">
        <f>IFERROR(IF(VLOOKUP($A95,Outbound!$E$1:$BA$411,49,FALSE)&lt;&gt;0,VLOOKUP($A95,Outbound!$E$1:$BA$411,49,FALSE),""),"")</f>
        <v/>
      </c>
      <c r="AQ95" s="229"/>
      <c r="AR95" s="229"/>
      <c r="AS95" s="229"/>
      <c r="BM95" s="189"/>
      <c r="BN95" s="189"/>
      <c r="BO95" s="189"/>
    </row>
    <row r="96" spans="1:67" ht="12" customHeight="1">
      <c r="A96" s="237"/>
      <c r="B96" s="238" t="e">
        <f t="shared" si="18"/>
        <v>#N/A</v>
      </c>
      <c r="C96" s="239" t="e">
        <f t="shared" si="19"/>
        <v>#N/A</v>
      </c>
      <c r="D96" s="239" t="e">
        <f t="shared" si="20"/>
        <v>#N/A</v>
      </c>
      <c r="E96" s="240" t="e">
        <f t="shared" si="21"/>
        <v>#N/A</v>
      </c>
      <c r="F96" s="241"/>
      <c r="G96" s="241"/>
      <c r="H96" s="308" t="e">
        <f>IF(VLOOKUP(A96,Outbound!$E$1:$Q$411,13,FALSE)=0,VLOOKUP(A96,AK:BL,13,FALSE),VLOOKUP(A96,Outbound!$E$1:$Q$411,13,FALSE))</f>
        <v>#N/A</v>
      </c>
      <c r="I96" s="242" t="e">
        <f t="shared" si="16"/>
        <v>#N/A</v>
      </c>
      <c r="J96" s="269" t="str">
        <f>IFERROR(IF(VLOOKUP($A96,Outbound!$E$1:$BA$411,17,FALSE)="","","Y"),"")</f>
        <v/>
      </c>
      <c r="K96" s="243"/>
      <c r="L96" s="243"/>
      <c r="M96" s="244">
        <f t="shared" si="17"/>
        <v>0</v>
      </c>
      <c r="N96" s="245"/>
      <c r="O96" s="245"/>
      <c r="P96" s="267" t="str">
        <f>IFERROR(IF(VLOOKUP(A96,Outbound!$E$1:$AY$411,46,FALSE)&lt;&gt;"","Y",""),"")</f>
        <v/>
      </c>
      <c r="Q96" s="267" t="str">
        <f>IFERROR(IF(VLOOKUP($A96,Outbound!$E$1:$BA$411,20,FALSE)="","","Y"),"")</f>
        <v/>
      </c>
      <c r="R96" s="267" t="str">
        <f>IFERROR(IF(VLOOKUP($A96,Outbound!$E$1:$BA$411,49,FALSE)="","","Y"),"")</f>
        <v/>
      </c>
      <c r="S96" s="309"/>
      <c r="T96" s="309"/>
      <c r="U96" s="246"/>
      <c r="V96" s="246"/>
      <c r="W96" s="117" t="str">
        <f>IFERROR(IF(VLOOKUP($A96,Outbound!$E$1:$BA$411,14,FALSE)="VARIATA","NEW TRAILER",""),"")</f>
        <v/>
      </c>
      <c r="X96" s="117" t="str">
        <f>IFERROR(IF(VLOOKUP(A96,Outbound!$E$1:$Y$411,21,FALSE)&lt;&gt;"",VLOOKUP(A96,Outbound!$E$1:$Y$411,21,FALSE),VLOOKUP(A96,Outbound!$E$1:$Y$411,19,FALSE)),"")</f>
        <v/>
      </c>
      <c r="Y96" s="117" t="str">
        <f>IFERROR(CONCATENATE(VLOOKUP($A96,Outbound!$E$1:$BA$411,44,FALSE)," - ",VLOOKUP($A96,Outbound!$E$1:$BA$411,16,FALSE)," - "),"")</f>
        <v/>
      </c>
      <c r="Z96" s="246" t="str">
        <f>IFERROR(VLOOKUP(A96,Outbound!$E$2:$AK$412,33,FALSE),"")</f>
        <v/>
      </c>
      <c r="AA96" s="246"/>
      <c r="AB96" s="344" t="str">
        <f>IFERROR(IF(VLOOKUP($A96,Outbound!$E$1:$BA$411,48,FALSE)&lt;&gt;0,VLOOKUP($A96,Outbound!$E$1:$BA$411,48,FALSE),""),"")</f>
        <v/>
      </c>
      <c r="AC96" s="314" t="str">
        <f>IFERROR(IF(VLOOKUP($A96,Outbound!$E$1:$BA$411,49,FALSE)&lt;&gt;0,VLOOKUP($A96,Outbound!$E$1:$BA$411,49,FALSE),""),"")</f>
        <v/>
      </c>
      <c r="AQ96" s="229"/>
      <c r="AR96" s="229"/>
      <c r="AS96" s="229"/>
      <c r="BM96" s="189"/>
      <c r="BN96" s="189"/>
      <c r="BO96" s="189"/>
    </row>
    <row r="97" spans="1:67" ht="12" customHeight="1">
      <c r="A97" s="237"/>
      <c r="B97" s="238" t="e">
        <f t="shared" si="18"/>
        <v>#N/A</v>
      </c>
      <c r="C97" s="239" t="e">
        <f t="shared" si="19"/>
        <v>#N/A</v>
      </c>
      <c r="D97" s="239" t="e">
        <f t="shared" si="20"/>
        <v>#N/A</v>
      </c>
      <c r="E97" s="240" t="e">
        <f t="shared" si="21"/>
        <v>#N/A</v>
      </c>
      <c r="F97" s="241"/>
      <c r="G97" s="241"/>
      <c r="H97" s="308" t="e">
        <f>IF(VLOOKUP(A97,Outbound!$E$1:$Q$411,13,FALSE)=0,VLOOKUP(A97,AK:BL,13,FALSE),VLOOKUP(A97,Outbound!$E$1:$Q$411,13,FALSE))</f>
        <v>#N/A</v>
      </c>
      <c r="I97" s="242" t="e">
        <f t="shared" si="16"/>
        <v>#N/A</v>
      </c>
      <c r="J97" s="269" t="str">
        <f>IFERROR(IF(VLOOKUP($A97,Outbound!$E$1:$BA$411,17,FALSE)="","","Y"),"")</f>
        <v/>
      </c>
      <c r="K97" s="243"/>
      <c r="L97" s="243"/>
      <c r="M97" s="244">
        <f t="shared" si="17"/>
        <v>0</v>
      </c>
      <c r="N97" s="245"/>
      <c r="O97" s="245"/>
      <c r="P97" s="267" t="str">
        <f>IFERROR(IF(VLOOKUP(A97,Outbound!$E$1:$AY$411,46,FALSE)&lt;&gt;"","Y",""),"")</f>
        <v/>
      </c>
      <c r="Q97" s="267" t="str">
        <f>IFERROR(IF(VLOOKUP($A97,Outbound!$E$1:$BA$411,20,FALSE)="","","Y"),"")</f>
        <v/>
      </c>
      <c r="R97" s="267" t="str">
        <f>IFERROR(IF(VLOOKUP($A97,Outbound!$E$1:$BA$411,49,FALSE)="","","Y"),"")</f>
        <v/>
      </c>
      <c r="S97" s="309"/>
      <c r="T97" s="309"/>
      <c r="U97" s="246"/>
      <c r="V97" s="246"/>
      <c r="W97" s="117" t="str">
        <f>IFERROR(IF(VLOOKUP($A97,Outbound!$E$1:$BA$411,14,FALSE)="VARIATA","NEW TRAILER",""),"")</f>
        <v/>
      </c>
      <c r="X97" s="117" t="str">
        <f>IFERROR(IF(VLOOKUP(A97,Outbound!$E$1:$Y$411,21,FALSE)&lt;&gt;"",VLOOKUP(A97,Outbound!$E$1:$Y$411,21,FALSE),VLOOKUP(A97,Outbound!$E$1:$Y$411,19,FALSE)),"")</f>
        <v/>
      </c>
      <c r="Y97" s="117" t="str">
        <f>IFERROR(CONCATENATE(VLOOKUP($A97,Outbound!$E$1:$BA$411,44,FALSE)," - ",VLOOKUP($A97,Outbound!$E$1:$BA$411,16,FALSE)," - "),"")</f>
        <v/>
      </c>
      <c r="Z97" s="246" t="str">
        <f>IFERROR(VLOOKUP(A97,Outbound!$E$2:$AK$412,33,FALSE),"")</f>
        <v/>
      </c>
      <c r="AA97" s="246"/>
      <c r="AB97" s="344" t="str">
        <f>IFERROR(IF(VLOOKUP($A97,Outbound!$E$1:$BA$411,48,FALSE)&lt;&gt;0,VLOOKUP($A97,Outbound!$E$1:$BA$411,48,FALSE),""),"")</f>
        <v/>
      </c>
      <c r="AC97" s="314" t="str">
        <f>IFERROR(IF(VLOOKUP($A97,Outbound!$E$1:$BA$411,49,FALSE)&lt;&gt;0,VLOOKUP($A97,Outbound!$E$1:$BA$411,49,FALSE),""),"")</f>
        <v/>
      </c>
      <c r="AQ97" s="229"/>
      <c r="AR97" s="229"/>
      <c r="AS97" s="229"/>
      <c r="BM97" s="189"/>
      <c r="BN97" s="189"/>
      <c r="BO97" s="189"/>
    </row>
    <row r="98" spans="1:67" ht="12" customHeight="1">
      <c r="A98" s="237"/>
      <c r="B98" s="238" t="e">
        <f t="shared" si="18"/>
        <v>#N/A</v>
      </c>
      <c r="C98" s="239" t="e">
        <f t="shared" si="19"/>
        <v>#N/A</v>
      </c>
      <c r="D98" s="239" t="e">
        <f t="shared" si="20"/>
        <v>#N/A</v>
      </c>
      <c r="E98" s="240" t="e">
        <f t="shared" si="21"/>
        <v>#N/A</v>
      </c>
      <c r="F98" s="241"/>
      <c r="G98" s="241"/>
      <c r="H98" s="308" t="e">
        <f>IF(VLOOKUP(A98,Outbound!$E$1:$Q$411,13,FALSE)=0,VLOOKUP(A98,AK:BL,13,FALSE),VLOOKUP(A98,Outbound!$E$1:$Q$411,13,FALSE))</f>
        <v>#N/A</v>
      </c>
      <c r="I98" s="242" t="e">
        <f t="shared" si="16"/>
        <v>#N/A</v>
      </c>
      <c r="J98" s="269" t="str">
        <f>IFERROR(IF(VLOOKUP($A98,Outbound!$E$1:$BA$411,17,FALSE)="","","Y"),"")</f>
        <v/>
      </c>
      <c r="K98" s="243"/>
      <c r="L98" s="243"/>
      <c r="M98" s="244">
        <f t="shared" si="17"/>
        <v>0</v>
      </c>
      <c r="N98" s="245"/>
      <c r="O98" s="245"/>
      <c r="P98" s="267" t="str">
        <f>IFERROR(IF(VLOOKUP(A98,Outbound!$E$1:$AY$411,46,FALSE)&lt;&gt;"","Y",""),"")</f>
        <v/>
      </c>
      <c r="Q98" s="267" t="str">
        <f>IFERROR(IF(VLOOKUP($A98,Outbound!$E$1:$BA$411,20,FALSE)="","","Y"),"")</f>
        <v/>
      </c>
      <c r="R98" s="267" t="str">
        <f>IFERROR(IF(VLOOKUP($A98,Outbound!$E$1:$BA$411,49,FALSE)="","","Y"),"")</f>
        <v/>
      </c>
      <c r="S98" s="309"/>
      <c r="T98" s="309"/>
      <c r="U98" s="246"/>
      <c r="V98" s="246"/>
      <c r="W98" s="117" t="str">
        <f>IFERROR(IF(VLOOKUP($A98,Outbound!$E$1:$BA$411,14,FALSE)="VARIATA","NEW TRAILER",""),"")</f>
        <v/>
      </c>
      <c r="X98" s="117" t="str">
        <f>IFERROR(IF(VLOOKUP(A98,Outbound!$E$1:$Y$411,21,FALSE)&lt;&gt;"",VLOOKUP(A98,Outbound!$E$1:$Y$411,21,FALSE),VLOOKUP(A98,Outbound!$E$1:$Y$411,19,FALSE)),"")</f>
        <v/>
      </c>
      <c r="Y98" s="117" t="str">
        <f>IFERROR(CONCATENATE(VLOOKUP($A98,Outbound!$E$1:$BA$411,44,FALSE)," - ",VLOOKUP($A98,Outbound!$E$1:$BA$411,16,FALSE)," - "),"")</f>
        <v/>
      </c>
      <c r="Z98" s="246" t="str">
        <f>IFERROR(VLOOKUP(A98,Outbound!$E$2:$AK$412,33,FALSE),"")</f>
        <v/>
      </c>
      <c r="AA98" s="246"/>
      <c r="AB98" s="344" t="str">
        <f>IFERROR(IF(VLOOKUP($A98,Outbound!$E$1:$BA$411,48,FALSE)&lt;&gt;0,VLOOKUP($A98,Outbound!$E$1:$BA$411,48,FALSE),""),"")</f>
        <v/>
      </c>
      <c r="AC98" s="314" t="str">
        <f>IFERROR(IF(VLOOKUP($A98,Outbound!$E$1:$BA$411,49,FALSE)&lt;&gt;0,VLOOKUP($A98,Outbound!$E$1:$BA$411,49,FALSE),""),"")</f>
        <v/>
      </c>
      <c r="AQ98" s="229"/>
      <c r="AR98" s="229"/>
      <c r="BM98" s="189"/>
      <c r="BN98" s="189"/>
      <c r="BO98" s="189"/>
    </row>
    <row r="99" spans="1:67" ht="12" customHeight="1">
      <c r="A99" s="237"/>
      <c r="B99" s="238" t="e">
        <f t="shared" si="18"/>
        <v>#N/A</v>
      </c>
      <c r="C99" s="239" t="e">
        <f t="shared" si="19"/>
        <v>#N/A</v>
      </c>
      <c r="D99" s="239" t="e">
        <f t="shared" si="20"/>
        <v>#N/A</v>
      </c>
      <c r="E99" s="240" t="e">
        <f t="shared" si="21"/>
        <v>#N/A</v>
      </c>
      <c r="F99" s="241"/>
      <c r="G99" s="241"/>
      <c r="H99" s="308" t="e">
        <f>IF(VLOOKUP(A99,Outbound!$E$1:$Q$411,13,FALSE)=0,VLOOKUP(A99,AK:BL,13,FALSE),VLOOKUP(A99,Outbound!$E$1:$Q$411,13,FALSE))</f>
        <v>#N/A</v>
      </c>
      <c r="I99" s="242" t="e">
        <f t="shared" si="16"/>
        <v>#N/A</v>
      </c>
      <c r="J99" s="269" t="str">
        <f>IFERROR(IF(VLOOKUP($A99,Outbound!$E$1:$BA$411,17,FALSE)="","","Y"),"")</f>
        <v/>
      </c>
      <c r="K99" s="243"/>
      <c r="L99" s="243"/>
      <c r="M99" s="244">
        <f t="shared" si="17"/>
        <v>0</v>
      </c>
      <c r="N99" s="245"/>
      <c r="O99" s="245"/>
      <c r="P99" s="267" t="str">
        <f>IFERROR(IF(VLOOKUP(A99,Outbound!$E$1:$AY$411,46,FALSE)&lt;&gt;"","Y",""),"")</f>
        <v/>
      </c>
      <c r="Q99" s="267" t="str">
        <f>IFERROR(IF(VLOOKUP($A99,Outbound!$E$1:$BA$411,20,FALSE)="","","Y"),"")</f>
        <v/>
      </c>
      <c r="R99" s="267" t="str">
        <f>IFERROR(IF(VLOOKUP($A99,Outbound!$E$1:$BA$411,49,FALSE)="","","Y"),"")</f>
        <v/>
      </c>
      <c r="S99" s="309"/>
      <c r="T99" s="309"/>
      <c r="U99" s="246"/>
      <c r="V99" s="246"/>
      <c r="W99" s="117" t="str">
        <f>IFERROR(IF(VLOOKUP($A99,Outbound!$E$1:$BA$411,14,FALSE)="VARIATA","NEW TRAILER",""),"")</f>
        <v/>
      </c>
      <c r="X99" s="117" t="str">
        <f>IFERROR(IF(VLOOKUP(A99,Outbound!$E$1:$Y$411,21,FALSE)&lt;&gt;"",VLOOKUP(A99,Outbound!$E$1:$Y$411,21,FALSE),VLOOKUP(A99,Outbound!$E$1:$Y$411,19,FALSE)),"")</f>
        <v/>
      </c>
      <c r="Y99" s="117" t="str">
        <f>IFERROR(CONCATENATE(VLOOKUP($A99,Outbound!$E$1:$BA$411,44,FALSE)," - ",VLOOKUP($A99,Outbound!$E$1:$BA$411,16,FALSE)," - "),"")</f>
        <v/>
      </c>
      <c r="Z99" s="246" t="str">
        <f>IFERROR(VLOOKUP(A99,Outbound!$E$2:$AK$412,33,FALSE),"")</f>
        <v/>
      </c>
      <c r="AA99" s="246"/>
      <c r="AB99" s="344" t="str">
        <f>IFERROR(IF(VLOOKUP($A99,Outbound!$E$1:$BA$411,48,FALSE)&lt;&gt;0,VLOOKUP($A99,Outbound!$E$1:$BA$411,48,FALSE),""),"")</f>
        <v/>
      </c>
      <c r="AC99" s="314" t="str">
        <f>IFERROR(IF(VLOOKUP($A99,Outbound!$E$1:$BA$411,49,FALSE)&lt;&gt;0,VLOOKUP($A99,Outbound!$E$1:$BA$411,49,FALSE),""),"")</f>
        <v/>
      </c>
      <c r="AQ99" s="229"/>
      <c r="BM99" s="189"/>
      <c r="BN99" s="189"/>
      <c r="BO99" s="189"/>
    </row>
    <row r="100" spans="1:67" ht="12" customHeight="1">
      <c r="A100" s="237"/>
      <c r="B100" s="238" t="e">
        <f t="shared" si="18"/>
        <v>#N/A</v>
      </c>
      <c r="C100" s="239" t="e">
        <f t="shared" si="19"/>
        <v>#N/A</v>
      </c>
      <c r="D100" s="239" t="e">
        <f t="shared" si="20"/>
        <v>#N/A</v>
      </c>
      <c r="E100" s="240" t="e">
        <f t="shared" si="21"/>
        <v>#N/A</v>
      </c>
      <c r="F100" s="241"/>
      <c r="G100" s="241"/>
      <c r="H100" s="308" t="e">
        <f>IF(VLOOKUP(A100,Outbound!$E$1:$Q$411,13,FALSE)=0,VLOOKUP(A100,AK:BL,13,FALSE),VLOOKUP(A100,Outbound!$E$1:$Q$411,13,FALSE))</f>
        <v>#N/A</v>
      </c>
      <c r="I100" s="242" t="e">
        <f t="shared" si="16"/>
        <v>#N/A</v>
      </c>
      <c r="J100" s="269" t="str">
        <f>IFERROR(IF(VLOOKUP($A100,Outbound!$E$1:$BA$411,17,FALSE)="","","Y"),"")</f>
        <v/>
      </c>
      <c r="K100" s="243"/>
      <c r="L100" s="243"/>
      <c r="M100" s="244">
        <f t="shared" si="17"/>
        <v>0</v>
      </c>
      <c r="N100" s="245"/>
      <c r="O100" s="245"/>
      <c r="P100" s="267" t="str">
        <f>IFERROR(IF(VLOOKUP(A100,Outbound!$E$1:$AY$411,46,FALSE)&lt;&gt;"","Y",""),"")</f>
        <v/>
      </c>
      <c r="Q100" s="267" t="str">
        <f>IFERROR(IF(VLOOKUP($A100,Outbound!$E$1:$BA$411,20,FALSE)="","","Y"),"")</f>
        <v/>
      </c>
      <c r="R100" s="267" t="str">
        <f>IFERROR(IF(VLOOKUP($A100,Outbound!$E$1:$BA$411,49,FALSE)="","","Y"),"")</f>
        <v/>
      </c>
      <c r="S100" s="309"/>
      <c r="T100" s="309"/>
      <c r="U100" s="246"/>
      <c r="V100" s="246"/>
      <c r="W100" s="117" t="str">
        <f>IFERROR(IF(VLOOKUP($A100,Outbound!$E$1:$BA$411,14,FALSE)="VARIATA","NEW TRAILER",""),"")</f>
        <v/>
      </c>
      <c r="X100" s="117" t="str">
        <f>IFERROR(IF(VLOOKUP(A100,Outbound!$E$1:$Y$411,21,FALSE)&lt;&gt;"",VLOOKUP(A100,Outbound!$E$1:$Y$411,21,FALSE),VLOOKUP(A100,Outbound!$E$1:$Y$411,19,FALSE)),"")</f>
        <v/>
      </c>
      <c r="Y100" s="117" t="str">
        <f>IFERROR(CONCATENATE(VLOOKUP($A100,Outbound!$E$1:$BA$411,44,FALSE)," - ",VLOOKUP($A100,Outbound!$E$1:$BA$411,16,FALSE)," - "),"")</f>
        <v/>
      </c>
      <c r="Z100" s="246" t="str">
        <f>IFERROR(VLOOKUP(A100,Outbound!$E$2:$AK$412,33,FALSE),"")</f>
        <v/>
      </c>
      <c r="AA100" s="246"/>
      <c r="AB100" s="344" t="str">
        <f>IFERROR(IF(VLOOKUP($A100,Outbound!$E$1:$BA$411,48,FALSE)&lt;&gt;0,VLOOKUP($A100,Outbound!$E$1:$BA$411,48,FALSE),""),"")</f>
        <v/>
      </c>
      <c r="AC100" s="314" t="str">
        <f>IFERROR(IF(VLOOKUP($A100,Outbound!$E$1:$BA$411,49,FALSE)&lt;&gt;0,VLOOKUP($A100,Outbound!$E$1:$BA$411,49,FALSE),""),"")</f>
        <v/>
      </c>
      <c r="AQ100" s="229"/>
      <c r="BM100" s="189"/>
      <c r="BN100" s="189"/>
      <c r="BO100" s="189"/>
    </row>
    <row r="101" spans="1:67" ht="12" customHeight="1">
      <c r="A101" s="237"/>
      <c r="B101" s="238" t="e">
        <f t="shared" si="18"/>
        <v>#N/A</v>
      </c>
      <c r="C101" s="239" t="e">
        <f t="shared" si="19"/>
        <v>#N/A</v>
      </c>
      <c r="D101" s="239" t="e">
        <f t="shared" si="20"/>
        <v>#N/A</v>
      </c>
      <c r="E101" s="240" t="e">
        <f t="shared" si="21"/>
        <v>#N/A</v>
      </c>
      <c r="F101" s="241"/>
      <c r="G101" s="241"/>
      <c r="H101" s="308" t="e">
        <f>IF(VLOOKUP(A101,Outbound!$E$1:$Q$411,13,FALSE)=0,VLOOKUP(A101,AK:BL,13,FALSE),VLOOKUP(A101,Outbound!$E$1:$Q$411,13,FALSE))</f>
        <v>#N/A</v>
      </c>
      <c r="I101" s="242" t="e">
        <f t="shared" si="16"/>
        <v>#N/A</v>
      </c>
      <c r="J101" s="269" t="str">
        <f>IFERROR(IF(VLOOKUP($A101,Outbound!$E$1:$BA$411,17,FALSE)="","","Y"),"")</f>
        <v/>
      </c>
      <c r="K101" s="243"/>
      <c r="L101" s="243"/>
      <c r="M101" s="244">
        <f t="shared" si="17"/>
        <v>0</v>
      </c>
      <c r="N101" s="245"/>
      <c r="O101" s="245"/>
      <c r="P101" s="267" t="str">
        <f>IFERROR(IF(VLOOKUP(A101,Outbound!$E$1:$AY$411,46,FALSE)&lt;&gt;"","Y",""),"")</f>
        <v/>
      </c>
      <c r="Q101" s="267" t="str">
        <f>IFERROR(IF(VLOOKUP($A101,Outbound!$E$1:$BA$411,20,FALSE)="","","Y"),"")</f>
        <v/>
      </c>
      <c r="R101" s="267" t="str">
        <f>IFERROR(IF(VLOOKUP($A101,Outbound!$E$1:$BA$411,49,FALSE)="","","Y"),"")</f>
        <v/>
      </c>
      <c r="S101" s="309"/>
      <c r="T101" s="309"/>
      <c r="U101" s="246"/>
      <c r="V101" s="246"/>
      <c r="W101" s="117" t="str">
        <f>IFERROR(IF(VLOOKUP($A101,Outbound!$E$1:$BA$411,14,FALSE)="VARIATA","NEW TRAILER",""),"")</f>
        <v/>
      </c>
      <c r="X101" s="117" t="str">
        <f>IFERROR(IF(VLOOKUP(A101,Outbound!$E$1:$Y$411,21,FALSE)&lt;&gt;"",VLOOKUP(A101,Outbound!$E$1:$Y$411,21,FALSE),VLOOKUP(A101,Outbound!$E$1:$Y$411,19,FALSE)),"")</f>
        <v/>
      </c>
      <c r="Y101" s="117" t="str">
        <f>IFERROR(CONCATENATE(VLOOKUP($A101,Outbound!$E$1:$BA$411,44,FALSE)," - ",VLOOKUP($A101,Outbound!$E$1:$BA$411,16,FALSE)," - "),"")</f>
        <v/>
      </c>
      <c r="Z101" s="246" t="str">
        <f>IFERROR(VLOOKUP(A101,Outbound!$E$2:$AK$412,33,FALSE),"")</f>
        <v/>
      </c>
      <c r="AA101" s="246"/>
      <c r="AB101" s="344" t="str">
        <f>IFERROR(IF(VLOOKUP($A101,Outbound!$E$1:$BA$411,48,FALSE)&lt;&gt;0,VLOOKUP($A101,Outbound!$E$1:$BA$411,48,FALSE),""),"")</f>
        <v/>
      </c>
      <c r="AC101" s="314" t="str">
        <f>IFERROR(IF(VLOOKUP($A101,Outbound!$E$1:$BA$411,49,FALSE)&lt;&gt;0,VLOOKUP($A101,Outbound!$E$1:$BA$411,49,FALSE),""),"")</f>
        <v/>
      </c>
      <c r="AQ101" s="229"/>
      <c r="AR101" s="229"/>
      <c r="AS101" s="229"/>
      <c r="AU101" s="229"/>
      <c r="BM101" s="189"/>
      <c r="BN101" s="189"/>
      <c r="BO101" s="189"/>
    </row>
    <row r="102" spans="1:67" ht="12" customHeight="1">
      <c r="A102" s="237"/>
      <c r="B102" s="238" t="e">
        <f t="shared" si="18"/>
        <v>#N/A</v>
      </c>
      <c r="C102" s="239" t="e">
        <f t="shared" si="19"/>
        <v>#N/A</v>
      </c>
      <c r="D102" s="239" t="e">
        <f t="shared" si="20"/>
        <v>#N/A</v>
      </c>
      <c r="E102" s="240" t="e">
        <f t="shared" si="21"/>
        <v>#N/A</v>
      </c>
      <c r="F102" s="241"/>
      <c r="G102" s="241"/>
      <c r="H102" s="308" t="e">
        <f>IF(VLOOKUP(A102,Outbound!$E$1:$Q$411,13,FALSE)=0,VLOOKUP(A102,AK:BL,13,FALSE),VLOOKUP(A102,Outbound!$E$1:$Q$411,13,FALSE))</f>
        <v>#N/A</v>
      </c>
      <c r="I102" s="242" t="e">
        <f t="shared" si="16"/>
        <v>#N/A</v>
      </c>
      <c r="J102" s="269" t="str">
        <f>IFERROR(IF(VLOOKUP($A102,Outbound!$E$1:$BA$411,17,FALSE)="","","Y"),"")</f>
        <v/>
      </c>
      <c r="K102" s="243"/>
      <c r="L102" s="243"/>
      <c r="M102" s="244">
        <f t="shared" si="17"/>
        <v>0</v>
      </c>
      <c r="N102" s="245"/>
      <c r="O102" s="245"/>
      <c r="P102" s="267" t="str">
        <f>IFERROR(IF(VLOOKUP(A102,Outbound!$E$1:$AY$411,46,FALSE)&lt;&gt;"","Y",""),"")</f>
        <v/>
      </c>
      <c r="Q102" s="267" t="str">
        <f>IFERROR(IF(VLOOKUP($A102,Outbound!$E$1:$BA$411,20,FALSE)="","","Y"),"")</f>
        <v/>
      </c>
      <c r="R102" s="267" t="str">
        <f>IFERROR(IF(VLOOKUP($A102,Outbound!$E$1:$BA$411,49,FALSE)="","","Y"),"")</f>
        <v/>
      </c>
      <c r="S102" s="309"/>
      <c r="T102" s="309"/>
      <c r="U102" s="246"/>
      <c r="V102" s="246"/>
      <c r="W102" s="117" t="str">
        <f>IFERROR(IF(VLOOKUP($A102,Outbound!$E$1:$BA$411,14,FALSE)="VARIATA","NEW TRAILER",""),"")</f>
        <v/>
      </c>
      <c r="X102" s="117" t="str">
        <f>IFERROR(IF(VLOOKUP(A102,Outbound!$E$1:$Y$411,21,FALSE)&lt;&gt;"",VLOOKUP(A102,Outbound!$E$1:$Y$411,21,FALSE),VLOOKUP(A102,Outbound!$E$1:$Y$411,19,FALSE)),"")</f>
        <v/>
      </c>
      <c r="Y102" s="117" t="str">
        <f>IFERROR(CONCATENATE(VLOOKUP($A102,Outbound!$E$1:$BA$411,44,FALSE)," - ",VLOOKUP($A102,Outbound!$E$1:$BA$411,16,FALSE)," - "),"")</f>
        <v/>
      </c>
      <c r="Z102" s="246" t="str">
        <f>IFERROR(VLOOKUP(A102,Outbound!$E$2:$AK$412,33,FALSE),"")</f>
        <v/>
      </c>
      <c r="AA102" s="246"/>
      <c r="AB102" s="344" t="str">
        <f>IFERROR(IF(VLOOKUP($A102,Outbound!$E$1:$BA$411,48,FALSE)&lt;&gt;0,VLOOKUP($A102,Outbound!$E$1:$BA$411,48,FALSE),""),"")</f>
        <v/>
      </c>
      <c r="AC102" s="314" t="str">
        <f>IFERROR(IF(VLOOKUP($A102,Outbound!$E$1:$BA$411,49,FALSE)&lt;&gt;0,VLOOKUP($A102,Outbound!$E$1:$BA$411,49,FALSE),""),"")</f>
        <v/>
      </c>
      <c r="AQ102" s="229"/>
      <c r="AR102" s="229"/>
      <c r="BM102" s="189"/>
      <c r="BN102" s="189"/>
      <c r="BO102" s="189"/>
    </row>
    <row r="103" spans="1:67" ht="12" customHeight="1">
      <c r="A103" s="237"/>
      <c r="B103" s="238" t="e">
        <f t="shared" si="18"/>
        <v>#N/A</v>
      </c>
      <c r="C103" s="239" t="e">
        <f t="shared" si="19"/>
        <v>#N/A</v>
      </c>
      <c r="D103" s="239" t="e">
        <f t="shared" si="20"/>
        <v>#N/A</v>
      </c>
      <c r="E103" s="240" t="e">
        <f t="shared" si="21"/>
        <v>#N/A</v>
      </c>
      <c r="F103" s="241"/>
      <c r="G103" s="241"/>
      <c r="H103" s="308" t="e">
        <f>IF(VLOOKUP(A103,Outbound!$E$1:$Q$411,13,FALSE)=0,VLOOKUP(A103,AK:BL,13,FALSE),VLOOKUP(A103,Outbound!$E$1:$Q$411,13,FALSE))</f>
        <v>#N/A</v>
      </c>
      <c r="I103" s="242" t="e">
        <f t="shared" si="16"/>
        <v>#N/A</v>
      </c>
      <c r="J103" s="269" t="str">
        <f>IFERROR(IF(VLOOKUP($A103,Outbound!$E$1:$BA$411,17,FALSE)="","","Y"),"")</f>
        <v/>
      </c>
      <c r="K103" s="243"/>
      <c r="L103" s="243"/>
      <c r="M103" s="244">
        <f t="shared" si="17"/>
        <v>0</v>
      </c>
      <c r="N103" s="245"/>
      <c r="O103" s="245"/>
      <c r="P103" s="267" t="str">
        <f>IFERROR(IF(VLOOKUP(A103,Outbound!$E$1:$AY$411,46,FALSE)&lt;&gt;"","Y",""),"")</f>
        <v/>
      </c>
      <c r="Q103" s="267" t="str">
        <f>IFERROR(IF(VLOOKUP($A103,Outbound!$E$1:$BA$411,20,FALSE)="","","Y"),"")</f>
        <v/>
      </c>
      <c r="R103" s="267" t="str">
        <f>IFERROR(IF(VLOOKUP($A103,Outbound!$E$1:$BA$411,49,FALSE)="","","Y"),"")</f>
        <v/>
      </c>
      <c r="S103" s="309"/>
      <c r="T103" s="309"/>
      <c r="U103" s="246"/>
      <c r="V103" s="246"/>
      <c r="W103" s="117" t="str">
        <f>IFERROR(IF(VLOOKUP($A103,Outbound!$E$1:$BA$411,14,FALSE)="VARIATA","NEW TRAILER",""),"")</f>
        <v/>
      </c>
      <c r="X103" s="117" t="str">
        <f>IFERROR(IF(VLOOKUP(A103,Outbound!$E$1:$Y$411,21,FALSE)&lt;&gt;"",VLOOKUP(A103,Outbound!$E$1:$Y$411,21,FALSE),VLOOKUP(A103,Outbound!$E$1:$Y$411,19,FALSE)),"")</f>
        <v/>
      </c>
      <c r="Y103" s="117" t="str">
        <f>IFERROR(CONCATENATE(VLOOKUP($A103,Outbound!$E$1:$BA$411,44,FALSE)," - ",VLOOKUP($A103,Outbound!$E$1:$BA$411,16,FALSE)," - "),"")</f>
        <v/>
      </c>
      <c r="Z103" s="246" t="str">
        <f>IFERROR(VLOOKUP(A103,Outbound!$E$2:$AK$412,33,FALSE),"")</f>
        <v/>
      </c>
      <c r="AA103" s="246"/>
      <c r="AB103" s="344" t="str">
        <f>IFERROR(IF(VLOOKUP($A103,Outbound!$E$1:$BA$411,48,FALSE)&lt;&gt;0,VLOOKUP($A103,Outbound!$E$1:$BA$411,48,FALSE),""),"")</f>
        <v/>
      </c>
      <c r="AC103" s="314" t="str">
        <f>IFERROR(IF(VLOOKUP($A103,Outbound!$E$1:$BA$411,49,FALSE)&lt;&gt;0,VLOOKUP($A103,Outbound!$E$1:$BA$411,49,FALSE),""),"")</f>
        <v/>
      </c>
      <c r="AQ103" s="229"/>
      <c r="AR103" s="229"/>
      <c r="BM103" s="189"/>
      <c r="BN103" s="189"/>
      <c r="BO103" s="189"/>
    </row>
    <row r="104" spans="1:67" ht="12" customHeight="1">
      <c r="A104" s="237"/>
      <c r="B104" s="238" t="e">
        <f t="shared" si="18"/>
        <v>#N/A</v>
      </c>
      <c r="C104" s="239" t="e">
        <f t="shared" si="19"/>
        <v>#N/A</v>
      </c>
      <c r="D104" s="239" t="e">
        <f t="shared" si="20"/>
        <v>#N/A</v>
      </c>
      <c r="E104" s="240" t="e">
        <f t="shared" si="21"/>
        <v>#N/A</v>
      </c>
      <c r="F104" s="241"/>
      <c r="G104" s="241"/>
      <c r="H104" s="308" t="e">
        <f>IF(VLOOKUP(A104,Outbound!$E$1:$Q$411,13,FALSE)=0,VLOOKUP(A104,AK:BL,13,FALSE),VLOOKUP(A104,Outbound!$E$1:$Q$411,13,FALSE))</f>
        <v>#N/A</v>
      </c>
      <c r="I104" s="242" t="e">
        <f t="shared" si="16"/>
        <v>#N/A</v>
      </c>
      <c r="J104" s="269" t="str">
        <f>IFERROR(IF(VLOOKUP($A104,Outbound!$E$1:$BA$411,17,FALSE)="","","Y"),"")</f>
        <v/>
      </c>
      <c r="K104" s="243"/>
      <c r="L104" s="243"/>
      <c r="M104" s="244">
        <f t="shared" si="17"/>
        <v>0</v>
      </c>
      <c r="N104" s="245"/>
      <c r="O104" s="245"/>
      <c r="P104" s="267" t="str">
        <f>IFERROR(IF(VLOOKUP(A104,Outbound!$E$1:$AY$411,46,FALSE)&lt;&gt;"","Y",""),"")</f>
        <v/>
      </c>
      <c r="Q104" s="267" t="str">
        <f>IFERROR(IF(VLOOKUP($A104,Outbound!$E$1:$BA$411,20,FALSE)="","","Y"),"")</f>
        <v/>
      </c>
      <c r="R104" s="267" t="str">
        <f>IFERROR(IF(VLOOKUP($A104,Outbound!$E$1:$BA$411,49,FALSE)="","","Y"),"")</f>
        <v/>
      </c>
      <c r="S104" s="309"/>
      <c r="T104" s="309"/>
      <c r="U104" s="246"/>
      <c r="V104" s="246"/>
      <c r="W104" s="117" t="str">
        <f>IFERROR(IF(VLOOKUP($A104,Outbound!$E$1:$BA$411,14,FALSE)="VARIATA","NEW TRAILER",""),"")</f>
        <v/>
      </c>
      <c r="X104" s="117" t="str">
        <f>IFERROR(IF(VLOOKUP(A104,Outbound!$E$1:$Y$411,21,FALSE)&lt;&gt;"",VLOOKUP(A104,Outbound!$E$1:$Y$411,21,FALSE),VLOOKUP(A104,Outbound!$E$1:$Y$411,19,FALSE)),"")</f>
        <v/>
      </c>
      <c r="Y104" s="117" t="str">
        <f>IFERROR(CONCATENATE(VLOOKUP($A104,Outbound!$E$1:$BA$411,44,FALSE)," - ",VLOOKUP($A104,Outbound!$E$1:$BA$411,16,FALSE)," - "),"")</f>
        <v/>
      </c>
      <c r="Z104" s="246" t="str">
        <f>IFERROR(VLOOKUP(A104,Outbound!$E$2:$AK$412,33,FALSE),"")</f>
        <v/>
      </c>
      <c r="AA104" s="246"/>
      <c r="AB104" s="344" t="str">
        <f>IFERROR(IF(VLOOKUP($A104,Outbound!$E$1:$BA$411,48,FALSE)&lt;&gt;0,VLOOKUP($A104,Outbound!$E$1:$BA$411,48,FALSE),""),"")</f>
        <v/>
      </c>
      <c r="AC104" s="314" t="str">
        <f>IFERROR(IF(VLOOKUP($A104,Outbound!$E$1:$BA$411,49,FALSE)&lt;&gt;0,VLOOKUP($A104,Outbound!$E$1:$BA$411,49,FALSE),""),"")</f>
        <v/>
      </c>
      <c r="AQ104" s="229"/>
      <c r="AR104" s="229"/>
      <c r="AS104" s="229"/>
      <c r="AU104" s="229"/>
      <c r="BM104" s="189"/>
      <c r="BN104" s="189"/>
      <c r="BO104" s="189"/>
    </row>
    <row r="105" spans="1:67" ht="12" customHeight="1">
      <c r="A105" s="237"/>
      <c r="B105" s="238" t="e">
        <f t="shared" si="18"/>
        <v>#N/A</v>
      </c>
      <c r="C105" s="239" t="e">
        <f t="shared" si="19"/>
        <v>#N/A</v>
      </c>
      <c r="D105" s="239" t="e">
        <f t="shared" si="20"/>
        <v>#N/A</v>
      </c>
      <c r="E105" s="240" t="e">
        <f t="shared" si="21"/>
        <v>#N/A</v>
      </c>
      <c r="F105" s="241"/>
      <c r="G105" s="241"/>
      <c r="H105" s="308" t="e">
        <f>IF(VLOOKUP(A105,Outbound!$E$1:$Q$411,13,FALSE)=0,VLOOKUP(A105,AK:BL,13,FALSE),VLOOKUP(A105,Outbound!$E$1:$Q$411,13,FALSE))</f>
        <v>#N/A</v>
      </c>
      <c r="I105" s="242" t="e">
        <f t="shared" si="16"/>
        <v>#N/A</v>
      </c>
      <c r="J105" s="269" t="str">
        <f>IFERROR(IF(VLOOKUP($A105,Outbound!$E$1:$BA$411,17,FALSE)="","","Y"),"")</f>
        <v/>
      </c>
      <c r="K105" s="243"/>
      <c r="L105" s="243"/>
      <c r="M105" s="244">
        <f t="shared" si="17"/>
        <v>0</v>
      </c>
      <c r="N105" s="245"/>
      <c r="O105" s="245"/>
      <c r="P105" s="267" t="str">
        <f>IFERROR(IF(VLOOKUP(A105,Outbound!$E$1:$AY$411,46,FALSE)&lt;&gt;"","Y",""),"")</f>
        <v/>
      </c>
      <c r="Q105" s="267" t="str">
        <f>IFERROR(IF(VLOOKUP($A105,Outbound!$E$1:$BA$411,20,FALSE)="","","Y"),"")</f>
        <v/>
      </c>
      <c r="R105" s="267" t="str">
        <f>IFERROR(IF(VLOOKUP($A105,Outbound!$E$1:$BA$411,49,FALSE)="","","Y"),"")</f>
        <v/>
      </c>
      <c r="S105" s="309"/>
      <c r="T105" s="309"/>
      <c r="U105" s="246"/>
      <c r="V105" s="246"/>
      <c r="W105" s="117" t="str">
        <f>IFERROR(IF(VLOOKUP($A105,Outbound!$E$1:$BA$411,14,FALSE)="VARIATA","NEW TRAILER",""),"")</f>
        <v/>
      </c>
      <c r="X105" s="117" t="str">
        <f>IFERROR(IF(VLOOKUP(A105,Outbound!$E$1:$Y$411,21,FALSE)&lt;&gt;"",VLOOKUP(A105,Outbound!$E$1:$Y$411,21,FALSE),VLOOKUP(A105,Outbound!$E$1:$Y$411,19,FALSE)),"")</f>
        <v/>
      </c>
      <c r="Y105" s="117" t="str">
        <f>IFERROR(CONCATENATE(VLOOKUP($A105,Outbound!$E$1:$BA$411,44,FALSE)," - ",VLOOKUP($A105,Outbound!$E$1:$BA$411,16,FALSE)," - "),"")</f>
        <v/>
      </c>
      <c r="Z105" s="246" t="str">
        <f>IFERROR(VLOOKUP(A105,Outbound!$E$2:$AK$412,33,FALSE),"")</f>
        <v/>
      </c>
      <c r="AA105" s="246"/>
      <c r="AB105" s="344" t="str">
        <f>IFERROR(IF(VLOOKUP($A105,Outbound!$E$1:$BA$411,48,FALSE)&lt;&gt;0,VLOOKUP($A105,Outbound!$E$1:$BA$411,48,FALSE),""),"")</f>
        <v/>
      </c>
      <c r="AC105" s="314" t="str">
        <f>IFERROR(IF(VLOOKUP($A105,Outbound!$E$1:$BA$411,49,FALSE)&lt;&gt;0,VLOOKUP($A105,Outbound!$E$1:$BA$411,49,FALSE),""),"")</f>
        <v/>
      </c>
      <c r="AQ105" s="229"/>
      <c r="AR105" s="229"/>
      <c r="BM105" s="189"/>
      <c r="BN105" s="189"/>
      <c r="BO105" s="189"/>
    </row>
    <row r="106" spans="1:67" ht="12" customHeight="1">
      <c r="A106" s="237"/>
      <c r="B106" s="238" t="e">
        <f t="shared" si="18"/>
        <v>#N/A</v>
      </c>
      <c r="C106" s="239" t="e">
        <f t="shared" si="19"/>
        <v>#N/A</v>
      </c>
      <c r="D106" s="239" t="e">
        <f t="shared" si="20"/>
        <v>#N/A</v>
      </c>
      <c r="E106" s="240" t="e">
        <f t="shared" si="21"/>
        <v>#N/A</v>
      </c>
      <c r="F106" s="241"/>
      <c r="G106" s="241"/>
      <c r="H106" s="308" t="e">
        <f>IF(VLOOKUP(A106,Outbound!$E$1:$Q$411,13,FALSE)=0,VLOOKUP(A106,AK:BL,13,FALSE),VLOOKUP(A106,Outbound!$E$1:$Q$411,13,FALSE))</f>
        <v>#N/A</v>
      </c>
      <c r="I106" s="242" t="e">
        <f t="shared" si="16"/>
        <v>#N/A</v>
      </c>
      <c r="J106" s="269" t="str">
        <f>IFERROR(IF(VLOOKUP($A106,Outbound!$E$1:$BA$411,17,FALSE)="","","Y"),"")</f>
        <v/>
      </c>
      <c r="K106" s="243"/>
      <c r="L106" s="243"/>
      <c r="M106" s="244">
        <f t="shared" si="17"/>
        <v>0</v>
      </c>
      <c r="N106" s="245"/>
      <c r="O106" s="245"/>
      <c r="P106" s="267" t="str">
        <f>IFERROR(IF(VLOOKUP(A106,Outbound!$E$1:$AY$411,46,FALSE)&lt;&gt;"","Y",""),"")</f>
        <v/>
      </c>
      <c r="Q106" s="267" t="str">
        <f>IFERROR(IF(VLOOKUP($A106,Outbound!$E$1:$BA$411,20,FALSE)="","","Y"),"")</f>
        <v/>
      </c>
      <c r="R106" s="267" t="str">
        <f>IFERROR(IF(VLOOKUP($A106,Outbound!$E$1:$BA$411,49,FALSE)="","","Y"),"")</f>
        <v/>
      </c>
      <c r="S106" s="309"/>
      <c r="T106" s="309"/>
      <c r="U106" s="246"/>
      <c r="V106" s="246"/>
      <c r="W106" s="117" t="str">
        <f>IFERROR(IF(VLOOKUP($A106,Outbound!$E$1:$BA$411,14,FALSE)="VARIATA","NEW TRAILER",""),"")</f>
        <v/>
      </c>
      <c r="X106" s="117" t="str">
        <f>IFERROR(IF(VLOOKUP(A106,Outbound!$E$1:$Y$411,21,FALSE)&lt;&gt;"",VLOOKUP(A106,Outbound!$E$1:$Y$411,21,FALSE),VLOOKUP(A106,Outbound!$E$1:$Y$411,19,FALSE)),"")</f>
        <v/>
      </c>
      <c r="Y106" s="117" t="str">
        <f>IFERROR(CONCATENATE(VLOOKUP($A106,Outbound!$E$1:$BA$411,44,FALSE)," - ",VLOOKUP($A106,Outbound!$E$1:$BA$411,16,FALSE)," - "),"")</f>
        <v/>
      </c>
      <c r="Z106" s="246" t="str">
        <f>IFERROR(VLOOKUP(A106,Outbound!$E$2:$AK$412,33,FALSE),"")</f>
        <v/>
      </c>
      <c r="AA106" s="246"/>
      <c r="AB106" s="344" t="str">
        <f>IFERROR(IF(VLOOKUP($A106,Outbound!$E$1:$BA$411,48,FALSE)&lt;&gt;0,VLOOKUP($A106,Outbound!$E$1:$BA$411,48,FALSE),""),"")</f>
        <v/>
      </c>
      <c r="AC106" s="314" t="str">
        <f>IFERROR(IF(VLOOKUP($A106,Outbound!$E$1:$BA$411,49,FALSE)&lt;&gt;0,VLOOKUP($A106,Outbound!$E$1:$BA$411,49,FALSE),""),"")</f>
        <v/>
      </c>
      <c r="AQ106" s="229"/>
      <c r="AR106" s="229"/>
      <c r="AS106" s="229"/>
      <c r="AU106" s="229"/>
      <c r="BM106" s="189"/>
      <c r="BN106" s="189"/>
      <c r="BO106" s="189"/>
    </row>
    <row r="107" spans="1:67" ht="12" customHeight="1">
      <c r="A107" s="237"/>
      <c r="B107" s="238" t="e">
        <f t="shared" si="18"/>
        <v>#N/A</v>
      </c>
      <c r="C107" s="239" t="e">
        <f t="shared" si="19"/>
        <v>#N/A</v>
      </c>
      <c r="D107" s="239" t="e">
        <f t="shared" si="20"/>
        <v>#N/A</v>
      </c>
      <c r="E107" s="240" t="e">
        <f t="shared" si="21"/>
        <v>#N/A</v>
      </c>
      <c r="F107" s="241"/>
      <c r="G107" s="241"/>
      <c r="H107" s="308" t="e">
        <f>IF(VLOOKUP(A107,Outbound!$E$1:$Q$411,13,FALSE)=0,VLOOKUP(A107,AK:BL,13,FALSE),VLOOKUP(A107,Outbound!$E$1:$Q$411,13,FALSE))</f>
        <v>#N/A</v>
      </c>
      <c r="I107" s="242" t="e">
        <f t="shared" si="16"/>
        <v>#N/A</v>
      </c>
      <c r="J107" s="269" t="str">
        <f>IFERROR(IF(VLOOKUP($A107,Outbound!$E$1:$BA$411,17,FALSE)="","","Y"),"")</f>
        <v/>
      </c>
      <c r="K107" s="243"/>
      <c r="L107" s="243"/>
      <c r="M107" s="244">
        <f t="shared" si="17"/>
        <v>0</v>
      </c>
      <c r="N107" s="245"/>
      <c r="O107" s="245"/>
      <c r="P107" s="267" t="str">
        <f>IFERROR(IF(VLOOKUP(A107,Outbound!$E$1:$AY$411,46,FALSE)&lt;&gt;"","Y",""),"")</f>
        <v/>
      </c>
      <c r="Q107" s="267" t="str">
        <f>IFERROR(IF(VLOOKUP($A107,Outbound!$E$1:$BA$411,20,FALSE)="","","Y"),"")</f>
        <v/>
      </c>
      <c r="R107" s="267" t="str">
        <f>IFERROR(IF(VLOOKUP($A107,Outbound!$E$1:$BA$411,49,FALSE)="","","Y"),"")</f>
        <v/>
      </c>
      <c r="S107" s="309"/>
      <c r="T107" s="309"/>
      <c r="U107" s="246"/>
      <c r="V107" s="246"/>
      <c r="W107" s="117" t="str">
        <f>IFERROR(IF(VLOOKUP($A107,Outbound!$E$1:$BA$411,14,FALSE)="VARIATA","NEW TRAILER",""),"")</f>
        <v/>
      </c>
      <c r="X107" s="117" t="str">
        <f>IFERROR(IF(VLOOKUP(A107,Outbound!$E$1:$Y$411,21,FALSE)&lt;&gt;"",VLOOKUP(A107,Outbound!$E$1:$Y$411,21,FALSE),VLOOKUP(A107,Outbound!$E$1:$Y$411,19,FALSE)),"")</f>
        <v/>
      </c>
      <c r="Y107" s="117" t="str">
        <f>IFERROR(CONCATENATE(VLOOKUP($A107,Outbound!$E$1:$BA$411,44,FALSE)," - ",VLOOKUP($A107,Outbound!$E$1:$BA$411,16,FALSE)," - "),"")</f>
        <v/>
      </c>
      <c r="Z107" s="246" t="str">
        <f>IFERROR(VLOOKUP(A107,Outbound!$E$2:$AK$412,33,FALSE),"")</f>
        <v/>
      </c>
      <c r="AA107" s="246"/>
      <c r="AB107" s="344" t="str">
        <f>IFERROR(IF(VLOOKUP($A107,Outbound!$E$1:$BA$411,48,FALSE)&lt;&gt;0,VLOOKUP($A107,Outbound!$E$1:$BA$411,48,FALSE),""),"")</f>
        <v/>
      </c>
      <c r="AC107" s="314" t="str">
        <f>IFERROR(IF(VLOOKUP($A107,Outbound!$E$1:$BA$411,49,FALSE)&lt;&gt;0,VLOOKUP($A107,Outbound!$E$1:$BA$411,49,FALSE),""),"")</f>
        <v/>
      </c>
      <c r="AQ107" s="229"/>
      <c r="AR107" s="229"/>
      <c r="AS107" s="229"/>
      <c r="AU107" s="229"/>
      <c r="BM107" s="189"/>
      <c r="BN107" s="189"/>
      <c r="BO107" s="189"/>
    </row>
    <row r="108" spans="1:67" ht="12" customHeight="1">
      <c r="A108" s="237"/>
      <c r="B108" s="238" t="e">
        <f t="shared" si="18"/>
        <v>#N/A</v>
      </c>
      <c r="C108" s="239" t="e">
        <f t="shared" si="19"/>
        <v>#N/A</v>
      </c>
      <c r="D108" s="239" t="e">
        <f t="shared" si="20"/>
        <v>#N/A</v>
      </c>
      <c r="E108" s="240" t="e">
        <f t="shared" si="21"/>
        <v>#N/A</v>
      </c>
      <c r="F108" s="241"/>
      <c r="G108" s="241"/>
      <c r="H108" s="308" t="e">
        <f>IF(VLOOKUP(A108,Outbound!$E$1:$Q$411,13,FALSE)=0,VLOOKUP(A108,AK:BL,13,FALSE),VLOOKUP(A108,Outbound!$E$1:$Q$411,13,FALSE))</f>
        <v>#N/A</v>
      </c>
      <c r="I108" s="242" t="e">
        <f t="shared" si="16"/>
        <v>#N/A</v>
      </c>
      <c r="J108" s="269" t="str">
        <f>IFERROR(IF(VLOOKUP($A108,Outbound!$E$1:$BA$411,17,FALSE)="","","Y"),"")</f>
        <v/>
      </c>
      <c r="K108" s="243"/>
      <c r="L108" s="243"/>
      <c r="M108" s="244">
        <f t="shared" si="17"/>
        <v>0</v>
      </c>
      <c r="N108" s="245"/>
      <c r="O108" s="245"/>
      <c r="P108" s="267" t="str">
        <f>IFERROR(IF(VLOOKUP(A108,Outbound!$E$1:$AY$411,46,FALSE)&lt;&gt;"","Y",""),"")</f>
        <v/>
      </c>
      <c r="Q108" s="267" t="str">
        <f>IFERROR(IF(VLOOKUP($A108,Outbound!$E$1:$BA$411,20,FALSE)="","","Y"),"")</f>
        <v/>
      </c>
      <c r="R108" s="267" t="str">
        <f>IFERROR(IF(VLOOKUP($A108,Outbound!$E$1:$BA$411,49,FALSE)="","","Y"),"")</f>
        <v/>
      </c>
      <c r="S108" s="309"/>
      <c r="T108" s="309"/>
      <c r="U108" s="246"/>
      <c r="V108" s="246"/>
      <c r="W108" s="117" t="str">
        <f>IFERROR(IF(VLOOKUP($A108,Outbound!$E$1:$BA$411,14,FALSE)="VARIATA","NEW TRAILER",""),"")</f>
        <v/>
      </c>
      <c r="X108" s="117" t="str">
        <f>IFERROR(IF(VLOOKUP(A108,Outbound!$E$1:$Y$411,21,FALSE)&lt;&gt;"",VLOOKUP(A108,Outbound!$E$1:$Y$411,21,FALSE),VLOOKUP(A108,Outbound!$E$1:$Y$411,19,FALSE)),"")</f>
        <v/>
      </c>
      <c r="Y108" s="117" t="str">
        <f>IFERROR(CONCATENATE(VLOOKUP($A108,Outbound!$E$1:$BA$411,44,FALSE)," - ",VLOOKUP($A108,Outbound!$E$1:$BA$411,16,FALSE)," - "),"")</f>
        <v/>
      </c>
      <c r="Z108" s="246" t="str">
        <f>IFERROR(VLOOKUP(A108,Outbound!$E$2:$AK$412,33,FALSE),"")</f>
        <v/>
      </c>
      <c r="AA108" s="246"/>
      <c r="AB108" s="344" t="str">
        <f>IFERROR(IF(VLOOKUP($A108,Outbound!$E$1:$BA$411,48,FALSE)&lt;&gt;0,VLOOKUP($A108,Outbound!$E$1:$BA$411,48,FALSE),""),"")</f>
        <v/>
      </c>
      <c r="AC108" s="314" t="str">
        <f>IFERROR(IF(VLOOKUP($A108,Outbound!$E$1:$BA$411,49,FALSE)&lt;&gt;0,VLOOKUP($A108,Outbound!$E$1:$BA$411,49,FALSE),""),"")</f>
        <v/>
      </c>
      <c r="AQ108" s="229"/>
      <c r="AR108" s="229"/>
      <c r="AS108" s="229"/>
      <c r="BM108" s="189"/>
      <c r="BN108" s="189"/>
      <c r="BO108" s="189"/>
    </row>
    <row r="109" spans="1:67" ht="12" customHeight="1">
      <c r="A109" s="237"/>
      <c r="B109" s="238" t="e">
        <f t="shared" si="18"/>
        <v>#N/A</v>
      </c>
      <c r="C109" s="239" t="e">
        <f t="shared" si="19"/>
        <v>#N/A</v>
      </c>
      <c r="D109" s="239" t="e">
        <f t="shared" si="20"/>
        <v>#N/A</v>
      </c>
      <c r="E109" s="240" t="e">
        <f t="shared" si="21"/>
        <v>#N/A</v>
      </c>
      <c r="F109" s="241"/>
      <c r="G109" s="241"/>
      <c r="H109" s="308" t="e">
        <f>IF(VLOOKUP(A109,Outbound!$E$1:$Q$411,13,FALSE)=0,VLOOKUP(A109,AK:BL,13,FALSE),VLOOKUP(A109,Outbound!$E$1:$Q$411,13,FALSE))</f>
        <v>#N/A</v>
      </c>
      <c r="I109" s="242" t="e">
        <f t="shared" si="16"/>
        <v>#N/A</v>
      </c>
      <c r="J109" s="269" t="str">
        <f>IFERROR(IF(VLOOKUP($A109,Outbound!$E$1:$BA$411,17,FALSE)="","","Y"),"")</f>
        <v/>
      </c>
      <c r="K109" s="243"/>
      <c r="L109" s="243"/>
      <c r="M109" s="244">
        <f t="shared" si="17"/>
        <v>0</v>
      </c>
      <c r="N109" s="245"/>
      <c r="O109" s="245"/>
      <c r="P109" s="267" t="str">
        <f>IFERROR(IF(VLOOKUP(A109,Outbound!$E$1:$AY$411,46,FALSE)&lt;&gt;"","Y",""),"")</f>
        <v/>
      </c>
      <c r="Q109" s="267" t="str">
        <f>IFERROR(IF(VLOOKUP($A109,Outbound!$E$1:$BA$411,20,FALSE)="","","Y"),"")</f>
        <v/>
      </c>
      <c r="R109" s="267" t="str">
        <f>IFERROR(IF(VLOOKUP($A109,Outbound!$E$1:$BA$411,49,FALSE)="","","Y"),"")</f>
        <v/>
      </c>
      <c r="S109" s="309"/>
      <c r="T109" s="309"/>
      <c r="U109" s="246"/>
      <c r="V109" s="246"/>
      <c r="W109" s="117" t="str">
        <f>IFERROR(IF(VLOOKUP($A109,Outbound!$E$1:$BA$411,14,FALSE)="VARIATA","NEW TRAILER",""),"")</f>
        <v/>
      </c>
      <c r="X109" s="117" t="str">
        <f>IFERROR(IF(VLOOKUP(A109,Outbound!$E$1:$Y$411,21,FALSE)&lt;&gt;"",VLOOKUP(A109,Outbound!$E$1:$Y$411,21,FALSE),VLOOKUP(A109,Outbound!$E$1:$Y$411,19,FALSE)),"")</f>
        <v/>
      </c>
      <c r="Y109" s="117" t="str">
        <f>IFERROR(CONCATENATE(VLOOKUP($A109,Outbound!$E$1:$BA$411,44,FALSE)," - ",VLOOKUP($A109,Outbound!$E$1:$BA$411,16,FALSE)," - "),"")</f>
        <v/>
      </c>
      <c r="Z109" s="246" t="str">
        <f>IFERROR(VLOOKUP(A109,Outbound!$E$2:$AK$412,33,FALSE),"")</f>
        <v/>
      </c>
      <c r="AA109" s="246"/>
      <c r="AB109" s="344" t="str">
        <f>IFERROR(IF(VLOOKUP($A109,Outbound!$E$1:$BA$411,48,FALSE)&lt;&gt;0,VLOOKUP($A109,Outbound!$E$1:$BA$411,48,FALSE),""),"")</f>
        <v/>
      </c>
      <c r="AC109" s="314" t="str">
        <f>IFERROR(IF(VLOOKUP($A109,Outbound!$E$1:$BA$411,49,FALSE)&lt;&gt;0,VLOOKUP($A109,Outbound!$E$1:$BA$411,49,FALSE),""),"")</f>
        <v/>
      </c>
      <c r="AQ109" s="229"/>
      <c r="AR109" s="229"/>
      <c r="BM109" s="189"/>
      <c r="BN109" s="189"/>
      <c r="BO109" s="189"/>
    </row>
    <row r="110" spans="1:67" ht="12" customHeight="1">
      <c r="A110" s="237"/>
      <c r="B110" s="238" t="e">
        <f t="shared" si="18"/>
        <v>#N/A</v>
      </c>
      <c r="C110" s="239" t="e">
        <f t="shared" si="19"/>
        <v>#N/A</v>
      </c>
      <c r="D110" s="239" t="e">
        <f t="shared" si="20"/>
        <v>#N/A</v>
      </c>
      <c r="E110" s="240" t="e">
        <f t="shared" si="21"/>
        <v>#N/A</v>
      </c>
      <c r="F110" s="241"/>
      <c r="G110" s="241"/>
      <c r="H110" s="308" t="e">
        <f>IF(VLOOKUP(A110,Outbound!$E$1:$Q$411,13,FALSE)=0,VLOOKUP(A110,AK:BL,13,FALSE),VLOOKUP(A110,Outbound!$E$1:$Q$411,13,FALSE))</f>
        <v>#N/A</v>
      </c>
      <c r="I110" s="242" t="e">
        <f t="shared" si="16"/>
        <v>#N/A</v>
      </c>
      <c r="J110" s="269" t="str">
        <f>IFERROR(IF(VLOOKUP($A110,Outbound!$E$1:$BA$411,17,FALSE)="","","Y"),"")</f>
        <v/>
      </c>
      <c r="K110" s="243"/>
      <c r="L110" s="243"/>
      <c r="M110" s="244">
        <f t="shared" si="17"/>
        <v>0</v>
      </c>
      <c r="N110" s="245"/>
      <c r="O110" s="245"/>
      <c r="P110" s="267" t="str">
        <f>IFERROR(IF(VLOOKUP(A110,Outbound!$E$1:$AY$411,46,FALSE)&lt;&gt;"","Y",""),"")</f>
        <v/>
      </c>
      <c r="Q110" s="267" t="str">
        <f>IFERROR(IF(VLOOKUP($A110,Outbound!$E$1:$BA$411,20,FALSE)="","","Y"),"")</f>
        <v/>
      </c>
      <c r="R110" s="267" t="str">
        <f>IFERROR(IF(VLOOKUP($A110,Outbound!$E$1:$BA$411,49,FALSE)="","","Y"),"")</f>
        <v/>
      </c>
      <c r="S110" s="309"/>
      <c r="T110" s="309"/>
      <c r="U110" s="246"/>
      <c r="V110" s="246"/>
      <c r="W110" s="117" t="str">
        <f>IFERROR(IF(VLOOKUP($A110,Outbound!$E$1:$BA$411,14,FALSE)="VARIATA","NEW TRAILER",""),"")</f>
        <v/>
      </c>
      <c r="X110" s="117" t="str">
        <f>IFERROR(IF(VLOOKUP(A110,Outbound!$E$1:$Y$411,21,FALSE)&lt;&gt;"",VLOOKUP(A110,Outbound!$E$1:$Y$411,21,FALSE),VLOOKUP(A110,Outbound!$E$1:$Y$411,19,FALSE)),"")</f>
        <v/>
      </c>
      <c r="Y110" s="117" t="str">
        <f>IFERROR(CONCATENATE(VLOOKUP($A110,Outbound!$E$1:$BA$411,44,FALSE)," - ",VLOOKUP($A110,Outbound!$E$1:$BA$411,16,FALSE)," - "),"")</f>
        <v/>
      </c>
      <c r="Z110" s="246" t="str">
        <f>IFERROR(VLOOKUP(A110,Outbound!$E$2:$AK$412,33,FALSE),"")</f>
        <v/>
      </c>
      <c r="AA110" s="246"/>
      <c r="AB110" s="344" t="str">
        <f>IFERROR(IF(VLOOKUP($A110,Outbound!$E$1:$BA$411,48,FALSE)&lt;&gt;0,VLOOKUP($A110,Outbound!$E$1:$BA$411,48,FALSE),""),"")</f>
        <v/>
      </c>
      <c r="AC110" s="314" t="str">
        <f>IFERROR(IF(VLOOKUP($A110,Outbound!$E$1:$BA$411,49,FALSE)&lt;&gt;0,VLOOKUP($A110,Outbound!$E$1:$BA$411,49,FALSE),""),"")</f>
        <v/>
      </c>
      <c r="AQ110" s="229"/>
      <c r="AR110" s="229"/>
      <c r="AS110" s="229"/>
      <c r="BM110" s="189"/>
      <c r="BN110" s="189"/>
      <c r="BO110" s="189"/>
    </row>
    <row r="111" spans="1:67" ht="12" customHeight="1">
      <c r="A111" s="237"/>
      <c r="B111" s="238" t="e">
        <f t="shared" si="18"/>
        <v>#N/A</v>
      </c>
      <c r="C111" s="239" t="e">
        <f t="shared" si="19"/>
        <v>#N/A</v>
      </c>
      <c r="D111" s="239" t="e">
        <f t="shared" si="20"/>
        <v>#N/A</v>
      </c>
      <c r="E111" s="240" t="e">
        <f t="shared" si="21"/>
        <v>#N/A</v>
      </c>
      <c r="F111" s="241"/>
      <c r="G111" s="241"/>
      <c r="H111" s="308" t="e">
        <f>IF(VLOOKUP(A111,Outbound!$E$1:$Q$411,13,FALSE)=0,VLOOKUP(A111,AK:BL,13,FALSE),VLOOKUP(A111,Outbound!$E$1:$Q$411,13,FALSE))</f>
        <v>#N/A</v>
      </c>
      <c r="I111" s="242" t="e">
        <f t="shared" si="16"/>
        <v>#N/A</v>
      </c>
      <c r="J111" s="269" t="str">
        <f>IFERROR(IF(VLOOKUP($A111,Outbound!$E$1:$BA$411,17,FALSE)="","","Y"),"")</f>
        <v/>
      </c>
      <c r="K111" s="243"/>
      <c r="L111" s="243"/>
      <c r="M111" s="244">
        <f t="shared" si="17"/>
        <v>0</v>
      </c>
      <c r="N111" s="245"/>
      <c r="O111" s="245"/>
      <c r="P111" s="267" t="str">
        <f>IFERROR(IF(VLOOKUP(A111,Outbound!$E$1:$AY$411,46,FALSE)&lt;&gt;"","Y",""),"")</f>
        <v/>
      </c>
      <c r="Q111" s="267" t="str">
        <f>IFERROR(IF(VLOOKUP($A111,Outbound!$E$1:$BA$411,20,FALSE)="","","Y"),"")</f>
        <v/>
      </c>
      <c r="R111" s="267" t="str">
        <f>IFERROR(IF(VLOOKUP($A111,Outbound!$E$1:$BA$411,49,FALSE)="","","Y"),"")</f>
        <v/>
      </c>
      <c r="S111" s="309"/>
      <c r="T111" s="309"/>
      <c r="U111" s="246"/>
      <c r="V111" s="246"/>
      <c r="W111" s="117" t="str">
        <f>IFERROR(IF(VLOOKUP($A111,Outbound!$E$1:$BA$411,14,FALSE)="VARIATA","NEW TRAILER",""),"")</f>
        <v/>
      </c>
      <c r="X111" s="117" t="str">
        <f>IFERROR(IF(VLOOKUP(A111,Outbound!$E$1:$Y$411,21,FALSE)&lt;&gt;"",VLOOKUP(A111,Outbound!$E$1:$Y$411,21,FALSE),VLOOKUP(A111,Outbound!$E$1:$Y$411,19,FALSE)),"")</f>
        <v/>
      </c>
      <c r="Y111" s="117" t="str">
        <f>IFERROR(CONCATENATE(VLOOKUP($A111,Outbound!$E$1:$BA$411,44,FALSE)," - ",VLOOKUP($A111,Outbound!$E$1:$BA$411,16,FALSE)," - "),"")</f>
        <v/>
      </c>
      <c r="Z111" s="246" t="str">
        <f>IFERROR(VLOOKUP(A111,Outbound!$E$2:$AK$412,33,FALSE),"")</f>
        <v/>
      </c>
      <c r="AA111" s="246"/>
      <c r="AB111" s="344" t="str">
        <f>IFERROR(IF(VLOOKUP($A111,Outbound!$E$1:$BA$411,48,FALSE)&lt;&gt;0,VLOOKUP($A111,Outbound!$E$1:$BA$411,48,FALSE),""),"")</f>
        <v/>
      </c>
      <c r="AC111" s="314" t="str">
        <f>IFERROR(IF(VLOOKUP($A111,Outbound!$E$1:$BA$411,49,FALSE)&lt;&gt;0,VLOOKUP($A111,Outbound!$E$1:$BA$411,49,FALSE),""),"")</f>
        <v/>
      </c>
      <c r="AQ111" s="229"/>
      <c r="AR111" s="229"/>
      <c r="BM111" s="189"/>
      <c r="BN111" s="189"/>
      <c r="BO111" s="189"/>
    </row>
    <row r="112" spans="1:67" ht="12" customHeight="1">
      <c r="A112" s="237"/>
      <c r="B112" s="238" t="e">
        <f t="shared" si="18"/>
        <v>#N/A</v>
      </c>
      <c r="C112" s="239" t="e">
        <f t="shared" si="19"/>
        <v>#N/A</v>
      </c>
      <c r="D112" s="239" t="e">
        <f t="shared" si="20"/>
        <v>#N/A</v>
      </c>
      <c r="E112" s="240" t="e">
        <f t="shared" si="21"/>
        <v>#N/A</v>
      </c>
      <c r="F112" s="241"/>
      <c r="G112" s="241"/>
      <c r="H112" s="308" t="e">
        <f>IF(VLOOKUP(A112,Outbound!$E$1:$Q$411,13,FALSE)=0,VLOOKUP(A112,AK:BL,13,FALSE),VLOOKUP(A112,Outbound!$E$1:$Q$411,13,FALSE))</f>
        <v>#N/A</v>
      </c>
      <c r="I112" s="242" t="e">
        <f t="shared" si="16"/>
        <v>#N/A</v>
      </c>
      <c r="J112" s="269" t="str">
        <f>IFERROR(IF(VLOOKUP($A112,Outbound!$E$1:$BA$411,17,FALSE)="","","Y"),"")</f>
        <v/>
      </c>
      <c r="K112" s="243"/>
      <c r="L112" s="243"/>
      <c r="M112" s="244">
        <f t="shared" si="17"/>
        <v>0</v>
      </c>
      <c r="N112" s="245"/>
      <c r="O112" s="245"/>
      <c r="P112" s="267" t="str">
        <f>IFERROR(IF(VLOOKUP(A112,Outbound!$E$1:$AY$411,46,FALSE)&lt;&gt;"","Y",""),"")</f>
        <v/>
      </c>
      <c r="Q112" s="267" t="str">
        <f>IFERROR(IF(VLOOKUP($A112,Outbound!$E$1:$BA$411,20,FALSE)="","","Y"),"")</f>
        <v/>
      </c>
      <c r="R112" s="267" t="str">
        <f>IFERROR(IF(VLOOKUP($A112,Outbound!$E$1:$BA$411,49,FALSE)="","","Y"),"")</f>
        <v/>
      </c>
      <c r="S112" s="309"/>
      <c r="T112" s="309"/>
      <c r="U112" s="246"/>
      <c r="V112" s="246"/>
      <c r="W112" s="117" t="str">
        <f>IFERROR(IF(VLOOKUP($A112,Outbound!$E$1:$BA$411,14,FALSE)="VARIATA","NEW TRAILER",""),"")</f>
        <v/>
      </c>
      <c r="X112" s="117" t="str">
        <f>IFERROR(IF(VLOOKUP(A112,Outbound!$E$1:$Y$411,21,FALSE)&lt;&gt;"",VLOOKUP(A112,Outbound!$E$1:$Y$411,21,FALSE),VLOOKUP(A112,Outbound!$E$1:$Y$411,19,FALSE)),"")</f>
        <v/>
      </c>
      <c r="Y112" s="117" t="str">
        <f>IFERROR(CONCATENATE(VLOOKUP($A112,Outbound!$E$1:$BA$411,44,FALSE)," - ",VLOOKUP($A112,Outbound!$E$1:$BA$411,16,FALSE)," - "),"")</f>
        <v/>
      </c>
      <c r="Z112" s="246" t="str">
        <f>IFERROR(VLOOKUP(A112,Outbound!$E$2:$AK$412,33,FALSE),"")</f>
        <v/>
      </c>
      <c r="AA112" s="246"/>
      <c r="AB112" s="344" t="str">
        <f>IFERROR(IF(VLOOKUP($A112,Outbound!$E$1:$BA$411,48,FALSE)&lt;&gt;0,VLOOKUP($A112,Outbound!$E$1:$BA$411,48,FALSE),""),"")</f>
        <v/>
      </c>
      <c r="AC112" s="314" t="str">
        <f>IFERROR(IF(VLOOKUP($A112,Outbound!$E$1:$BA$411,49,FALSE)&lt;&gt;0,VLOOKUP($A112,Outbound!$E$1:$BA$411,49,FALSE),""),"")</f>
        <v/>
      </c>
      <c r="AQ112" s="229"/>
      <c r="AR112" s="229"/>
      <c r="AS112" s="229"/>
      <c r="AU112" s="229"/>
      <c r="BM112" s="189"/>
      <c r="BN112" s="189"/>
      <c r="BO112" s="189"/>
    </row>
    <row r="113" spans="1:67" ht="12" customHeight="1">
      <c r="A113" s="237"/>
      <c r="B113" s="238" t="e">
        <f t="shared" si="18"/>
        <v>#N/A</v>
      </c>
      <c r="C113" s="239" t="e">
        <f t="shared" si="19"/>
        <v>#N/A</v>
      </c>
      <c r="D113" s="239" t="e">
        <f t="shared" si="20"/>
        <v>#N/A</v>
      </c>
      <c r="E113" s="240" t="e">
        <f t="shared" si="21"/>
        <v>#N/A</v>
      </c>
      <c r="F113" s="241"/>
      <c r="G113" s="241"/>
      <c r="H113" s="308" t="e">
        <f>IF(VLOOKUP(A113,Outbound!$E$1:$Q$411,13,FALSE)=0,VLOOKUP(A113,AK:BL,13,FALSE),VLOOKUP(A113,Outbound!$E$1:$Q$411,13,FALSE))</f>
        <v>#N/A</v>
      </c>
      <c r="I113" s="242" t="e">
        <f t="shared" si="16"/>
        <v>#N/A</v>
      </c>
      <c r="J113" s="269" t="str">
        <f>IFERROR(IF(VLOOKUP($A113,Outbound!$E$1:$BA$411,17,FALSE)="","","Y"),"")</f>
        <v/>
      </c>
      <c r="K113" s="243"/>
      <c r="L113" s="243"/>
      <c r="M113" s="244">
        <f t="shared" si="17"/>
        <v>0</v>
      </c>
      <c r="N113" s="245"/>
      <c r="O113" s="245"/>
      <c r="P113" s="267" t="str">
        <f>IFERROR(IF(VLOOKUP(A113,Outbound!$E$1:$AY$411,46,FALSE)&lt;&gt;"","Y",""),"")</f>
        <v/>
      </c>
      <c r="Q113" s="267" t="str">
        <f>IFERROR(IF(VLOOKUP($A113,Outbound!$E$1:$BA$411,20,FALSE)="","","Y"),"")</f>
        <v/>
      </c>
      <c r="R113" s="267" t="str">
        <f>IFERROR(IF(VLOOKUP($A113,Outbound!$E$1:$BA$411,49,FALSE)="","","Y"),"")</f>
        <v/>
      </c>
      <c r="S113" s="309"/>
      <c r="T113" s="309"/>
      <c r="U113" s="246"/>
      <c r="V113" s="246"/>
      <c r="W113" s="117" t="str">
        <f>IFERROR(IF(VLOOKUP($A113,Outbound!$E$1:$BA$411,14,FALSE)="VARIATA","NEW TRAILER",""),"")</f>
        <v/>
      </c>
      <c r="X113" s="117" t="str">
        <f>IFERROR(IF(VLOOKUP(A113,Outbound!$E$1:$Y$411,21,FALSE)&lt;&gt;"",VLOOKUP(A113,Outbound!$E$1:$Y$411,21,FALSE),VLOOKUP(A113,Outbound!$E$1:$Y$411,19,FALSE)),"")</f>
        <v/>
      </c>
      <c r="Y113" s="117" t="str">
        <f>IFERROR(CONCATENATE(VLOOKUP($A113,Outbound!$E$1:$BA$411,44,FALSE)," - ",VLOOKUP($A113,Outbound!$E$1:$BA$411,16,FALSE)," - "),"")</f>
        <v/>
      </c>
      <c r="Z113" s="246" t="str">
        <f>IFERROR(VLOOKUP(A113,Outbound!$E$2:$AK$412,33,FALSE),"")</f>
        <v/>
      </c>
      <c r="AA113" s="246"/>
      <c r="AB113" s="344" t="str">
        <f>IFERROR(IF(VLOOKUP($A113,Outbound!$E$1:$BA$411,48,FALSE)&lt;&gt;0,VLOOKUP($A113,Outbound!$E$1:$BA$411,48,FALSE),""),"")</f>
        <v/>
      </c>
      <c r="AC113" s="314" t="str">
        <f>IFERROR(IF(VLOOKUP($A113,Outbound!$E$1:$BA$411,49,FALSE)&lt;&gt;0,VLOOKUP($A113,Outbound!$E$1:$BA$411,49,FALSE),""),"")</f>
        <v/>
      </c>
      <c r="AD113" s="101" t="s">
        <v>316</v>
      </c>
      <c r="AQ113" s="229"/>
      <c r="AR113" s="229"/>
      <c r="AU113" s="229"/>
      <c r="BM113" s="189"/>
      <c r="BN113" s="189"/>
      <c r="BO113" s="189"/>
    </row>
    <row r="114" spans="1:67" ht="12" customHeight="1">
      <c r="A114" s="237"/>
      <c r="B114" s="238" t="e">
        <f t="shared" si="18"/>
        <v>#N/A</v>
      </c>
      <c r="C114" s="239" t="e">
        <f t="shared" si="19"/>
        <v>#N/A</v>
      </c>
      <c r="D114" s="239" t="e">
        <f t="shared" si="20"/>
        <v>#N/A</v>
      </c>
      <c r="E114" s="240" t="e">
        <f t="shared" si="21"/>
        <v>#N/A</v>
      </c>
      <c r="F114" s="241"/>
      <c r="G114" s="241"/>
      <c r="H114" s="308" t="e">
        <f>IF(VLOOKUP(A114,Outbound!$E$1:$Q$411,13,FALSE)=0,VLOOKUP(A114,AK:BL,13,FALSE),VLOOKUP(A114,Outbound!$E$1:$Q$411,13,FALSE))</f>
        <v>#N/A</v>
      </c>
      <c r="I114" s="242" t="e">
        <f t="shared" si="16"/>
        <v>#N/A</v>
      </c>
      <c r="J114" s="269" t="str">
        <f>IFERROR(IF(VLOOKUP($A114,Outbound!$E$1:$BA$411,17,FALSE)="","","Y"),"")</f>
        <v/>
      </c>
      <c r="K114" s="243"/>
      <c r="L114" s="243"/>
      <c r="M114" s="244">
        <f t="shared" si="17"/>
        <v>0</v>
      </c>
      <c r="N114" s="245"/>
      <c r="O114" s="245"/>
      <c r="P114" s="267" t="str">
        <f>IFERROR(IF(VLOOKUP(A114,Outbound!$E$1:$AY$411,46,FALSE)&lt;&gt;"","Y",""),"")</f>
        <v/>
      </c>
      <c r="Q114" s="267" t="str">
        <f>IFERROR(IF(VLOOKUP($A114,Outbound!$E$1:$BA$411,20,FALSE)="","","Y"),"")</f>
        <v/>
      </c>
      <c r="R114" s="267" t="str">
        <f>IFERROR(IF(VLOOKUP($A114,Outbound!$E$1:$BA$411,49,FALSE)="","","Y"),"")</f>
        <v/>
      </c>
      <c r="S114" s="309"/>
      <c r="T114" s="309"/>
      <c r="U114" s="246"/>
      <c r="V114" s="246"/>
      <c r="W114" s="117" t="str">
        <f>IFERROR(IF(VLOOKUP($A114,Outbound!$E$1:$BA$411,14,FALSE)="VARIATA","NEW TRAILER",""),"")</f>
        <v/>
      </c>
      <c r="X114" s="117" t="str">
        <f>IFERROR(IF(VLOOKUP(A114,Outbound!$E$1:$Y$411,21,FALSE)&lt;&gt;"",VLOOKUP(A114,Outbound!$E$1:$Y$411,21,FALSE),VLOOKUP(A114,Outbound!$E$1:$Y$411,19,FALSE)),"")</f>
        <v/>
      </c>
      <c r="Y114" s="117" t="str">
        <f>IFERROR(CONCATENATE(VLOOKUP($A114,Outbound!$E$1:$BA$411,44,FALSE)," - ",VLOOKUP($A114,Outbound!$E$1:$BA$411,16,FALSE)," - "),"")</f>
        <v/>
      </c>
      <c r="Z114" s="246" t="str">
        <f>IFERROR(VLOOKUP(A114,Outbound!$E$2:$AK$412,33,FALSE),"")</f>
        <v/>
      </c>
      <c r="AA114" s="246"/>
      <c r="AB114" s="344" t="str">
        <f>IFERROR(IF(VLOOKUP($A114,Outbound!$E$1:$BA$411,48,FALSE)&lt;&gt;0,VLOOKUP($A114,Outbound!$E$1:$BA$411,48,FALSE),""),"")</f>
        <v/>
      </c>
      <c r="AC114" s="314" t="str">
        <f>IFERROR(IF(VLOOKUP($A114,Outbound!$E$1:$BA$411,49,FALSE)&lt;&gt;0,VLOOKUP($A114,Outbound!$E$1:$BA$411,49,FALSE),""),"")</f>
        <v/>
      </c>
      <c r="AQ114" s="229"/>
      <c r="AR114" s="229"/>
      <c r="BM114" s="189"/>
      <c r="BN114" s="189"/>
      <c r="BO114" s="189"/>
    </row>
    <row r="115" spans="1:67" ht="12" customHeight="1">
      <c r="A115" s="237"/>
      <c r="B115" s="238" t="e">
        <f t="shared" si="18"/>
        <v>#N/A</v>
      </c>
      <c r="C115" s="239" t="e">
        <f t="shared" si="19"/>
        <v>#N/A</v>
      </c>
      <c r="D115" s="239" t="e">
        <f t="shared" si="20"/>
        <v>#N/A</v>
      </c>
      <c r="E115" s="240" t="e">
        <f t="shared" si="21"/>
        <v>#N/A</v>
      </c>
      <c r="F115" s="241"/>
      <c r="G115" s="241"/>
      <c r="H115" s="308" t="e">
        <f>IF(VLOOKUP(A115,Outbound!$E$1:$Q$411,13,FALSE)=0,VLOOKUP(A115,AK:BL,13,FALSE),VLOOKUP(A115,Outbound!$E$1:$Q$411,13,FALSE))</f>
        <v>#N/A</v>
      </c>
      <c r="I115" s="242" t="e">
        <f t="shared" si="16"/>
        <v>#N/A</v>
      </c>
      <c r="J115" s="269" t="str">
        <f>IFERROR(IF(VLOOKUP($A115,Outbound!$E$1:$BA$411,17,FALSE)="","","Y"),"")</f>
        <v/>
      </c>
      <c r="K115" s="243"/>
      <c r="L115" s="243"/>
      <c r="M115" s="244">
        <f t="shared" si="17"/>
        <v>0</v>
      </c>
      <c r="N115" s="245"/>
      <c r="O115" s="245"/>
      <c r="P115" s="267" t="str">
        <f>IFERROR(IF(VLOOKUP(A115,Outbound!$E$1:$AY$411,46,FALSE)&lt;&gt;"","Y",""),"")</f>
        <v/>
      </c>
      <c r="Q115" s="267" t="str">
        <f>IFERROR(IF(VLOOKUP($A115,Outbound!$E$1:$BA$411,20,FALSE)="","","Y"),"")</f>
        <v/>
      </c>
      <c r="R115" s="267" t="str">
        <f>IFERROR(IF(VLOOKUP($A115,Outbound!$E$1:$BA$411,49,FALSE)="","","Y"),"")</f>
        <v/>
      </c>
      <c r="S115" s="309"/>
      <c r="T115" s="309"/>
      <c r="U115" s="246"/>
      <c r="V115" s="246"/>
      <c r="W115" s="117" t="str">
        <f>IFERROR(IF(VLOOKUP($A115,Outbound!$E$1:$BA$411,14,FALSE)="VARIATA","NEW TRAILER",""),"")</f>
        <v/>
      </c>
      <c r="X115" s="117" t="str">
        <f>IFERROR(IF(VLOOKUP(A115,Outbound!$E$1:$Y$411,21,FALSE)&lt;&gt;"",VLOOKUP(A115,Outbound!$E$1:$Y$411,21,FALSE),VLOOKUP(A115,Outbound!$E$1:$Y$411,19,FALSE)),"")</f>
        <v/>
      </c>
      <c r="Y115" s="117" t="str">
        <f>IFERROR(CONCATENATE(VLOOKUP($A115,Outbound!$E$1:$BA$411,44,FALSE)," - ",VLOOKUP($A115,Outbound!$E$1:$BA$411,16,FALSE)," - "),"")</f>
        <v/>
      </c>
      <c r="Z115" s="246" t="str">
        <f>IFERROR(VLOOKUP(A115,Outbound!$E$2:$AK$412,33,FALSE),"")</f>
        <v/>
      </c>
      <c r="AA115" s="246"/>
      <c r="AB115" s="344" t="str">
        <f>IFERROR(IF(VLOOKUP($A115,Outbound!$E$1:$BA$411,48,FALSE)&lt;&gt;0,VLOOKUP($A115,Outbound!$E$1:$BA$411,48,FALSE),""),"")</f>
        <v/>
      </c>
      <c r="AC115" s="314" t="str">
        <f>IFERROR(IF(VLOOKUP($A115,Outbound!$E$1:$BA$411,49,FALSE)&lt;&gt;0,VLOOKUP($A115,Outbound!$E$1:$BA$411,49,FALSE),""),"")</f>
        <v/>
      </c>
      <c r="AQ115" s="229"/>
      <c r="AR115" s="229"/>
      <c r="AU115" s="229"/>
      <c r="BM115" s="189"/>
      <c r="BN115" s="189"/>
      <c r="BO115" s="189"/>
    </row>
    <row r="116" spans="1:67" ht="12" customHeight="1">
      <c r="A116" s="237"/>
      <c r="B116" s="238" t="e">
        <f t="shared" si="18"/>
        <v>#N/A</v>
      </c>
      <c r="C116" s="239" t="e">
        <f t="shared" si="19"/>
        <v>#N/A</v>
      </c>
      <c r="D116" s="239" t="e">
        <f t="shared" si="20"/>
        <v>#N/A</v>
      </c>
      <c r="E116" s="240" t="e">
        <f t="shared" si="21"/>
        <v>#N/A</v>
      </c>
      <c r="F116" s="241"/>
      <c r="G116" s="241"/>
      <c r="H116" s="308" t="e">
        <f>IF(VLOOKUP(A116,Outbound!$E$1:$Q$411,13,FALSE)=0,VLOOKUP(A116,AK:BL,13,FALSE),VLOOKUP(A116,Outbound!$E$1:$Q$411,13,FALSE))</f>
        <v>#N/A</v>
      </c>
      <c r="I116" s="242" t="e">
        <f t="shared" si="16"/>
        <v>#N/A</v>
      </c>
      <c r="J116" s="269" t="str">
        <f>IFERROR(IF(VLOOKUP($A116,Outbound!$E$1:$BA$411,17,FALSE)="","","Y"),"")</f>
        <v/>
      </c>
      <c r="K116" s="243"/>
      <c r="L116" s="243"/>
      <c r="M116" s="244">
        <f t="shared" si="17"/>
        <v>0</v>
      </c>
      <c r="N116" s="245"/>
      <c r="O116" s="245"/>
      <c r="P116" s="267" t="str">
        <f>IFERROR(IF(VLOOKUP(A116,Outbound!$E$1:$AY$411,46,FALSE)&lt;&gt;"","Y",""),"")</f>
        <v/>
      </c>
      <c r="Q116" s="267" t="str">
        <f>IFERROR(IF(VLOOKUP($A116,Outbound!$E$1:$BA$411,20,FALSE)="","","Y"),"")</f>
        <v/>
      </c>
      <c r="R116" s="267" t="str">
        <f>IFERROR(IF(VLOOKUP($A116,Outbound!$E$1:$BA$411,49,FALSE)="","","Y"),"")</f>
        <v/>
      </c>
      <c r="S116" s="309"/>
      <c r="T116" s="309"/>
      <c r="U116" s="246"/>
      <c r="V116" s="246"/>
      <c r="W116" s="117" t="str">
        <f>IFERROR(IF(VLOOKUP($A116,Outbound!$E$1:$BA$411,14,FALSE)="VARIATA","NEW TRAILER",""),"")</f>
        <v/>
      </c>
      <c r="X116" s="117" t="str">
        <f>IFERROR(IF(VLOOKUP(A116,Outbound!$E$1:$Y$411,21,FALSE)&lt;&gt;"",VLOOKUP(A116,Outbound!$E$1:$Y$411,21,FALSE),VLOOKUP(A116,Outbound!$E$1:$Y$411,19,FALSE)),"")</f>
        <v/>
      </c>
      <c r="Y116" s="117" t="str">
        <f>IFERROR(CONCATENATE(VLOOKUP($A116,Outbound!$E$1:$BA$411,44,FALSE)," - ",VLOOKUP($A116,Outbound!$E$1:$BA$411,16,FALSE)," - "),"")</f>
        <v/>
      </c>
      <c r="Z116" s="246" t="str">
        <f>IFERROR(VLOOKUP(A116,Outbound!$E$2:$AK$412,33,FALSE),"")</f>
        <v/>
      </c>
      <c r="AA116" s="246"/>
      <c r="AB116" s="344" t="str">
        <f>IFERROR(IF(VLOOKUP($A116,Outbound!$E$1:$BA$411,48,FALSE)&lt;&gt;0,VLOOKUP($A116,Outbound!$E$1:$BA$411,48,FALSE),""),"")</f>
        <v/>
      </c>
      <c r="AC116" s="314" t="str">
        <f>IFERROR(IF(VLOOKUP($A116,Outbound!$E$1:$BA$411,49,FALSE)&lt;&gt;0,VLOOKUP($A116,Outbound!$E$1:$BA$411,49,FALSE),""),"")</f>
        <v/>
      </c>
      <c r="AQ116" s="229"/>
      <c r="AR116" s="229"/>
      <c r="AU116" s="229"/>
      <c r="BM116" s="189"/>
      <c r="BN116" s="189"/>
      <c r="BO116" s="189"/>
    </row>
    <row r="117" spans="1:67" ht="12" customHeight="1">
      <c r="A117" s="237"/>
      <c r="B117" s="238" t="e">
        <f t="shared" si="18"/>
        <v>#N/A</v>
      </c>
      <c r="C117" s="239" t="e">
        <f t="shared" si="19"/>
        <v>#N/A</v>
      </c>
      <c r="D117" s="239" t="e">
        <f t="shared" si="20"/>
        <v>#N/A</v>
      </c>
      <c r="E117" s="240" t="e">
        <f t="shared" si="21"/>
        <v>#N/A</v>
      </c>
      <c r="F117" s="241"/>
      <c r="G117" s="241"/>
      <c r="H117" s="308" t="e">
        <f>IF(VLOOKUP(A117,Outbound!$E$1:$Q$411,13,FALSE)=0,VLOOKUP(A117,AK:BL,13,FALSE),VLOOKUP(A117,Outbound!$E$1:$Q$411,13,FALSE))</f>
        <v>#N/A</v>
      </c>
      <c r="I117" s="242" t="e">
        <f t="shared" si="16"/>
        <v>#N/A</v>
      </c>
      <c r="J117" s="269" t="str">
        <f>IFERROR(IF(VLOOKUP($A117,Outbound!$E$1:$BA$411,17,FALSE)="","","Y"),"")</f>
        <v/>
      </c>
      <c r="K117" s="243"/>
      <c r="L117" s="243"/>
      <c r="M117" s="244">
        <f t="shared" si="17"/>
        <v>0</v>
      </c>
      <c r="N117" s="245"/>
      <c r="O117" s="245"/>
      <c r="P117" s="267" t="str">
        <f>IFERROR(IF(VLOOKUP(A117,Outbound!$E$1:$AY$411,46,FALSE)&lt;&gt;"","Y",""),"")</f>
        <v/>
      </c>
      <c r="Q117" s="267" t="str">
        <f>IFERROR(IF(VLOOKUP($A117,Outbound!$E$1:$BA$411,20,FALSE)="","","Y"),"")</f>
        <v/>
      </c>
      <c r="R117" s="267" t="str">
        <f>IFERROR(IF(VLOOKUP($A117,Outbound!$E$1:$BA$411,49,FALSE)="","","Y"),"")</f>
        <v/>
      </c>
      <c r="S117" s="309"/>
      <c r="T117" s="309"/>
      <c r="U117" s="246"/>
      <c r="V117" s="246"/>
      <c r="W117" s="117" t="str">
        <f>IFERROR(IF(VLOOKUP($A117,Outbound!$E$1:$BA$411,14,FALSE)="VARIATA","NEW TRAILER",""),"")</f>
        <v/>
      </c>
      <c r="X117" s="117" t="str">
        <f>IFERROR(IF(VLOOKUP(A117,Outbound!$E$1:$Y$411,21,FALSE)&lt;&gt;"",VLOOKUP(A117,Outbound!$E$1:$Y$411,21,FALSE),VLOOKUP(A117,Outbound!$E$1:$Y$411,19,FALSE)),"")</f>
        <v/>
      </c>
      <c r="Y117" s="117" t="str">
        <f>IFERROR(CONCATENATE(VLOOKUP($A117,Outbound!$E$1:$BA$411,44,FALSE)," - ",VLOOKUP($A117,Outbound!$E$1:$BA$411,16,FALSE)," - "),"")</f>
        <v/>
      </c>
      <c r="Z117" s="246" t="str">
        <f>IFERROR(VLOOKUP(A117,Outbound!$E$2:$AK$412,33,FALSE),"")</f>
        <v/>
      </c>
      <c r="AA117" s="246"/>
      <c r="AB117" s="344" t="str">
        <f>IFERROR(IF(VLOOKUP($A117,Outbound!$E$1:$BA$411,48,FALSE)&lt;&gt;0,VLOOKUP($A117,Outbound!$E$1:$BA$411,48,FALSE),""),"")</f>
        <v/>
      </c>
      <c r="AC117" s="314" t="str">
        <f>IFERROR(IF(VLOOKUP($A117,Outbound!$E$1:$BA$411,49,FALSE)&lt;&gt;0,VLOOKUP($A117,Outbound!$E$1:$BA$411,49,FALSE),""),"")</f>
        <v/>
      </c>
      <c r="AQ117" s="229"/>
      <c r="AR117" s="229"/>
      <c r="AS117" s="229"/>
      <c r="AU117" s="229"/>
      <c r="BM117" s="189"/>
      <c r="BN117" s="189"/>
      <c r="BO117" s="189"/>
    </row>
    <row r="118" spans="1:67" ht="12" customHeight="1">
      <c r="A118" s="237"/>
      <c r="B118" s="238" t="e">
        <f t="shared" si="18"/>
        <v>#N/A</v>
      </c>
      <c r="C118" s="239" t="e">
        <f t="shared" si="19"/>
        <v>#N/A</v>
      </c>
      <c r="D118" s="239" t="e">
        <f t="shared" si="20"/>
        <v>#N/A</v>
      </c>
      <c r="E118" s="240" t="e">
        <f t="shared" si="21"/>
        <v>#N/A</v>
      </c>
      <c r="F118" s="241"/>
      <c r="G118" s="241"/>
      <c r="H118" s="308" t="e">
        <f>IF(VLOOKUP(A118,Outbound!$E$1:$Q$411,13,FALSE)=0,VLOOKUP(A118,AK:BL,13,FALSE),VLOOKUP(A118,Outbound!$E$1:$Q$411,13,FALSE))</f>
        <v>#N/A</v>
      </c>
      <c r="I118" s="242" t="e">
        <f t="shared" si="16"/>
        <v>#N/A</v>
      </c>
      <c r="J118" s="269" t="str">
        <f>IFERROR(IF(VLOOKUP($A118,Outbound!$E$1:$BA$411,17,FALSE)="","","Y"),"")</f>
        <v/>
      </c>
      <c r="K118" s="243"/>
      <c r="L118" s="243"/>
      <c r="M118" s="244">
        <f t="shared" si="17"/>
        <v>0</v>
      </c>
      <c r="N118" s="245"/>
      <c r="O118" s="245"/>
      <c r="P118" s="267" t="str">
        <f>IFERROR(IF(VLOOKUP(A118,Outbound!$E$1:$AY$411,46,FALSE)&lt;&gt;"","Y",""),"")</f>
        <v/>
      </c>
      <c r="Q118" s="267" t="str">
        <f>IFERROR(IF(VLOOKUP($A118,Outbound!$E$1:$BA$411,20,FALSE)="","","Y"),"")</f>
        <v/>
      </c>
      <c r="R118" s="267" t="str">
        <f>IFERROR(IF(VLOOKUP($A118,Outbound!$E$1:$BA$411,49,FALSE)="","","Y"),"")</f>
        <v/>
      </c>
      <c r="S118" s="309"/>
      <c r="T118" s="309"/>
      <c r="U118" s="246"/>
      <c r="V118" s="246"/>
      <c r="W118" s="117" t="str">
        <f>IFERROR(IF(VLOOKUP($A118,Outbound!$E$1:$BA$411,14,FALSE)="VARIATA","NEW TRAILER",""),"")</f>
        <v/>
      </c>
      <c r="X118" s="117" t="str">
        <f>IFERROR(IF(VLOOKUP(A118,Outbound!$E$1:$Y$411,21,FALSE)&lt;&gt;"",VLOOKUP(A118,Outbound!$E$1:$Y$411,21,FALSE),VLOOKUP(A118,Outbound!$E$1:$Y$411,19,FALSE)),"")</f>
        <v/>
      </c>
      <c r="Y118" s="117" t="str">
        <f>IFERROR(CONCATENATE(VLOOKUP($A118,Outbound!$E$1:$BA$411,44,FALSE)," - ",VLOOKUP($A118,Outbound!$E$1:$BA$411,16,FALSE)," - "),"")</f>
        <v/>
      </c>
      <c r="Z118" s="246" t="str">
        <f>IFERROR(VLOOKUP(A118,Outbound!$E$2:$AK$412,33,FALSE),"")</f>
        <v/>
      </c>
      <c r="AA118" s="246"/>
      <c r="AB118" s="344" t="str">
        <f>IFERROR(IF(VLOOKUP($A118,Outbound!$E$1:$BA$411,48,FALSE)&lt;&gt;0,VLOOKUP($A118,Outbound!$E$1:$BA$411,48,FALSE),""),"")</f>
        <v/>
      </c>
      <c r="AC118" s="314" t="str">
        <f>IFERROR(IF(VLOOKUP($A118,Outbound!$E$1:$BA$411,49,FALSE)&lt;&gt;0,VLOOKUP($A118,Outbound!$E$1:$BA$411,49,FALSE),""),"")</f>
        <v/>
      </c>
      <c r="AQ118" s="229"/>
      <c r="AR118" s="229"/>
      <c r="BM118" s="189"/>
      <c r="BN118" s="189"/>
      <c r="BO118" s="189"/>
    </row>
    <row r="119" spans="1:67" ht="12.75">
      <c r="A119" s="237"/>
      <c r="B119" s="238" t="e">
        <f t="shared" si="18"/>
        <v>#N/A</v>
      </c>
      <c r="C119" s="239" t="e">
        <f t="shared" si="19"/>
        <v>#N/A</v>
      </c>
      <c r="D119" s="239" t="e">
        <f t="shared" si="20"/>
        <v>#N/A</v>
      </c>
      <c r="E119" s="240" t="e">
        <f t="shared" si="21"/>
        <v>#N/A</v>
      </c>
      <c r="F119" s="241"/>
      <c r="G119" s="241"/>
      <c r="H119" s="308" t="e">
        <f>IF(VLOOKUP(A119,Outbound!$E$1:$Q$411,13,FALSE)=0,VLOOKUP(A119,AK:BL,13,FALSE),VLOOKUP(A119,Outbound!$E$1:$Q$411,13,FALSE))</f>
        <v>#N/A</v>
      </c>
      <c r="I119" s="242" t="e">
        <f t="shared" si="16"/>
        <v>#N/A</v>
      </c>
      <c r="J119" s="269" t="str">
        <f>IFERROR(IF(VLOOKUP($A119,Outbound!$E$1:$BA$411,17,FALSE)="","","Y"),"")</f>
        <v/>
      </c>
      <c r="K119" s="243"/>
      <c r="L119" s="243"/>
      <c r="M119" s="244">
        <f t="shared" si="17"/>
        <v>0</v>
      </c>
      <c r="N119" s="245"/>
      <c r="O119" s="245"/>
      <c r="P119" s="267" t="str">
        <f>IFERROR(IF(VLOOKUP(A119,Outbound!$E$1:$AY$411,46,FALSE)&lt;&gt;"","Y",""),"")</f>
        <v/>
      </c>
      <c r="Q119" s="267" t="str">
        <f>IFERROR(IF(VLOOKUP($A119,Outbound!$E$1:$BA$411,20,FALSE)="","","Y"),"")</f>
        <v/>
      </c>
      <c r="R119" s="267" t="str">
        <f>IFERROR(IF(VLOOKUP($A119,Outbound!$E$1:$BA$411,49,FALSE)="","","Y"),"")</f>
        <v/>
      </c>
      <c r="S119" s="309"/>
      <c r="T119" s="309"/>
      <c r="U119" s="246"/>
      <c r="V119" s="246"/>
      <c r="W119" s="117" t="str">
        <f>IFERROR(IF(VLOOKUP($A119,Outbound!$E$1:$BA$411,14,FALSE)="VARIATA","NEW TRAILER",""),"")</f>
        <v/>
      </c>
      <c r="X119" s="117" t="str">
        <f>IFERROR(IF(VLOOKUP(A119,Outbound!$E$1:$Y$411,21,FALSE)&lt;&gt;"",VLOOKUP(A119,Outbound!$E$1:$Y$411,21,FALSE),VLOOKUP(A119,Outbound!$E$1:$Y$411,19,FALSE)),"")</f>
        <v/>
      </c>
      <c r="Y119" s="117" t="str">
        <f>IFERROR(CONCATENATE(VLOOKUP($A119,Outbound!$E$1:$BA$411,44,FALSE)," - ",VLOOKUP($A119,Outbound!$E$1:$BA$411,16,FALSE)," - "),"")</f>
        <v/>
      </c>
      <c r="Z119" s="246" t="str">
        <f>IFERROR(VLOOKUP(A119,Outbound!$E$2:$AK$412,33,FALSE),"")</f>
        <v/>
      </c>
      <c r="AA119" s="246"/>
      <c r="AB119" s="344" t="str">
        <f>IFERROR(IF(VLOOKUP($A119,Outbound!$E$1:$BA$411,48,FALSE)&lt;&gt;0,VLOOKUP($A119,Outbound!$E$1:$BA$411,48,FALSE),""),"")</f>
        <v/>
      </c>
      <c r="AC119" s="314" t="str">
        <f>IFERROR(IF(VLOOKUP($A119,Outbound!$E$1:$BA$411,49,FALSE)&lt;&gt;0,VLOOKUP($A119,Outbound!$E$1:$BA$411,49,FALSE),""),"")</f>
        <v/>
      </c>
      <c r="AQ119" s="229"/>
      <c r="AR119" s="229"/>
      <c r="BM119" s="189"/>
      <c r="BN119" s="189"/>
      <c r="BO119" s="189"/>
    </row>
    <row r="120" spans="1:67" ht="13.5" thickBot="1">
      <c r="A120" s="248"/>
      <c r="B120" s="249" t="e">
        <f t="shared" ref="B120" si="22">VLOOKUP(A120,AK:BL,2,FALSE)</f>
        <v>#N/A</v>
      </c>
      <c r="C120" s="250" t="e">
        <f t="shared" si="19"/>
        <v>#N/A</v>
      </c>
      <c r="D120" s="250" t="e">
        <f t="shared" si="20"/>
        <v>#N/A</v>
      </c>
      <c r="E120" s="251" t="e">
        <f t="shared" si="21"/>
        <v>#N/A</v>
      </c>
      <c r="F120" s="252"/>
      <c r="G120" s="252"/>
      <c r="H120" s="311" t="e">
        <f>IF(VLOOKUP(A120,Outbound!$E$1:$Q$411,13,FALSE)=0,VLOOKUP(A120,AK:BL,13,FALSE),VLOOKUP(A120,Outbound!$E$1:$Q$411,13,FALSE))</f>
        <v>#N/A</v>
      </c>
      <c r="I120" s="253" t="e">
        <f t="shared" si="16"/>
        <v>#N/A</v>
      </c>
      <c r="J120" s="270" t="str">
        <f>IFERROR(IF(VLOOKUP($A120,Outbound!$E$1:$BA$411,17,FALSE)="","","Y"),"")</f>
        <v/>
      </c>
      <c r="K120" s="254"/>
      <c r="L120" s="254"/>
      <c r="M120" s="255">
        <f t="shared" si="17"/>
        <v>0</v>
      </c>
      <c r="N120" s="256"/>
      <c r="O120" s="256"/>
      <c r="P120" s="268" t="str">
        <f>IFERROR(IF(VLOOKUP(A120,Outbound!$E$1:$AY$411,46,FALSE)&lt;&gt;"","Y",""),"")</f>
        <v/>
      </c>
      <c r="Q120" s="268" t="str">
        <f>IFERROR(IF(VLOOKUP($A120,Outbound!$E$1:$BA$411,20,FALSE)="","","Y"),"")</f>
        <v/>
      </c>
      <c r="R120" s="268" t="str">
        <f>IFERROR(IF(VLOOKUP($A120,Outbound!$E$1:$BA$411,49,FALSE)="","","Y"),"")</f>
        <v/>
      </c>
      <c r="S120" s="310"/>
      <c r="T120" s="310"/>
      <c r="U120" s="257"/>
      <c r="V120" s="257"/>
      <c r="W120" s="149" t="str">
        <f>IFERROR(IF(VLOOKUP($A120,Outbound!$E$1:$BA$411,14,FALSE)="VARIATA","NEW TRAILER",""),"")</f>
        <v/>
      </c>
      <c r="X120" s="149" t="str">
        <f>IFERROR(IF(VLOOKUP(A120,Outbound!$E$1:$Y$411,21,FALSE)&lt;&gt;"",VLOOKUP(A120,Outbound!$E$1:$Y$411,21,FALSE),VLOOKUP(A120,Outbound!$E$1:$Y$411,19,FALSE)),"")</f>
        <v/>
      </c>
      <c r="Y120" s="149" t="str">
        <f>IFERROR(CONCATENATE(VLOOKUP($A120,Outbound!$E$1:$BA$411,44,FALSE)," - ",VLOOKUP($A120,Outbound!$E$1:$BA$411,16,FALSE)," - "),"")</f>
        <v/>
      </c>
      <c r="Z120" s="257" t="str">
        <f>IFERROR(VLOOKUP(A120,Outbound!$E$2:$AK$412,33,FALSE),"")</f>
        <v/>
      </c>
      <c r="AA120" s="257"/>
      <c r="AB120" s="348" t="str">
        <f>IFERROR(IF(VLOOKUP($A120,Outbound!$E$1:$BA$411,48,FALSE)&lt;&gt;0,VLOOKUP($A120,Outbound!$E$1:$BA$411,48,FALSE),""),"")</f>
        <v/>
      </c>
      <c r="AC120" s="315" t="str">
        <f>IFERROR(IF(VLOOKUP($A120,Outbound!$E$1:$BA$411,49,FALSE)&lt;&gt;0,VLOOKUP($A120,Outbound!$E$1:$BA$411,49,FALSE),""),"")</f>
        <v/>
      </c>
      <c r="AQ120" s="229"/>
      <c r="AR120" s="229"/>
      <c r="AT120" s="229"/>
      <c r="BM120" s="189"/>
      <c r="BN120" s="189"/>
      <c r="BO120" s="189"/>
    </row>
    <row r="121" spans="1:67" ht="12.75">
      <c r="H121" s="105"/>
      <c r="AQ121" s="229"/>
      <c r="AR121" s="229"/>
      <c r="BM121" s="189"/>
      <c r="BN121" s="189"/>
      <c r="BO121" s="189"/>
    </row>
    <row r="122" spans="1:67" ht="12.75">
      <c r="H122" s="105"/>
      <c r="AQ122" s="229"/>
      <c r="AR122" s="229"/>
      <c r="AS122" s="229"/>
      <c r="AU122" s="229"/>
      <c r="BM122" s="189"/>
      <c r="BN122" s="189"/>
      <c r="BO122" s="189"/>
    </row>
    <row r="123" spans="1:67" ht="12.75">
      <c r="H123" s="105"/>
      <c r="AQ123" s="229"/>
      <c r="AR123" s="229"/>
      <c r="AS123" s="229"/>
      <c r="AU123" s="229"/>
      <c r="BM123" s="189"/>
      <c r="BN123" s="189"/>
      <c r="BO123" s="189"/>
    </row>
    <row r="124" spans="1:67" ht="12.75">
      <c r="H124" s="105"/>
      <c r="AQ124" s="229"/>
      <c r="AR124" s="229"/>
      <c r="BM124" s="189"/>
      <c r="BN124" s="189"/>
      <c r="BO124" s="189"/>
    </row>
    <row r="125" spans="1:67" ht="12.75">
      <c r="H125" s="105"/>
      <c r="AP125" s="229"/>
      <c r="AQ125" s="229"/>
      <c r="AR125" s="229"/>
      <c r="AT125" s="229"/>
      <c r="BM125" s="189"/>
      <c r="BN125" s="189"/>
      <c r="BO125" s="189"/>
    </row>
    <row r="126" spans="1:67" ht="12.75">
      <c r="H126" s="105"/>
      <c r="AQ126" s="229"/>
      <c r="AR126" s="229"/>
      <c r="AS126" s="229"/>
      <c r="AU126" s="229"/>
      <c r="BM126" s="189"/>
      <c r="BN126" s="189"/>
      <c r="BO126" s="189"/>
    </row>
    <row r="127" spans="1:67" ht="12.75">
      <c r="H127" s="105"/>
      <c r="AQ127" s="229"/>
      <c r="AR127" s="229"/>
      <c r="AS127" s="229"/>
      <c r="AU127" s="229"/>
      <c r="BM127" s="189"/>
      <c r="BN127" s="189"/>
      <c r="BO127" s="189"/>
    </row>
    <row r="128" spans="1:67" ht="12.75">
      <c r="H128" s="105"/>
      <c r="AQ128" s="229"/>
      <c r="AR128" s="229"/>
      <c r="AS128" s="229"/>
      <c r="AU128" s="229"/>
      <c r="BM128" s="189"/>
      <c r="BN128" s="189"/>
      <c r="BO128" s="189"/>
    </row>
    <row r="129" spans="8:67" ht="12.75">
      <c r="H129" s="105"/>
      <c r="AQ129" s="229"/>
      <c r="AR129" s="229"/>
      <c r="AS129" s="229"/>
      <c r="BM129" s="189"/>
      <c r="BN129" s="189"/>
      <c r="BO129" s="189"/>
    </row>
    <row r="130" spans="8:67" ht="12.75">
      <c r="H130" s="105"/>
      <c r="AQ130" s="229"/>
      <c r="BM130" s="189"/>
      <c r="BN130" s="189"/>
      <c r="BO130" s="189"/>
    </row>
    <row r="131" spans="8:67" ht="12.75">
      <c r="H131" s="105"/>
      <c r="AQ131" s="229"/>
      <c r="BM131" s="189"/>
      <c r="BN131" s="189"/>
      <c r="BO131" s="189"/>
    </row>
    <row r="132" spans="8:67" ht="12.75">
      <c r="H132" s="105"/>
      <c r="AQ132" s="229"/>
      <c r="AR132" s="229"/>
      <c r="AS132" s="229"/>
      <c r="AT132" s="229"/>
      <c r="BM132" s="189"/>
      <c r="BN132" s="189"/>
      <c r="BO132" s="189"/>
    </row>
    <row r="133" spans="8:67" ht="12.75">
      <c r="H133" s="105"/>
      <c r="AQ133" s="229"/>
      <c r="BM133" s="189"/>
      <c r="BN133" s="189"/>
      <c r="BO133" s="189"/>
    </row>
    <row r="134" spans="8:67">
      <c r="H134" s="105"/>
      <c r="AQ134" s="229"/>
    </row>
    <row r="135" spans="8:67">
      <c r="H135" s="105"/>
      <c r="AQ135" s="229"/>
      <c r="AU135" s="229"/>
    </row>
    <row r="136" spans="8:67">
      <c r="H136" s="105"/>
      <c r="AQ136" s="229"/>
      <c r="AR136" s="229"/>
      <c r="AS136" s="229"/>
    </row>
    <row r="137" spans="8:67">
      <c r="H137" s="105"/>
      <c r="AQ137" s="229"/>
      <c r="AR137" s="229"/>
    </row>
    <row r="138" spans="8:67">
      <c r="H138" s="105"/>
      <c r="AQ138" s="229"/>
      <c r="AR138" s="229"/>
    </row>
    <row r="139" spans="8:67">
      <c r="H139" s="105"/>
      <c r="AQ139" s="229"/>
    </row>
    <row r="140" spans="8:67">
      <c r="H140" s="105"/>
      <c r="AQ140" s="229"/>
      <c r="AR140" s="229"/>
    </row>
    <row r="141" spans="8:67">
      <c r="H141" s="105"/>
      <c r="AQ141" s="229"/>
      <c r="AR141" s="229"/>
      <c r="AS141" s="229"/>
      <c r="AU141" s="229"/>
    </row>
    <row r="142" spans="8:67">
      <c r="H142" s="105"/>
      <c r="AQ142" s="229"/>
    </row>
    <row r="143" spans="8:67">
      <c r="H143" s="105"/>
      <c r="AN143" s="266"/>
      <c r="AQ143" s="229"/>
      <c r="AR143" s="229"/>
      <c r="AS143" s="229"/>
    </row>
    <row r="144" spans="8:67">
      <c r="H144" s="105"/>
      <c r="AQ144" s="229"/>
    </row>
    <row r="145" spans="8:43">
      <c r="H145" s="105"/>
      <c r="AQ145" s="229"/>
    </row>
    <row r="146" spans="8:43">
      <c r="H146" s="105"/>
      <c r="AQ146" s="229"/>
    </row>
    <row r="147" spans="8:43">
      <c r="AQ147" s="229"/>
    </row>
    <row r="148" spans="8:43">
      <c r="AQ148" s="229"/>
    </row>
    <row r="149" spans="8:43">
      <c r="AQ149" s="229"/>
    </row>
    <row r="150" spans="8:43">
      <c r="AQ150" s="229"/>
    </row>
    <row r="151" spans="8:43">
      <c r="AQ151" s="229"/>
    </row>
    <row r="152" spans="8:43">
      <c r="AQ152" s="229"/>
    </row>
    <row r="153" spans="8:43">
      <c r="AQ153" s="229"/>
    </row>
    <row r="154" spans="8:43">
      <c r="AQ154" s="229"/>
    </row>
    <row r="155" spans="8:43">
      <c r="AQ155" s="229"/>
    </row>
    <row r="156" spans="8:43">
      <c r="AQ156" s="229"/>
    </row>
    <row r="157" spans="8:43">
      <c r="AQ157" s="229"/>
    </row>
    <row r="158" spans="8:43">
      <c r="AQ158" s="229"/>
    </row>
    <row r="159" spans="8:43">
      <c r="AQ159" s="229"/>
    </row>
    <row r="161" spans="43:58">
      <c r="AQ161" s="229"/>
      <c r="AR161" s="229"/>
    </row>
    <row r="162" spans="43:58">
      <c r="AQ162" s="229"/>
      <c r="AR162" s="229"/>
      <c r="AS162" s="229"/>
    </row>
    <row r="163" spans="43:58">
      <c r="AQ163" s="229"/>
      <c r="AS163" s="229"/>
    </row>
    <row r="164" spans="43:58">
      <c r="AQ164" s="229"/>
      <c r="AS164" s="229"/>
    </row>
    <row r="165" spans="43:58">
      <c r="AQ165" s="229"/>
    </row>
    <row r="166" spans="43:58">
      <c r="AQ166" s="229"/>
      <c r="AS166" s="229"/>
    </row>
    <row r="167" spans="43:58">
      <c r="AQ167" s="229"/>
    </row>
    <row r="168" spans="43:58">
      <c r="AQ168" s="229"/>
    </row>
    <row r="169" spans="43:58">
      <c r="AQ169" s="229"/>
      <c r="AR169" s="229"/>
      <c r="AS169" s="229"/>
      <c r="AU169" s="229"/>
      <c r="AY169" s="189" t="s">
        <v>58</v>
      </c>
      <c r="AZ169" s="189" t="s">
        <v>76</v>
      </c>
      <c r="BA169" s="189" t="s">
        <v>58</v>
      </c>
      <c r="BB169" s="189" t="s">
        <v>58</v>
      </c>
      <c r="BC169" s="189" t="s">
        <v>58</v>
      </c>
      <c r="BD169" s="189" t="s">
        <v>58</v>
      </c>
      <c r="BE169" s="189" t="s">
        <v>59</v>
      </c>
      <c r="BF169" s="189" t="s">
        <v>58</v>
      </c>
    </row>
  </sheetData>
  <sheetProtection algorithmName="SHA-512" hashValue="sZJNwIB5MFzLH4A8m2AFlu3WXCVM79/+gRHx7Gmb/TlWuITake/KnSrlZCsO9zJKFRzkosGJGMj5i5N4UQSvrA==" saltValue="Ib0CGNCulQjeVyBJqsUN/A==" spinCount="100000" sheet="1" formatCells="0" formatColumns="0" formatRows="0" selectLockedCells="1" sort="0" autoFilter="0"/>
  <dataConsolidate/>
  <mergeCells count="19">
    <mergeCell ref="W1:W3"/>
    <mergeCell ref="X1:X3"/>
    <mergeCell ref="Y1:Y3"/>
    <mergeCell ref="AC1:AC3"/>
    <mergeCell ref="AK1:AK2"/>
    <mergeCell ref="AB1:AB3"/>
    <mergeCell ref="Z1:AA2"/>
    <mergeCell ref="V1:V3"/>
    <mergeCell ref="I1:I3"/>
    <mergeCell ref="A1:B2"/>
    <mergeCell ref="C1:C2"/>
    <mergeCell ref="D1:D3"/>
    <mergeCell ref="E1:E3"/>
    <mergeCell ref="F1:H2"/>
    <mergeCell ref="J1:J3"/>
    <mergeCell ref="K1:L2"/>
    <mergeCell ref="M1:M3"/>
    <mergeCell ref="U1:U3"/>
    <mergeCell ref="N1:T2"/>
  </mergeCells>
  <conditionalFormatting sqref="J5:J120">
    <cfRule type="containsText" dxfId="135" priority="202" operator="containsText" text="Y">
      <formula>NOT(ISERROR(SEARCH("Y",J5)))</formula>
    </cfRule>
  </conditionalFormatting>
  <conditionalFormatting sqref="H3:H4 K5:L120 D5:D120">
    <cfRule type="cellIs" dxfId="134" priority="201" operator="equal">
      <formula>0</formula>
    </cfRule>
  </conditionalFormatting>
  <conditionalFormatting sqref="U4:V4">
    <cfRule type="containsText" dxfId="133" priority="200" operator="containsText" text="X">
      <formula>NOT(ISERROR(SEARCH("X",U4)))</formula>
    </cfRule>
  </conditionalFormatting>
  <conditionalFormatting sqref="M1:M4">
    <cfRule type="containsErrors" dxfId="132" priority="199">
      <formula>ISERROR(M1)</formula>
    </cfRule>
  </conditionalFormatting>
  <conditionalFormatting sqref="M5:M120">
    <cfRule type="cellIs" dxfId="131" priority="198" operator="equal">
      <formula>0</formula>
    </cfRule>
    <cfRule type="containsErrors" dxfId="130" priority="203">
      <formula>ISERROR(M5)</formula>
    </cfRule>
  </conditionalFormatting>
  <conditionalFormatting sqref="F5:G120">
    <cfRule type="containsBlanks" dxfId="129" priority="196">
      <formula>LEN(TRIM(F5))=0</formula>
    </cfRule>
  </conditionalFormatting>
  <conditionalFormatting sqref="J5:J120 F5:G120">
    <cfRule type="notContainsBlanks" dxfId="128" priority="195">
      <formula>LEN(TRIM(F5))&gt;0</formula>
    </cfRule>
  </conditionalFormatting>
  <conditionalFormatting sqref="I5:L120">
    <cfRule type="containsErrors" dxfId="127" priority="194">
      <formula>ISERROR(I5)</formula>
    </cfRule>
  </conditionalFormatting>
  <conditionalFormatting sqref="H5:H120">
    <cfRule type="containsErrors" dxfId="126" priority="185">
      <formula>ISERROR(H5)</formula>
    </cfRule>
  </conditionalFormatting>
  <conditionalFormatting sqref="H5:H120">
    <cfRule type="cellIs" dxfId="125" priority="184" operator="equal">
      <formula>0</formula>
    </cfRule>
  </conditionalFormatting>
  <conditionalFormatting sqref="A86:M120 H6:H120 J6:J120 B5:M85">
    <cfRule type="expression" dxfId="124" priority="183">
      <formula>$Q5="y"</formula>
    </cfRule>
  </conditionalFormatting>
  <conditionalFormatting sqref="E5:E120">
    <cfRule type="containsErrors" dxfId="123" priority="180">
      <formula>ISERROR(E5)</formula>
    </cfRule>
  </conditionalFormatting>
  <conditionalFormatting sqref="H5:H120">
    <cfRule type="cellIs" dxfId="122" priority="179" operator="equal">
      <formula>0</formula>
    </cfRule>
  </conditionalFormatting>
  <conditionalFormatting sqref="H5:H120">
    <cfRule type="containsErrors" dxfId="121" priority="178">
      <formula>ISERROR(H5)</formula>
    </cfRule>
  </conditionalFormatting>
  <conditionalFormatting sqref="H5:H120">
    <cfRule type="containsErrors" dxfId="120" priority="177">
      <formula>ISERROR(H5)</formula>
    </cfRule>
  </conditionalFormatting>
  <conditionalFormatting sqref="J5:J120">
    <cfRule type="containsText" dxfId="119" priority="120" operator="containsText" text="X">
      <formula>NOT(ISERROR(SEARCH("X",J5)))</formula>
    </cfRule>
  </conditionalFormatting>
  <conditionalFormatting sqref="J5:J120">
    <cfRule type="expression" dxfId="118" priority="182">
      <formula>$Q5="y"</formula>
    </cfRule>
  </conditionalFormatting>
  <conditionalFormatting sqref="W1:W3 W4:X1048576">
    <cfRule type="containsText" dxfId="117" priority="118" operator="containsText" text="NEW TRAILER">
      <formula>NOT(ISERROR(SEARCH("NEW TRAILER",W1)))</formula>
    </cfRule>
  </conditionalFormatting>
  <conditionalFormatting sqref="AB4:AB1048576 Y4:Y1048576">
    <cfRule type="containsText" dxfId="116" priority="116" operator="containsText" text="Apple">
      <formula>NOT(ISERROR(SEARCH("Apple",Y4)))</formula>
    </cfRule>
    <cfRule type="containsText" dxfId="115" priority="117" operator="containsText" text="Status">
      <formula>NOT(ISERROR(SEARCH("Status",Y4)))</formula>
    </cfRule>
  </conditionalFormatting>
  <conditionalFormatting sqref="X1:Y3 AB1:AC3">
    <cfRule type="containsText" dxfId="114" priority="115" operator="containsText" text="NEW TRAILER">
      <formula>NOT(ISERROR(SEARCH("NEW TRAILER",X1)))</formula>
    </cfRule>
  </conditionalFormatting>
  <conditionalFormatting sqref="V1:V3">
    <cfRule type="containsText" dxfId="113" priority="114" operator="containsText" text="NEW TRAILER">
      <formula>NOT(ISERROR(SEARCH("NEW TRAILER",V1)))</formula>
    </cfRule>
  </conditionalFormatting>
  <conditionalFormatting sqref="U1:U3">
    <cfRule type="containsText" dxfId="112" priority="113" operator="containsText" text="NEW TRAILER">
      <formula>NOT(ISERROR(SEARCH("NEW TRAILER",U1)))</formula>
    </cfRule>
  </conditionalFormatting>
  <conditionalFormatting sqref="N5:T120">
    <cfRule type="containsText" dxfId="111" priority="112" operator="containsText" text="Y">
      <formula>NOT(ISERROR(SEARCH("Y",N5)))</formula>
    </cfRule>
  </conditionalFormatting>
  <conditionalFormatting sqref="N1 N4:T120">
    <cfRule type="containsText" dxfId="110" priority="111" operator="containsText" text="X">
      <formula>NOT(ISERROR(SEARCH("X",N1)))</formula>
    </cfRule>
  </conditionalFormatting>
  <conditionalFormatting sqref="N5:R120">
    <cfRule type="expression" dxfId="109" priority="110">
      <formula>$Q5="y"</formula>
    </cfRule>
  </conditionalFormatting>
  <conditionalFormatting sqref="N5:R120">
    <cfRule type="expression" dxfId="108" priority="107">
      <formula>$R5="y"</formula>
    </cfRule>
  </conditionalFormatting>
  <conditionalFormatting sqref="R5:R120">
    <cfRule type="expression" dxfId="107" priority="108">
      <formula>$Q5="y"</formula>
    </cfRule>
  </conditionalFormatting>
  <conditionalFormatting sqref="R5:R120">
    <cfRule type="expression" dxfId="106" priority="109">
      <formula>$Q5="y"</formula>
    </cfRule>
  </conditionalFormatting>
  <conditionalFormatting sqref="N3:R3">
    <cfRule type="containsText" dxfId="105" priority="105" operator="containsText" text="X">
      <formula>NOT(ISERROR(SEARCH("X",N3)))</formula>
    </cfRule>
  </conditionalFormatting>
  <conditionalFormatting sqref="S5:T5">
    <cfRule type="expression" dxfId="104" priority="104">
      <formula>$Q5="y"</formula>
    </cfRule>
  </conditionalFormatting>
  <conditionalFormatting sqref="S5:T5">
    <cfRule type="expression" dxfId="103" priority="97">
      <formula>$R5="y"</formula>
    </cfRule>
  </conditionalFormatting>
  <conditionalFormatting sqref="Z4:AA1048576">
    <cfRule type="containsText" dxfId="102" priority="100" operator="containsText" text="Status">
      <formula>NOT(ISERROR(SEARCH("Status",Z4)))</formula>
    </cfRule>
    <cfRule type="containsText" dxfId="101" priority="101" operator="containsText" text="Apple">
      <formula>NOT(ISERROR(SEARCH("Apple",Z4)))</formula>
    </cfRule>
  </conditionalFormatting>
  <conditionalFormatting sqref="Z3:AA3 Z1">
    <cfRule type="containsText" dxfId="100" priority="103" operator="containsText" text="NEW TRAILER">
      <formula>NOT(ISERROR(SEARCH("NEW TRAILER",Z1)))</formula>
    </cfRule>
  </conditionalFormatting>
  <conditionalFormatting sqref="A86:AB120 B5:AC5 H6:H120 J6:J120 AB6:AC120 W6:Z120 P6:R120 B6:AB85">
    <cfRule type="expression" dxfId="99" priority="92">
      <formula>$P5&lt;&gt;""</formula>
    </cfRule>
    <cfRule type="expression" dxfId="98" priority="93">
      <formula>$R5&lt;&gt;""</formula>
    </cfRule>
    <cfRule type="expression" dxfId="97" priority="94">
      <formula>$AA5&lt;&gt;""</formula>
    </cfRule>
    <cfRule type="expression" dxfId="96" priority="95">
      <formula>$Q5&lt;&gt;""</formula>
    </cfRule>
  </conditionalFormatting>
  <conditionalFormatting sqref="AE10:AE12">
    <cfRule type="containsText" dxfId="95" priority="91" operator="containsText" text="NEW TRAILER">
      <formula>NOT(ISERROR(SEARCH("NEW TRAILER",AE10)))</formula>
    </cfRule>
  </conditionalFormatting>
  <conditionalFormatting sqref="AF10:AF11">
    <cfRule type="containsText" dxfId="94" priority="90" operator="containsText" text="NEW TRAILER">
      <formula>NOT(ISERROR(SEARCH("NEW TRAILER",AF10)))</formula>
    </cfRule>
  </conditionalFormatting>
  <conditionalFormatting sqref="AL2:AM2 AK1:AM1">
    <cfRule type="containsErrors" dxfId="93" priority="85">
      <formula>ISERROR(AK1)</formula>
    </cfRule>
  </conditionalFormatting>
  <conditionalFormatting sqref="BG3:BH3">
    <cfRule type="containsErrors" dxfId="92" priority="84">
      <formula>ISERROR(BG3)</formula>
    </cfRule>
  </conditionalFormatting>
  <conditionalFormatting sqref="AL3:BF3">
    <cfRule type="containsErrors" dxfId="91" priority="83">
      <formula>ISERROR(AL3)</formula>
    </cfRule>
  </conditionalFormatting>
  <conditionalFormatting sqref="AN164:AP164 AS164">
    <cfRule type="containsErrors" dxfId="90" priority="82">
      <formula>ISERROR(AN164)</formula>
    </cfRule>
  </conditionalFormatting>
  <conditionalFormatting sqref="AQ164">
    <cfRule type="containsErrors" dxfId="89" priority="81">
      <formula>ISERROR(AQ164)</formula>
    </cfRule>
  </conditionalFormatting>
  <conditionalFormatting sqref="AQ165">
    <cfRule type="containsErrors" dxfId="88" priority="80">
      <formula>ISERROR(AQ165)</formula>
    </cfRule>
  </conditionalFormatting>
  <conditionalFormatting sqref="AS166">
    <cfRule type="containsErrors" dxfId="87" priority="79">
      <formula>ISERROR(AS166)</formula>
    </cfRule>
  </conditionalFormatting>
  <conditionalFormatting sqref="BI103:BJ116 BG39:BJ39 AN158:AP159 AN163:AQ163 AS158 AP169 BI74:BJ97 BI40:BJ67 BG40:BH57">
    <cfRule type="containsErrors" dxfId="86" priority="78">
      <formula>ISERROR(AN39)</formula>
    </cfRule>
  </conditionalFormatting>
  <conditionalFormatting sqref="BI98:BJ101">
    <cfRule type="containsErrors" dxfId="85" priority="77">
      <formula>ISERROR(BI98)</formula>
    </cfRule>
  </conditionalFormatting>
  <conditionalFormatting sqref="BI68:BJ68">
    <cfRule type="containsErrors" dxfId="84" priority="76">
      <formula>ISERROR(BI68)</formula>
    </cfRule>
  </conditionalFormatting>
  <conditionalFormatting sqref="AR111:AS111">
    <cfRule type="containsErrors" dxfId="83" priority="75">
      <formula>ISERROR(AR111)</formula>
    </cfRule>
  </conditionalFormatting>
  <conditionalFormatting sqref="AL108:AM108 AR108:AS108">
    <cfRule type="containsErrors" dxfId="82" priority="74">
      <formula>ISERROR(AL108)</formula>
    </cfRule>
  </conditionalFormatting>
  <conditionalFormatting sqref="AN118:AP118 AR118 AT118">
    <cfRule type="containsErrors" dxfId="81" priority="73">
      <formula>ISERROR(AN118)</formula>
    </cfRule>
  </conditionalFormatting>
  <conditionalFormatting sqref="AN119:AP119 AR119 AT119">
    <cfRule type="containsErrors" dxfId="80" priority="72">
      <formula>ISERROR(AN119)</formula>
    </cfRule>
  </conditionalFormatting>
  <conditionalFormatting sqref="AN120:AP120 AR120 AT120">
    <cfRule type="containsErrors" dxfId="79" priority="71">
      <formula>ISERROR(AN120)</formula>
    </cfRule>
  </conditionalFormatting>
  <conditionalFormatting sqref="AL118:AM118">
    <cfRule type="containsErrors" dxfId="78" priority="70">
      <formula>ISERROR(AL118)</formula>
    </cfRule>
  </conditionalFormatting>
  <conditionalFormatting sqref="AL120:AM120">
    <cfRule type="containsErrors" dxfId="77" priority="69">
      <formula>ISERROR(AL120)</formula>
    </cfRule>
  </conditionalFormatting>
  <conditionalFormatting sqref="AQ118">
    <cfRule type="containsErrors" dxfId="76" priority="68">
      <formula>ISERROR(AQ118)</formula>
    </cfRule>
  </conditionalFormatting>
  <conditionalFormatting sqref="AQ119:AQ120">
    <cfRule type="containsErrors" dxfId="75" priority="67">
      <formula>ISERROR(AQ119)</formula>
    </cfRule>
  </conditionalFormatting>
  <conditionalFormatting sqref="AS118">
    <cfRule type="containsErrors" dxfId="74" priority="66">
      <formula>ISERROR(AS118)</formula>
    </cfRule>
  </conditionalFormatting>
  <conditionalFormatting sqref="AS119">
    <cfRule type="containsErrors" dxfId="73" priority="65">
      <formula>ISERROR(AS119)</formula>
    </cfRule>
  </conditionalFormatting>
  <conditionalFormatting sqref="AS120">
    <cfRule type="containsErrors" dxfId="72" priority="64">
      <formula>ISERROR(AS120)</formula>
    </cfRule>
  </conditionalFormatting>
  <conditionalFormatting sqref="BI102:BJ102">
    <cfRule type="containsErrors" dxfId="71" priority="63">
      <formula>ISERROR(BI102)</formula>
    </cfRule>
  </conditionalFormatting>
  <conditionalFormatting sqref="BI69:BJ73">
    <cfRule type="containsErrors" dxfId="70" priority="62">
      <formula>ISERROR(BI69)</formula>
    </cfRule>
  </conditionalFormatting>
  <conditionalFormatting sqref="AS112">
    <cfRule type="containsErrors" dxfId="69" priority="61">
      <formula>ISERROR(AS112)</formula>
    </cfRule>
  </conditionalFormatting>
  <conditionalFormatting sqref="AN113">
    <cfRule type="containsErrors" dxfId="68" priority="60">
      <formula>ISERROR(AN113)</formula>
    </cfRule>
  </conditionalFormatting>
  <conditionalFormatting sqref="AQ112">
    <cfRule type="containsErrors" dxfId="67" priority="44">
      <formula>ISERROR(AQ112)</formula>
    </cfRule>
  </conditionalFormatting>
  <conditionalFormatting sqref="AN104:AS104">
    <cfRule type="containsErrors" dxfId="66" priority="40">
      <formula>ISERROR(AN104)</formula>
    </cfRule>
  </conditionalFormatting>
  <conditionalFormatting sqref="AN108:AQ108">
    <cfRule type="containsErrors" dxfId="65" priority="39">
      <formula>ISERROR(AN108)</formula>
    </cfRule>
  </conditionalFormatting>
  <conditionalFormatting sqref="AQ151">
    <cfRule type="containsErrors" dxfId="64" priority="38">
      <formula>ISERROR(AQ151)</formula>
    </cfRule>
  </conditionalFormatting>
  <conditionalFormatting sqref="AN152:AP152 AR152:AS152">
    <cfRule type="containsErrors" dxfId="63" priority="36">
      <formula>ISERROR(AN152)</formula>
    </cfRule>
  </conditionalFormatting>
  <conditionalFormatting sqref="AQ152">
    <cfRule type="containsErrors" dxfId="62" priority="35">
      <formula>ISERROR(AQ152)</formula>
    </cfRule>
  </conditionalFormatting>
  <conditionalFormatting sqref="AN114:AO116">
    <cfRule type="containsErrors" dxfId="61" priority="34">
      <formula>ISERROR(AN114)</formula>
    </cfRule>
  </conditionalFormatting>
  <conditionalFormatting sqref="AN143:AS143">
    <cfRule type="containsErrors" dxfId="60" priority="33">
      <formula>ISERROR(AN143)</formula>
    </cfRule>
  </conditionalFormatting>
  <conditionalFormatting sqref="AS163">
    <cfRule type="containsErrors" dxfId="59" priority="32">
      <formula>ISERROR(AS163)</formula>
    </cfRule>
  </conditionalFormatting>
  <conditionalFormatting sqref="AQ116">
    <cfRule type="containsErrors" dxfId="58" priority="30">
      <formula>ISERROR(AQ116)</formula>
    </cfRule>
  </conditionalFormatting>
  <conditionalFormatting sqref="AP111:AQ111">
    <cfRule type="containsErrors" dxfId="57" priority="29">
      <formula>ISERROR(AP111)</formula>
    </cfRule>
  </conditionalFormatting>
  <conditionalFormatting sqref="AN110:AS110">
    <cfRule type="containsErrors" dxfId="56" priority="28">
      <formula>ISERROR(AN110)</formula>
    </cfRule>
  </conditionalFormatting>
  <conditionalFormatting sqref="A5:A85">
    <cfRule type="expression" dxfId="55" priority="23">
      <formula>$Q5="y"</formula>
    </cfRule>
  </conditionalFormatting>
  <conditionalFormatting sqref="A5:A85">
    <cfRule type="expression" dxfId="54" priority="19">
      <formula>$P5&lt;&gt;""</formula>
    </cfRule>
    <cfRule type="expression" dxfId="53" priority="20">
      <formula>$R5&lt;&gt;""</formula>
    </cfRule>
    <cfRule type="expression" dxfId="52" priority="21">
      <formula>$AA5&lt;&gt;""</formula>
    </cfRule>
    <cfRule type="expression" dxfId="51" priority="22">
      <formula>$Q5&lt;&gt;""</formula>
    </cfRule>
  </conditionalFormatting>
  <conditionalFormatting sqref="BG15:BJ38 BF15:BF36">
    <cfRule type="containsErrors" dxfId="50" priority="12">
      <formula>ISERROR(BF15)</formula>
    </cfRule>
  </conditionalFormatting>
  <conditionalFormatting sqref="BF4:BJ14">
    <cfRule type="containsErrors" dxfId="49" priority="4">
      <formula>ISERROR(BF4)</formula>
    </cfRule>
  </conditionalFormatting>
  <dataValidations count="2">
    <dataValidation type="list" allowBlank="1" showInputMessage="1" showErrorMessage="1" sqref="U5:U120" xr:uid="{62440E35-724A-429B-82BB-909217EBCE7D}">
      <formula1>$AF$10:$AF$11</formula1>
    </dataValidation>
    <dataValidation type="list" allowBlank="1" showInputMessage="1" showErrorMessage="1" sqref="V5:V120" xr:uid="{97289248-7306-493A-AB87-595A1AF5FDFC}">
      <formula1>$AE$11:$AE$15</formula1>
    </dataValidation>
  </dataValidations>
  <pageMargins left="0" right="0" top="0" bottom="0" header="0.31496062992125984" footer="0"/>
  <pageSetup paperSize="9" scale="54" fitToHeight="0" orientation="landscape" r:id="rId1"/>
  <rowBreaks count="1" manualBreakCount="1">
    <brk id="102" max="1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FD302-824A-459D-B9B1-EE6104DD8D91}">
  <sheetPr>
    <tabColor rgb="FF7030A0"/>
  </sheetPr>
  <dimension ref="A1:AA1203"/>
  <sheetViews>
    <sheetView showZeros="0" zoomScaleNormal="100" workbookViewId="0">
      <pane xSplit="9" topLeftCell="J27" activePane="topRight" state="frozen"/>
      <selection pane="topRight" activeCell="L3" sqref="L3"/>
      <selection activeCell="B17" sqref="B17"/>
    </sheetView>
  </sheetViews>
  <sheetFormatPr defaultColWidth="8.7109375" defaultRowHeight="15"/>
  <cols>
    <col min="1" max="1" width="22.7109375" style="386" hidden="1" customWidth="1"/>
    <col min="2" max="2" width="16.140625" style="386" customWidth="1"/>
    <col min="3" max="3" width="11.85546875" style="386" bestFit="1" customWidth="1"/>
    <col min="4" max="4" width="15" style="386" customWidth="1"/>
    <col min="5" max="5" width="14.42578125" style="386" customWidth="1"/>
    <col min="6" max="6" width="19.140625" style="386" bestFit="1" customWidth="1"/>
    <col min="7" max="7" width="14.42578125" style="386" bestFit="1" customWidth="1"/>
    <col min="8" max="8" width="21.5703125" style="2" bestFit="1" customWidth="1"/>
    <col min="9" max="9" width="14.42578125" style="2" bestFit="1" customWidth="1"/>
    <col min="10" max="10" width="16.140625" style="386" customWidth="1"/>
    <col min="11" max="11" width="12.7109375" style="386" customWidth="1"/>
    <col min="12" max="12" width="12.140625" style="386" bestFit="1" customWidth="1"/>
    <col min="13" max="13" width="8.7109375" style="385"/>
    <col min="14" max="16" width="0" style="385" hidden="1" customWidth="1"/>
    <col min="17" max="17" width="1.42578125" style="385" customWidth="1"/>
    <col min="18" max="22" width="8.7109375" style="385"/>
    <col min="23" max="23" width="64.140625" style="385" customWidth="1"/>
    <col min="24" max="16384" width="8.7109375" style="386"/>
  </cols>
  <sheetData>
    <row r="1" spans="1:27" ht="17.25" customHeight="1" thickBot="1">
      <c r="B1" s="401" t="s">
        <v>1590</v>
      </c>
      <c r="C1" s="401" t="s">
        <v>1591</v>
      </c>
      <c r="D1" s="399"/>
      <c r="E1" s="399"/>
      <c r="F1" s="399"/>
      <c r="G1" s="399"/>
      <c r="H1" s="400"/>
      <c r="I1" s="400"/>
      <c r="J1" s="399"/>
      <c r="K1" s="399"/>
      <c r="L1" s="399"/>
    </row>
    <row r="2" spans="1:27" ht="30.75" thickBot="1">
      <c r="A2" s="384" t="s">
        <v>1592</v>
      </c>
      <c r="B2" s="384" t="s">
        <v>29</v>
      </c>
      <c r="C2" s="384" t="s">
        <v>1345</v>
      </c>
      <c r="D2" s="419" t="s">
        <v>1593</v>
      </c>
      <c r="E2" s="419" t="s">
        <v>1594</v>
      </c>
      <c r="F2" s="384" t="s">
        <v>35</v>
      </c>
      <c r="G2" s="384" t="s">
        <v>1595</v>
      </c>
      <c r="H2" s="392" t="s">
        <v>1596</v>
      </c>
      <c r="I2" s="392" t="s">
        <v>1597</v>
      </c>
      <c r="J2" s="398" t="s">
        <v>1598</v>
      </c>
      <c r="K2" s="384" t="s">
        <v>1599</v>
      </c>
      <c r="L2" s="398" t="s">
        <v>443</v>
      </c>
      <c r="O2" s="390" t="s">
        <v>1600</v>
      </c>
      <c r="P2" s="391" t="s">
        <v>1601</v>
      </c>
      <c r="R2" s="533" t="s">
        <v>1602</v>
      </c>
      <c r="S2" s="534"/>
      <c r="T2" s="534"/>
      <c r="U2" s="535"/>
      <c r="X2" s="386" t="s">
        <v>1603</v>
      </c>
      <c r="Z2" s="386" t="s">
        <v>1603</v>
      </c>
    </row>
    <row r="3" spans="1:27" ht="16.5" hidden="1">
      <c r="A3" s="387" t="str">
        <f>'STAT 77 Table'!$I$393</f>
        <v>ERN92348</v>
      </c>
      <c r="B3" t="s">
        <v>1604</v>
      </c>
      <c r="C3" t="s">
        <v>788</v>
      </c>
      <c r="D3" s="387" t="str">
        <f>IF($B3&lt;&gt;"",IFERROR(IF(LEFT($B3,3)=$Z$2,VLOOKUP($C3,Outbound!$B:$Z,4,FALSE),VLOOKUP($B3,Outbound!$B:$Z,4,FALSE)),"ON ROCS/NOT ON FILE"),"")</f>
        <v>AN6</v>
      </c>
      <c r="E3" s="387" t="str">
        <f>IF($B3&lt;&gt;"",IFERROR(IF(LEFT($B3,4)=$Z$2,VLOOKUP($C3,Outbound!$B:$Z,5,FALSE),VLOOKUP($B3,Outbound!$B:$Z,5,FALSE)),"ON ROCS/NOT ON FILE"),"")</f>
        <v>ON ROCS/NOT ON FILE</v>
      </c>
      <c r="F3" s="387" t="str">
        <f>IF(B3&lt;&gt;"",IFERROR(IF(LEFT($B3,3)=$Z$2,VLOOKUP($C3,Outbound!$B:$Z,11,FALSE),VLOOKUP($B3,Outbound!$B:$Z,11,FALSE)),"NON TROVATO"),"")</f>
        <v>Cds Trasp. E Logistica Srl</v>
      </c>
      <c r="G3" s="394" t="str">
        <f>IF(B3&lt;&gt;"",IFERROR(IF(LEFT($B3,3)=$Z$2,VLOOKUP($C3,Outbound!$B:$AAZ,16,FALSE),VLOOKUP($B3,Outbound!$B:$AAZ,16,FALSE)),"NON TROVATO"),"")</f>
        <v>AD22409</v>
      </c>
      <c r="H3" s="394">
        <f>IF(B3&lt;&gt;"",IFERROR(IF(LEFT($B3,3)=$Z$2,VLOOKUP($C3,Outbound!$B:$AAZ,6,FALSE),VLOOKUP($B3,Outbound!$B:$AAZ,6,FALSE)),"NON TROVATO"),"")</f>
        <v>0.78125</v>
      </c>
      <c r="I3" s="394">
        <f>IF(B3&lt;&gt;"",IFERROR(IF(LEFT($B3,3)=$Z$2,VLOOKUP($C3,Outbound!$B:$AAZ,52,FALSE),VLOOKUP($B3,Outbound!$B:$AAZ,52,FALSE)),"NON TROVATO"),"")</f>
        <v>0.76111111111111107</v>
      </c>
      <c r="J3" s="432">
        <v>546672904284</v>
      </c>
      <c r="K3" s="387" t="str">
        <f>IF(B3&lt;&gt;"",IF($D3&lt;&gt;"ON ROCS/NOT ON FILE",IFERROR(_xlfn.XLOOKUP(LEFT($D3,3),'STAT 77 Table'!$B:$B,'STAT 77 Table'!$A:$A),"ZZ"&amp;RIGHT($B3,4)),""),"")</f>
        <v>ZZ0866</v>
      </c>
      <c r="L3" s="395" t="s">
        <v>1605</v>
      </c>
      <c r="O3" s="389"/>
      <c r="P3" s="389"/>
      <c r="AA3" s="421" t="str">
        <f>IF(LEFT(A3,3)=$X$2,C3,B3)</f>
        <v>ITD30866</v>
      </c>
    </row>
    <row r="4" spans="1:27" ht="16.5" hidden="1">
      <c r="A4" s="387" t="str">
        <f>'STAT 77 Table'!$I$394</f>
        <v>Mezzo a disposizione 1</v>
      </c>
      <c r="B4" t="s">
        <v>1606</v>
      </c>
      <c r="C4" t="s">
        <v>737</v>
      </c>
      <c r="D4" s="387" t="str">
        <f>IF($B4&lt;&gt;"",IFERROR(IF(LEFT($B4,3)=$Z$2,VLOOKUP($C4,Outbound!$B:$Z,4,FALSE),VLOOKUP($B4,Outbound!$B:$Z,4,FALSE)),"ON ROCS/NOT ON FILE"),"")</f>
        <v>BO2</v>
      </c>
      <c r="E4" s="387" t="str">
        <f>IF($B4&lt;&gt;"",IFERROR(IF(LEFT($B4,4)=$Z$2,VLOOKUP($C4,Outbound!$B:$Z,5,FALSE),VLOOKUP($B4,Outbound!$B:$Z,5,FALSE)),"ON ROCS/NOT ON FILE"),"")</f>
        <v>ON ROCS/NOT ON FILE</v>
      </c>
      <c r="F4" s="387" t="str">
        <f>IF(B4&lt;&gt;"",IFERROR(IF(LEFT($B4,3)=$Z$2,VLOOKUP($C4,Outbound!$B:$Z,11,FALSE),VLOOKUP($B4,Outbound!$B:$Z,11,FALSE)),"NON TROVATO"),"")</f>
        <v>Transeuropa S.r.l.</v>
      </c>
      <c r="G4" s="394" t="str">
        <f>IF(B4&lt;&gt;"",IFERROR(IF(LEFT($B4,3)=$Z$2,VLOOKUP($C4,Outbound!$B:$AAZ,16,FALSE),VLOOKUP($B4,Outbound!$B:$AAZ,16,FALSE)),"NON TROVATO"),"")</f>
        <v>XA518LJ</v>
      </c>
      <c r="H4" s="394">
        <f>IF(B4&lt;&gt;"",IFERROR(IF(LEFT($B4,3)=$Z$2,VLOOKUP($C4,Outbound!$B:$AAZ,6,FALSE),VLOOKUP($B4,Outbound!$B:$AAZ,6,FALSE)),"NON TROVATO"),"")</f>
        <v>0.79166666666666663</v>
      </c>
      <c r="I4" s="394">
        <f>IF(B4&lt;&gt;"",IFERROR(IF(LEFT($B4,3)=$Z$2,VLOOKUP($C4,Outbound!$B:$AAZ,52,FALSE),VLOOKUP($B4,Outbound!$B:$AAZ,52,FALSE)),"NON TROVATO"),"")</f>
        <v>0.73333333333333328</v>
      </c>
      <c r="J4" s="433">
        <v>546687479395</v>
      </c>
      <c r="K4" s="387" t="str">
        <f>IF(B4&lt;&gt;"",IF($D4&lt;&gt;"ON ROCS/NOT ON FILE",IFERROR(_xlfn.XLOOKUP(LEFT($D4,3),'STAT 77 Table'!$B:$B,'STAT 77 Table'!$A:$A),"ZZ"&amp;RIGHT($B4,4)),""),"")</f>
        <v>IM257</v>
      </c>
      <c r="L4" s="396" t="s">
        <v>1605</v>
      </c>
      <c r="O4" s="388"/>
      <c r="P4" s="388"/>
      <c r="AA4" s="421" t="str">
        <f t="shared" ref="AA4:AA67" si="0">IF(LEFT(A4,3)=$X$2,C4,B4)</f>
        <v>ITD32186</v>
      </c>
    </row>
    <row r="5" spans="1:27" ht="16.5" hidden="1">
      <c r="A5" s="387" t="str">
        <f>'STAT 77 Table'!$I$395</f>
        <v>ITD90230</v>
      </c>
      <c r="B5" t="s">
        <v>212</v>
      </c>
      <c r="C5" t="s">
        <v>1475</v>
      </c>
      <c r="D5" s="387" t="s">
        <v>1474</v>
      </c>
      <c r="E5" s="387" t="str">
        <f>IF($B5&lt;&gt;"",IFERROR(IF(LEFT($B5,4)=$Z$2,VLOOKUP($C5,Outbound!$B:$Z,5,FALSE),VLOOKUP($B5,Outbound!$B:$Z,5,FALSE)),"ON ROCS/NOT ON FILE"),"")</f>
        <v/>
      </c>
      <c r="F5" s="387" t="str">
        <f>IF(B5&lt;&gt;"",IFERROR(IF(LEFT($B5,3)=$Z$2,VLOOKUP($C5,Outbound!$B:$Z,11,FALSE),VLOOKUP($B5,Outbound!$B:$Z,11,FALSE)),"NON TROVATO"),"")</f>
        <v>T&amp;ti Cargo Line Srl</v>
      </c>
      <c r="G5" s="358" t="s">
        <v>1036</v>
      </c>
      <c r="H5" s="394">
        <f>IF(B5&lt;&gt;"",IFERROR(IF(LEFT($B5,3)=$Z$2,VLOOKUP($C5,Outbound!$B:$AAZ,6,FALSE),VLOOKUP($B5,Outbound!$B:$AAZ,6,FALSE)),"NON TROVATO"),"")</f>
        <v>0.79166666666424135</v>
      </c>
      <c r="I5" s="394">
        <v>0.77847222222222223</v>
      </c>
      <c r="J5" s="434">
        <v>546650283248</v>
      </c>
      <c r="K5" s="387" t="str">
        <f>IF(B5&lt;&gt;"",IF($D5&lt;&gt;"ON ROCS/NOT ON FILE",IFERROR(_xlfn.XLOOKUP(LEFT($D5,3),'STAT 77 Table'!$B:$B,'STAT 77 Table'!$A:$A),"ZZ"&amp;RIGHT($B5,4)),""),"")</f>
        <v>IM677</v>
      </c>
      <c r="L5" s="396" t="s">
        <v>1605</v>
      </c>
      <c r="O5" s="388"/>
      <c r="P5" s="388"/>
      <c r="AA5" s="421" t="str">
        <f t="shared" si="0"/>
        <v>ERN08625</v>
      </c>
    </row>
    <row r="6" spans="1:27" ht="16.5">
      <c r="A6" s="387" t="str">
        <f>'STAT 77 Table'!$I$396</f>
        <v>Mezzo a disposizione 11</v>
      </c>
      <c r="B6" t="s">
        <v>1607</v>
      </c>
      <c r="C6" t="s">
        <v>1608</v>
      </c>
      <c r="D6" s="387" t="str">
        <f>IF($B6&lt;&gt;"",IFERROR(IF(LEFT($B6,3)=$Z$2,VLOOKUP($C6,Outbound!$B:$Z,4,FALSE),VLOOKUP($B6,Outbound!$B:$Z,4,FALSE)),"ON ROCS/NOT ON FILE"),"")</f>
        <v>ON ROCS/NOT ON FILE</v>
      </c>
      <c r="E6" s="387" t="str">
        <f>IF($B6&lt;&gt;"",IFERROR(IF(LEFT($B6,4)=$Z$2,VLOOKUP($C6,Outbound!$B:$Z,5,FALSE),VLOOKUP($B6,Outbound!$B:$Z,5,FALSE)),"ON ROCS/NOT ON FILE"),"")</f>
        <v>ON ROCS/NOT ON FILE</v>
      </c>
      <c r="F6" s="387" t="str">
        <f>IF(B6&lt;&gt;"",IFERROR(IF(LEFT($B6,3)=$Z$2,VLOOKUP($C6,Outbound!$B:$Z,11,FALSE),VLOOKUP($B6,Outbound!$B:$Z,11,FALSE)),"NON TROVATO"),"")</f>
        <v>NON TROVATO</v>
      </c>
      <c r="G6" s="394" t="str">
        <f>IF(B6&lt;&gt;"",IFERROR(IF(LEFT($B6,3)=$Z$2,VLOOKUP($C6,Outbound!$B:$AAZ,16,FALSE),VLOOKUP($B6,Outbound!$B:$AAZ,16,FALSE)),"NON TROVATO"),"")</f>
        <v>NON TROVATO</v>
      </c>
      <c r="H6" s="394" t="str">
        <f>IF(B6&lt;&gt;"",IFERROR(IF(LEFT($B6,3)=$Z$2,VLOOKUP($C6,Outbound!$B:$AAZ,6,FALSE),VLOOKUP($B6,Outbound!$B:$AAZ,6,FALSE)),"NON TROVATO"),"")</f>
        <v>NON TROVATO</v>
      </c>
      <c r="I6" s="394" t="str">
        <f>IF(B6&lt;&gt;"",IFERROR(IF(LEFT($B6,3)=$Z$2,VLOOKUP($C6,Outbound!$B:$AAZ,52,FALSE),VLOOKUP($B6,Outbound!$B:$AAZ,52,FALSE)),"NON TROVATO"),"")</f>
        <v>NON TROVATO</v>
      </c>
      <c r="J6" s="428"/>
      <c r="K6" s="387" t="str">
        <f>IF(B6&lt;&gt;"",IF($D6&lt;&gt;"ON ROCS/NOT ON FILE",IFERROR(_xlfn.XLOOKUP(LEFT($D6,3),'STAT 77 Table'!$B:$B,'STAT 77 Table'!$A:$A),"ZZ"&amp;RIGHT($B6,4)),""),"")</f>
        <v/>
      </c>
      <c r="L6" s="396"/>
      <c r="O6" s="388"/>
      <c r="P6" s="388"/>
      <c r="AA6" s="421" t="str">
        <f t="shared" si="0"/>
        <v>ITD32091</v>
      </c>
    </row>
    <row r="7" spans="1:27" ht="16.5">
      <c r="A7" s="387" t="str">
        <f>'STAT 77 Table'!$I$397</f>
        <v>Mezzo a disposizione 12</v>
      </c>
      <c r="B7" t="s">
        <v>1609</v>
      </c>
      <c r="C7" t="s">
        <v>1610</v>
      </c>
      <c r="D7" s="387" t="str">
        <f>IF($B7&lt;&gt;"",IFERROR(IF(LEFT($B7,3)=$Z$2,VLOOKUP($C7,Outbound!$B:$Z,4,FALSE),VLOOKUP($B7,Outbound!$B:$Z,4,FALSE)),"ON ROCS/NOT ON FILE"),"")</f>
        <v>ON ROCS/NOT ON FILE</v>
      </c>
      <c r="E7" s="387" t="str">
        <f>IF($B7&lt;&gt;"",IFERROR(IF(LEFT($B7,4)=$Z$2,VLOOKUP($C7,Outbound!$B:$Z,5,FALSE),VLOOKUP($B7,Outbound!$B:$Z,5,FALSE)),"ON ROCS/NOT ON FILE"),"")</f>
        <v>ON ROCS/NOT ON FILE</v>
      </c>
      <c r="F7" s="387" t="str">
        <f>IF(B7&lt;&gt;"",IFERROR(IF(LEFT($B7,3)=$Z$2,VLOOKUP($C7,Outbound!$B:$Z,11,FALSE),VLOOKUP($B7,Outbound!$B:$Z,11,FALSE)),"NON TROVATO"),"")</f>
        <v>NON TROVATO</v>
      </c>
      <c r="G7" s="394" t="str">
        <f>IF(B7&lt;&gt;"",IFERROR(IF(LEFT($B7,3)=$Z$2,VLOOKUP($C7,Outbound!$B:$AAZ,16,FALSE),VLOOKUP($B7,Outbound!$B:$AAZ,16,FALSE)),"NON TROVATO"),"")</f>
        <v>NON TROVATO</v>
      </c>
      <c r="H7" s="394" t="str">
        <f>IF(B7&lt;&gt;"",IFERROR(IF(LEFT($B7,3)=$Z$2,VLOOKUP($C7,Outbound!$B:$AAZ,6,FALSE),VLOOKUP($B7,Outbound!$B:$AAZ,6,FALSE)),"NON TROVATO"),"")</f>
        <v>NON TROVATO</v>
      </c>
      <c r="I7" s="394" t="str">
        <f>IF(B7&lt;&gt;"",IFERROR(IF(LEFT($B7,3)=$Z$2,VLOOKUP($C7,Outbound!$B:$AAZ,52,FALSE),VLOOKUP($B7,Outbound!$B:$AAZ,52,FALSE)),"NON TROVATO"),"")</f>
        <v>NON TROVATO</v>
      </c>
      <c r="J7" s="428"/>
      <c r="K7" s="387" t="str">
        <f>IF(B7&lt;&gt;"",IF($D7&lt;&gt;"ON ROCS/NOT ON FILE",IFERROR(_xlfn.XLOOKUP(LEFT($D7,3),'STAT 77 Table'!$B:$B,'STAT 77 Table'!$A:$A),"ZZ"&amp;RIGHT($B7,4)),""),"")</f>
        <v/>
      </c>
      <c r="L7" s="396"/>
      <c r="O7" s="388"/>
      <c r="P7" s="388"/>
      <c r="AA7" s="421" t="str">
        <f t="shared" si="0"/>
        <v>ITD32162</v>
      </c>
    </row>
    <row r="8" spans="1:27" ht="16.5" hidden="1">
      <c r="A8" s="387" t="str">
        <f>'STAT 77 Table'!$I$398</f>
        <v>Mezzo a disposizione 13</v>
      </c>
      <c r="B8" t="s">
        <v>1611</v>
      </c>
      <c r="C8" t="s">
        <v>945</v>
      </c>
      <c r="D8" s="387" t="str">
        <f>IF($B8&lt;&gt;"",IFERROR(IF(LEFT($B8,3)=$Z$2,VLOOKUP($C8,Outbound!$B:$Z,4,FALSE),VLOOKUP($B8,Outbound!$B:$Z,4,FALSE)),"ON ROCS/NOT ON FILE"),"")</f>
        <v>PD2</v>
      </c>
      <c r="E8" s="387" t="str">
        <f>IF($B8&lt;&gt;"",IFERROR(IF(LEFT($B8,4)=$Z$2,VLOOKUP($C8,Outbound!$B:$Z,5,FALSE),VLOOKUP($B8,Outbound!$B:$Z,5,FALSE)),"ON ROCS/NOT ON FILE"),"")</f>
        <v>ON ROCS/NOT ON FILE</v>
      </c>
      <c r="F8" s="387" t="str">
        <f>IF(B8&lt;&gt;"",IFERROR(IF(LEFT($B8,3)=$Z$2,VLOOKUP($C8,Outbound!$B:$Z,11,FALSE),VLOOKUP($B8,Outbound!$B:$Z,11,FALSE)),"NON TROVATO"),"")</f>
        <v>F.M. Trasporti S.R.L.</v>
      </c>
      <c r="G8" s="394" t="str">
        <f>IF(B8&lt;&gt;"",IFERROR(IF(LEFT($B8,3)=$Z$2,VLOOKUP($C8,Outbound!$B:$AAZ,16,FALSE),VLOOKUP($B8,Outbound!$B:$AAZ,16,FALSE)),"NON TROVATO"),"")</f>
        <v>XA086XN</v>
      </c>
      <c r="H8" s="394">
        <f>IF(B8&lt;&gt;"",IFERROR(IF(LEFT($B8,3)=$Z$2,VLOOKUP($C8,Outbound!$B:$AAZ,6,FALSE),VLOOKUP($B8,Outbound!$B:$AAZ,6,FALSE)),"NON TROVATO"),"")</f>
        <v>0.8125</v>
      </c>
      <c r="I8" s="394">
        <f>IF(B8&lt;&gt;"",IFERROR(IF(LEFT($B8,3)=$Z$2,VLOOKUP($C8,Outbound!$B:$AAZ,52,FALSE),VLOOKUP($B8,Outbound!$B:$AAZ,52,FALSE)),"NON TROVATO"),"")</f>
        <v>0.75416666666666665</v>
      </c>
      <c r="J8" s="435">
        <v>546687478594</v>
      </c>
      <c r="K8" s="387" t="str">
        <f>IF(B8&lt;&gt;"",IF($D8&lt;&gt;"ON ROCS/NOT ON FILE",IFERROR(_xlfn.XLOOKUP(LEFT($D8,3),'STAT 77 Table'!$B:$B,'STAT 77 Table'!$A:$A),"ZZ"&amp;RIGHT($B8,4)),""),"")</f>
        <v>ZZ1356</v>
      </c>
      <c r="L8" s="396" t="s">
        <v>1605</v>
      </c>
      <c r="O8" s="388"/>
      <c r="P8" s="388"/>
      <c r="AA8" s="421" t="str">
        <f t="shared" si="0"/>
        <v>ITD31356</v>
      </c>
    </row>
    <row r="9" spans="1:27" ht="16.5" hidden="1">
      <c r="A9" s="387" t="str">
        <f>'STAT 77 Table'!$I$399</f>
        <v>Mezzo a disposizione 14</v>
      </c>
      <c r="B9" t="s">
        <v>1612</v>
      </c>
      <c r="C9" t="s">
        <v>1184</v>
      </c>
      <c r="D9" s="387" t="str">
        <f>IF($B9&lt;&gt;"",IFERROR(IF(LEFT($B9,3)=$Z$2,VLOOKUP($C9,Outbound!$B:$Z,4,FALSE),VLOOKUP($B9,Outbound!$B:$Z,4,FALSE)),"ON ROCS/NOT ON FILE"),"")</f>
        <v>NT3</v>
      </c>
      <c r="E9" s="387" t="str">
        <f>IF($B9&lt;&gt;"",IFERROR(IF(LEFT($B9,4)=$Z$2,VLOOKUP($C9,Outbound!$B:$Z,5,FALSE),VLOOKUP($B9,Outbound!$B:$Z,5,FALSE)),"ON ROCS/NOT ON FILE"),"")</f>
        <v>ON ROCS/NOT ON FILE</v>
      </c>
      <c r="F9" s="387" t="str">
        <f>IF(B9&lt;&gt;"",IFERROR(IF(LEFT($B9,3)=$Z$2,VLOOKUP($C9,Outbound!$B:$Z,11,FALSE),VLOOKUP($B9,Outbound!$B:$Z,11,FALSE)),"NON TROVATO"),"")</f>
        <v>Canguro Spa</v>
      </c>
      <c r="G9" s="394" t="str">
        <f>IF(B9&lt;&gt;"",IFERROR(IF(LEFT($B9,3)=$Z$2,VLOOKUP($C9,Outbound!$B:$AAZ,16,FALSE),VLOOKUP($B9,Outbound!$B:$AAZ,16,FALSE)),"NON TROVATO"),"")</f>
        <v>ac80185</v>
      </c>
      <c r="H9" s="394">
        <f>IF(B9&lt;&gt;"",IFERROR(IF(LEFT($B9,3)=$Z$2,VLOOKUP($C9,Outbound!$B:$AAZ,6,FALSE),VLOOKUP($B9,Outbound!$B:$AAZ,6,FALSE)),"NON TROVATO"),"")</f>
        <v>0.83333333333333337</v>
      </c>
      <c r="I9" s="394">
        <f>IF(B9&lt;&gt;"",IFERROR(IF(LEFT($B9,3)=$Z$2,VLOOKUP($C9,Outbound!$B:$AAZ,52,FALSE),VLOOKUP($B9,Outbound!$B:$AAZ,52,FALSE)),"NON TROVATO"),"")</f>
        <v>0.81874999999999998</v>
      </c>
      <c r="J9" s="436">
        <v>546687479101</v>
      </c>
      <c r="K9" s="387" t="str">
        <f>IF(B9&lt;&gt;"",IF($D9&lt;&gt;"ON ROCS/NOT ON FILE",IFERROR(_xlfn.XLOOKUP(LEFT($D9,3),'STAT 77 Table'!$B:$B,'STAT 77 Table'!$A:$A),"ZZ"&amp;RIGHT($B9,4)),""),"")</f>
        <v>ZZ0744</v>
      </c>
      <c r="L9" s="396" t="s">
        <v>1605</v>
      </c>
      <c r="O9" s="388"/>
      <c r="P9" s="388"/>
      <c r="AA9" s="421" t="str">
        <f t="shared" si="0"/>
        <v>ITD30744</v>
      </c>
    </row>
    <row r="10" spans="1:27" ht="16.5">
      <c r="A10" s="387" t="str">
        <f>'STAT 77 Table'!$I$400</f>
        <v>Mezzo a disposizione 15</v>
      </c>
      <c r="B10" t="s">
        <v>1613</v>
      </c>
      <c r="C10" t="s">
        <v>1614</v>
      </c>
      <c r="D10" s="387" t="str">
        <f>IF($B10&lt;&gt;"",IFERROR(IF(LEFT($B10,3)=$Z$2,VLOOKUP($C10,Outbound!$B:$Z,4,FALSE),VLOOKUP($B10,Outbound!$B:$Z,4,FALSE)),"ON ROCS/NOT ON FILE"),"")</f>
        <v>ON ROCS/NOT ON FILE</v>
      </c>
      <c r="E10" s="387" t="str">
        <f>IF($B10&lt;&gt;"",IFERROR(IF(LEFT($B10,4)=$Z$2,VLOOKUP($C10,Outbound!$B:$Z,5,FALSE),VLOOKUP($B10,Outbound!$B:$Z,5,FALSE)),"ON ROCS/NOT ON FILE"),"")</f>
        <v>ON ROCS/NOT ON FILE</v>
      </c>
      <c r="F10" s="387" t="str">
        <f>IF(B10&lt;&gt;"",IFERROR(IF(LEFT($B10,3)=$Z$2,VLOOKUP($C10,Outbound!$B:$Z,11,FALSE),VLOOKUP($B10,Outbound!$B:$Z,11,FALSE)),"NON TROVATO"),"")</f>
        <v>NON TROVATO</v>
      </c>
      <c r="G10" s="394" t="str">
        <f>IF(B10&lt;&gt;"",IFERROR(IF(LEFT($B10,3)=$Z$2,VLOOKUP($C10,Outbound!$B:$AAZ,16,FALSE),VLOOKUP($B10,Outbound!$B:$AAZ,16,FALSE)),"NON TROVATO"),"")</f>
        <v>NON TROVATO</v>
      </c>
      <c r="H10" s="394" t="str">
        <f>IF(B10&lt;&gt;"",IFERROR(IF(LEFT($B10,3)=$Z$2,VLOOKUP($C10,Outbound!$B:$AAZ,6,FALSE),VLOOKUP($B10,Outbound!$B:$AAZ,6,FALSE)),"NON TROVATO"),"")</f>
        <v>NON TROVATO</v>
      </c>
      <c r="I10" s="394" t="str">
        <f>IF(B10&lt;&gt;"",IFERROR(IF(LEFT($B10,3)=$Z$2,VLOOKUP($C10,Outbound!$B:$AAZ,52,FALSE),VLOOKUP($B10,Outbound!$B:$AAZ,52,FALSE)),"NON TROVATO"),"")</f>
        <v>NON TROVATO</v>
      </c>
      <c r="J10" s="396"/>
      <c r="K10" s="387" t="str">
        <f>IF(B10&lt;&gt;"",IF($D10&lt;&gt;"ON ROCS/NOT ON FILE",IFERROR(_xlfn.XLOOKUP(LEFT($D10,3),'STAT 77 Table'!$B:$B,'STAT 77 Table'!$A:$A),"ZZ"&amp;RIGHT($B10,4)),""),"")</f>
        <v/>
      </c>
      <c r="L10" s="396"/>
      <c r="O10" s="388"/>
      <c r="P10" s="388"/>
      <c r="AA10" s="421" t="str">
        <f t="shared" si="0"/>
        <v>ITD32096</v>
      </c>
    </row>
    <row r="11" spans="1:27" ht="16.5" hidden="1">
      <c r="A11" s="387" t="str">
        <f>'STAT 77 Table'!$I$401</f>
        <v>Mezzo a disposizione 16</v>
      </c>
      <c r="B11" t="s">
        <v>1615</v>
      </c>
      <c r="C11" t="s">
        <v>718</v>
      </c>
      <c r="D11" s="387" t="str">
        <f>IF($B11&lt;&gt;"",IFERROR(IF(LEFT($B11,3)=$Z$2,VLOOKUP($C11,Outbound!$B:$Z,4,FALSE),VLOOKUP($B11,Outbound!$B:$Z,4,FALSE)),"ON ROCS/NOT ON FILE"),"")</f>
        <v>BO2</v>
      </c>
      <c r="E11" s="387" t="str">
        <f>IF($B11&lt;&gt;"",IFERROR(IF(LEFT($B11,4)=$Z$2,VLOOKUP($C11,Outbound!$B:$Z,5,FALSE),VLOOKUP($B11,Outbound!$B:$Z,5,FALSE)),"ON ROCS/NOT ON FILE"),"")</f>
        <v>ON ROCS/NOT ON FILE</v>
      </c>
      <c r="F11" s="387" t="str">
        <f>IF(B11&lt;&gt;"",IFERROR(IF(LEFT($B11,3)=$Z$2,VLOOKUP($C11,Outbound!$B:$Z,11,FALSE),VLOOKUP($B11,Outbound!$B:$Z,11,FALSE)),"NON TROVATO"),"")</f>
        <v>Eurologistica Spa</v>
      </c>
      <c r="G11" s="394" t="str">
        <f>IF(B11&lt;&gt;"",IFERROR(IF(LEFT($B11,3)=$Z$2,VLOOKUP($C11,Outbound!$B:$AAZ,16,FALSE),VLOOKUP($B11,Outbound!$B:$AAZ,16,FALSE)),"NON TROVATO"),"")</f>
        <v>AE40427</v>
      </c>
      <c r="H11" s="394">
        <f>IF(B11&lt;&gt;"",IFERROR(IF(LEFT($B11,3)=$Z$2,VLOOKUP($C11,Outbound!$B:$AAZ,6,FALSE),VLOOKUP($B11,Outbound!$B:$AAZ,6,FALSE)),"NON TROVATO"),"")</f>
        <v>0.83333333333333337</v>
      </c>
      <c r="I11" s="394">
        <f>IF(B11&lt;&gt;"",IFERROR(IF(LEFT($B11,3)=$Z$2,VLOOKUP($C11,Outbound!$B:$AAZ,52,FALSE),VLOOKUP($B11,Outbound!$B:$AAZ,52,FALSE)),"NON TROVATO"),"")</f>
        <v>0.82291666666666663</v>
      </c>
      <c r="J11" s="434">
        <v>546758563167</v>
      </c>
      <c r="K11" s="387" t="str">
        <f>IF(B11&lt;&gt;"",IF($D11&lt;&gt;"ON ROCS/NOT ON FILE",IFERROR(_xlfn.XLOOKUP(LEFT($D11,3),'STAT 77 Table'!$B:$B,'STAT 77 Table'!$A:$A),"ZZ"&amp;RIGHT($B11,4)),""),"")</f>
        <v>IM257</v>
      </c>
      <c r="L11" s="396" t="s">
        <v>1605</v>
      </c>
      <c r="O11" s="388"/>
      <c r="P11" s="388"/>
      <c r="AA11" s="421" t="str">
        <f t="shared" si="0"/>
        <v>ITD32192</v>
      </c>
    </row>
    <row r="12" spans="1:27" ht="16.5" hidden="1">
      <c r="A12" s="387" t="str">
        <f>'STAT 77 Table'!$I$402</f>
        <v>Mezzo a disposizione 17</v>
      </c>
      <c r="B12" t="s">
        <v>1616</v>
      </c>
      <c r="C12" t="s">
        <v>816</v>
      </c>
      <c r="D12" s="387" t="str">
        <f>IF($B12&lt;&gt;"",IFERROR(IF(LEFT($B12,3)=$Z$2,VLOOKUP($C12,Outbound!$B:$Z,4,FALSE),VLOOKUP($B12,Outbound!$B:$Z,4,FALSE)),"ON ROCS/NOT ON FILE"),"")</f>
        <v>NT3</v>
      </c>
      <c r="E12" s="387" t="str">
        <f>IF($B12&lt;&gt;"",IFERROR(IF(LEFT($B12,4)=$Z$2,VLOOKUP($C12,Outbound!$B:$Z,5,FALSE),VLOOKUP($B12,Outbound!$B:$Z,5,FALSE)),"ON ROCS/NOT ON FILE"),"")</f>
        <v>ON ROCS/NOT ON FILE</v>
      </c>
      <c r="F12" s="387" t="str">
        <f>IF(B12&lt;&gt;"",IFERROR(IF(LEFT($B12,3)=$Z$2,VLOOKUP($C12,Outbound!$B:$Z,11,FALSE),VLOOKUP($B12,Outbound!$B:$Z,11,FALSE)),"NON TROVATO"),"")</f>
        <v>Cds Trasp. E Logistica Srl</v>
      </c>
      <c r="G12" s="394" t="str">
        <f>IF(B12&lt;&gt;"",IFERROR(IF(LEFT($B12,3)=$Z$2,VLOOKUP($C12,Outbound!$B:$AAZ,16,FALSE),VLOOKUP($B12,Outbound!$B:$AAZ,16,FALSE)),"NON TROVATO"),"")</f>
        <v>XA479TA</v>
      </c>
      <c r="H12" s="394">
        <f>IF(B12&lt;&gt;"",IFERROR(IF(LEFT($B12,3)=$Z$2,VLOOKUP($C12,Outbound!$B:$AAZ,6,FALSE),VLOOKUP($B12,Outbound!$B:$AAZ,6,FALSE)),"NON TROVATO"),"")</f>
        <v>0.83333333333333337</v>
      </c>
      <c r="I12" s="394">
        <f>IF(B12&lt;&gt;"",IFERROR(IF(LEFT($B12,3)=$Z$2,VLOOKUP($C12,Outbound!$B:$AAZ,52,FALSE),VLOOKUP($B12,Outbound!$B:$AAZ,52,FALSE)),"NON TROVATO"),"")</f>
        <v>0.82152777777777775</v>
      </c>
      <c r="J12" s="434">
        <v>546748911479</v>
      </c>
      <c r="K12" s="387" t="str">
        <f>IF(B12&lt;&gt;"",IF($D12&lt;&gt;"ON ROCS/NOT ON FILE",IFERROR(_xlfn.XLOOKUP(LEFT($D12,3),'STAT 77 Table'!$B:$B,'STAT 77 Table'!$A:$A),"ZZ"&amp;RIGHT($B12,4)),""),"")</f>
        <v>ZZ0739</v>
      </c>
      <c r="L12" s="396" t="s">
        <v>1605</v>
      </c>
      <c r="O12" s="388"/>
      <c r="P12" s="388"/>
      <c r="AA12" s="421" t="str">
        <f t="shared" si="0"/>
        <v>ITD30739</v>
      </c>
    </row>
    <row r="13" spans="1:27" ht="16.5">
      <c r="A13" s="387" t="str">
        <f>'STAT 77 Table'!$I$403</f>
        <v>Mezzo a disposizione 18</v>
      </c>
      <c r="B13" t="s">
        <v>1617</v>
      </c>
      <c r="C13" t="s">
        <v>1618</v>
      </c>
      <c r="D13" s="387" t="str">
        <f>IF($B13&lt;&gt;"",IFERROR(IF(LEFT($B13,3)=$Z$2,VLOOKUP($C13,Outbound!$B:$Z,4,FALSE),VLOOKUP($B13,Outbound!$B:$Z,4,FALSE)),"ON ROCS/NOT ON FILE"),"")</f>
        <v>ON ROCS/NOT ON FILE</v>
      </c>
      <c r="E13" s="387" t="str">
        <f>IF($B13&lt;&gt;"",IFERROR(IF(LEFT($B13,4)=$Z$2,VLOOKUP($C13,Outbound!$B:$Z,5,FALSE),VLOOKUP($B13,Outbound!$B:$Z,5,FALSE)),"ON ROCS/NOT ON FILE"),"")</f>
        <v>ON ROCS/NOT ON FILE</v>
      </c>
      <c r="F13" s="387" t="str">
        <f>IF(B13&lt;&gt;"",IFERROR(IF(LEFT($B13,3)=$Z$2,VLOOKUP($C13,Outbound!$B:$Z,11,FALSE),VLOOKUP($B13,Outbound!$B:$Z,11,FALSE)),"NON TROVATO"),"")</f>
        <v>NON TROVATO</v>
      </c>
      <c r="G13" s="394" t="str">
        <f>IF(B13&lt;&gt;"",IFERROR(IF(LEFT($B13,3)=$Z$2,VLOOKUP($C13,Outbound!$B:$AAZ,16,FALSE),VLOOKUP($B13,Outbound!$B:$AAZ,16,FALSE)),"NON TROVATO"),"")</f>
        <v>NON TROVATO</v>
      </c>
      <c r="H13" s="394" t="str">
        <f>IF(B13&lt;&gt;"",IFERROR(IF(LEFT($B13,3)=$Z$2,VLOOKUP($C13,Outbound!$B:$AAZ,6,FALSE),VLOOKUP($B13,Outbound!$B:$AAZ,6,FALSE)),"NON TROVATO"),"")</f>
        <v>NON TROVATO</v>
      </c>
      <c r="I13" s="394" t="str">
        <f>IF(B13&lt;&gt;"",IFERROR(IF(LEFT($B13,3)=$Z$2,VLOOKUP($C13,Outbound!$B:$AAZ,52,FALSE),VLOOKUP($B13,Outbound!$B:$AAZ,52,FALSE)),"NON TROVATO"),"")</f>
        <v>NON TROVATO</v>
      </c>
      <c r="J13" s="396"/>
      <c r="K13" s="387" t="str">
        <f>IF(B13&lt;&gt;"",IF($D13&lt;&gt;"ON ROCS/NOT ON FILE",IFERROR(_xlfn.XLOOKUP(LEFT($D13,3),'STAT 77 Table'!$B:$B,'STAT 77 Table'!$A:$A),"ZZ"&amp;RIGHT($B13,4)),""),"")</f>
        <v/>
      </c>
      <c r="L13" s="396"/>
      <c r="O13" s="388"/>
      <c r="P13" s="388"/>
      <c r="AA13" s="421" t="str">
        <f t="shared" si="0"/>
        <v>ITD32163</v>
      </c>
    </row>
    <row r="14" spans="1:27" ht="16.5" hidden="1">
      <c r="A14" s="387" t="str">
        <f>'STAT 77 Table'!$I$404</f>
        <v>Mezzo a disposizione 19</v>
      </c>
      <c r="B14" t="s">
        <v>1619</v>
      </c>
      <c r="C14" t="s">
        <v>1139</v>
      </c>
      <c r="D14" s="387" t="str">
        <f>IF($B14&lt;&gt;"",IFERROR(IF(LEFT($B14,3)=$Z$2,VLOOKUP($C14,Outbound!$B:$Z,4,FALSE),VLOOKUP($B14,Outbound!$B:$Z,4,FALSE)),"ON ROCS/NOT ON FILE"),"")</f>
        <v>BO2</v>
      </c>
      <c r="E14" s="387" t="str">
        <f>IF($B14&lt;&gt;"",IFERROR(IF(LEFT($B14,4)=$Z$2,VLOOKUP($C14,Outbound!$B:$Z,5,FALSE),VLOOKUP($B14,Outbound!$B:$Z,5,FALSE)),"ON ROCS/NOT ON FILE"),"")</f>
        <v>ON ROCS/NOT ON FILE</v>
      </c>
      <c r="F14" s="387" t="str">
        <f>IF(B14&lt;&gt;"",IFERROR(IF(LEFT($B14,3)=$Z$2,VLOOKUP($C14,Outbound!$B:$Z,11,FALSE),VLOOKUP($B14,Outbound!$B:$Z,11,FALSE)),"NON TROVATO"),"")</f>
        <v>Canguro Spa</v>
      </c>
      <c r="G14" s="394" t="str">
        <f>IF(B14&lt;&gt;"",IFERROR(IF(LEFT($B14,3)=$Z$2,VLOOKUP($C14,Outbound!$B:$AAZ,16,FALSE),VLOOKUP($B14,Outbound!$B:$AAZ,16,FALSE)),"NON TROVATO"),"")</f>
        <v>AE43435</v>
      </c>
      <c r="H14" s="394">
        <f>IF(B14&lt;&gt;"",IFERROR(IF(LEFT($B14,3)=$Z$2,VLOOKUP($C14,Outbound!$B:$AAZ,6,FALSE),VLOOKUP($B14,Outbound!$B:$AAZ,6,FALSE)),"NON TROVATO"),"")</f>
        <v>0.84722222222222221</v>
      </c>
      <c r="I14" s="394">
        <f>IF(B14&lt;&gt;"",IFERROR(IF(LEFT($B14,3)=$Z$2,VLOOKUP($C14,Outbound!$B:$AAZ,52,FALSE),VLOOKUP($B14,Outbound!$B:$AAZ,52,FALSE)),"NON TROVATO"),"")</f>
        <v>0.83680555555555558</v>
      </c>
      <c r="J14" s="434">
        <v>546694089982</v>
      </c>
      <c r="K14" s="387" t="str">
        <f>IF(B14&lt;&gt;"",IF($D14&lt;&gt;"ON ROCS/NOT ON FILE",IFERROR(_xlfn.XLOOKUP(LEFT($D14,3),'STAT 77 Table'!$B:$B,'STAT 77 Table'!$A:$A),"ZZ"&amp;RIGHT($B14,4)),""),"")</f>
        <v>IM257</v>
      </c>
      <c r="L14" s="396" t="s">
        <v>1605</v>
      </c>
      <c r="O14" s="388"/>
      <c r="P14" s="388"/>
      <c r="AA14" s="421" t="str">
        <f t="shared" si="0"/>
        <v>ITD30730</v>
      </c>
    </row>
    <row r="15" spans="1:27" ht="16.5" hidden="1">
      <c r="A15" s="387" t="str">
        <f>'STAT 77 Table'!$I$405</f>
        <v>Mezzo a disposizione 3</v>
      </c>
      <c r="B15" t="s">
        <v>1620</v>
      </c>
      <c r="C15" t="s">
        <v>798</v>
      </c>
      <c r="D15" s="387" t="str">
        <f>IF($B15&lt;&gt;"",IFERROR(IF(LEFT($B15,3)=$Z$2,VLOOKUP($C15,Outbound!$B:$Z,4,FALSE),VLOOKUP($B15,Outbound!$B:$Z,4,FALSE)),"ON ROCS/NOT ON FILE"),"")</f>
        <v>AN6</v>
      </c>
      <c r="E15" s="387" t="str">
        <f>IF($B15&lt;&gt;"",IFERROR(IF(LEFT($B15,4)=$Z$2,VLOOKUP($C15,Outbound!$B:$Z,5,FALSE),VLOOKUP($B15,Outbound!$B:$Z,5,FALSE)),"ON ROCS/NOT ON FILE"),"")</f>
        <v>ON ROCS/NOT ON FILE</v>
      </c>
      <c r="F15" s="387" t="str">
        <f>IF(B15&lt;&gt;"",IFERROR(IF(LEFT($B15,3)=$Z$2,VLOOKUP($C15,Outbound!$B:$Z,11,FALSE),VLOOKUP($B15,Outbound!$B:$Z,11,FALSE)),"NON TROVATO"),"")</f>
        <v>Autotrasporti RDS</v>
      </c>
      <c r="G15" s="394" t="str">
        <f>IF(B15&lt;&gt;"",IFERROR(IF(LEFT($B15,3)=$Z$2,VLOOKUP($C15,Outbound!$B:$AAZ,16,FALSE),VLOOKUP($B15,Outbound!$B:$AAZ,16,FALSE)),"NON TROVATO"),"")</f>
        <v>xa336rw</v>
      </c>
      <c r="H15" s="394">
        <f>IF(B15&lt;&gt;"",IFERROR(IF(LEFT($B15,3)=$Z$2,VLOOKUP($C15,Outbound!$B:$AAZ,6,FALSE),VLOOKUP($B15,Outbound!$B:$AAZ,6,FALSE)),"NON TROVATO"),"")</f>
        <v>0.85416666666666663</v>
      </c>
      <c r="I15" s="394">
        <f>IF(B15&lt;&gt;"",IFERROR(IF(LEFT($B15,3)=$Z$2,VLOOKUP($C15,Outbound!$B:$AAZ,52,FALSE),VLOOKUP($B15,Outbound!$B:$AAZ,52,FALSE)),"NON TROVATO"),"")</f>
        <v>0.85</v>
      </c>
      <c r="J15" s="437">
        <v>546771759822</v>
      </c>
      <c r="K15" s="387" t="str">
        <f>IF(B15&lt;&gt;"",IF($D15&lt;&gt;"ON ROCS/NOT ON FILE",IFERROR(_xlfn.XLOOKUP(LEFT($D15,3),'STAT 77 Table'!$B:$B,'STAT 77 Table'!$A:$A),"ZZ"&amp;RIGHT($B15,4)),""),"")</f>
        <v>ZZ2173</v>
      </c>
      <c r="L15" s="396" t="s">
        <v>1605</v>
      </c>
      <c r="O15" s="388"/>
      <c r="P15" s="388"/>
      <c r="AA15" s="421" t="str">
        <f t="shared" si="0"/>
        <v>ITD32173</v>
      </c>
    </row>
    <row r="16" spans="1:27" ht="16.5" hidden="1">
      <c r="A16" s="387" t="str">
        <f>'STAT 77 Table'!$I$406</f>
        <v>Mezzo a disposizione 4</v>
      </c>
      <c r="B16" t="s">
        <v>1621</v>
      </c>
      <c r="C16" t="s">
        <v>829</v>
      </c>
      <c r="D16" s="387" t="str">
        <f>IF($B16&lt;&gt;"",IFERROR(IF(LEFT($B16,3)=$Z$2,VLOOKUP($C16,Outbound!$B:$Z,4,FALSE),VLOOKUP($B16,Outbound!$B:$Z,4,FALSE)),"ON ROCS/NOT ON FILE"),"")</f>
        <v>PD2</v>
      </c>
      <c r="E16" s="387" t="str">
        <f>IF($B16&lt;&gt;"",IFERROR(IF(LEFT($B16,4)=$Z$2,VLOOKUP($C16,Outbound!$B:$Z,5,FALSE),VLOOKUP($B16,Outbound!$B:$Z,5,FALSE)),"ON ROCS/NOT ON FILE"),"")</f>
        <v>ON ROCS/NOT ON FILE</v>
      </c>
      <c r="F16" s="387" t="str">
        <f>IF(B16&lt;&gt;"",IFERROR(IF(LEFT($B16,3)=$Z$2,VLOOKUP($C16,Outbound!$B:$Z,11,FALSE),VLOOKUP($B16,Outbound!$B:$Z,11,FALSE)),"NON TROVATO"),"")</f>
        <v>F.M. Trasporti S.R.L.</v>
      </c>
      <c r="G16" s="394" t="str">
        <f>IF(B16&lt;&gt;"",IFERROR(IF(LEFT($B16,3)=$Z$2,VLOOKUP($C16,Outbound!$B:$AAZ,16,FALSE),VLOOKUP($B16,Outbound!$B:$AAZ,16,FALSE)),"NON TROVATO"),"")</f>
        <v>XA355VS</v>
      </c>
      <c r="H16" s="394">
        <f>IF(B16&lt;&gt;"",IFERROR(IF(LEFT($B16,3)=$Z$2,VLOOKUP($C16,Outbound!$B:$AAZ,6,FALSE),VLOOKUP($B16,Outbound!$B:$AAZ,6,FALSE)),"NON TROVATO"),"")</f>
        <v>0.86458333333333337</v>
      </c>
      <c r="I16" s="394">
        <f>IF(B16&lt;&gt;"",IFERROR(IF(LEFT($B16,3)=$Z$2,VLOOKUP($C16,Outbound!$B:$AAZ,52,FALSE),VLOOKUP($B16,Outbound!$B:$AAZ,52,FALSE)),"NON TROVATO"),"")</f>
        <v>0.87361111111111112</v>
      </c>
      <c r="J16" s="437">
        <v>546689361740</v>
      </c>
      <c r="K16" s="387" t="str">
        <f>IF(B16&lt;&gt;"",IF($D16&lt;&gt;"ON ROCS/NOT ON FILE",IFERROR(_xlfn.XLOOKUP(LEFT($D16,3),'STAT 77 Table'!$B:$B,'STAT 77 Table'!$A:$A),"ZZ"&amp;RIGHT($B16,4)),""),"")</f>
        <v>ZZ1173</v>
      </c>
      <c r="L16" s="396" t="s">
        <v>1605</v>
      </c>
      <c r="O16" s="388"/>
      <c r="P16" s="388"/>
      <c r="AA16" s="421" t="str">
        <f t="shared" si="0"/>
        <v>ITD31173</v>
      </c>
    </row>
    <row r="17" spans="1:27" ht="16.5" hidden="1">
      <c r="A17" s="387" t="str">
        <f>'STAT 77 Table'!$I$407</f>
        <v>Mezzo a disposizione 5</v>
      </c>
      <c r="B17" t="s">
        <v>1622</v>
      </c>
      <c r="C17" t="s">
        <v>778</v>
      </c>
      <c r="D17" s="387" t="str">
        <f>IF($B17&lt;&gt;"",IFERROR(IF(LEFT($B17,3)=$Z$2,VLOOKUP($C17,Outbound!$B:$Z,4,FALSE),VLOOKUP($B17,Outbound!$B:$Z,4,FALSE)),"ON ROCS/NOT ON FILE"),"")</f>
        <v>FIA</v>
      </c>
      <c r="E17" s="387" t="str">
        <f>IF($B17&lt;&gt;"",IFERROR(IF(LEFT($B17,4)=$Z$2,VLOOKUP($C17,Outbound!$B:$Z,5,FALSE),VLOOKUP($B17,Outbound!$B:$Z,5,FALSE)),"ON ROCS/NOT ON FILE"),"")</f>
        <v>ON ROCS/NOT ON FILE</v>
      </c>
      <c r="F17" s="387" t="str">
        <f>IF(B17&lt;&gt;"",IFERROR(IF(LEFT($B17,3)=$Z$2,VLOOKUP($C17,Outbound!$B:$Z,11,FALSE),VLOOKUP($B17,Outbound!$B:$Z,11,FALSE)),"NON TROVATO"),"")</f>
        <v>F.M. Trasporti S.R.L.</v>
      </c>
      <c r="G17" s="394" t="str">
        <f>IF(B17&lt;&gt;"",IFERROR(IF(LEFT($B17,3)=$Z$2,VLOOKUP($C17,Outbound!$B:$AAZ,16,FALSE),VLOOKUP($B17,Outbound!$B:$AAZ,16,FALSE)),"NON TROVATO"),"")</f>
        <v>XA598PG</v>
      </c>
      <c r="H17" s="394">
        <f>IF(B17&lt;&gt;"",IFERROR(IF(LEFT($B17,3)=$Z$2,VLOOKUP($C17,Outbound!$B:$AAZ,6,FALSE),VLOOKUP($B17,Outbound!$B:$AAZ,6,FALSE)),"NON TROVATO"),"")</f>
        <v>0.86458333333333337</v>
      </c>
      <c r="I17" s="394"/>
      <c r="J17" s="441">
        <v>546662643764</v>
      </c>
      <c r="K17" s="387" t="str">
        <f>IF(B17&lt;&gt;"",IF($D17&lt;&gt;"ON ROCS/NOT ON FILE",IFERROR(_xlfn.XLOOKUP(LEFT($D17,3),'STAT 77 Table'!$B:$B,'STAT 77 Table'!$A:$A),"ZZ"&amp;RIGHT($B17,4)),""),"")</f>
        <v>ZZ2495</v>
      </c>
      <c r="L17" s="396" t="s">
        <v>1605</v>
      </c>
      <c r="O17" s="388"/>
      <c r="P17" s="388"/>
      <c r="AA17" s="421" t="str">
        <f t="shared" si="0"/>
        <v>ITD32495</v>
      </c>
    </row>
    <row r="18" spans="1:27" ht="16.5" hidden="1">
      <c r="A18" s="387" t="str">
        <f>'STAT 77 Table'!$I$408</f>
        <v>Mezzo a disposizione 6</v>
      </c>
      <c r="B18" t="s">
        <v>1623</v>
      </c>
      <c r="C18" t="s">
        <v>984</v>
      </c>
      <c r="D18" s="387" t="str">
        <f>IF($B18&lt;&gt;"",IFERROR(IF(LEFT($B18,3)=$Z$2,VLOOKUP($C18,Outbound!$B:$Z,4,FALSE),VLOOKUP($B18,Outbound!$B:$Z,4,FALSE)),"ON ROCS/NOT ON FILE"),"")</f>
        <v>FC5</v>
      </c>
      <c r="E18" s="387" t="str">
        <f>IF($B18&lt;&gt;"",IFERROR(IF(LEFT($B18,4)=$Z$2,VLOOKUP($C18,Outbound!$B:$Z,5,FALSE),VLOOKUP($B18,Outbound!$B:$Z,5,FALSE)),"ON ROCS/NOT ON FILE"),"")</f>
        <v>ON ROCS/NOT ON FILE</v>
      </c>
      <c r="F18" s="387" t="str">
        <f>IF(B18&lt;&gt;"",IFERROR(IF(LEFT($B18,3)=$Z$2,VLOOKUP($C18,Outbound!$B:$Z,11,FALSE),VLOOKUP($B18,Outbound!$B:$Z,11,FALSE)),"NON TROVATO"),"")</f>
        <v>Tonia Trasporti S.r.l.</v>
      </c>
      <c r="G18" s="394" t="str">
        <f>IF(B18&lt;&gt;"",IFERROR(IF(LEFT($B18,3)=$Z$2,VLOOKUP($C18,Outbound!$B:$AAZ,16,FALSE),VLOOKUP($B18,Outbound!$B:$AAZ,16,FALSE)),"NON TROVATO"),"")</f>
        <v>XA410MH</v>
      </c>
      <c r="H18" s="394">
        <f>IF(B18&lt;&gt;"",IFERROR(IF(LEFT($B18,3)=$Z$2,VLOOKUP($C18,Outbound!$B:$AAZ,6,FALSE),VLOOKUP($B18,Outbound!$B:$AAZ,6,FALSE)),"NON TROVATO"),"")</f>
        <v>0.86458333333333337</v>
      </c>
      <c r="I18" s="394">
        <f>IF(B18&lt;&gt;"",IFERROR(IF(LEFT($B18,3)=$Z$2,VLOOKUP($C18,Outbound!$B:$AAZ,52,FALSE),VLOOKUP($B18,Outbound!$B:$AAZ,52,FALSE)),"NON TROVATO"),"")</f>
        <v>0.80277777777777781</v>
      </c>
      <c r="J18" s="438">
        <v>546692640849</v>
      </c>
      <c r="K18" s="387" t="str">
        <f>IF(B18&lt;&gt;"",IF($D18&lt;&gt;"ON ROCS/NOT ON FILE",IFERROR(_xlfn.XLOOKUP(LEFT($D18,3),'STAT 77 Table'!$B:$B,'STAT 77 Table'!$A:$A),"ZZ"&amp;RIGHT($B18,4)),""),"")</f>
        <v>ZZ1088</v>
      </c>
      <c r="L18" s="396" t="s">
        <v>1605</v>
      </c>
      <c r="O18" s="388"/>
      <c r="P18" s="388"/>
      <c r="AA18" s="421" t="str">
        <f t="shared" si="0"/>
        <v>ITD31088</v>
      </c>
    </row>
    <row r="19" spans="1:27" ht="16.5" hidden="1">
      <c r="A19" s="387" t="str">
        <f>'STAT 77 Table'!$I$409</f>
        <v>Mezzo a disposizione 7</v>
      </c>
      <c r="B19" t="s">
        <v>1624</v>
      </c>
      <c r="C19" t="s">
        <v>763</v>
      </c>
      <c r="D19" s="387" t="str">
        <f>IF($B19&lt;&gt;"",IFERROR(IF(LEFT($B19,3)=$Z$2,VLOOKUP($C19,Outbound!$B:$Z,4,FALSE),VLOOKUP($B19,Outbound!$B:$Z,4,FALSE)),"ON ROCS/NOT ON FILE"),"")</f>
        <v>FC5</v>
      </c>
      <c r="E19" s="387" t="str">
        <f>IF($B19&lt;&gt;"",IFERROR(IF(LEFT($B19,4)=$Z$2,VLOOKUP($C19,Outbound!$B:$Z,5,FALSE),VLOOKUP($B19,Outbound!$B:$Z,5,FALSE)),"ON ROCS/NOT ON FILE"),"")</f>
        <v>ON ROCS/NOT ON FILE</v>
      </c>
      <c r="F19" s="387" t="str">
        <f>IF(B19&lt;&gt;"",IFERROR(IF(LEFT($B19,3)=$Z$2,VLOOKUP($C19,Outbound!$B:$Z,11,FALSE),VLOOKUP($B19,Outbound!$B:$Z,11,FALSE)),"NON TROVATO"),"")</f>
        <v>F.M. Trasporti S.R.L.</v>
      </c>
      <c r="G19" s="394" t="str">
        <f>IF(B19&lt;&gt;"",IFERROR(IF(LEFT($B19,3)=$Z$2,VLOOKUP($C19,Outbound!$B:$AAZ,16,FALSE),VLOOKUP($B19,Outbound!$B:$AAZ,16,FALSE)),"NON TROVATO"),"")</f>
        <v>xa669vj</v>
      </c>
      <c r="H19" s="394">
        <f>IF(B19&lt;&gt;"",IFERROR(IF(LEFT($B19,3)=$Z$2,VLOOKUP($C19,Outbound!$B:$AAZ,6,FALSE),VLOOKUP($B19,Outbound!$B:$AAZ,6,FALSE)),"NON TROVATO"),"")</f>
        <v>0.86458333333333337</v>
      </c>
      <c r="I19" s="394">
        <f>IF(B19&lt;&gt;"",IFERROR(IF(LEFT($B19,3)=$Z$2,VLOOKUP($C19,Outbound!$B:$AAZ,52,FALSE),VLOOKUP($B19,Outbound!$B:$AAZ,52,FALSE)),"NON TROVATO"),"")</f>
        <v>0.83472222222222225</v>
      </c>
      <c r="J19" s="438">
        <v>546694204338</v>
      </c>
      <c r="K19" s="387" t="str">
        <f>IF(B19&lt;&gt;"",IF($D19&lt;&gt;"ON ROCS/NOT ON FILE",IFERROR(_xlfn.XLOOKUP(LEFT($D19,3),'STAT 77 Table'!$B:$B,'STAT 77 Table'!$A:$A),"ZZ"&amp;RIGHT($B19,4)),""),"")</f>
        <v>ZZ1082</v>
      </c>
      <c r="L19" s="396" t="s">
        <v>1605</v>
      </c>
      <c r="O19" s="388"/>
      <c r="P19" s="388"/>
      <c r="AA19" s="421" t="str">
        <f t="shared" si="0"/>
        <v>ITD31082</v>
      </c>
    </row>
    <row r="20" spans="1:27" ht="16.5" hidden="1">
      <c r="A20" s="387" t="str">
        <f>'STAT 77 Table'!$I$410</f>
        <v>Mezzo a disposizione 8</v>
      </c>
      <c r="B20" t="s">
        <v>1625</v>
      </c>
      <c r="C20" t="s">
        <v>963</v>
      </c>
      <c r="D20" s="387" t="str">
        <f>IF($B20&lt;&gt;"",IFERROR(IF(LEFT($B20,3)=$Z$2,VLOOKUP($C20,Outbound!$B:$Z,4,FALSE),VLOOKUP($B20,Outbound!$B:$Z,4,FALSE)),"ON ROCS/NOT ON FILE"),"")</f>
        <v>FIA</v>
      </c>
      <c r="E20" s="387" t="str">
        <f>IF($B20&lt;&gt;"",IFERROR(IF(LEFT($B20,4)=$Z$2,VLOOKUP($C20,Outbound!$B:$Z,5,FALSE),VLOOKUP($B20,Outbound!$B:$Z,5,FALSE)),"ON ROCS/NOT ON FILE"),"")</f>
        <v>ON ROCS/NOT ON FILE</v>
      </c>
      <c r="F20" s="387" t="str">
        <f>IF(B20&lt;&gt;"",IFERROR(IF(LEFT($B20,3)=$Z$2,VLOOKUP($C20,Outbound!$B:$Z,11,FALSE),VLOOKUP($B20,Outbound!$B:$Z,11,FALSE)),"NON TROVATO"),"")</f>
        <v>Zampieri Holding S.R.L.</v>
      </c>
      <c r="G20" s="394" t="str">
        <f>IF(B20&lt;&gt;"",IFERROR(IF(LEFT($B20,3)=$Z$2,VLOOKUP($C20,Outbound!$B:$AAZ,16,FALSE),VLOOKUP($B20,Outbound!$B:$AAZ,16,FALSE)),"NON TROVATO"),"")</f>
        <v>XA374NX</v>
      </c>
      <c r="H20" s="394">
        <f>IF(B20&lt;&gt;"",IFERROR(IF(LEFT($B20,3)=$Z$2,VLOOKUP($C20,Outbound!$B:$AAZ,6,FALSE),VLOOKUP($B20,Outbound!$B:$AAZ,6,FALSE)),"NON TROVATO"),"")</f>
        <v>0.86458333333333337</v>
      </c>
      <c r="I20" s="394">
        <f>IF(B20&lt;&gt;"",IFERROR(IF(LEFT($B20,3)=$Z$2,VLOOKUP($C20,Outbound!$B:$AAZ,52,FALSE),VLOOKUP($B20,Outbound!$B:$AAZ,52,FALSE)),"NON TROVATO"),"")</f>
        <v>0.84861111111111109</v>
      </c>
      <c r="J20" s="437">
        <v>546672898594</v>
      </c>
      <c r="K20" s="387" t="str">
        <f>IF(B20&lt;&gt;"",IF($D20&lt;&gt;"ON ROCS/NOT ON FILE",IFERROR(_xlfn.XLOOKUP(LEFT($D20,3),'STAT 77 Table'!$B:$B,'STAT 77 Table'!$A:$A),"ZZ"&amp;RIGHT($B20,4)),""),"")</f>
        <v>ZZ2200</v>
      </c>
      <c r="L20" s="396" t="s">
        <v>1605</v>
      </c>
      <c r="O20" s="388"/>
      <c r="P20" s="388"/>
      <c r="AA20" s="421" t="str">
        <f t="shared" si="0"/>
        <v>ITD32200</v>
      </c>
    </row>
    <row r="21" spans="1:27" ht="16.5" hidden="1">
      <c r="A21" s="387" t="str">
        <f>'STAT 77 Table'!$I$411</f>
        <v>Mezzo a disposizione 9</v>
      </c>
      <c r="B21" t="s">
        <v>1626</v>
      </c>
      <c r="C21" t="s">
        <v>823</v>
      </c>
      <c r="D21" s="387" t="str">
        <f>IF($B21&lt;&gt;"",IFERROR(IF(LEFT($B21,3)=$Z$2,VLOOKUP($C21,Outbound!$B:$Z,4,FALSE),VLOOKUP($B21,Outbound!$B:$Z,4,FALSE)),"ON ROCS/NOT ON FILE"),"")</f>
        <v>RMZ</v>
      </c>
      <c r="E21" s="387" t="str">
        <f>IF($B21&lt;&gt;"",IFERROR(IF(LEFT($B21,4)=$Z$2,VLOOKUP($C21,Outbound!$B:$Z,5,FALSE),VLOOKUP($B21,Outbound!$B:$Z,5,FALSE)),"ON ROCS/NOT ON FILE"),"")</f>
        <v>ON ROCS/NOT ON FILE</v>
      </c>
      <c r="F21" s="387" t="str">
        <f>IF(B21&lt;&gt;"",IFERROR(IF(LEFT($B21,3)=$Z$2,VLOOKUP($C21,Outbound!$B:$Z,11,FALSE),VLOOKUP($B21,Outbound!$B:$Z,11,FALSE)),"NON TROVATO"),"")</f>
        <v>Ste.Ma Srl</v>
      </c>
      <c r="G21" s="394" t="str">
        <f>IF(B21&lt;&gt;"",IFERROR(IF(LEFT($B21,3)=$Z$2,VLOOKUP($C21,Outbound!$B:$AAZ,16,FALSE),VLOOKUP($B21,Outbound!$B:$AAZ,16,FALSE)),"NON TROVATO"),"")</f>
        <v>XB800BC</v>
      </c>
      <c r="H21" s="394">
        <f>IF(B21&lt;&gt;"",IFERROR(IF(LEFT($B21,3)=$Z$2,VLOOKUP($C21,Outbound!$B:$AAZ,6,FALSE),VLOOKUP($B21,Outbound!$B:$AAZ,6,FALSE)),"NON TROVATO"),"")</f>
        <v>0.875</v>
      </c>
      <c r="I21" s="394">
        <f>IF(B21&lt;&gt;"",IFERROR(IF(LEFT($B21,3)=$Z$2,VLOOKUP($C21,Outbound!$B:$AAZ,52,FALSE),VLOOKUP($B21,Outbound!$B:$AAZ,52,FALSE)),"NON TROVATO"),"")</f>
        <v>0.79374999999999996</v>
      </c>
      <c r="J21" s="438">
        <v>546689571996</v>
      </c>
      <c r="K21" s="387" t="str">
        <f>IF(B21&lt;&gt;"",IF($D21&lt;&gt;"ON ROCS/NOT ON FILE",IFERROR(_xlfn.XLOOKUP(LEFT($D21,3),'STAT 77 Table'!$B:$B,'STAT 77 Table'!$A:$A),"ZZ"&amp;RIGHT($B21,4)),""),"")</f>
        <v>ZZ0812</v>
      </c>
      <c r="L21" s="396" t="s">
        <v>1605</v>
      </c>
      <c r="O21" s="388"/>
      <c r="P21" s="388"/>
      <c r="AA21" s="421" t="str">
        <f t="shared" si="0"/>
        <v>ITD30812</v>
      </c>
    </row>
    <row r="22" spans="1:27" ht="16.5" hidden="1">
      <c r="A22" s="387" t="str">
        <f>'STAT 77 Table'!$I$133</f>
        <v>ITD12854</v>
      </c>
      <c r="B22" t="s">
        <v>1627</v>
      </c>
      <c r="C22" t="s">
        <v>728</v>
      </c>
      <c r="D22" s="387" t="str">
        <f>IF($B22&lt;&gt;"",IFERROR(IF(LEFT($B22,3)=$Z$2,VLOOKUP($C22,Outbound!$B:$Z,4,FALSE),VLOOKUP($B22,Outbound!$B:$Z,4,FALSE)),"ON ROCS/NOT ON FILE"),"")</f>
        <v>BO2</v>
      </c>
      <c r="E22" s="387" t="str">
        <f>IF($B22&lt;&gt;"",IFERROR(IF(LEFT($B22,4)=$Z$2,VLOOKUP($C22,Outbound!$B:$Z,5,FALSE),VLOOKUP($B22,Outbound!$B:$Z,5,FALSE)),"ON ROCS/NOT ON FILE"),"")</f>
        <v>ON ROCS/NOT ON FILE</v>
      </c>
      <c r="F22" s="387" t="str">
        <f>IF(B22&lt;&gt;"",IFERROR(IF(LEFT($B22,3)=$Z$2,VLOOKUP($C22,Outbound!$B:$Z,11,FALSE),VLOOKUP($B22,Outbound!$B:$Z,11,FALSE)),"NON TROVATO"),"")</f>
        <v>Matelda Srl</v>
      </c>
      <c r="G22" s="394" t="str">
        <f>IF(B22&lt;&gt;"",IFERROR(IF(LEFT($B22,3)=$Z$2,VLOOKUP($C22,Outbound!$B:$AAZ,16,FALSE),VLOOKUP($B22,Outbound!$B:$AAZ,16,FALSE)),"NON TROVATO"),"")</f>
        <v>XB495BJ</v>
      </c>
      <c r="H22" s="394">
        <f>IF(B22&lt;&gt;"",IFERROR(IF(LEFT($B22,3)=$Z$2,VLOOKUP($C22,Outbound!$B:$AAZ,6,FALSE),VLOOKUP($B22,Outbound!$B:$AAZ,6,FALSE)),"NON TROVATO"),"")</f>
        <v>0.875</v>
      </c>
      <c r="I22" s="394">
        <f>IF(B22&lt;&gt;"",IFERROR(IF(LEFT($B22,3)=$Z$2,VLOOKUP($C22,Outbound!$B:$AAZ,52,FALSE),VLOOKUP($B22,Outbound!$B:$AAZ,52,FALSE)),"NON TROVATO"),"")</f>
        <v>0.86458333333333337</v>
      </c>
      <c r="J22" s="437">
        <v>546758563373</v>
      </c>
      <c r="K22" s="387" t="str">
        <f>IF(B22&lt;&gt;"",IF($D22&lt;&gt;"ON ROCS/NOT ON FILE",IFERROR(_xlfn.XLOOKUP(LEFT($D22,3),'STAT 77 Table'!$B:$B,'STAT 77 Table'!$A:$A),"ZZ"&amp;RIGHT($B22,4)),""),"")</f>
        <v>IM257</v>
      </c>
      <c r="L22" s="396" t="s">
        <v>1605</v>
      </c>
      <c r="O22" s="388"/>
      <c r="P22" s="388"/>
      <c r="AA22" s="421" t="str">
        <f t="shared" si="0"/>
        <v>ITD12258</v>
      </c>
    </row>
    <row r="23" spans="1:27" ht="16.5" hidden="1">
      <c r="A23" s="387" t="str">
        <f>'STAT 77 Table'!$I$134</f>
        <v>ITD12359</v>
      </c>
      <c r="B23" t="s">
        <v>1628</v>
      </c>
      <c r="C23" t="s">
        <v>971</v>
      </c>
      <c r="D23" s="387" t="str">
        <f>IF($B23&lt;&gt;"",IFERROR(IF(LEFT($B23,3)=$Z$2,VLOOKUP($C23,Outbound!$B:$Z,4,FALSE),VLOOKUP($B23,Outbound!$B:$Z,4,FALSE)),"ON ROCS/NOT ON FILE"),"")</f>
        <v>AN6</v>
      </c>
      <c r="E23" s="387" t="str">
        <f>IF($B23&lt;&gt;"",IFERROR(IF(LEFT($B23,4)=$Z$2,VLOOKUP($C23,Outbound!$B:$Z,5,FALSE),VLOOKUP($B23,Outbound!$B:$Z,5,FALSE)),"ON ROCS/NOT ON FILE"),"")</f>
        <v>ON ROCS/NOT ON FILE</v>
      </c>
      <c r="F23" s="387" t="str">
        <f>IF(B23&lt;&gt;"",IFERROR(IF(LEFT($B23,3)=$Z$2,VLOOKUP($C23,Outbound!$B:$Z,11,FALSE),VLOOKUP($B23,Outbound!$B:$Z,11,FALSE)),"NON TROVATO"),"")</f>
        <v>Canguro Spa</v>
      </c>
      <c r="G23" s="394" t="str">
        <f>IF(B23&lt;&gt;"",IFERROR(IF(LEFT($B23,3)=$Z$2,VLOOKUP($C23,Outbound!$B:$AAZ,16,FALSE),VLOOKUP($B23,Outbound!$B:$AAZ,16,FALSE)),"NON TROVATO"),"")</f>
        <v>xb854ap</v>
      </c>
      <c r="H23" s="394">
        <f>IF(B23&lt;&gt;"",IFERROR(IF(LEFT($B23,3)=$Z$2,VLOOKUP($C23,Outbound!$B:$AAZ,6,FALSE),VLOOKUP($B23,Outbound!$B:$AAZ,6,FALSE)),"NON TROVATO"),"")</f>
        <v>0.88541666666666663</v>
      </c>
      <c r="I23" s="394">
        <f>IF(B23&lt;&gt;"",IFERROR(IF(LEFT($B23,3)=$Z$2,VLOOKUP($C23,Outbound!$B:$AAZ,52,FALSE),VLOOKUP($B23,Outbound!$B:$AAZ,52,FALSE)),"NON TROVATO"),"")</f>
        <v>0.86250000000000004</v>
      </c>
      <c r="J23" s="437">
        <v>546692640264</v>
      </c>
      <c r="K23" s="387" t="str">
        <f>IF(B23&lt;&gt;"",IF($D23&lt;&gt;"ON ROCS/NOT ON FILE",IFERROR(_xlfn.XLOOKUP(LEFT($D23,3),'STAT 77 Table'!$B:$B,'STAT 77 Table'!$A:$A),"ZZ"&amp;RIGHT($B23,4)),""),"")</f>
        <v>ZZ0834</v>
      </c>
      <c r="L23" s="396" t="s">
        <v>1605</v>
      </c>
      <c r="O23" s="388"/>
      <c r="P23" s="388"/>
      <c r="AA23" s="421" t="str">
        <f t="shared" si="0"/>
        <v>ITD12089</v>
      </c>
    </row>
    <row r="24" spans="1:27" ht="16.5" hidden="1">
      <c r="A24" s="387" t="str">
        <f>'STAT 77 Table'!$I$135</f>
        <v>ITD12361</v>
      </c>
      <c r="B24" t="s">
        <v>1629</v>
      </c>
      <c r="C24" t="s">
        <v>820</v>
      </c>
      <c r="D24" s="387" t="str">
        <f>IF($B24&lt;&gt;"",IFERROR(IF(LEFT($B24,3)=$Z$2,VLOOKUP($C24,Outbound!$B:$Z,4,FALSE),VLOOKUP($B24,Outbound!$B:$Z,4,FALSE)),"ON ROCS/NOT ON FILE"),"")</f>
        <v>NT3</v>
      </c>
      <c r="E24" s="387" t="str">
        <f>IF($B24&lt;&gt;"",IFERROR(IF(LEFT($B24,4)=$Z$2,VLOOKUP($C24,Outbound!$B:$Z,5,FALSE),VLOOKUP($B24,Outbound!$B:$Z,5,FALSE)),"ON ROCS/NOT ON FILE"),"")</f>
        <v>ON ROCS/NOT ON FILE</v>
      </c>
      <c r="F24" s="387" t="str">
        <f>IF(B24&lt;&gt;"",IFERROR(IF(LEFT($B24,3)=$Z$2,VLOOKUP($C24,Outbound!$B:$Z,11,FALSE),VLOOKUP($B24,Outbound!$B:$Z,11,FALSE)),"NON TROVATO"),"")</f>
        <v>Canguro Spa</v>
      </c>
      <c r="G24" s="394" t="str">
        <f>IF(B24&lt;&gt;"",IFERROR(IF(LEFT($B24,3)=$Z$2,VLOOKUP($C24,Outbound!$B:$AAZ,16,FALSE),VLOOKUP($B24,Outbound!$B:$AAZ,16,FALSE)),"NON TROVATO"),"")</f>
        <v>ac61627</v>
      </c>
      <c r="H24" s="394">
        <f>IF(B24&lt;&gt;"",IFERROR(IF(LEFT($B24,3)=$Z$2,VLOOKUP($C24,Outbound!$B:$AAZ,6,FALSE),VLOOKUP($B24,Outbound!$B:$AAZ,6,FALSE)),"NON TROVATO"),"")</f>
        <v>0.88541666666666663</v>
      </c>
      <c r="I24" s="394">
        <f>IF(B24&lt;&gt;"",IFERROR(IF(LEFT($B24,3)=$Z$2,VLOOKUP($C24,Outbound!$B:$AAZ,52,FALSE),VLOOKUP($B24,Outbound!$B:$AAZ,52,FALSE)),"NON TROVATO"),"")</f>
        <v>0.87430555555555556</v>
      </c>
      <c r="J24" s="437">
        <v>546774444496</v>
      </c>
      <c r="K24" s="387" t="str">
        <f>IF(B24&lt;&gt;"",IF($D24&lt;&gt;"ON ROCS/NOT ON FILE",IFERROR(_xlfn.XLOOKUP(LEFT($D24,3),'STAT 77 Table'!$B:$B,'STAT 77 Table'!$A:$A),"ZZ"&amp;RIGHT($B24,4)),""),"")</f>
        <v>ZZ0791</v>
      </c>
      <c r="L24" s="396" t="s">
        <v>1605</v>
      </c>
      <c r="O24" s="388"/>
      <c r="P24" s="388"/>
      <c r="AA24" s="421" t="str">
        <f t="shared" si="0"/>
        <v>ITD12061</v>
      </c>
    </row>
    <row r="25" spans="1:27" ht="16.5" hidden="1">
      <c r="A25" s="387" t="str">
        <f>'STAT 77 Table'!$I$147</f>
        <v>ITD12304</v>
      </c>
      <c r="B25" t="s">
        <v>1630</v>
      </c>
      <c r="C25" t="s">
        <v>803</v>
      </c>
      <c r="D25" s="387" t="str">
        <f>IF($B25&lt;&gt;"",IFERROR(IF(LEFT($B25,3)=$Z$2,VLOOKUP($C25,Outbound!$B:$Z,4,FALSE),VLOOKUP($B25,Outbound!$B:$Z,4,FALSE)),"ON ROCS/NOT ON FILE"),"")</f>
        <v>NC3</v>
      </c>
      <c r="E25" s="387" t="str">
        <f>IF($B25&lt;&gt;"",IFERROR(IF(LEFT($B25,4)=$Z$2,VLOOKUP($C25,Outbound!$B:$Z,5,FALSE),VLOOKUP($B25,Outbound!$B:$Z,5,FALSE)),"ON ROCS/NOT ON FILE"),"")</f>
        <v>ON ROCS/NOT ON FILE</v>
      </c>
      <c r="F25" s="387" t="str">
        <f>IF(B25&lt;&gt;"",IFERROR(IF(LEFT($B25,3)=$Z$2,VLOOKUP($C25,Outbound!$B:$Z,11,FALSE),VLOOKUP($B25,Outbound!$B:$Z,11,FALSE)),"NON TROVATO"),"")</f>
        <v>Canguro Spa</v>
      </c>
      <c r="G25" s="394" t="str">
        <f>IF(B25&lt;&gt;"",IFERROR(IF(LEFT($B25,3)=$Z$2,VLOOKUP($C25,Outbound!$B:$AAZ,16,FALSE),VLOOKUP($B25,Outbound!$B:$AAZ,16,FALSE)),"NON TROVATO"),"")</f>
        <v>AD85886</v>
      </c>
      <c r="H25" s="394">
        <f>IF(B25&lt;&gt;"",IFERROR(IF(LEFT($B25,3)=$Z$2,VLOOKUP($C25,Outbound!$B:$AAZ,6,FALSE),VLOOKUP($B25,Outbound!$B:$AAZ,6,FALSE)),"NON TROVATO"),"")</f>
        <v>0.88541666666666663</v>
      </c>
      <c r="I25" s="394">
        <f>IF(B25&lt;&gt;"",IFERROR(IF(LEFT($B25,3)=$Z$2,VLOOKUP($C25,Outbound!$B:$AAZ,52,FALSE),VLOOKUP($B25,Outbound!$B:$AAZ,52,FALSE)),"NON TROVATO"),"")</f>
        <v>0.88402777777777775</v>
      </c>
      <c r="J25" s="439">
        <v>546672905177</v>
      </c>
      <c r="K25" s="387" t="str">
        <f>IF(B25&lt;&gt;"",IF($D25&lt;&gt;"ON ROCS/NOT ON FILE",IFERROR(_xlfn.XLOOKUP(LEFT($D25,3),'STAT 77 Table'!$B:$B,'STAT 77 Table'!$A:$A),"ZZ"&amp;RIGHT($B25,4)),""),"")</f>
        <v>ZZ2500</v>
      </c>
      <c r="L25" s="396" t="s">
        <v>1605</v>
      </c>
      <c r="O25" s="388"/>
      <c r="P25" s="388"/>
      <c r="AA25" s="421" t="str">
        <f t="shared" si="0"/>
        <v>ITD12879</v>
      </c>
    </row>
    <row r="26" spans="1:27" ht="16.5">
      <c r="A26" s="387" t="str">
        <f>'STAT 77 Table'!$I$149</f>
        <v>ITD12667</v>
      </c>
      <c r="B26" t="s">
        <v>1495</v>
      </c>
      <c r="C26" t="s">
        <v>1496</v>
      </c>
      <c r="D26" s="387" t="str">
        <f>IF($B26&lt;&gt;"",IFERROR(IF(LEFT($B26,3)=$Z$2,VLOOKUP($C26,Outbound!$B:$Z,4,FALSE),VLOOKUP($B26,Outbound!$B:$Z,4,FALSE)),"ON ROCS/NOT ON FILE"),"")</f>
        <v>ON ROCS/NOT ON FILE</v>
      </c>
      <c r="E26" s="387" t="str">
        <f>IF($B26&lt;&gt;"",IFERROR(IF(LEFT($B26,4)=$Z$2,VLOOKUP($C26,Outbound!$B:$Z,5,FALSE),VLOOKUP($B26,Outbound!$B:$Z,5,FALSE)),"ON ROCS/NOT ON FILE"),"")</f>
        <v>ON ROCS/NOT ON FILE</v>
      </c>
      <c r="F26" s="387" t="str">
        <f>IF(B26&lt;&gt;"",IFERROR(IF(LEFT($B26,3)=$Z$2,VLOOKUP($C26,Outbound!$B:$Z,11,FALSE),VLOOKUP($B26,Outbound!$B:$Z,11,FALSE)),"NON TROVATO"),"")</f>
        <v>NON TROVATO</v>
      </c>
      <c r="G26" s="394" t="str">
        <f>IF(B26&lt;&gt;"",IFERROR(IF(LEFT($B26,3)=$Z$2,VLOOKUP($C26,Outbound!$B:$AAZ,16,FALSE),VLOOKUP($B26,Outbound!$B:$AAZ,16,FALSE)),"NON TROVATO"),"")</f>
        <v>NON TROVATO</v>
      </c>
      <c r="H26" s="394" t="str">
        <f>IF(B26&lt;&gt;"",IFERROR(IF(LEFT($B26,3)=$Z$2,VLOOKUP($C26,Outbound!$B:$AAZ,6,FALSE),VLOOKUP($B26,Outbound!$B:$AAZ,6,FALSE)),"NON TROVATO"),"")</f>
        <v>NON TROVATO</v>
      </c>
      <c r="I26" s="394" t="str">
        <f>IF(B26&lt;&gt;"",IFERROR(IF(LEFT($B26,3)=$Z$2,VLOOKUP($C26,Outbound!$B:$AAZ,52,FALSE),VLOOKUP($B26,Outbound!$B:$AAZ,52,FALSE)),"NON TROVATO"),"")</f>
        <v>NON TROVATO</v>
      </c>
      <c r="J26" s="396"/>
      <c r="K26" s="387" t="str">
        <f>IF(B26&lt;&gt;"",IF($D26&lt;&gt;"ON ROCS/NOT ON FILE",IFERROR(_xlfn.XLOOKUP(LEFT($D26,3),'STAT 77 Table'!$B:$B,'STAT 77 Table'!$A:$A),"ZZ"&amp;RIGHT($B26,4)),""),"")</f>
        <v/>
      </c>
      <c r="L26" s="396"/>
      <c r="O26" s="388"/>
      <c r="P26" s="388"/>
      <c r="AA26" s="421" t="str">
        <f t="shared" si="0"/>
        <v>ERN09621</v>
      </c>
    </row>
    <row r="27" spans="1:27" ht="16.5">
      <c r="A27" s="387" t="str">
        <f>'STAT 77 Table'!$I$184</f>
        <v>ITD12074</v>
      </c>
      <c r="B27" t="s">
        <v>1500</v>
      </c>
      <c r="C27" t="s">
        <v>1501</v>
      </c>
      <c r="D27" s="387" t="str">
        <f>IF($B27&lt;&gt;"",IFERROR(IF(LEFT($B27,3)=$Z$2,VLOOKUP($C27,Outbound!$B:$Z,4,FALSE),VLOOKUP($B27,Outbound!$B:$Z,4,FALSE)),"ON ROCS/NOT ON FILE"),"")</f>
        <v>ON ROCS/NOT ON FILE</v>
      </c>
      <c r="E27" s="387" t="str">
        <f>IF($B27&lt;&gt;"",IFERROR(IF(LEFT($B27,4)=$Z$2,VLOOKUP($C27,Outbound!$B:$Z,5,FALSE),VLOOKUP($B27,Outbound!$B:$Z,5,FALSE)),"ON ROCS/NOT ON FILE"),"")</f>
        <v>ON ROCS/NOT ON FILE</v>
      </c>
      <c r="F27" s="387" t="str">
        <f>IF(B27&lt;&gt;"",IFERROR(IF(LEFT($B27,3)=$Z$2,VLOOKUP($C27,Outbound!$B:$Z,11,FALSE),VLOOKUP($B27,Outbound!$B:$Z,11,FALSE)),"NON TROVATO"),"")</f>
        <v>NON TROVATO</v>
      </c>
      <c r="G27" s="394" t="str">
        <f>IF(B27&lt;&gt;"",IFERROR(IF(LEFT($B27,3)=$Z$2,VLOOKUP($C27,Outbound!$B:$AAZ,16,FALSE),VLOOKUP($B27,Outbound!$B:$AAZ,16,FALSE)),"NON TROVATO"),"")</f>
        <v>NON TROVATO</v>
      </c>
      <c r="H27" s="394" t="str">
        <f>IF(B27&lt;&gt;"",IFERROR(IF(LEFT($B27,3)=$Z$2,VLOOKUP($C27,Outbound!$B:$AAZ,6,FALSE),VLOOKUP($B27,Outbound!$B:$AAZ,6,FALSE)),"NON TROVATO"),"")</f>
        <v>NON TROVATO</v>
      </c>
      <c r="I27" s="394" t="str">
        <f>IF(B27&lt;&gt;"",IFERROR(IF(LEFT($B27,3)=$Z$2,VLOOKUP($C27,Outbound!$B:$AAZ,52,FALSE),VLOOKUP($B27,Outbound!$B:$AAZ,52,FALSE)),"NON TROVATO"),"")</f>
        <v>NON TROVATO</v>
      </c>
      <c r="J27" s="396"/>
      <c r="K27" s="387" t="str">
        <f>IF(B27&lt;&gt;"",IF($D27&lt;&gt;"ON ROCS/NOT ON FILE",IFERROR(_xlfn.XLOOKUP(LEFT($D27,3),'STAT 77 Table'!$B:$B,'STAT 77 Table'!$A:$A),"ZZ"&amp;RIGHT($B27,4)),""),"")</f>
        <v/>
      </c>
      <c r="L27" s="396"/>
      <c r="O27" s="388"/>
      <c r="P27" s="388"/>
      <c r="AA27" s="421" t="str">
        <f t="shared" si="0"/>
        <v>ERN10340</v>
      </c>
    </row>
    <row r="28" spans="1:27" ht="16.5">
      <c r="A28" s="387" t="str">
        <f>'STAT 77 Table'!$I$189</f>
        <v>ITD12417</v>
      </c>
      <c r="B28" t="s">
        <v>1504</v>
      </c>
      <c r="C28" t="s">
        <v>1505</v>
      </c>
      <c r="D28" s="387" t="str">
        <f>IF($B28&lt;&gt;"",IFERROR(IF(LEFT($B28,3)=$Z$2,VLOOKUP($C28,Outbound!$B:$Z,4,FALSE),VLOOKUP($B28,Outbound!$B:$Z,4,FALSE)),"ON ROCS/NOT ON FILE"),"")</f>
        <v>ON ROCS/NOT ON FILE</v>
      </c>
      <c r="E28" s="387" t="str">
        <f>IF($B28&lt;&gt;"",IFERROR(IF(LEFT($B28,4)=$Z$2,VLOOKUP($C28,Outbound!$B:$Z,5,FALSE),VLOOKUP($B28,Outbound!$B:$Z,5,FALSE)),"ON ROCS/NOT ON FILE"),"")</f>
        <v>ON ROCS/NOT ON FILE</v>
      </c>
      <c r="F28" s="387" t="str">
        <f>IF(B28&lt;&gt;"",IFERROR(IF(LEFT($B28,3)=$Z$2,VLOOKUP($C28,Outbound!$B:$Z,11,FALSE),VLOOKUP($B28,Outbound!$B:$Z,11,FALSE)),"NON TROVATO"),"")</f>
        <v>NON TROVATO</v>
      </c>
      <c r="G28" s="394" t="str">
        <f>IF(B28&lt;&gt;"",IFERROR(IF(LEFT($B28,3)=$Z$2,VLOOKUP($C28,Outbound!$B:$AAZ,16,FALSE),VLOOKUP($B28,Outbound!$B:$AAZ,16,FALSE)),"NON TROVATO"),"")</f>
        <v>NON TROVATO</v>
      </c>
      <c r="H28" s="394" t="str">
        <f>IF(B28&lt;&gt;"",IFERROR(IF(LEFT($B28,3)=$Z$2,VLOOKUP($C28,Outbound!$B:$AAZ,6,FALSE),VLOOKUP($B28,Outbound!$B:$AAZ,6,FALSE)),"NON TROVATO"),"")</f>
        <v>NON TROVATO</v>
      </c>
      <c r="I28" s="394" t="str">
        <f>IF(B28&lt;&gt;"",IFERROR(IF(LEFT($B28,3)=$Z$2,VLOOKUP($C28,Outbound!$B:$AAZ,52,FALSE),VLOOKUP($B28,Outbound!$B:$AAZ,52,FALSE)),"NON TROVATO"),"")</f>
        <v>NON TROVATO</v>
      </c>
      <c r="J28" s="396"/>
      <c r="K28" s="387" t="str">
        <f>IF(B28&lt;&gt;"",IF($D28&lt;&gt;"ON ROCS/NOT ON FILE",IFERROR(_xlfn.XLOOKUP(LEFT($D28,3),'STAT 77 Table'!$B:$B,'STAT 77 Table'!$A:$A),"ZZ"&amp;RIGHT($B28,4)),""),"")</f>
        <v/>
      </c>
      <c r="L28" s="396"/>
      <c r="O28" s="388"/>
      <c r="P28" s="388"/>
      <c r="AA28" s="421" t="str">
        <f t="shared" si="0"/>
        <v>ERN10016</v>
      </c>
    </row>
    <row r="29" spans="1:27" ht="16.5" hidden="1">
      <c r="A29" s="387" t="str">
        <f>'STAT 77 Table'!$I$191</f>
        <v>ERN19820</v>
      </c>
      <c r="B29" t="s">
        <v>1631</v>
      </c>
      <c r="C29" t="s">
        <v>838</v>
      </c>
      <c r="D29" s="387" t="str">
        <f>IF($B29&lt;&gt;"",IFERROR(IF(LEFT($B29,3)=$Z$2,VLOOKUP($C29,Outbound!$B:$Z,4,FALSE),VLOOKUP($B29,Outbound!$B:$Z,4,FALSE)),"ON ROCS/NOT ON FILE"),"")</f>
        <v>PD2</v>
      </c>
      <c r="E29" s="387" t="str">
        <f>IF($B29&lt;&gt;"",IFERROR(IF(LEFT($B29,4)=$Z$2,VLOOKUP($C29,Outbound!$B:$Z,5,FALSE),VLOOKUP($B29,Outbound!$B:$Z,5,FALSE)),"ON ROCS/NOT ON FILE"),"")</f>
        <v>ON ROCS/NOT ON FILE</v>
      </c>
      <c r="F29" s="387" t="str">
        <f>IF(B29&lt;&gt;"",IFERROR(IF(LEFT($B29,3)=$Z$2,VLOOKUP($C29,Outbound!$B:$Z,11,FALSE),VLOOKUP($B29,Outbound!$B:$Z,11,FALSE)),"NON TROVATO"),"")</f>
        <v>F.M. Trasporti S.R.L.</v>
      </c>
      <c r="G29" s="394" t="str">
        <f>IF(B29&lt;&gt;"",IFERROR(IF(LEFT($B29,3)=$Z$2,VLOOKUP($C29,Outbound!$B:$AAZ,16,FALSE),VLOOKUP($B29,Outbound!$B:$AAZ,16,FALSE)),"NON TROVATO"),"")</f>
        <v>XB166AG</v>
      </c>
      <c r="H29" s="394">
        <f>IF(B29&lt;&gt;"",IFERROR(IF(LEFT($B29,3)=$Z$2,VLOOKUP($C29,Outbound!$B:$AAZ,6,FALSE),VLOOKUP($B29,Outbound!$B:$AAZ,6,FALSE)),"NON TROVATO"),"")</f>
        <v>0.90625</v>
      </c>
      <c r="I29" s="394">
        <f>IF(B29&lt;&gt;"",IFERROR(IF(LEFT($B29,3)=$Z$2,VLOOKUP($C29,Outbound!$B:$AAZ,52,FALSE),VLOOKUP($B29,Outbound!$B:$AAZ,52,FALSE)),"NON TROVATO"),"")</f>
        <v>0.89236111111111116</v>
      </c>
      <c r="J29" s="439">
        <v>546748914099</v>
      </c>
      <c r="K29" s="387" t="str">
        <f>IF(B29&lt;&gt;"",IF($D29&lt;&gt;"ON ROCS/NOT ON FILE",IFERROR(_xlfn.XLOOKUP(LEFT($D29,3),'STAT 77 Table'!$B:$B,'STAT 77 Table'!$A:$A),"ZZ"&amp;RIGHT($B29,4)),""),"")</f>
        <v>ZZ2250</v>
      </c>
      <c r="L29" s="396" t="s">
        <v>1605</v>
      </c>
      <c r="O29" s="388"/>
      <c r="P29" s="388"/>
      <c r="AA29" s="421" t="str">
        <f t="shared" si="0"/>
        <v>ITD32250</v>
      </c>
    </row>
    <row r="30" spans="1:27" ht="16.5" hidden="1">
      <c r="A30" s="387" t="str">
        <f>'STAT 77 Table'!$I$193</f>
        <v>ITD12386</v>
      </c>
      <c r="B30" t="s">
        <v>1632</v>
      </c>
      <c r="C30" t="s">
        <v>988</v>
      </c>
      <c r="D30" s="387" t="str">
        <f>IF($B30&lt;&gt;"",IFERROR(IF(LEFT($B30,3)=$Z$2,VLOOKUP($C30,Outbound!$B:$Z,4,FALSE),VLOOKUP($B30,Outbound!$B:$Z,4,FALSE)),"ON ROCS/NOT ON FILE"),"")</f>
        <v>FC5</v>
      </c>
      <c r="E30" s="387" t="str">
        <f>IF($B30&lt;&gt;"",IFERROR(IF(LEFT($B30,4)=$Z$2,VLOOKUP($C30,Outbound!$B:$Z,5,FALSE),VLOOKUP($B30,Outbound!$B:$Z,5,FALSE)),"ON ROCS/NOT ON FILE"),"")</f>
        <v>ON ROCS/NOT ON FILE</v>
      </c>
      <c r="F30" s="387" t="str">
        <f>IF(B30&lt;&gt;"",IFERROR(IF(LEFT($B30,3)=$Z$2,VLOOKUP($C30,Outbound!$B:$Z,11,FALSE),VLOOKUP($B30,Outbound!$B:$Z,11,FALSE)),"NON TROVATO"),"")</f>
        <v>Tonia Trasporti S.r.l.</v>
      </c>
      <c r="G30" s="394" t="str">
        <f>IF(B30&lt;&gt;"",IFERROR(IF(LEFT($B30,3)=$Z$2,VLOOKUP($C30,Outbound!$B:$AAZ,16,FALSE),VLOOKUP($B30,Outbound!$B:$AAZ,16,FALSE)),"NON TROVATO"),"")</f>
        <v>XA086LL</v>
      </c>
      <c r="H30" s="394">
        <f>IF(B30&lt;&gt;"",IFERROR(IF(LEFT($B30,3)=$Z$2,VLOOKUP($C30,Outbound!$B:$AAZ,6,FALSE),VLOOKUP($B30,Outbound!$B:$AAZ,6,FALSE)),"NON TROVATO"),"")</f>
        <v>0.91666666666666663</v>
      </c>
      <c r="I30" s="394">
        <f>IF(B30&lt;&gt;"",IFERROR(IF(LEFT($B30,3)=$Z$2,VLOOKUP($C30,Outbound!$B:$AAZ,52,FALSE),VLOOKUP($B30,Outbound!$B:$AAZ,52,FALSE)),"NON TROVATO"),"")</f>
        <v>0.91249999999999998</v>
      </c>
      <c r="J30" s="440">
        <v>546758566545</v>
      </c>
      <c r="K30" s="387" t="str">
        <f>IF(B30&lt;&gt;"",IF($D30&lt;&gt;"ON ROCS/NOT ON FILE",IFERROR(_xlfn.XLOOKUP(LEFT($D30,3),'STAT 77 Table'!$B:$B,'STAT 77 Table'!$A:$A),"ZZ"&amp;RIGHT($B30,4)),""),"")</f>
        <v>ZZ2684</v>
      </c>
      <c r="L30" s="396" t="s">
        <v>1605</v>
      </c>
      <c r="O30" s="388"/>
      <c r="P30" s="388"/>
      <c r="AA30" s="421" t="str">
        <f t="shared" si="0"/>
        <v>ITD12304</v>
      </c>
    </row>
    <row r="31" spans="1:27" ht="16.5" hidden="1">
      <c r="A31" s="387" t="str">
        <f>'STAT 77 Table'!$I$204</f>
        <v>ERN17079</v>
      </c>
      <c r="B31" t="s">
        <v>1633</v>
      </c>
      <c r="C31" t="s">
        <v>713</v>
      </c>
      <c r="D31" s="387" t="str">
        <f>IF($B31&lt;&gt;"",IFERROR(IF(LEFT($B31,3)=$Z$2,VLOOKUP($C31,Outbound!$B:$Z,4,FALSE),VLOOKUP($B31,Outbound!$B:$Z,4,FALSE)),"ON ROCS/NOT ON FILE"),"")</f>
        <v>BA5</v>
      </c>
      <c r="E31" s="387" t="str">
        <f>IF($B31&lt;&gt;"",IFERROR(IF(LEFT($B31,4)=$Z$2,VLOOKUP($C31,Outbound!$B:$Z,5,FALSE),VLOOKUP($B31,Outbound!$B:$Z,5,FALSE)),"ON ROCS/NOT ON FILE"),"")</f>
        <v>ON ROCS/NOT ON FILE</v>
      </c>
      <c r="F31" s="387" t="str">
        <f>IF(B31&lt;&gt;"",IFERROR(IF(LEFT($B31,3)=$Z$2,VLOOKUP($C31,Outbound!$B:$Z,11,FALSE),VLOOKUP($B31,Outbound!$B:$Z,11,FALSE)),"NON TROVATO"),"")</f>
        <v>Canguro Spa</v>
      </c>
      <c r="G31" s="394" t="str">
        <f>IF(B31&lt;&gt;"",IFERROR(IF(LEFT($B31,3)=$Z$2,VLOOKUP($C31,Outbound!$B:$AAZ,16,FALSE),VLOOKUP($B31,Outbound!$B:$AAZ,16,FALSE)),"NON TROVATO"),"")</f>
        <v>XB874AP</v>
      </c>
      <c r="H31" s="394">
        <f>IF(B31&lt;&gt;"",IFERROR(IF(LEFT($B31,3)=$Z$2,VLOOKUP($C31,Outbound!$B:$AAZ,6,FALSE),VLOOKUP($B31,Outbound!$B:$AAZ,6,FALSE)),"NON TROVATO"),"")</f>
        <v>0.91666666666666663</v>
      </c>
      <c r="I31" s="394">
        <f>IF(B31&lt;&gt;"",IFERROR(IF(LEFT($B31,3)=$Z$2,VLOOKUP($C31,Outbound!$B:$AAZ,52,FALSE),VLOOKUP($B31,Outbound!$B:$AAZ,52,FALSE)),"NON TROVATO"),"")</f>
        <v>0.89444444444444449</v>
      </c>
      <c r="J31" s="440">
        <v>546689571036</v>
      </c>
      <c r="K31" s="387" t="str">
        <f>IF(B31&lt;&gt;"",IF($D31&lt;&gt;"ON ROCS/NOT ON FILE",IFERROR(_xlfn.XLOOKUP(LEFT($D31,3),'STAT 77 Table'!$B:$B,'STAT 77 Table'!$A:$A),"ZZ"&amp;RIGHT($B31,4)),""),"")</f>
        <v>ZZ0720</v>
      </c>
      <c r="L31" s="396" t="s">
        <v>1605</v>
      </c>
      <c r="O31" s="388"/>
      <c r="P31" s="388"/>
      <c r="AA31" s="421" t="str">
        <f t="shared" si="0"/>
        <v>ITD30720</v>
      </c>
    </row>
    <row r="32" spans="1:27" ht="16.5" hidden="1">
      <c r="A32" s="387" t="str">
        <f>'STAT 77 Table'!$I$215</f>
        <v>ITD12021</v>
      </c>
      <c r="B32" t="s">
        <v>1634</v>
      </c>
      <c r="C32" t="s">
        <v>755</v>
      </c>
      <c r="D32" s="387" t="str">
        <f>IF($B32&lt;&gt;"",IFERROR(IF(LEFT($B32,3)=$Z$2,VLOOKUP($C32,Outbound!$B:$Z,4,FALSE),VLOOKUP($B32,Outbound!$B:$Z,4,FALSE)),"ON ROCS/NOT ON FILE"),"")</f>
        <v>FC5</v>
      </c>
      <c r="E32" s="387" t="str">
        <f>IF($B32&lt;&gt;"",IFERROR(IF(LEFT($B32,4)=$Z$2,VLOOKUP($C32,Outbound!$B:$Z,5,FALSE),VLOOKUP($B32,Outbound!$B:$Z,5,FALSE)),"ON ROCS/NOT ON FILE"),"")</f>
        <v>ON ROCS/NOT ON FILE</v>
      </c>
      <c r="F32" s="387" t="str">
        <f>IF(B32&lt;&gt;"",IFERROR(IF(LEFT($B32,3)=$Z$2,VLOOKUP($C32,Outbound!$B:$Z,11,FALSE),VLOOKUP($B32,Outbound!$B:$Z,11,FALSE)),"NON TROVATO"),"")</f>
        <v>FORLANI TRASPORTI SRL</v>
      </c>
      <c r="G32" s="394" t="str">
        <f>IF(B32&lt;&gt;"",IFERROR(IF(LEFT($B32,3)=$Z$2,VLOOKUP($C32,Outbound!$B:$AAZ,16,FALSE),VLOOKUP($B32,Outbound!$B:$AAZ,16,FALSE)),"NON TROVATO"),"")</f>
        <v>XA435MR</v>
      </c>
      <c r="H32" s="394">
        <f>IF(B32&lt;&gt;"",IFERROR(IF(LEFT($B32,3)=$Z$2,VLOOKUP($C32,Outbound!$B:$AAZ,6,FALSE),VLOOKUP($B32,Outbound!$B:$AAZ,6,FALSE)),"NON TROVATO"),"")</f>
        <v>0.91666666666666663</v>
      </c>
      <c r="I32" s="394">
        <f>IF(B32&lt;&gt;"",IFERROR(IF(LEFT($B32,3)=$Z$2,VLOOKUP($C32,Outbound!$B:$AAZ,52,FALSE),VLOOKUP($B32,Outbound!$B:$AAZ,52,FALSE)),"NON TROVATO"),"")</f>
        <v>0.90972222222222221</v>
      </c>
      <c r="J32" s="440">
        <v>546758565159</v>
      </c>
      <c r="K32" s="387" t="str">
        <f>IF(B32&lt;&gt;"",IF($D32&lt;&gt;"ON ROCS/NOT ON FILE",IFERROR(_xlfn.XLOOKUP(LEFT($D32,3),'STAT 77 Table'!$B:$B,'STAT 77 Table'!$A:$A),"ZZ"&amp;RIGHT($B32,4)),""),"")</f>
        <v>ZZ1340</v>
      </c>
      <c r="L32" s="396" t="s">
        <v>1605</v>
      </c>
      <c r="O32" s="388"/>
      <c r="P32" s="388"/>
      <c r="AA32" s="421" t="str">
        <f t="shared" si="0"/>
        <v>ITD12302</v>
      </c>
    </row>
    <row r="33" spans="1:27" ht="16.5" hidden="1">
      <c r="A33" s="387">
        <f>'STAT 77 Table'!$I$287</f>
        <v>0</v>
      </c>
      <c r="B33" t="s">
        <v>1635</v>
      </c>
      <c r="C33" t="s">
        <v>968</v>
      </c>
      <c r="D33" s="387" t="str">
        <f>IF($B33&lt;&gt;"",IFERROR(IF(LEFT($B33,3)=$Z$2,VLOOKUP($C33,Outbound!$B:$Z,4,FALSE),VLOOKUP($B33,Outbound!$B:$Z,4,FALSE)),"ON ROCS/NOT ON FILE"),"")</f>
        <v>FIA</v>
      </c>
      <c r="E33" s="387" t="str">
        <f>IF($B33&lt;&gt;"",IFERROR(IF(LEFT($B33,4)=$Z$2,VLOOKUP($C33,Outbound!$B:$Z,5,FALSE),VLOOKUP($B33,Outbound!$B:$Z,5,FALSE)),"ON ROCS/NOT ON FILE"),"")</f>
        <v>ON ROCS/NOT ON FILE</v>
      </c>
      <c r="F33" s="387" t="str">
        <f>IF(B33&lt;&gt;"",IFERROR(IF(LEFT($B33,3)=$Z$2,VLOOKUP($C33,Outbound!$B:$Z,11,FALSE),VLOOKUP($B33,Outbound!$B:$Z,11,FALSE)),"NON TROVATO"),"")</f>
        <v>Canguro Spa</v>
      </c>
      <c r="G33" s="394" t="str">
        <f>IF(B33&lt;&gt;"",IFERROR(IF(LEFT($B33,3)=$Z$2,VLOOKUP($C33,Outbound!$B:$AAZ,16,FALSE),VLOOKUP($B33,Outbound!$B:$AAZ,16,FALSE)),"NON TROVATO"),"")</f>
        <v>AD85866</v>
      </c>
      <c r="H33" s="394">
        <f>IF(B33&lt;&gt;"",IFERROR(IF(LEFT($B33,3)=$Z$2,VLOOKUP($C33,Outbound!$B:$AAZ,6,FALSE),VLOOKUP($B33,Outbound!$B:$AAZ,6,FALSE)),"NON TROVATO"),"")</f>
        <v>0.92013888888888884</v>
      </c>
      <c r="I33" s="394">
        <f>IF(B33&lt;&gt;"",IFERROR(IF(LEFT($B33,3)=$Z$2,VLOOKUP($C33,Outbound!$B:$AAZ,52,FALSE),VLOOKUP($B33,Outbound!$B:$AAZ,52,FALSE)),"NON TROVATO"),"")</f>
        <v>0.91249999999999998</v>
      </c>
      <c r="J33" s="440">
        <v>546789873246</v>
      </c>
      <c r="K33" s="387" t="str">
        <f>IF(B33&lt;&gt;"",IF($D33&lt;&gt;"ON ROCS/NOT ON FILE",IFERROR(_xlfn.XLOOKUP(LEFT($D33,3),'STAT 77 Table'!$B:$B,'STAT 77 Table'!$A:$A),"ZZ"&amp;RIGHT($B33,4)),""),"")</f>
        <v>ZZ0821</v>
      </c>
      <c r="L33" s="396" t="s">
        <v>1605</v>
      </c>
      <c r="O33" s="388"/>
      <c r="P33" s="388"/>
      <c r="AA33" s="421" t="str">
        <f t="shared" si="0"/>
        <v>ITD30821</v>
      </c>
    </row>
    <row r="34" spans="1:27" ht="16.5" hidden="1">
      <c r="A34" s="387">
        <f>'STAT 77 Table'!$I$289</f>
        <v>0</v>
      </c>
      <c r="B34" t="s">
        <v>1636</v>
      </c>
      <c r="C34" t="s">
        <v>784</v>
      </c>
      <c r="D34" s="387" t="str">
        <f>IF($B34&lt;&gt;"",IFERROR(IF(LEFT($B34,3)=$Z$2,VLOOKUP($C34,Outbound!$B:$Z,4,FALSE),VLOOKUP($B34,Outbound!$B:$Z,4,FALSE)),"ON ROCS/NOT ON FILE"),"")</f>
        <v>FIA</v>
      </c>
      <c r="E34" s="387" t="str">
        <f>IF($B34&lt;&gt;"",IFERROR(IF(LEFT($B34,4)=$Z$2,VLOOKUP($C34,Outbound!$B:$Z,5,FALSE),VLOOKUP($B34,Outbound!$B:$Z,5,FALSE)),"ON ROCS/NOT ON FILE"),"")</f>
        <v>ON ROCS/NOT ON FILE</v>
      </c>
      <c r="F34" s="387" t="str">
        <f>IF(B34&lt;&gt;"",IFERROR(IF(LEFT($B34,3)=$Z$2,VLOOKUP($C34,Outbound!$B:$Z,11,FALSE),VLOOKUP($B34,Outbound!$B:$Z,11,FALSE)),"NON TROVATO"),"")</f>
        <v>Transeuropa S.r.l.</v>
      </c>
      <c r="G34" s="394" t="str">
        <f>IF(B34&lt;&gt;"",IFERROR(IF(LEFT($B34,3)=$Z$2,VLOOKUP($C34,Outbound!$B:$AAZ,16,FALSE),VLOOKUP($B34,Outbound!$B:$AAZ,16,FALSE)),"NON TROVATO"),"")</f>
        <v>XA289XH</v>
      </c>
      <c r="H34" s="394">
        <f>IF(B34&lt;&gt;"",IFERROR(IF(LEFT($B34,3)=$Z$2,VLOOKUP($C34,Outbound!$B:$AAZ,6,FALSE),VLOOKUP($B34,Outbound!$B:$AAZ,6,FALSE)),"NON TROVATO"),"")</f>
        <v>0.92013888888888884</v>
      </c>
      <c r="I34" s="394">
        <f>IF(B34&lt;&gt;"",IFERROR(IF(LEFT($B34,3)=$Z$2,VLOOKUP($C34,Outbound!$B:$AAZ,52,FALSE),VLOOKUP($B34,Outbound!$B:$AAZ,52,FALSE)),"NON TROVATO"),"")</f>
        <v>0.91041666666666665</v>
      </c>
      <c r="J34" s="440">
        <v>546748910634</v>
      </c>
      <c r="K34" s="387" t="str">
        <f>IF(B34&lt;&gt;"",IF($D34&lt;&gt;"ON ROCS/NOT ON FILE",IFERROR(_xlfn.XLOOKUP(LEFT($D34,3),'STAT 77 Table'!$B:$B,'STAT 77 Table'!$A:$A),"ZZ"&amp;RIGHT($B34,4)),""),"")</f>
        <v>ZZ0848</v>
      </c>
      <c r="L34" s="396" t="s">
        <v>1605</v>
      </c>
      <c r="O34" s="388"/>
      <c r="P34" s="388"/>
      <c r="AA34" s="421" t="str">
        <f t="shared" si="0"/>
        <v>ITD30848</v>
      </c>
    </row>
    <row r="35" spans="1:27" ht="16.5" hidden="1">
      <c r="A35" s="387" t="str">
        <f>'STAT 77 Table'!$I$206</f>
        <v>ITD12209</v>
      </c>
      <c r="B35" t="s">
        <v>1637</v>
      </c>
      <c r="C35" t="s">
        <v>1235</v>
      </c>
      <c r="D35" s="387" t="str">
        <f>IF($B35&lt;&gt;"",IFERROR(IF(LEFT($B35,3)=$Z$2,VLOOKUP($C35,Outbound!$B:$Z,4,FALSE),VLOOKUP($B35,Outbound!$B:$Z,4,FALSE)),"ON ROCS/NOT ON FILE"),"")</f>
        <v>ZRO</v>
      </c>
      <c r="E35" s="387" t="str">
        <f>IF($B35&lt;&gt;"",IFERROR(IF(LEFT($B35,4)=$Z$2,VLOOKUP($C35,Outbound!$B:$Z,5,FALSE),VLOOKUP($B35,Outbound!$B:$Z,5,FALSE)),"ON ROCS/NOT ON FILE"),"")</f>
        <v>ON ROCS/NOT ON FILE</v>
      </c>
      <c r="F35" s="387" t="str">
        <f>IF(B35&lt;&gt;"",IFERROR(IF(LEFT($B35,3)=$Z$2,VLOOKUP($C35,Outbound!$B:$Z,11,FALSE),VLOOKUP($B35,Outbound!$B:$Z,11,FALSE)),"NON TROVATO"),"")</f>
        <v>CORNALI AUTOTRASPORTI SRL</v>
      </c>
      <c r="G35" s="394" t="str">
        <f>IF(B35&lt;&gt;"",IFERROR(IF(LEFT($B35,3)=$Z$2,VLOOKUP($C35,Outbound!$B:$AAZ,16,FALSE),VLOOKUP($B35,Outbound!$B:$AAZ,16,FALSE)),"NON TROVATO"),"")</f>
        <v>AD92470</v>
      </c>
      <c r="H35" s="394">
        <f>IF(B35&lt;&gt;"",IFERROR(IF(LEFT($B35,3)=$Z$2,VLOOKUP($C35,Outbound!$B:$AAZ,6,FALSE),VLOOKUP($B35,Outbound!$B:$AAZ,6,FALSE)),"NON TROVATO"),"")</f>
        <v>0.9375</v>
      </c>
      <c r="I35" s="394">
        <f>IF(B35&lt;&gt;"",IFERROR(IF(LEFT($B35,3)=$Z$2,VLOOKUP($C35,Outbound!$B:$AAZ,52,FALSE),VLOOKUP($B35,Outbound!$B:$AAZ,52,FALSE)),"NON TROVATO"),"")</f>
        <v>0.92152777777777772</v>
      </c>
      <c r="J35" s="440" t="s">
        <v>1212</v>
      </c>
      <c r="K35" s="387" t="str">
        <f>IF(B35&lt;&gt;"",IF($D35&lt;&gt;"ON ROCS/NOT ON FILE",IFERROR(_xlfn.XLOOKUP(LEFT($D35,3),'STAT 77 Table'!$B:$B,'STAT 77 Table'!$A:$A),"ZZ"&amp;RIGHT($B35,4)),""),"")</f>
        <v>ZZ1219</v>
      </c>
      <c r="L35" s="396" t="s">
        <v>1638</v>
      </c>
      <c r="O35" s="388"/>
      <c r="P35" s="388"/>
      <c r="AA35" s="421" t="str">
        <f t="shared" si="0"/>
        <v>ITD12257</v>
      </c>
    </row>
    <row r="36" spans="1:27" ht="16.5" hidden="1">
      <c r="A36" s="387" t="str">
        <f>'STAT 77 Table'!$I$208</f>
        <v>ITD12266</v>
      </c>
      <c r="B36" t="s">
        <v>1639</v>
      </c>
      <c r="C36" t="s">
        <v>741</v>
      </c>
      <c r="D36" s="387" t="str">
        <f>IF($B36&lt;&gt;"",IFERROR(IF(LEFT($B36,3)=$Z$2,VLOOKUP($C36,Outbound!$B:$Z,4,FALSE),VLOOKUP($B36,Outbound!$B:$Z,4,FALSE)),"ON ROCS/NOT ON FILE"),"")</f>
        <v>BO2</v>
      </c>
      <c r="E36" s="387" t="str">
        <f>IF($B36&lt;&gt;"",IFERROR(IF(LEFT($B36,4)=$Z$2,VLOOKUP($C36,Outbound!$B:$Z,5,FALSE),VLOOKUP($B36,Outbound!$B:$Z,5,FALSE)),"ON ROCS/NOT ON FILE"),"")</f>
        <v>ON ROCS/NOT ON FILE</v>
      </c>
      <c r="F36" s="387" t="str">
        <f>IF(B36&lt;&gt;"",IFERROR(IF(LEFT($B36,3)=$Z$2,VLOOKUP($C36,Outbound!$B:$Z,11,FALSE),VLOOKUP($B36,Outbound!$B:$Z,11,FALSE)),"NON TROVATO"),"")</f>
        <v>Zampieri Holding S.R.L.</v>
      </c>
      <c r="G36" s="394" t="str">
        <f>IF(B36&lt;&gt;"",IFERROR(IF(LEFT($B36,3)=$Z$2,VLOOKUP($C36,Outbound!$B:$AAZ,16,FALSE),VLOOKUP($B36,Outbound!$B:$AAZ,16,FALSE)),"NON TROVATO"),"")</f>
        <v>xa268yg</v>
      </c>
      <c r="H36" s="394">
        <f>IF(B36&lt;&gt;"",IFERROR(IF(LEFT($B36,3)=$Z$2,VLOOKUP($C36,Outbound!$B:$AAZ,6,FALSE),VLOOKUP($B36,Outbound!$B:$AAZ,6,FALSE)),"NON TROVATO"),"")</f>
        <v>0.9375</v>
      </c>
      <c r="I36" s="394">
        <f>IF(B36&lt;&gt;"",IFERROR(IF(LEFT($B36,3)=$Z$2,VLOOKUP($C36,Outbound!$B:$AAZ,52,FALSE),VLOOKUP($B36,Outbound!$B:$AAZ,52,FALSE)),"NON TROVATO"),"")</f>
        <v>0.9243055555555556</v>
      </c>
      <c r="J36" s="440">
        <v>546778273058</v>
      </c>
      <c r="K36" s="387" t="str">
        <f>IF(B36&lt;&gt;"",IF($D36&lt;&gt;"ON ROCS/NOT ON FILE",IFERROR(_xlfn.XLOOKUP(LEFT($D36,3),'STAT 77 Table'!$B:$B,'STAT 77 Table'!$A:$A),"ZZ"&amp;RIGHT($B36,4)),""),"")</f>
        <v>IM257</v>
      </c>
      <c r="L36" s="396" t="s">
        <v>1605</v>
      </c>
      <c r="O36" s="388"/>
      <c r="P36" s="388"/>
      <c r="AA36" s="421" t="str">
        <f t="shared" si="0"/>
        <v>ITD12864</v>
      </c>
    </row>
    <row r="37" spans="1:27" ht="16.5" hidden="1">
      <c r="A37" s="387" t="str">
        <f>'STAT 77 Table'!$I$166</f>
        <v>ERN17430</v>
      </c>
      <c r="B37" t="s">
        <v>1640</v>
      </c>
      <c r="C37" t="s">
        <v>759</v>
      </c>
      <c r="D37" s="387" t="str">
        <f>IF($B37&lt;&gt;"",IFERROR(IF(LEFT($B37,3)=$Z$2,VLOOKUP($C37,Outbound!$B:$Z,4,FALSE),VLOOKUP($B37,Outbound!$B:$Z,4,FALSE)),"ON ROCS/NOT ON FILE"),"")</f>
        <v>FC5</v>
      </c>
      <c r="E37" s="387" t="str">
        <f>IF($B37&lt;&gt;"",IFERROR(IF(LEFT($B37,4)=$Z$2,VLOOKUP($C37,Outbound!$B:$Z,5,FALSE),VLOOKUP($B37,Outbound!$B:$Z,5,FALSE)),"ON ROCS/NOT ON FILE"),"")</f>
        <v>ON ROCS/NOT ON FILE</v>
      </c>
      <c r="F37" s="387" t="str">
        <f>IF(B37&lt;&gt;"",IFERROR(IF(LEFT($B37,3)=$Z$2,VLOOKUP($C37,Outbound!$B:$Z,11,FALSE),VLOOKUP($B37,Outbound!$B:$Z,11,FALSE)),"NON TROVATO"),"")</f>
        <v>S.T.I. Società Trasporti Internazionali S.r.L.</v>
      </c>
      <c r="G37" s="394" t="str">
        <f>IF(B37&lt;&gt;"",IFERROR(IF(LEFT($B37,3)=$Z$2,VLOOKUP($C37,Outbound!$B:$AAZ,16,FALSE),VLOOKUP($B37,Outbound!$B:$AAZ,16,FALSE)),"NON TROVATO"),"")</f>
        <v>XA050TN</v>
      </c>
      <c r="H37" s="394">
        <f>IF(B37&lt;&gt;"",IFERROR(IF(LEFT($B37,3)=$Z$2,VLOOKUP($C37,Outbound!$B:$AAZ,6,FALSE),VLOOKUP($B37,Outbound!$B:$AAZ,6,FALSE)),"NON TROVATO"),"")</f>
        <v>0.9375</v>
      </c>
      <c r="I37" s="394">
        <f>IF(B37&lt;&gt;"",IFERROR(IF(LEFT($B37,3)=$Z$2,VLOOKUP($C37,Outbound!$B:$AAZ,52,FALSE),VLOOKUP($B37,Outbound!$B:$AAZ,52,FALSE)),"NON TROVATO"),"")</f>
        <v>0.93333333333333335</v>
      </c>
      <c r="J37" s="440">
        <v>546758566199</v>
      </c>
      <c r="K37" s="387" t="str">
        <f>IF(B37&lt;&gt;"",IF($D37&lt;&gt;"ON ROCS/NOT ON FILE",IFERROR(_xlfn.XLOOKUP(LEFT($D37,3),'STAT 77 Table'!$B:$B,'STAT 77 Table'!$A:$A),"ZZ"&amp;RIGHT($B37,4)),""),"")</f>
        <v>ZZ2483</v>
      </c>
      <c r="L37" s="396" t="s">
        <v>1605</v>
      </c>
      <c r="O37" s="388"/>
      <c r="P37" s="388"/>
      <c r="AA37" s="421" t="str">
        <f t="shared" si="0"/>
        <v>ITD32483</v>
      </c>
    </row>
    <row r="38" spans="1:27" ht="16.5" hidden="1">
      <c r="A38" s="387" t="str">
        <f>'STAT 77 Table'!$I$167</f>
        <v>ERN18917</v>
      </c>
      <c r="B38" t="s">
        <v>1641</v>
      </c>
      <c r="C38" t="s">
        <v>1143</v>
      </c>
      <c r="D38" s="387" t="str">
        <f>IF($B38&lt;&gt;"",IFERROR(IF(LEFT($B38,3)=$Z$2,VLOOKUP($C38,Outbound!$B:$Z,4,FALSE),VLOOKUP($B38,Outbound!$B:$Z,4,FALSE)),"ON ROCS/NOT ON FILE"),"")</f>
        <v>BO2</v>
      </c>
      <c r="E38" s="387" t="str">
        <f>IF($B38&lt;&gt;"",IFERROR(IF(LEFT($B38,4)=$Z$2,VLOOKUP($C38,Outbound!$B:$Z,5,FALSE),VLOOKUP($B38,Outbound!$B:$Z,5,FALSE)),"ON ROCS/NOT ON FILE"),"")</f>
        <v>ON ROCS/NOT ON FILE</v>
      </c>
      <c r="F38" s="387" t="str">
        <f>IF(B38&lt;&gt;"",IFERROR(IF(LEFT($B38,3)=$Z$2,VLOOKUP($C38,Outbound!$B:$Z,11,FALSE),VLOOKUP($B38,Outbound!$B:$Z,11,FALSE)),"NON TROVATO"),"")</f>
        <v>CORNALI AUTOTRASPORTI SRL</v>
      </c>
      <c r="G38" s="394" t="str">
        <f>IF(B38&lt;&gt;"",IFERROR(IF(LEFT($B38,3)=$Z$2,VLOOKUP($C38,Outbound!$B:$AAZ,16,FALSE),VLOOKUP($B38,Outbound!$B:$AAZ,16,FALSE)),"NON TROVATO"),"")</f>
        <v>AE44416</v>
      </c>
      <c r="H38" s="394">
        <f>IF(B38&lt;&gt;"",IFERROR(IF(LEFT($B38,3)=$Z$2,VLOOKUP($C38,Outbound!$B:$AAZ,6,FALSE),VLOOKUP($B38,Outbound!$B:$AAZ,6,FALSE)),"NON TROVATO"),"")</f>
        <v>0.9375</v>
      </c>
      <c r="I38" s="394">
        <f>IF(B38&lt;&gt;"",IFERROR(IF(LEFT($B38,3)=$Z$2,VLOOKUP($C38,Outbound!$B:$AAZ,52,FALSE),VLOOKUP($B38,Outbound!$B:$AAZ,52,FALSE)),"NON TROVATO"),"")</f>
        <v>0.88680555555555551</v>
      </c>
      <c r="J38" s="440">
        <v>546777104276</v>
      </c>
      <c r="K38" s="387" t="str">
        <f>IF(B38&lt;&gt;"",IF($D38&lt;&gt;"ON ROCS/NOT ON FILE",IFERROR(_xlfn.XLOOKUP(LEFT($D38,3),'STAT 77 Table'!$B:$B,'STAT 77 Table'!$A:$A),"ZZ"&amp;RIGHT($B38,4)),""),"")</f>
        <v>IM257</v>
      </c>
      <c r="L38" s="396" t="s">
        <v>1605</v>
      </c>
      <c r="O38" s="388"/>
      <c r="P38" s="388"/>
      <c r="AA38" s="421" t="str">
        <f t="shared" si="0"/>
        <v>ITD31213</v>
      </c>
    </row>
    <row r="39" spans="1:27" ht="16.5" hidden="1">
      <c r="A39" s="387" t="str">
        <f>'STAT 77 Table'!$I$211</f>
        <v>ITD12363</v>
      </c>
      <c r="B39" t="s">
        <v>201</v>
      </c>
      <c r="C39" t="s">
        <v>1453</v>
      </c>
      <c r="D39" s="387" t="str">
        <f>IF($B39&lt;&gt;"",IFERROR(IF(LEFT($B39,3)=$Z$2,VLOOKUP($C39,Outbound!$B:$Z,4,FALSE),VLOOKUP($B39,Outbound!$B:$Z,4,FALSE)),"ON ROCS/NOT ON FILE"),"")</f>
        <v>LYS 1</v>
      </c>
      <c r="E39" s="387" t="str">
        <f>IF($B39&lt;&gt;"",IFERROR(IF(LEFT($B39,4)=$Z$2,VLOOKUP($C39,Outbound!$B:$Z,5,FALSE),VLOOKUP($B39,Outbound!$B:$Z,5,FALSE)),"ON ROCS/NOT ON FILE"),"")</f>
        <v/>
      </c>
      <c r="F39" s="387" t="str">
        <f>IF(B39&lt;&gt;"",IFERROR(IF(LEFT($B39,3)=$Z$2,VLOOKUP($C39,Outbound!$B:$Z,11,FALSE),VLOOKUP($B39,Outbound!$B:$Z,11,FALSE)),"NON TROVATO"),"")</f>
        <v>Laurent Transport Et Garage</v>
      </c>
      <c r="G39" s="394" t="str">
        <f>IF(B39&lt;&gt;"",IFERROR(IF(LEFT($B39,3)=$Z$2,VLOOKUP($C39,Outbound!$B:$AAZ,16,FALSE),VLOOKUP($B39,Outbound!$B:$AAZ,16,FALSE)),"NON TROVATO"),"")</f>
        <v>ENB15284</v>
      </c>
      <c r="H39" s="394">
        <f>IF(B39&lt;&gt;"",IFERROR(IF(LEFT($B39,3)=$Z$2,VLOOKUP($C39,Outbound!$B:$AAZ,6,FALSE),VLOOKUP($B39,Outbound!$B:$AAZ,6,FALSE)),"NON TROVATO"),"")</f>
        <v>0.9375</v>
      </c>
      <c r="I39" s="394">
        <f>IF(B39&lt;&gt;"",IFERROR(IF(LEFT($B39,3)=$Z$2,VLOOKUP($C39,Outbound!$B:$AAZ,52,FALSE),VLOOKUP($B39,Outbound!$B:$AAZ,52,FALSE)),"NON TROVATO"),"")</f>
        <v>0.92013888888888884</v>
      </c>
      <c r="J39" s="440">
        <v>546672903690</v>
      </c>
      <c r="K39" s="387" t="str">
        <f>IF(B39&lt;&gt;"",IF($D39&lt;&gt;"ON ROCS/NOT ON FILE",IFERROR(_xlfn.XLOOKUP(LEFT($D39,3),'STAT 77 Table'!$B:$B,'STAT 77 Table'!$A:$A),"ZZ"&amp;RIGHT($B39,4)),""),"")</f>
        <v>IM597</v>
      </c>
      <c r="L39" s="396" t="s">
        <v>1605</v>
      </c>
      <c r="O39" s="388"/>
      <c r="P39" s="388"/>
      <c r="AA39" s="421" t="str">
        <f t="shared" si="0"/>
        <v>ERN00469</v>
      </c>
    </row>
    <row r="40" spans="1:27" ht="16.5" hidden="1">
      <c r="A40" s="387">
        <f>'STAT 77 Table'!$I$281</f>
        <v>0</v>
      </c>
      <c r="B40" t="s">
        <v>196</v>
      </c>
      <c r="C40" t="s">
        <v>1457</v>
      </c>
      <c r="D40" s="387" t="str">
        <f>IF($B40&lt;&gt;"",IFERROR(IF(LEFT($B40,3)=$Z$2,VLOOKUP($C40,Outbound!$B:$Z,4,FALSE),VLOOKUP($B40,Outbound!$B:$Z,4,FALSE)),"ON ROCS/NOT ON FILE"),"")</f>
        <v>LYS X1</v>
      </c>
      <c r="E40" s="387" t="str">
        <f>IF($B40&lt;&gt;"",IFERROR(IF(LEFT($B40,4)=$Z$2,VLOOKUP($C40,Outbound!$B:$Z,5,FALSE),VLOOKUP($B40,Outbound!$B:$Z,5,FALSE)),"ON ROCS/NOT ON FILE"),"")</f>
        <v/>
      </c>
      <c r="F40" s="387" t="str">
        <f>IF(B40&lt;&gt;"",IFERROR(IF(LEFT($B40,3)=$Z$2,VLOOKUP($C40,Outbound!$B:$Z,11,FALSE),VLOOKUP($B40,Outbound!$B:$Z,11,FALSE)),"NON TROVATO"),"")</f>
        <v>Cornali Autotrasporti Srl</v>
      </c>
      <c r="G40" s="394" t="str">
        <f>IF(B40&lt;&gt;"",IFERROR(IF(LEFT($B40,3)=$Z$2,VLOOKUP($C40,Outbound!$B:$AAZ,16,FALSE),VLOOKUP($B40,Outbound!$B:$AAZ,16,FALSE)),"NON TROVATO"),"")</f>
        <v>XB662AM</v>
      </c>
      <c r="H40" s="394">
        <f>IF(B40&lt;&gt;"",IFERROR(IF(LEFT($B40,3)=$Z$2,VLOOKUP($C40,Outbound!$B:$AAZ,6,FALSE),VLOOKUP($B40,Outbound!$B:$AAZ,6,FALSE)),"NON TROVATO"),"")</f>
        <v>0.9375</v>
      </c>
      <c r="I40" s="394">
        <f>IF(B40&lt;&gt;"",IFERROR(IF(LEFT($B40,3)=$Z$2,VLOOKUP($C40,Outbound!$B:$AAZ,52,FALSE),VLOOKUP($B40,Outbound!$B:$AAZ,52,FALSE)),"NON TROVATO"),"")</f>
        <v>0.90763888888888888</v>
      </c>
      <c r="J40" s="440">
        <v>546662642838</v>
      </c>
      <c r="K40" s="387" t="str">
        <f>IF(B40&lt;&gt;"",IF($D40&lt;&gt;"ON ROCS/NOT ON FILE",IFERROR(_xlfn.XLOOKUP(LEFT($D40,3),'STAT 77 Table'!$B:$B,'STAT 77 Table'!$A:$A),"ZZ"&amp;RIGHT($B40,4)),""),"")</f>
        <v>IM597</v>
      </c>
      <c r="L40" s="396" t="s">
        <v>1605</v>
      </c>
      <c r="O40" s="388"/>
      <c r="P40" s="388"/>
      <c r="AA40" s="421" t="str">
        <f t="shared" si="0"/>
        <v>ERN15398</v>
      </c>
    </row>
    <row r="41" spans="1:27" ht="16.5" hidden="1">
      <c r="A41" s="387" t="str">
        <f>'STAT 77 Table'!$I$223</f>
        <v/>
      </c>
      <c r="B41" t="s">
        <v>1642</v>
      </c>
      <c r="C41" t="s">
        <v>1084</v>
      </c>
      <c r="D41" s="387" t="str">
        <f>IF($B41&lt;&gt;"",IFERROR(IF(LEFT($B41,3)=$Z$2,VLOOKUP($C41,Outbound!$B:$Z,4,FALSE),VLOOKUP($B41,Outbound!$B:$Z,4,FALSE)),"ON ROCS/NOT ON FILE"),"")</f>
        <v>NC3</v>
      </c>
      <c r="E41" s="387" t="str">
        <f>IF($B41&lt;&gt;"",IFERROR(IF(LEFT($B41,4)=$Z$2,VLOOKUP($C41,Outbound!$B:$Z,5,FALSE),VLOOKUP($B41,Outbound!$B:$Z,5,FALSE)),"ON ROCS/NOT ON FILE"),"")</f>
        <v>ON ROCS/NOT ON FILE</v>
      </c>
      <c r="F41" s="387" t="str">
        <f>IF(B41&lt;&gt;"",IFERROR(IF(LEFT($B41,3)=$Z$2,VLOOKUP($C41,Outbound!$B:$Z,11,FALSE),VLOOKUP($B41,Outbound!$B:$Z,11,FALSE)),"NON TROVATO"),"")</f>
        <v>Canguro Spa</v>
      </c>
      <c r="G41" s="394" t="str">
        <f>IF(B41&lt;&gt;"",IFERROR(IF(LEFT($B41,3)=$Z$2,VLOOKUP($C41,Outbound!$B:$AAZ,16,FALSE),VLOOKUP($B41,Outbound!$B:$AAZ,16,FALSE)),"NON TROVATO"),"")</f>
        <v>af16882</v>
      </c>
      <c r="H41" s="394">
        <f>IF(B41&lt;&gt;"",IFERROR(IF(LEFT($B41,3)=$Z$2,VLOOKUP($C41,Outbound!$B:$AAZ,6,FALSE),VLOOKUP($B41,Outbound!$B:$AAZ,6,FALSE)),"NON TROVATO"),"")</f>
        <v>0.94097222222222221</v>
      </c>
      <c r="I41" s="394">
        <f>IF(B41&lt;&gt;"",IFERROR(IF(LEFT($B41,3)=$Z$2,VLOOKUP($C41,Outbound!$B:$AAZ,52,FALSE),VLOOKUP($B41,Outbound!$B:$AAZ,52,FALSE)),"NON TROVATO"),"")</f>
        <v>0.92291666666666672</v>
      </c>
      <c r="J41" s="440">
        <v>546778277330</v>
      </c>
      <c r="K41" s="387" t="str">
        <f>IF(B41&lt;&gt;"",IF($D41&lt;&gt;"ON ROCS/NOT ON FILE",IFERROR(_xlfn.XLOOKUP(LEFT($D41,3),'STAT 77 Table'!$B:$B,'STAT 77 Table'!$A:$A),"ZZ"&amp;RIGHT($B41,4)),""),"")</f>
        <v>ZZ0734</v>
      </c>
      <c r="L41" s="396" t="s">
        <v>1605</v>
      </c>
      <c r="O41" s="388"/>
      <c r="P41" s="388"/>
      <c r="AA41" s="421" t="str">
        <f t="shared" si="0"/>
        <v>ITD30734</v>
      </c>
    </row>
    <row r="42" spans="1:27" ht="16.5" hidden="1">
      <c r="A42" s="387" t="str">
        <f>'STAT 77 Table'!$I$264</f>
        <v/>
      </c>
      <c r="B42" t="s">
        <v>1643</v>
      </c>
      <c r="C42" t="s">
        <v>1080</v>
      </c>
      <c r="D42" s="387" t="str">
        <f>IF($B42&lt;&gt;"",IFERROR(IF(LEFT($B42,3)=$Z$2,VLOOKUP($C42,Outbound!$B:$Z,4,FALSE),VLOOKUP($B42,Outbound!$B:$Z,4,FALSE)),"ON ROCS/NOT ON FILE"),"")</f>
        <v>NC3</v>
      </c>
      <c r="E42" s="387" t="str">
        <f>IF($B42&lt;&gt;"",IFERROR(IF(LEFT($B42,4)=$Z$2,VLOOKUP($C42,Outbound!$B:$Z,5,FALSE),VLOOKUP($B42,Outbound!$B:$Z,5,FALSE)),"ON ROCS/NOT ON FILE"),"")</f>
        <v>ON ROCS/NOT ON FILE</v>
      </c>
      <c r="F42" s="387" t="str">
        <f>IF(B42&lt;&gt;"",IFERROR(IF(LEFT($B42,3)=$Z$2,VLOOKUP($C42,Outbound!$B:$Z,11,FALSE),VLOOKUP($B42,Outbound!$B:$Z,11,FALSE)),"NON TROVATO"),"")</f>
        <v>Canguro Spa</v>
      </c>
      <c r="G42" s="394" t="str">
        <f>IF(B42&lt;&gt;"",IFERROR(IF(LEFT($B42,3)=$Z$2,VLOOKUP($C42,Outbound!$B:$AAZ,16,FALSE),VLOOKUP($B42,Outbound!$B:$AAZ,16,FALSE)),"NON TROVATO"),"")</f>
        <v>xb867ap</v>
      </c>
      <c r="H42" s="394">
        <f>IF(B42&lt;&gt;"",IFERROR(IF(LEFT($B42,3)=$Z$2,VLOOKUP($C42,Outbound!$B:$AAZ,6,FALSE),VLOOKUP($B42,Outbound!$B:$AAZ,6,FALSE)),"NON TROVATO"),"")</f>
        <v>0.94097222222222221</v>
      </c>
      <c r="I42" s="394">
        <f>IF(B42&lt;&gt;"",IFERROR(IF(LEFT($B42,3)=$Z$2,VLOOKUP($C42,Outbound!$B:$AAZ,52,FALSE),VLOOKUP($B42,Outbound!$B:$AAZ,52,FALSE)),"NON TROVATO"),"")</f>
        <v>0.93055555555555558</v>
      </c>
      <c r="J42" s="440">
        <v>546754032088</v>
      </c>
      <c r="K42" s="387" t="str">
        <f>IF(B42&lt;&gt;"",IF($D42&lt;&gt;"ON ROCS/NOT ON FILE",IFERROR(_xlfn.XLOOKUP(LEFT($D42,3),'STAT 77 Table'!$B:$B,'STAT 77 Table'!$A:$A),"ZZ"&amp;RIGHT($B42,4)),""),"")</f>
        <v>ZZ0746</v>
      </c>
      <c r="L42" s="396" t="s">
        <v>1605</v>
      </c>
      <c r="O42" s="388"/>
      <c r="P42" s="388"/>
      <c r="AA42" s="421" t="str">
        <f t="shared" si="0"/>
        <v>ITD30746</v>
      </c>
    </row>
    <row r="43" spans="1:27" ht="16.5" hidden="1">
      <c r="A43" s="387">
        <f>'STAT 77 Table'!$I$285</f>
        <v>0</v>
      </c>
      <c r="B43" t="s">
        <v>1644</v>
      </c>
      <c r="C43" t="s">
        <v>1187</v>
      </c>
      <c r="D43" s="387" t="str">
        <f>IF($B43&lt;&gt;"",IFERROR(IF(LEFT($B43,3)=$Z$2,VLOOKUP($C43,Outbound!$B:$Z,4,FALSE),VLOOKUP($B43,Outbound!$B:$Z,4,FALSE)),"ON ROCS/NOT ON FILE"),"")</f>
        <v>NT3</v>
      </c>
      <c r="E43" s="387" t="str">
        <f>IF($B43&lt;&gt;"",IFERROR(IF(LEFT($B43,4)=$Z$2,VLOOKUP($C43,Outbound!$B:$Z,5,FALSE),VLOOKUP($B43,Outbound!$B:$Z,5,FALSE)),"ON ROCS/NOT ON FILE"),"")</f>
        <v>ON ROCS/NOT ON FILE</v>
      </c>
      <c r="F43" s="387" t="str">
        <f>IF(B43&lt;&gt;"",IFERROR(IF(LEFT($B43,3)=$Z$2,VLOOKUP($C43,Outbound!$B:$Z,11,FALSE),VLOOKUP($B43,Outbound!$B:$Z,11,FALSE)),"NON TROVATO"),"")</f>
        <v>Nuova Express Line S.R.L.</v>
      </c>
      <c r="G43" s="394" t="str">
        <f>IF(B43&lt;&gt;"",IFERROR(IF(LEFT($B43,3)=$Z$2,VLOOKUP($C43,Outbound!$B:$AAZ,16,FALSE),VLOOKUP($B43,Outbound!$B:$AAZ,16,FALSE)),"NON TROVATO"),"")</f>
        <v>AF51015</v>
      </c>
      <c r="H43" s="394">
        <f>IF(B43&lt;&gt;"",IFERROR(IF(LEFT($B43,3)=$Z$2,VLOOKUP($C43,Outbound!$B:$AAZ,6,FALSE),VLOOKUP($B43,Outbound!$B:$AAZ,6,FALSE)),"NON TROVATO"),"")</f>
        <v>0.94097222222222221</v>
      </c>
      <c r="I43" s="394">
        <f>IF(B43&lt;&gt;"",IFERROR(IF(LEFT($B43,3)=$Z$2,VLOOKUP($C43,Outbound!$B:$AAZ,52,FALSE),VLOOKUP($B43,Outbound!$B:$AAZ,52,FALSE)),"NON TROVATO"),"")</f>
        <v>0.9243055555555556</v>
      </c>
      <c r="J43" s="440">
        <v>546777105880</v>
      </c>
      <c r="K43" s="387" t="str">
        <f>IF(B43&lt;&gt;"",IF($D43&lt;&gt;"ON ROCS/NOT ON FILE",IFERROR(_xlfn.XLOOKUP(LEFT($D43,3),'STAT 77 Table'!$B:$B,'STAT 77 Table'!$A:$A),"ZZ"&amp;RIGHT($B43,4)),""),"")</f>
        <v>ZZ0743</v>
      </c>
      <c r="L43" s="396" t="s">
        <v>1605</v>
      </c>
      <c r="O43" s="388"/>
      <c r="P43" s="388"/>
      <c r="AA43" s="421" t="str">
        <f t="shared" si="0"/>
        <v>ITD30743</v>
      </c>
    </row>
    <row r="44" spans="1:27" ht="16.5" hidden="1">
      <c r="A44" s="387">
        <f>'STAT 77 Table'!$I$280</f>
        <v>0</v>
      </c>
      <c r="B44" t="s">
        <v>1645</v>
      </c>
      <c r="C44" t="s">
        <v>1182</v>
      </c>
      <c r="D44" s="387" t="str">
        <f>IF($B44&lt;&gt;"",IFERROR(IF(LEFT($B44,3)=$Z$2,VLOOKUP($C44,Outbound!$B:$Z,4,FALSE),VLOOKUP($B44,Outbound!$B:$Z,4,FALSE)),"ON ROCS/NOT ON FILE"),"")</f>
        <v>NT3</v>
      </c>
      <c r="E44" s="387" t="str">
        <f>IF($B44&lt;&gt;"",IFERROR(IF(LEFT($B44,4)=$Z$2,VLOOKUP($C44,Outbound!$B:$Z,5,FALSE),VLOOKUP($B44,Outbound!$B:$Z,5,FALSE)),"ON ROCS/NOT ON FILE"),"")</f>
        <v>ON ROCS/NOT ON FILE</v>
      </c>
      <c r="F44" s="387" t="str">
        <f>IF(B44&lt;&gt;"",IFERROR(IF(LEFT($B44,3)=$Z$2,VLOOKUP($C44,Outbound!$B:$Z,11,FALSE),VLOOKUP($B44,Outbound!$B:$Z,11,FALSE)),"NON TROVATO"),"")</f>
        <v>Canguro Spa</v>
      </c>
      <c r="G44" s="394" t="str">
        <f>IF(B44&lt;&gt;"",IFERROR(IF(LEFT($B44,3)=$Z$2,VLOOKUP($C44,Outbound!$B:$AAZ,16,FALSE),VLOOKUP($B44,Outbound!$B:$AAZ,16,FALSE)),"NON TROVATO"),"")</f>
        <v>xb857ap</v>
      </c>
      <c r="H44" s="394">
        <f>IF(B44&lt;&gt;"",IFERROR(IF(LEFT($B44,3)=$Z$2,VLOOKUP($C44,Outbound!$B:$AAZ,6,FALSE),VLOOKUP($B44,Outbound!$B:$AAZ,6,FALSE)),"NON TROVATO"),"")</f>
        <v>0.94097222222222221</v>
      </c>
      <c r="I44" s="394">
        <f>IF(B44&lt;&gt;"",IFERROR(IF(LEFT($B44,3)=$Z$2,VLOOKUP($C44,Outbound!$B:$AAZ,52,FALSE),VLOOKUP($B44,Outbound!$B:$AAZ,52,FALSE)),"NON TROVATO"),"")</f>
        <v>0.94027777777777777</v>
      </c>
      <c r="J44" s="440">
        <v>546778276572</v>
      </c>
      <c r="K44" s="387" t="str">
        <f>IF(B44&lt;&gt;"",IF($D44&lt;&gt;"ON ROCS/NOT ON FILE",IFERROR(_xlfn.XLOOKUP(LEFT($D44,3),'STAT 77 Table'!$B:$B,'STAT 77 Table'!$A:$A),"ZZ"&amp;RIGHT($B44,4)),""),"")</f>
        <v>ZZ0741</v>
      </c>
      <c r="L44" s="396" t="s">
        <v>1605</v>
      </c>
      <c r="O44" s="388"/>
      <c r="P44" s="388"/>
      <c r="AA44" s="421" t="str">
        <f t="shared" si="0"/>
        <v>ITD30741</v>
      </c>
    </row>
    <row r="45" spans="1:27" ht="16.5" hidden="1">
      <c r="A45" s="387" t="str">
        <f>'STAT 77 Table'!$I$194</f>
        <v>ITD12366</v>
      </c>
      <c r="B45" t="s">
        <v>1646</v>
      </c>
      <c r="C45" t="s">
        <v>794</v>
      </c>
      <c r="D45" s="387" t="str">
        <f>IF($B45&lt;&gt;"",IFERROR(IF(LEFT($B45,3)=$Z$2,VLOOKUP($C45,Outbound!$B:$Z,4,FALSE),VLOOKUP($B45,Outbound!$B:$Z,4,FALSE)),"ON ROCS/NOT ON FILE"),"")</f>
        <v>AN6</v>
      </c>
      <c r="E45" s="387" t="str">
        <f>IF($B45&lt;&gt;"",IFERROR(IF(LEFT($B45,4)=$Z$2,VLOOKUP($C45,Outbound!$B:$Z,5,FALSE),VLOOKUP($B45,Outbound!$B:$Z,5,FALSE)),"ON ROCS/NOT ON FILE"),"")</f>
        <v>ON ROCS/NOT ON FILE</v>
      </c>
      <c r="F45" s="387" t="str">
        <f>IF(B45&lt;&gt;"",IFERROR(IF(LEFT($B45,3)=$Z$2,VLOOKUP($C45,Outbound!$B:$Z,11,FALSE),VLOOKUP($B45,Outbound!$B:$Z,11,FALSE)),"NON TROVATO"),"")</f>
        <v>Canguro Spa</v>
      </c>
      <c r="G45" s="394" t="str">
        <f>IF(B45&lt;&gt;"",IFERROR(IF(LEFT($B45,3)=$Z$2,VLOOKUP($C45,Outbound!$B:$AAZ,16,FALSE),VLOOKUP($B45,Outbound!$B:$AAZ,16,FALSE)),"NON TROVATO"),"")</f>
        <v>af70032</v>
      </c>
      <c r="H45" s="394">
        <f>IF(B45&lt;&gt;"",IFERROR(IF(LEFT($B45,3)=$Z$2,VLOOKUP($C45,Outbound!$B:$AAZ,6,FALSE),VLOOKUP($B45,Outbound!$B:$AAZ,6,FALSE)),"NON TROVATO"),"")</f>
        <v>0.94791666666666663</v>
      </c>
      <c r="I45" s="394">
        <f>IF(B45&lt;&gt;"",IFERROR(IF(LEFT($B45,3)=$Z$2,VLOOKUP($C45,Outbound!$B:$AAZ,52,FALSE),VLOOKUP($B45,Outbound!$B:$AAZ,52,FALSE)),"NON TROVATO"),"")</f>
        <v>0.93194444444444446</v>
      </c>
      <c r="J45" s="440">
        <v>546774975113</v>
      </c>
      <c r="K45" s="387" t="str">
        <f>IF(B45&lt;&gt;"",IF($D45&lt;&gt;"ON ROCS/NOT ON FILE",IFERROR(_xlfn.XLOOKUP(LEFT($D45,3),'STAT 77 Table'!$B:$B,'STAT 77 Table'!$A:$A),"ZZ"&amp;RIGHT($B45,4)),""),"")</f>
        <v>ZZ0856</v>
      </c>
      <c r="L45" s="396" t="s">
        <v>1605</v>
      </c>
      <c r="O45" s="388"/>
      <c r="P45" s="388"/>
      <c r="AA45" s="421" t="str">
        <f t="shared" si="0"/>
        <v>ITD12097</v>
      </c>
    </row>
    <row r="46" spans="1:27" ht="16.5" hidden="1">
      <c r="A46" s="387" t="str">
        <f>'STAT 77 Table'!$I$241</f>
        <v/>
      </c>
      <c r="B46" t="s">
        <v>1647</v>
      </c>
      <c r="C46" t="s">
        <v>976</v>
      </c>
      <c r="D46" s="387" t="str">
        <f>IF($B46&lt;&gt;"",IFERROR(IF(LEFT($B46,3)=$Z$2,VLOOKUP($C46,Outbound!$B:$Z,4,FALSE),VLOOKUP($B46,Outbound!$B:$Z,4,FALSE)),"ON ROCS/NOT ON FILE"),"")</f>
        <v>AN6</v>
      </c>
      <c r="E46" s="387" t="str">
        <f>IF($B46&lt;&gt;"",IFERROR(IF(LEFT($B46,4)=$Z$2,VLOOKUP($C46,Outbound!$B:$Z,5,FALSE),VLOOKUP($B46,Outbound!$B:$Z,5,FALSE)),"ON ROCS/NOT ON FILE"),"")</f>
        <v>ON ROCS/NOT ON FILE</v>
      </c>
      <c r="F46" s="387" t="str">
        <f>IF(B46&lt;&gt;"",IFERROR(IF(LEFT($B46,3)=$Z$2,VLOOKUP($C46,Outbound!$B:$Z,11,FALSE),VLOOKUP($B46,Outbound!$B:$Z,11,FALSE)),"NON TROVATO"),"")</f>
        <v>Zampieri Holding S.R.L.</v>
      </c>
      <c r="G46" s="394" t="str">
        <f>IF(B46&lt;&gt;"",IFERROR(IF(LEFT($B46,3)=$Z$2,VLOOKUP($C46,Outbound!$B:$AAZ,16,FALSE),VLOOKUP($B46,Outbound!$B:$AAZ,16,FALSE)),"NON TROVATO"),"")</f>
        <v>xa728kt</v>
      </c>
      <c r="H46" s="394">
        <f>IF(B46&lt;&gt;"",IFERROR(IF(LEFT($B46,3)=$Z$2,VLOOKUP($C46,Outbound!$B:$AAZ,6,FALSE),VLOOKUP($B46,Outbound!$B:$AAZ,6,FALSE)),"NON TROVATO"),"")</f>
        <v>0.94791666666666663</v>
      </c>
      <c r="I46" s="394">
        <f>IF(B46&lt;&gt;"",IFERROR(IF(LEFT($B46,3)=$Z$2,VLOOKUP($C46,Outbound!$B:$AAZ,52,FALSE),VLOOKUP($B46,Outbound!$B:$AAZ,52,FALSE)),"NON TROVATO"),"")</f>
        <v>0.92361111111111116</v>
      </c>
      <c r="J46" s="440">
        <v>546770376666</v>
      </c>
      <c r="K46" s="387" t="str">
        <f>IF(B46&lt;&gt;"",IF($D46&lt;&gt;"ON ROCS/NOT ON FILE",IFERROR(_xlfn.XLOOKUP(LEFT($D46,3),'STAT 77 Table'!$B:$B,'STAT 77 Table'!$A:$A),"ZZ"&amp;RIGHT($B46,4)),""),"")</f>
        <v>ZZ0862</v>
      </c>
      <c r="L46" s="396" t="s">
        <v>1605</v>
      </c>
      <c r="O46" s="388"/>
      <c r="P46" s="388"/>
      <c r="AA46" s="421" t="str">
        <f t="shared" si="0"/>
        <v>ITD30862</v>
      </c>
    </row>
    <row r="47" spans="1:27" ht="16.5" hidden="1">
      <c r="A47" s="387" t="str">
        <f>'STAT 77 Table'!$I$250</f>
        <v/>
      </c>
      <c r="B47" t="s">
        <v>1648</v>
      </c>
      <c r="C47" t="s">
        <v>535</v>
      </c>
      <c r="D47" s="387" t="str">
        <f>IF($B47&lt;&gt;"",IFERROR(IF(LEFT($B47,3)=$Z$2,VLOOKUP($C47,Outbound!$B:$Z,4,FALSE),VLOOKUP($B47,Outbound!$B:$Z,4,FALSE)),"ON ROCS/NOT ON FILE"),"")</f>
        <v>MXP</v>
      </c>
      <c r="E47" s="387" t="str">
        <f>IF($B47&lt;&gt;"",IFERROR(IF(LEFT($B47,4)=$Z$2,VLOOKUP($C47,Outbound!$B:$Z,5,FALSE),VLOOKUP($B47,Outbound!$B:$Z,5,FALSE)),"ON ROCS/NOT ON FILE"),"")</f>
        <v>ON ROCS/NOT ON FILE</v>
      </c>
      <c r="F47" s="387" t="str">
        <f>IF(B47&lt;&gt;"",IFERROR(IF(LEFT($B47,3)=$Z$2,VLOOKUP($C47,Outbound!$B:$Z,11,FALSE),VLOOKUP($B47,Outbound!$B:$Z,11,FALSE)),"NON TROVATO"),"")</f>
        <v>Trans Speedy S.R.L</v>
      </c>
      <c r="G47" s="394" t="str">
        <f>IF(B47&lt;&gt;"",IFERROR(IF(LEFT($B47,3)=$Z$2,VLOOKUP($C47,Outbound!$B:$AAZ,16,FALSE),VLOOKUP($B47,Outbound!$B:$AAZ,16,FALSE)),"NON TROVATO"),"")</f>
        <v>XA635FA</v>
      </c>
      <c r="H47" s="394">
        <f>IF(B47&lt;&gt;"",IFERROR(IF(LEFT($B47,3)=$Z$2,VLOOKUP($C47,Outbound!$B:$AAZ,6,FALSE),VLOOKUP($B47,Outbound!$B:$AAZ,6,FALSE)),"NON TROVATO"),"")</f>
        <v>0.95138888888888884</v>
      </c>
      <c r="I47" s="394">
        <f>IF(B47&lt;&gt;"",IFERROR(IF(LEFT($B47,3)=$Z$2,VLOOKUP($C47,Outbound!$B:$AAZ,52,FALSE),VLOOKUP($B47,Outbound!$B:$AAZ,52,FALSE)),"NON TROVATO"),"")</f>
        <v>0.94930555555555551</v>
      </c>
      <c r="J47" s="435">
        <v>546713280590</v>
      </c>
      <c r="K47" s="387" t="str">
        <f>IF(B47&lt;&gt;"",IF($D47&lt;&gt;"ON ROCS/NOT ON FILE",IFERROR(_xlfn.XLOOKUP(LEFT($D47,3),'STAT 77 Table'!$B:$B,'STAT 77 Table'!$A:$A),"ZZ"&amp;RIGHT($B47,4)),""),"")</f>
        <v>IM697</v>
      </c>
      <c r="L47" s="396" t="s">
        <v>1605</v>
      </c>
      <c r="O47" s="388"/>
      <c r="P47" s="388"/>
      <c r="AA47" s="421" t="str">
        <f t="shared" si="0"/>
        <v>ITD32240</v>
      </c>
    </row>
    <row r="48" spans="1:27" ht="16.5">
      <c r="A48" s="387" t="str">
        <f>'STAT 77 Table'!$I$251</f>
        <v/>
      </c>
      <c r="B48" t="s">
        <v>1649</v>
      </c>
      <c r="C48" t="s">
        <v>1650</v>
      </c>
      <c r="D48" s="387" t="str">
        <f>IF($B48&lt;&gt;"",IFERROR(IF(LEFT($B48,3)=$Z$2,VLOOKUP($C48,Outbound!$B:$Z,4,FALSE),VLOOKUP($B48,Outbound!$B:$Z,4,FALSE)),"ON ROCS/NOT ON FILE"),"")</f>
        <v>ON ROCS/NOT ON FILE</v>
      </c>
      <c r="E48" s="387" t="str">
        <f>IF($B48&lt;&gt;"",IFERROR(IF(LEFT($B48,4)=$Z$2,VLOOKUP($C48,Outbound!$B:$Z,5,FALSE),VLOOKUP($B48,Outbound!$B:$Z,5,FALSE)),"ON ROCS/NOT ON FILE"),"")</f>
        <v>ON ROCS/NOT ON FILE</v>
      </c>
      <c r="F48" s="387" t="str">
        <f>IF(B48&lt;&gt;"",IFERROR(IF(LEFT($B48,3)=$Z$2,VLOOKUP($C48,Outbound!$B:$Z,11,FALSE),VLOOKUP($B48,Outbound!$B:$Z,11,FALSE)),"NON TROVATO"),"")</f>
        <v>NON TROVATO</v>
      </c>
      <c r="G48" s="394" t="str">
        <f>IF(B48&lt;&gt;"",IFERROR(IF(LEFT($B48,3)=$Z$2,VLOOKUP($C48,Outbound!$B:$AAZ,16,FALSE),VLOOKUP($B48,Outbound!$B:$AAZ,16,FALSE)),"NON TROVATO"),"")</f>
        <v>NON TROVATO</v>
      </c>
      <c r="H48" s="394" t="str">
        <f>IF(B48&lt;&gt;"",IFERROR(IF(LEFT($B48,3)=$Z$2,VLOOKUP($C48,Outbound!$B:$AAZ,6,FALSE),VLOOKUP($B48,Outbound!$B:$AAZ,6,FALSE)),"NON TROVATO"),"")</f>
        <v>NON TROVATO</v>
      </c>
      <c r="I48" s="394" t="str">
        <f>IF(B48&lt;&gt;"",IFERROR(IF(LEFT($B48,3)=$Z$2,VLOOKUP($C48,Outbound!$B:$AAZ,52,FALSE),VLOOKUP($B48,Outbound!$B:$AAZ,52,FALSE)),"NON TROVATO"),"")</f>
        <v>NON TROVATO</v>
      </c>
      <c r="J48" s="428"/>
      <c r="K48" s="387" t="str">
        <f>IF(B48&lt;&gt;"",IF($D48&lt;&gt;"ON ROCS/NOT ON FILE",IFERROR(_xlfn.XLOOKUP(LEFT($D48,3),'STAT 77 Table'!$B:$B,'STAT 77 Table'!$A:$A),"ZZ"&amp;RIGHT($B48,4)),""),"")</f>
        <v/>
      </c>
      <c r="L48" s="396"/>
      <c r="O48" s="388"/>
      <c r="P48" s="388"/>
      <c r="AA48" s="421" t="str">
        <f t="shared" si="0"/>
        <v>ITD90286</v>
      </c>
    </row>
    <row r="49" spans="1:27" ht="16.5" hidden="1">
      <c r="A49" s="387" t="str">
        <f>'STAT 77 Table'!$I$259</f>
        <v/>
      </c>
      <c r="B49" t="s">
        <v>1651</v>
      </c>
      <c r="C49" t="s">
        <v>958</v>
      </c>
      <c r="D49" s="387" t="str">
        <f>IF($B49&lt;&gt;"",IFERROR(IF(LEFT($B49,3)=$Z$2,VLOOKUP($C49,Outbound!$B:$Z,4,FALSE),VLOOKUP($B49,Outbound!$B:$Z,4,FALSE)),"ON ROCS/NOT ON FILE"),"")</f>
        <v>PD2 EXTRA</v>
      </c>
      <c r="E49" s="387" t="str">
        <f>IF($B49&lt;&gt;"",IFERROR(IF(LEFT($B49,4)=$Z$2,VLOOKUP($C49,Outbound!$B:$Z,5,FALSE),VLOOKUP($B49,Outbound!$B:$Z,5,FALSE)),"ON ROCS/NOT ON FILE"),"")</f>
        <v>ON ROCS/NOT ON FILE</v>
      </c>
      <c r="F49" s="387" t="str">
        <f>IF(B49&lt;&gt;"",IFERROR(IF(LEFT($B49,3)=$Z$2,VLOOKUP($C49,Outbound!$B:$Z,11,FALSE),VLOOKUP($B49,Outbound!$B:$Z,11,FALSE)),"NON TROVATO"),"")</f>
        <v>Transeuropa S.r.l.</v>
      </c>
      <c r="G49" s="394" t="str">
        <f>IF(B49&lt;&gt;"",IFERROR(IF(LEFT($B49,3)=$Z$2,VLOOKUP($C49,Outbound!$B:$AAZ,16,FALSE),VLOOKUP($B49,Outbound!$B:$AAZ,16,FALSE)),"NON TROVATO"),"")</f>
        <v>XA581PT</v>
      </c>
      <c r="H49" s="394">
        <f>IF(B49&lt;&gt;"",IFERROR(IF(LEFT($B49,3)=$Z$2,VLOOKUP($C49,Outbound!$B:$AAZ,6,FALSE),VLOOKUP($B49,Outbound!$B:$AAZ,6,FALSE)),"NON TROVATO"),"")</f>
        <v>6.9444444444444441E-3</v>
      </c>
      <c r="I49" s="394">
        <f>IF(B49&lt;&gt;"",IFERROR(IF(LEFT($B49,3)=$Z$2,VLOOKUP($C49,Outbound!$B:$AAZ,52,FALSE),VLOOKUP($B49,Outbound!$B:$AAZ,52,FALSE)),"NON TROVATO"),"")</f>
        <v>1.4583333333333334E-2</v>
      </c>
      <c r="J49" s="441">
        <v>546808755380</v>
      </c>
      <c r="K49" s="387" t="str">
        <f>IF(B49&lt;&gt;"",IF($D49&lt;&gt;"ON ROCS/NOT ON FILE",IFERROR(_xlfn.XLOOKUP(LEFT($D49,3),'STAT 77 Table'!$B:$B,'STAT 77 Table'!$A:$A),"ZZ"&amp;RIGHT($B49,4)),""),"")</f>
        <v>ZZ0284</v>
      </c>
      <c r="L49" s="396" t="s">
        <v>1605</v>
      </c>
      <c r="O49" s="388"/>
      <c r="P49" s="388"/>
      <c r="AA49" s="421" t="str">
        <f t="shared" si="0"/>
        <v>ITD90284</v>
      </c>
    </row>
    <row r="50" spans="1:27" ht="16.5">
      <c r="A50" s="387" t="str">
        <f>'STAT 77 Table'!$I$263</f>
        <v/>
      </c>
      <c r="B50" t="s">
        <v>1652</v>
      </c>
      <c r="C50" t="s">
        <v>1653</v>
      </c>
      <c r="D50" s="387" t="str">
        <f>IF($B50&lt;&gt;"",IFERROR(IF(LEFT($B50,3)=$Z$2,VLOOKUP($C50,Outbound!$B:$Z,4,FALSE),VLOOKUP($B50,Outbound!$B:$Z,4,FALSE)),"ON ROCS/NOT ON FILE"),"")</f>
        <v>ON ROCS/NOT ON FILE</v>
      </c>
      <c r="E50" s="387" t="str">
        <f>IF($B50&lt;&gt;"",IFERROR(IF(LEFT($B50,4)=$Z$2,VLOOKUP($C50,Outbound!$B:$Z,5,FALSE),VLOOKUP($B50,Outbound!$B:$Z,5,FALSE)),"ON ROCS/NOT ON FILE"),"")</f>
        <v>ON ROCS/NOT ON FILE</v>
      </c>
      <c r="F50" s="387" t="str">
        <f>IF(B50&lt;&gt;"",IFERROR(IF(LEFT($B50,3)=$Z$2,VLOOKUP($C50,Outbound!$B:$Z,11,FALSE),VLOOKUP($B50,Outbound!$B:$Z,11,FALSE)),"NON TROVATO"),"")</f>
        <v>NON TROVATO</v>
      </c>
      <c r="G50" s="394" t="str">
        <f>IF(B50&lt;&gt;"",IFERROR(IF(LEFT($B50,3)=$Z$2,VLOOKUP($C50,Outbound!$B:$AAZ,16,FALSE),VLOOKUP($B50,Outbound!$B:$AAZ,16,FALSE)),"NON TROVATO"),"")</f>
        <v>NON TROVATO</v>
      </c>
      <c r="H50" s="394" t="str">
        <f>IF(B50&lt;&gt;"",IFERROR(IF(LEFT($B50,3)=$Z$2,VLOOKUP($C50,Outbound!$B:$AAZ,6,FALSE),VLOOKUP($B50,Outbound!$B:$AAZ,6,FALSE)),"NON TROVATO"),"")</f>
        <v>NON TROVATO</v>
      </c>
      <c r="I50" s="394" t="str">
        <f>IF(B50&lt;&gt;"",IFERROR(IF(LEFT($B50,3)=$Z$2,VLOOKUP($C50,Outbound!$B:$AAZ,52,FALSE),VLOOKUP($B50,Outbound!$B:$AAZ,52,FALSE)),"NON TROVATO"),"")</f>
        <v>NON TROVATO</v>
      </c>
      <c r="J50" s="428"/>
      <c r="K50" s="387" t="str">
        <f>IF(B50&lt;&gt;"",IF($D50&lt;&gt;"ON ROCS/NOT ON FILE",IFERROR(_xlfn.XLOOKUP(LEFT($D50,3),'STAT 77 Table'!$B:$B,'STAT 77 Table'!$A:$A),"ZZ"&amp;RIGHT($B50,4)),""),"")</f>
        <v/>
      </c>
      <c r="L50" s="396"/>
      <c r="O50" s="388"/>
      <c r="P50" s="388"/>
      <c r="AA50" s="421" t="str">
        <f t="shared" si="0"/>
        <v>ITD90285</v>
      </c>
    </row>
    <row r="51" spans="1:27" ht="16.5" hidden="1">
      <c r="A51" s="387" t="str">
        <f>'STAT 77 Table'!$I$239</f>
        <v/>
      </c>
      <c r="B51" t="s">
        <v>1654</v>
      </c>
      <c r="C51" t="s">
        <v>1147</v>
      </c>
      <c r="D51" s="387" t="str">
        <f>IF($B51&lt;&gt;"",IFERROR(IF(LEFT($B51,3)=$Z$2,VLOOKUP($C51,Outbound!$B:$Z,4,FALSE),VLOOKUP($B51,Outbound!$B:$Z,4,FALSE)),"ON ROCS/NOT ON FILE"),"")</f>
        <v>BO2</v>
      </c>
      <c r="E51" s="387" t="str">
        <f>IF($B51&lt;&gt;"",IFERROR(IF(LEFT($B51,4)=$Z$2,VLOOKUP($C51,Outbound!$B:$Z,5,FALSE),VLOOKUP($B51,Outbound!$B:$Z,5,FALSE)),"ON ROCS/NOT ON FILE"),"")</f>
        <v>ON ROCS/NOT ON FILE</v>
      </c>
      <c r="F51" s="387" t="str">
        <f>IF(B51&lt;&gt;"",IFERROR(IF(LEFT($B51,3)=$Z$2,VLOOKUP($C51,Outbound!$B:$Z,11,FALSE),VLOOKUP($B51,Outbound!$B:$Z,11,FALSE)),"NON TROVATO"),"")</f>
        <v>Zampieri Holding S.R.L.</v>
      </c>
      <c r="G51" s="394" t="str">
        <f>IF(B51&lt;&gt;"",IFERROR(IF(LEFT($B51,3)=$Z$2,VLOOKUP($C51,Outbound!$B:$AAZ,16,FALSE),VLOOKUP($B51,Outbound!$B:$AAZ,16,FALSE)),"NON TROVATO"),"")</f>
        <v>XA097KG</v>
      </c>
      <c r="H51" s="394">
        <f>IF(B51&lt;&gt;"",IFERROR(IF(LEFT($B51,3)=$Z$2,VLOOKUP($C51,Outbound!$B:$AAZ,6,FALSE),VLOOKUP($B51,Outbound!$B:$AAZ,6,FALSE)),"NON TROVATO"),"")</f>
        <v>0.95833333333333337</v>
      </c>
      <c r="I51" s="394">
        <f>IF(B51&lt;&gt;"",IFERROR(IF(LEFT($B51,3)=$Z$2,VLOOKUP($C51,Outbound!$B:$AAZ,52,FALSE),VLOOKUP($B51,Outbound!$B:$AAZ,52,FALSE)),"NON TROVATO"),"")</f>
        <v>0.9145833333333333</v>
      </c>
      <c r="J51" s="441">
        <v>546793109539</v>
      </c>
      <c r="K51" s="387" t="str">
        <f>IF(B51&lt;&gt;"",IF($D51&lt;&gt;"ON ROCS/NOT ON FILE",IFERROR(_xlfn.XLOOKUP(LEFT($D51,3),'STAT 77 Table'!$B:$B,'STAT 77 Table'!$A:$A),"ZZ"&amp;RIGHT($B51,4)),""),"")</f>
        <v>IM257</v>
      </c>
      <c r="L51" s="396" t="s">
        <v>1605</v>
      </c>
      <c r="O51" s="388"/>
      <c r="P51" s="388"/>
      <c r="AA51" s="421" t="str">
        <f t="shared" si="0"/>
        <v>ITD31228</v>
      </c>
    </row>
    <row r="52" spans="1:27" ht="16.5" hidden="1">
      <c r="A52" s="387" t="str">
        <f>'STAT 77 Table'!$I$243</f>
        <v/>
      </c>
      <c r="B52" t="s">
        <v>1655</v>
      </c>
      <c r="C52" t="s">
        <v>993</v>
      </c>
      <c r="D52" s="387" t="str">
        <f>IF($B52&lt;&gt;"",IFERROR(IF(LEFT($B52,3)=$Z$2,VLOOKUP($C52,Outbound!$B:$Z,4,FALSE),VLOOKUP($B52,Outbound!$B:$Z,4,FALSE)),"ON ROCS/NOT ON FILE"),"")</f>
        <v>FC5</v>
      </c>
      <c r="E52" s="387" t="str">
        <f>IF($B52&lt;&gt;"",IFERROR(IF(LEFT($B52,4)=$Z$2,VLOOKUP($C52,Outbound!$B:$Z,5,FALSE),VLOOKUP($B52,Outbound!$B:$Z,5,FALSE)),"ON ROCS/NOT ON FILE"),"")</f>
        <v>ON ROCS/NOT ON FILE</v>
      </c>
      <c r="F52" s="387" t="str">
        <f>IF(B52&lt;&gt;"",IFERROR(IF(LEFT($B52,3)=$Z$2,VLOOKUP($C52,Outbound!$B:$Z,11,FALSE),VLOOKUP($B52,Outbound!$B:$Z,11,FALSE)),"NON TROVATO"),"")</f>
        <v>Tonia Trasporti S.r.l.</v>
      </c>
      <c r="G52" s="394" t="str">
        <f>IF(B52&lt;&gt;"",IFERROR(IF(LEFT($B52,3)=$Z$2,VLOOKUP($C52,Outbound!$B:$AAZ,16,FALSE),VLOOKUP($B52,Outbound!$B:$AAZ,16,FALSE)),"NON TROVATO"),"")</f>
        <v>xa231wl</v>
      </c>
      <c r="H52" s="394">
        <f>IF(B52&lt;&gt;"",IFERROR(IF(LEFT($B52,3)=$Z$2,VLOOKUP($C52,Outbound!$B:$AAZ,6,FALSE),VLOOKUP($B52,Outbound!$B:$AAZ,6,FALSE)),"NON TROVATO"),"")</f>
        <v>0.95833333333333337</v>
      </c>
      <c r="I52" s="394">
        <f>IF(B52&lt;&gt;"",IFERROR(IF(LEFT($B52,3)=$Z$2,VLOOKUP($C52,Outbound!$B:$AAZ,52,FALSE),VLOOKUP($B52,Outbound!$B:$AAZ,52,FALSE)),"NON TROVATO"),"")</f>
        <v>0.92777777777777781</v>
      </c>
      <c r="J52" s="441">
        <v>546782441392</v>
      </c>
      <c r="K52" s="387" t="str">
        <f>IF(B52&lt;&gt;"",IF($D52&lt;&gt;"ON ROCS/NOT ON FILE",IFERROR(_xlfn.XLOOKUP(LEFT($D52,3),'STAT 77 Table'!$B:$B,'STAT 77 Table'!$A:$A),"ZZ"&amp;RIGHT($B52,4)),""),"")</f>
        <v>ZZ1110</v>
      </c>
      <c r="L52" s="396" t="s">
        <v>1605</v>
      </c>
      <c r="O52" s="388"/>
      <c r="P52" s="388"/>
      <c r="AA52" s="421" t="str">
        <f t="shared" si="0"/>
        <v>ITD31110</v>
      </c>
    </row>
    <row r="53" spans="1:27" ht="16.5" hidden="1">
      <c r="A53" s="387" t="str">
        <f>'STAT 77 Table'!$I$163</f>
        <v>ERN16950</v>
      </c>
      <c r="B53" t="s">
        <v>1656</v>
      </c>
      <c r="C53" t="s">
        <v>768</v>
      </c>
      <c r="D53" s="387" t="str">
        <f>IF($B53&lt;&gt;"",IFERROR(IF(LEFT($B53,3)=$Z$2,VLOOKUP($C53,Outbound!$B:$Z,4,FALSE),VLOOKUP($B53,Outbound!$B:$Z,4,FALSE)),"ON ROCS/NOT ON FILE"),"")</f>
        <v>FC5</v>
      </c>
      <c r="E53" s="387" t="str">
        <f>IF($B53&lt;&gt;"",IFERROR(IF(LEFT($B53,4)=$Z$2,VLOOKUP($C53,Outbound!$B:$Z,5,FALSE),VLOOKUP($B53,Outbound!$B:$Z,5,FALSE)),"ON ROCS/NOT ON FILE"),"")</f>
        <v>ON ROCS/NOT ON FILE</v>
      </c>
      <c r="F53" s="387" t="str">
        <f>IF(B53&lt;&gt;"",IFERROR(IF(LEFT($B53,3)=$Z$2,VLOOKUP($C53,Outbound!$B:$Z,11,FALSE),VLOOKUP($B53,Outbound!$B:$Z,11,FALSE)),"NON TROVATO"),"")</f>
        <v>Zampieri Holding S.R.L.</v>
      </c>
      <c r="G53" s="394" t="str">
        <f>IF(B53&lt;&gt;"",IFERROR(IF(LEFT($B53,3)=$Z$2,VLOOKUP($C53,Outbound!$B:$AAZ,16,FALSE),VLOOKUP($B53,Outbound!$B:$AAZ,16,FALSE)),"NON TROVATO"),"")</f>
        <v>xa265yg</v>
      </c>
      <c r="H53" s="394">
        <f>IF(B53&lt;&gt;"",IFERROR(IF(LEFT($B53,3)=$Z$2,VLOOKUP($C53,Outbound!$B:$AAZ,6,FALSE),VLOOKUP($B53,Outbound!$B:$AAZ,6,FALSE)),"NON TROVATO"),"")</f>
        <v>0.95833333333333337</v>
      </c>
      <c r="I53" s="394">
        <f>IF(B53&lt;&gt;"",IFERROR(IF(LEFT($B53,3)=$Z$2,VLOOKUP($C53,Outbound!$B:$AAZ,52,FALSE),VLOOKUP($B53,Outbound!$B:$AAZ,52,FALSE)),"NON TROVATO"),"")</f>
        <v>0.95625000000000004</v>
      </c>
      <c r="J53" s="441">
        <v>546781326371</v>
      </c>
      <c r="K53" s="387" t="str">
        <f>IF(B53&lt;&gt;"",IF($D53&lt;&gt;"ON ROCS/NOT ON FILE",IFERROR(_xlfn.XLOOKUP(LEFT($D53,3),'STAT 77 Table'!$B:$B,'STAT 77 Table'!$A:$A),"ZZ"&amp;RIGHT($B53,4)),""),"")</f>
        <v>ZZ1116</v>
      </c>
      <c r="L53" s="396" t="s">
        <v>1605</v>
      </c>
      <c r="O53" s="388"/>
      <c r="P53" s="388"/>
      <c r="AA53" s="421" t="str">
        <f t="shared" si="0"/>
        <v>ITD31116</v>
      </c>
    </row>
    <row r="54" spans="1:27" ht="16.5" hidden="1">
      <c r="A54" s="387" t="str">
        <f>'STAT 77 Table'!$I$180</f>
        <v>ITD12003</v>
      </c>
      <c r="B54" t="s">
        <v>1657</v>
      </c>
      <c r="C54" t="s">
        <v>949</v>
      </c>
      <c r="D54" s="387" t="str">
        <f>IF($B54&lt;&gt;"",IFERROR(IF(LEFT($B54,3)=$Z$2,VLOOKUP($C54,Outbound!$B:$Z,4,FALSE),VLOOKUP($B54,Outbound!$B:$Z,4,FALSE)),"ON ROCS/NOT ON FILE"),"")</f>
        <v>PD2</v>
      </c>
      <c r="E54" s="387" t="str">
        <f>IF($B54&lt;&gt;"",IFERROR(IF(LEFT($B54,4)=$Z$2,VLOOKUP($C54,Outbound!$B:$Z,5,FALSE),VLOOKUP($B54,Outbound!$B:$Z,5,FALSE)),"ON ROCS/NOT ON FILE"),"")</f>
        <v>ON ROCS/NOT ON FILE</v>
      </c>
      <c r="F54" s="387" t="str">
        <f>IF(B54&lt;&gt;"",IFERROR(IF(LEFT($B54,3)=$Z$2,VLOOKUP($C54,Outbound!$B:$Z,11,FALSE),VLOOKUP($B54,Outbound!$B:$Z,11,FALSE)),"NON TROVATO"),"")</f>
        <v>T&amp;ti Cargo Line Srl</v>
      </c>
      <c r="G54" s="394" t="str">
        <f>IF(B54&lt;&gt;"",IFERROR(IF(LEFT($B54,3)=$Z$2,VLOOKUP($C54,Outbound!$B:$AAZ,16,FALSE),VLOOKUP($B54,Outbound!$B:$AAZ,16,FALSE)),"NON TROVATO"),"")</f>
        <v>XA194LD</v>
      </c>
      <c r="H54" s="394">
        <f>IF(B54&lt;&gt;"",IFERROR(IF(LEFT($B54,3)=$Z$2,VLOOKUP($C54,Outbound!$B:$AAZ,6,FALSE),VLOOKUP($B54,Outbound!$B:$AAZ,6,FALSE)),"NON TROVATO"),"")</f>
        <v>0.95833333333333337</v>
      </c>
      <c r="I54" s="394">
        <f>IF(B54&lt;&gt;"",IFERROR(IF(LEFT($B54,3)=$Z$2,VLOOKUP($C54,Outbound!$B:$AAZ,52,FALSE),VLOOKUP($B54,Outbound!$B:$AAZ,52,FALSE)),"NON TROVATO"),"")</f>
        <v>0.94305555555555554</v>
      </c>
      <c r="J54" s="441">
        <v>546781321748</v>
      </c>
      <c r="K54" s="387" t="str">
        <f>IF(B54&lt;&gt;"",IF($D54&lt;&gt;"ON ROCS/NOT ON FILE",IFERROR(_xlfn.XLOOKUP(LEFT($D54,3),'STAT 77 Table'!$B:$B,'STAT 77 Table'!$A:$A),"ZZ"&amp;RIGHT($B54,4)),""),"")</f>
        <v>ZZ2679</v>
      </c>
      <c r="L54" s="396" t="s">
        <v>1605</v>
      </c>
      <c r="O54" s="388"/>
      <c r="P54" s="388"/>
      <c r="AA54" s="421" t="str">
        <f t="shared" si="0"/>
        <v>ITD12245</v>
      </c>
    </row>
    <row r="55" spans="1:27" ht="16.5" hidden="1">
      <c r="A55" s="387" t="str">
        <f>'STAT 77 Table'!$I$216</f>
        <v>ITD12175</v>
      </c>
      <c r="B55" t="s">
        <v>1658</v>
      </c>
      <c r="C55" t="s">
        <v>953</v>
      </c>
      <c r="D55" s="387" t="str">
        <f>IF($B55&lt;&gt;"",IFERROR(IF(LEFT($B55,3)=$Z$2,VLOOKUP($C55,Outbound!$B:$Z,4,FALSE),VLOOKUP($B55,Outbound!$B:$Z,4,FALSE)),"ON ROCS/NOT ON FILE"),"")</f>
        <v>PD2</v>
      </c>
      <c r="E55" s="387" t="str">
        <f>IF($B55&lt;&gt;"",IFERROR(IF(LEFT($B55,4)=$Z$2,VLOOKUP($C55,Outbound!$B:$Z,5,FALSE),VLOOKUP($B55,Outbound!$B:$Z,5,FALSE)),"ON ROCS/NOT ON FILE"),"")</f>
        <v>ON ROCS/NOT ON FILE</v>
      </c>
      <c r="F55" s="387" t="str">
        <f>IF(B55&lt;&gt;"",IFERROR(IF(LEFT($B55,3)=$Z$2,VLOOKUP($C55,Outbound!$B:$Z,11,FALSE),VLOOKUP($B55,Outbound!$B:$Z,11,FALSE)),"NON TROVATO"),"")</f>
        <v>Tonia Trasporti S.r.l.</v>
      </c>
      <c r="G55" s="394" t="str">
        <f>IF(B55&lt;&gt;"",IFERROR(IF(LEFT($B55,3)=$Z$2,VLOOKUP($C55,Outbound!$B:$AAZ,16,FALSE),VLOOKUP($B55,Outbound!$B:$AAZ,16,FALSE)),"NON TROVATO"),"")</f>
        <v>XA445MH</v>
      </c>
      <c r="H55" s="394">
        <f>IF(B55&lt;&gt;"",IFERROR(IF(LEFT($B55,3)=$Z$2,VLOOKUP($C55,Outbound!$B:$AAZ,6,FALSE),VLOOKUP($B55,Outbound!$B:$AAZ,6,FALSE)),"NON TROVATO"),"")</f>
        <v>0.96875</v>
      </c>
      <c r="I55" s="394">
        <f>IF(B55&lt;&gt;"",IFERROR(IF(LEFT($B55,3)=$Z$2,VLOOKUP($C55,Outbound!$B:$AAZ,52,FALSE),VLOOKUP($B55,Outbound!$B:$AAZ,52,FALSE)),"NON TROVATO"),"")</f>
        <v>0.91805555555555551</v>
      </c>
      <c r="J55" s="441">
        <v>546758562973</v>
      </c>
      <c r="K55" s="387" t="str">
        <f>IF(B55&lt;&gt;"",IF($D55&lt;&gt;"ON ROCS/NOT ON FILE",IFERROR(_xlfn.XLOOKUP(LEFT($D55,3),'STAT 77 Table'!$B:$B,'STAT 77 Table'!$A:$A),"ZZ"&amp;RIGHT($B55,4)),""),"")</f>
        <v>ZZ1167</v>
      </c>
      <c r="L55" s="396" t="s">
        <v>1605</v>
      </c>
      <c r="O55" s="388"/>
      <c r="P55" s="388"/>
      <c r="AA55" s="421" t="str">
        <f t="shared" si="0"/>
        <v>ITD12239</v>
      </c>
    </row>
    <row r="56" spans="1:27" ht="16.5" hidden="1">
      <c r="A56" s="387" t="str">
        <f>'STAT 77 Table'!$I$227</f>
        <v/>
      </c>
      <c r="B56" t="s">
        <v>1659</v>
      </c>
      <c r="C56" t="s">
        <v>915</v>
      </c>
      <c r="D56" s="387" t="str">
        <f>IF($B56&lt;&gt;"",IFERROR(IF(LEFT($B56,3)=$Z$2,VLOOKUP($C56,Outbound!$B:$Z,4,FALSE),VLOOKUP($B56,Outbound!$B:$Z,4,FALSE)),"ON ROCS/NOT ON FILE"),"")</f>
        <v>ROM</v>
      </c>
      <c r="E56" s="387" t="str">
        <f>IF($B56&lt;&gt;"",IFERROR(IF(LEFT($B56,4)=$Z$2,VLOOKUP($C56,Outbound!$B:$Z,5,FALSE),VLOOKUP($B56,Outbound!$B:$Z,5,FALSE)),"ON ROCS/NOT ON FILE"),"")</f>
        <v>ON ROCS/NOT ON FILE</v>
      </c>
      <c r="F56" s="387" t="str">
        <f>IF(B56&lt;&gt;"",IFERROR(IF(LEFT($B56,3)=$Z$2,VLOOKUP($C56,Outbound!$B:$Z,11,FALSE),VLOOKUP($B56,Outbound!$B:$Z,11,FALSE)),"NON TROVATO"),"")</f>
        <v>Ste.Ma Srl</v>
      </c>
      <c r="G56" s="394" t="str">
        <f>IF(B56&lt;&gt;"",IFERROR(IF(LEFT($B56,3)=$Z$2,VLOOKUP($C56,Outbound!$B:$AAZ,16,FALSE),VLOOKUP($B56,Outbound!$B:$AAZ,16,FALSE)),"NON TROVATO"),"")</f>
        <v>XA652VK</v>
      </c>
      <c r="H56" s="394">
        <f>IF(B56&lt;&gt;"",IFERROR(IF(LEFT($B56,3)=$Z$2,VLOOKUP($C56,Outbound!$B:$AAZ,6,FALSE),VLOOKUP($B56,Outbound!$B:$AAZ,6,FALSE)),"NON TROVATO"),"")</f>
        <v>0.97916666666666663</v>
      </c>
      <c r="I56" s="394">
        <f>IF(B56&lt;&gt;"",IFERROR(IF(LEFT($B56,3)=$Z$2,VLOOKUP($C56,Outbound!$B:$AAZ,52,FALSE),VLOOKUP($B56,Outbound!$B:$AAZ,52,FALSE)),"NON TROVATO"),"")</f>
        <v>0.97361111111111109</v>
      </c>
      <c r="J56" s="441">
        <v>546748912626</v>
      </c>
      <c r="K56" s="387" t="str">
        <f>IF(B56&lt;&gt;"",IF($D56&lt;&gt;"ON ROCS/NOT ON FILE",IFERROR(_xlfn.XLOOKUP(LEFT($D56,3),'STAT 77 Table'!$B:$B,'STAT 77 Table'!$A:$A),"ZZ"&amp;RIGHT($B56,4)),""),"")</f>
        <v>ZZ0808</v>
      </c>
      <c r="L56" s="396" t="s">
        <v>1605</v>
      </c>
      <c r="O56" s="388"/>
      <c r="P56" s="388"/>
      <c r="AA56" s="421" t="str">
        <f t="shared" si="0"/>
        <v>ITD30808</v>
      </c>
    </row>
    <row r="57" spans="1:27" ht="16.5" hidden="1">
      <c r="A57" s="387" t="str">
        <f>'STAT 77 Table'!$I$228</f>
        <v/>
      </c>
      <c r="B57" t="s">
        <v>1660</v>
      </c>
      <c r="C57" t="s">
        <v>723</v>
      </c>
      <c r="D57" s="387" t="str">
        <f>IF($B57&lt;&gt;"",IFERROR(IF(LEFT($B57,3)=$Z$2,VLOOKUP($C57,Outbound!$B:$Z,4,FALSE),VLOOKUP($B57,Outbound!$B:$Z,4,FALSE)),"ON ROCS/NOT ON FILE"),"")</f>
        <v>BO2</v>
      </c>
      <c r="E57" s="387" t="str">
        <f>IF($B57&lt;&gt;"",IFERROR(IF(LEFT($B57,4)=$Z$2,VLOOKUP($C57,Outbound!$B:$Z,5,FALSE),VLOOKUP($B57,Outbound!$B:$Z,5,FALSE)),"ON ROCS/NOT ON FILE"),"")</f>
        <v>ON ROCS/NOT ON FILE</v>
      </c>
      <c r="F57" s="387" t="str">
        <f>IF(B57&lt;&gt;"",IFERROR(IF(LEFT($B57,3)=$Z$2,VLOOKUP($C57,Outbound!$B:$Z,11,FALSE),VLOOKUP($B57,Outbound!$B:$Z,11,FALSE)),"NON TROVATO"),"")</f>
        <v>Zampieri Holding S.R.L.</v>
      </c>
      <c r="G57" s="394" t="str">
        <f>IF(B57&lt;&gt;"",IFERROR(IF(LEFT($B57,3)=$Z$2,VLOOKUP($C57,Outbound!$B:$AAZ,16,FALSE),VLOOKUP($B57,Outbound!$B:$AAZ,16,FALSE)),"NON TROVATO"),"")</f>
        <v>XA292YG</v>
      </c>
      <c r="H57" s="394">
        <f>IF(B57&lt;&gt;"",IFERROR(IF(LEFT($B57,3)=$Z$2,VLOOKUP($C57,Outbound!$B:$AAZ,6,FALSE),VLOOKUP($B57,Outbound!$B:$AAZ,6,FALSE)),"NON TROVATO"),"")</f>
        <v>0.97916666666666663</v>
      </c>
      <c r="I57" s="394">
        <f>IF(B57&lt;&gt;"",IFERROR(IF(LEFT($B57,3)=$Z$2,VLOOKUP($C57,Outbound!$B:$AAZ,52,FALSE),VLOOKUP($B57,Outbound!$B:$AAZ,52,FALSE)),"NON TROVATO"),"")</f>
        <v>0.97083333333333333</v>
      </c>
      <c r="J57" s="441">
        <v>546782444244</v>
      </c>
      <c r="K57" s="387" t="str">
        <f>IF(B57&lt;&gt;"",IF($D57&lt;&gt;"ON ROCS/NOT ON FILE",IFERROR(_xlfn.XLOOKUP(LEFT($D57,3),'STAT 77 Table'!$B:$B,'STAT 77 Table'!$A:$A),"ZZ"&amp;RIGHT($B57,4)),""),"")</f>
        <v>IM257</v>
      </c>
      <c r="L57" s="396" t="s">
        <v>1605</v>
      </c>
      <c r="O57" s="388"/>
      <c r="P57" s="388"/>
      <c r="AA57" s="421" t="str">
        <f t="shared" si="0"/>
        <v>ITD31235</v>
      </c>
    </row>
    <row r="58" spans="1:27" ht="16.5" hidden="1">
      <c r="A58" s="387" t="str">
        <f>'STAT 77 Table'!$I$233</f>
        <v/>
      </c>
      <c r="B58" t="s">
        <v>1661</v>
      </c>
      <c r="C58" t="s">
        <v>732</v>
      </c>
      <c r="D58" s="387" t="str">
        <f>IF($B58&lt;&gt;"",IFERROR(IF(LEFT($B58,3)=$Z$2,VLOOKUP($C58,Outbound!$B:$Z,4,FALSE),VLOOKUP($B58,Outbound!$B:$Z,4,FALSE)),"ON ROCS/NOT ON FILE"),"")</f>
        <v>BO2</v>
      </c>
      <c r="E58" s="387" t="str">
        <f>IF($B58&lt;&gt;"",IFERROR(IF(LEFT($B58,4)=$Z$2,VLOOKUP($C58,Outbound!$B:$Z,5,FALSE),VLOOKUP($B58,Outbound!$B:$Z,5,FALSE)),"ON ROCS/NOT ON FILE"),"")</f>
        <v>ON ROCS/NOT ON FILE</v>
      </c>
      <c r="F58" s="387" t="str">
        <f>IF(B58&lt;&gt;"",IFERROR(IF(LEFT($B58,3)=$Z$2,VLOOKUP($C58,Outbound!$B:$Z,11,FALSE),VLOOKUP($B58,Outbound!$B:$Z,11,FALSE)),"NON TROVATO"),"")</f>
        <v>Zampieri Holding S.R.L.</v>
      </c>
      <c r="G58" s="394" t="str">
        <f>IF(B58&lt;&gt;"",IFERROR(IF(LEFT($B58,3)=$Z$2,VLOOKUP($C58,Outbound!$B:$AAZ,16,FALSE),VLOOKUP($B58,Outbound!$B:$AAZ,16,FALSE)),"NON TROVATO"),"")</f>
        <v>XA555PG</v>
      </c>
      <c r="H58" s="394">
        <f>IF(B58&lt;&gt;"",IFERROR(IF(LEFT($B58,3)=$Z$2,VLOOKUP($C58,Outbound!$B:$AAZ,6,FALSE),VLOOKUP($B58,Outbound!$B:$AAZ,6,FALSE)),"NON TROVATO"),"")</f>
        <v>0.97916666666666663</v>
      </c>
      <c r="I58" s="394">
        <f>IF(B58&lt;&gt;"",IFERROR(IF(LEFT($B58,3)=$Z$2,VLOOKUP($C58,Outbound!$B:$AAZ,52,FALSE),VLOOKUP($B58,Outbound!$B:$AAZ,52,FALSE)),"NON TROVATO"),"")</f>
        <v>0.97291666666666665</v>
      </c>
      <c r="J58" s="441">
        <v>546793113483</v>
      </c>
      <c r="K58" s="387" t="str">
        <f>IF(B58&lt;&gt;"",IF($D58&lt;&gt;"ON ROCS/NOT ON FILE",IFERROR(_xlfn.XLOOKUP(LEFT($D58,3),'STAT 77 Table'!$B:$B,'STAT 77 Table'!$A:$A),"ZZ"&amp;RIGHT($B58,4)),""),"")</f>
        <v>IM257</v>
      </c>
      <c r="L58" s="396" t="s">
        <v>1605</v>
      </c>
      <c r="O58" s="388"/>
      <c r="P58" s="388"/>
      <c r="AA58" s="421" t="str">
        <f t="shared" si="0"/>
        <v>ITD32576</v>
      </c>
    </row>
    <row r="59" spans="1:27" ht="16.5" hidden="1">
      <c r="A59" s="387" t="str">
        <f>'STAT 77 Table'!$I$249</f>
        <v/>
      </c>
      <c r="B59" t="s">
        <v>298</v>
      </c>
      <c r="C59" t="s">
        <v>1565</v>
      </c>
      <c r="D59" s="387" t="str">
        <f>IF($B59&lt;&gt;"",IFERROR(IF(LEFT($B59,3)=$Z$2,VLOOKUP($C59,Outbound!$B:$Z,4,FALSE),VLOOKUP($B59,Outbound!$B:$Z,4,FALSE)),"ON ROCS/NOT ON FILE"),"")</f>
        <v>XWT 1</v>
      </c>
      <c r="E59" s="387" t="str">
        <f>IF($B59&lt;&gt;"",IFERROR(IF(LEFT($B59,4)=$Z$2,VLOOKUP($C59,Outbound!$B:$Z,5,FALSE),VLOOKUP($B59,Outbound!$B:$Z,5,FALSE)),"ON ROCS/NOT ON FILE"),"")</f>
        <v/>
      </c>
      <c r="F59" s="387" t="str">
        <f>IF(B59&lt;&gt;"",IFERROR(IF(LEFT($B59,3)=$Z$2,VLOOKUP($C59,Outbound!$B:$Z,11,FALSE),VLOOKUP($B59,Outbound!$B:$Z,11,FALSE)),"NON TROVATO"),"")</f>
        <v>Dunca Expeditii S.A.</v>
      </c>
      <c r="G59" s="394" t="str">
        <f>IF(B59&lt;&gt;"",IFERROR(IF(LEFT($B59,3)=$Z$2,VLOOKUP($C59,Outbound!$B:$AAZ,16,FALSE),VLOOKUP($B59,Outbound!$B:$AAZ,16,FALSE)),"NON TROVATO"),"")</f>
        <v>RENT487</v>
      </c>
      <c r="H59" s="394">
        <f>IF(B59&lt;&gt;"",IFERROR(IF(LEFT($B59,3)=$Z$2,VLOOKUP($C59,Outbound!$B:$AAZ,6,FALSE),VLOOKUP($B59,Outbound!$B:$AAZ,6,FALSE)),"NON TROVATO"),"")</f>
        <v>6.944444467080757E-4</v>
      </c>
      <c r="I59" s="394">
        <f>IF(B59&lt;&gt;"",IFERROR(IF(LEFT($B59,3)=$Z$2,VLOOKUP($C59,Outbound!$B:$AAZ,52,FALSE),VLOOKUP($B59,Outbound!$B:$AAZ,52,FALSE)),"NON TROVATO"),"")</f>
        <v>0.96666666666666667</v>
      </c>
      <c r="J59" s="441">
        <v>546749490303</v>
      </c>
      <c r="K59" s="387" t="str">
        <f>IF(B59&lt;&gt;"",IF($D59&lt;&gt;"ON ROCS/NOT ON FILE",IFERROR(_xlfn.XLOOKUP(LEFT($D59,3),'STAT 77 Table'!$B:$B,'STAT 77 Table'!$A:$A),"ZZ"&amp;RIGHT($B59,4)),""),"")</f>
        <v>IM843</v>
      </c>
      <c r="L59" s="396" t="s">
        <v>1605</v>
      </c>
      <c r="O59" s="388"/>
      <c r="P59" s="388"/>
      <c r="AA59" s="421" t="str">
        <f t="shared" si="0"/>
        <v>ERN06793</v>
      </c>
    </row>
    <row r="60" spans="1:27" ht="16.5" hidden="1">
      <c r="A60" s="387">
        <f>'STAT 77 Table'!$I$295</f>
        <v>0</v>
      </c>
      <c r="B60" t="s">
        <v>213</v>
      </c>
      <c r="C60" t="s">
        <v>1481</v>
      </c>
      <c r="D60" s="387" t="str">
        <f>IF($B60&lt;&gt;"",IFERROR(IF(LEFT($B60,3)=$Z$2,VLOOKUP($C60,Outbound!$B:$Z,4,FALSE),VLOOKUP($B60,Outbound!$B:$Z,4,FALSE)),"ON ROCS/NOT ON FILE"),"")</f>
        <v>MV9 1</v>
      </c>
      <c r="E60" s="387" t="str">
        <f>IF($B60&lt;&gt;"",IFERROR(IF(LEFT($B60,4)=$Z$2,VLOOKUP($C60,Outbound!$B:$Z,5,FALSE),VLOOKUP($B60,Outbound!$B:$Z,5,FALSE)),"ON ROCS/NOT ON FILE"),"")</f>
        <v/>
      </c>
      <c r="F60" s="387" t="str">
        <f>IF(B60&lt;&gt;"",IFERROR(IF(LEFT($B60,3)=$Z$2,VLOOKUP($C60,Outbound!$B:$Z,11,FALSE),VLOOKUP($B60,Outbound!$B:$Z,11,FALSE)),"NON TROVATO"),"")</f>
        <v>Ern Own Fr</v>
      </c>
      <c r="G60" s="394" t="str">
        <f>IF(B60&lt;&gt;"",IFERROR(IF(LEFT($B60,3)=$Z$2,VLOOKUP($C60,Outbound!$B:$AAZ,16,FALSE),VLOOKUP($B60,Outbound!$B:$AAZ,16,FALSE)),"NON TROVATO"),"")</f>
        <v>ENBD20100</v>
      </c>
      <c r="H60" s="394">
        <f>IF(B60&lt;&gt;"",IFERROR(IF(LEFT($B60,3)=$Z$2,VLOOKUP($C60,Outbound!$B:$AAZ,6,FALSE),VLOOKUP($B60,Outbound!$B:$AAZ,6,FALSE)),"NON TROVATO"),"")</f>
        <v>6.944444467080757E-4</v>
      </c>
      <c r="I60" s="394">
        <f>IF(B60&lt;&gt;"",IFERROR(IF(LEFT($B60,3)=$Z$2,VLOOKUP($C60,Outbound!$B:$AAZ,52,FALSE),VLOOKUP($B60,Outbound!$B:$AAZ,52,FALSE)),"NON TROVATO"),"")</f>
        <v>0.95138888888888884</v>
      </c>
      <c r="J60" s="435">
        <v>546749489527</v>
      </c>
      <c r="K60" s="387" t="str">
        <f>IF(B60&lt;&gt;"",IF($D60&lt;&gt;"ON ROCS/NOT ON FILE",IFERROR(_xlfn.XLOOKUP(LEFT($D60,3),'STAT 77 Table'!$B:$B,'STAT 77 Table'!$A:$A),"ZZ"&amp;RIGHT($B60,4)),""),"")</f>
        <v>IM978</v>
      </c>
      <c r="L60" s="396" t="s">
        <v>1605</v>
      </c>
      <c r="O60" s="388"/>
      <c r="P60" s="388"/>
      <c r="AA60" s="421" t="str">
        <f t="shared" si="0"/>
        <v>ERN01518</v>
      </c>
    </row>
    <row r="61" spans="1:27" ht="16.5" hidden="1">
      <c r="A61" s="387" t="str">
        <f>'STAT 77 Table'!$I$160</f>
        <v>ERN13137</v>
      </c>
      <c r="B61" t="s">
        <v>1662</v>
      </c>
      <c r="C61" t="s">
        <v>1133</v>
      </c>
      <c r="D61" s="387" t="str">
        <f>IF($B61&lt;&gt;"",IFERROR(IF(LEFT($B61,3)=$Z$2,VLOOKUP($C61,Outbound!$B:$Z,4,FALSE),VLOOKUP($B61,Outbound!$B:$Z,4,FALSE)),"ON ROCS/NOT ON FILE"),"")</f>
        <v>BO2</v>
      </c>
      <c r="E61" s="387" t="str">
        <f>IF($B61&lt;&gt;"",IFERROR(IF(LEFT($B61,4)=$Z$2,VLOOKUP($C61,Outbound!$B:$Z,5,FALSE),VLOOKUP($B61,Outbound!$B:$Z,5,FALSE)),"ON ROCS/NOT ON FILE"),"")</f>
        <v>ON ROCS/NOT ON FILE</v>
      </c>
      <c r="F61" s="387" t="str">
        <f>IF(B61&lt;&gt;"",IFERROR(IF(LEFT($B61,3)=$Z$2,VLOOKUP($C61,Outbound!$B:$Z,11,FALSE),VLOOKUP($B61,Outbound!$B:$Z,11,FALSE)),"NON TROVATO"),"")</f>
        <v>Transeuropa S.r.l.</v>
      </c>
      <c r="G61" s="394" t="str">
        <f>IF(B61&lt;&gt;"",IFERROR(IF(LEFT($B61,3)=$Z$2,VLOOKUP($C61,Outbound!$B:$AAZ,16,FALSE),VLOOKUP($B61,Outbound!$B:$AAZ,16,FALSE)),"NON TROVATO"),"")</f>
        <v>XB629AB</v>
      </c>
      <c r="H61" s="394">
        <f>IF(B61&lt;&gt;"",IFERROR(IF(LEFT($B61,3)=$Z$2,VLOOKUP($C61,Outbound!$B:$AAZ,6,FALSE),VLOOKUP($B61,Outbound!$B:$AAZ,6,FALSE)),"NON TROVATO"),"")</f>
        <v>6.9444444444444441E-3</v>
      </c>
      <c r="I61" s="394">
        <f>IF(B61&lt;&gt;"",IFERROR(IF(LEFT($B61,3)=$Z$2,VLOOKUP($C61,Outbound!$B:$AAZ,52,FALSE),VLOOKUP($B61,Outbound!$B:$AAZ,52,FALSE)),"NON TROVATO"),"")</f>
        <v>0.99375000000000002</v>
      </c>
      <c r="J61" s="441">
        <v>546804699586</v>
      </c>
      <c r="K61" s="387" t="str">
        <f>IF(B61&lt;&gt;"",IF($D61&lt;&gt;"ON ROCS/NOT ON FILE",IFERROR(_xlfn.XLOOKUP(LEFT($D61,3),'STAT 77 Table'!$B:$B,'STAT 77 Table'!$A:$A),"ZZ"&amp;RIGHT($B61,4)),""),"")</f>
        <v>IM257</v>
      </c>
      <c r="L61" s="396" t="s">
        <v>1605</v>
      </c>
      <c r="O61" s="388"/>
      <c r="P61" s="388"/>
      <c r="AA61" s="421" t="str">
        <f t="shared" si="0"/>
        <v>ITD31201</v>
      </c>
    </row>
    <row r="62" spans="1:27" ht="16.5" hidden="1">
      <c r="A62" s="387" t="str">
        <f>'STAT 77 Table'!$I$161</f>
        <v>ERN19354</v>
      </c>
      <c r="B62" t="s">
        <v>1663</v>
      </c>
      <c r="C62" t="s">
        <v>1201</v>
      </c>
      <c r="D62" s="387" t="str">
        <f>IF($B62&lt;&gt;"",IFERROR(IF(LEFT($B62,3)=$Z$2,VLOOKUP($C62,Outbound!$B:$Z,4,FALSE),VLOOKUP($B62,Outbound!$B:$Z,4,FALSE)),"ON ROCS/NOT ON FILE"),"")</f>
        <v>BO2</v>
      </c>
      <c r="E62" s="387" t="str">
        <f>IF($B62&lt;&gt;"",IFERROR(IF(LEFT($B62,4)=$Z$2,VLOOKUP($C62,Outbound!$B:$Z,5,FALSE),VLOOKUP($B62,Outbound!$B:$Z,5,FALSE)),"ON ROCS/NOT ON FILE"),"")</f>
        <v>ON ROCS/NOT ON FILE</v>
      </c>
      <c r="F62" s="387" t="str">
        <f>IF(B62&lt;&gt;"",IFERROR(IF(LEFT($B62,3)=$Z$2,VLOOKUP($C62,Outbound!$B:$Z,11,FALSE),VLOOKUP($B62,Outbound!$B:$Z,11,FALSE)),"NON TROVATO"),"")</f>
        <v>Matelda Srl</v>
      </c>
      <c r="G62" s="394" t="str">
        <f>IF(B62&lt;&gt;"",IFERROR(IF(LEFT($B62,3)=$Z$2,VLOOKUP($C62,Outbound!$B:$AAZ,16,FALSE),VLOOKUP($B62,Outbound!$B:$AAZ,16,FALSE)),"NON TROVATO"),"")</f>
        <v>XB094AD</v>
      </c>
      <c r="H62" s="394">
        <f>IF(B62&lt;&gt;"",IFERROR(IF(LEFT($B62,3)=$Z$2,VLOOKUP($C62,Outbound!$B:$AAZ,6,FALSE),VLOOKUP($B62,Outbound!$B:$AAZ,6,FALSE)),"NON TROVATO"),"")</f>
        <v>6.9444444444444441E-3</v>
      </c>
      <c r="I62" s="394">
        <f>IF(B62&lt;&gt;"",IFERROR(IF(LEFT($B62,3)=$Z$2,VLOOKUP($C62,Outbound!$B:$AAZ,52,FALSE),VLOOKUP($B62,Outbound!$B:$AAZ,52,FALSE)),"NON TROVATO"),"")</f>
        <v>0.99583333333333335</v>
      </c>
      <c r="J62" s="440">
        <v>546707716420</v>
      </c>
      <c r="K62" s="387" t="str">
        <f>IF(B62&lt;&gt;"",IF($D62&lt;&gt;"ON ROCS/NOT ON FILE",IFERROR(_xlfn.XLOOKUP(LEFT($D62,3),'STAT 77 Table'!$B:$B,'STAT 77 Table'!$A:$A),"ZZ"&amp;RIGHT($B62,4)),""),"")</f>
        <v>IM257</v>
      </c>
      <c r="L62" s="396" t="s">
        <v>1605</v>
      </c>
      <c r="O62" s="388"/>
      <c r="P62" s="388"/>
      <c r="AA62" s="421" t="str">
        <f t="shared" si="0"/>
        <v>ITD31249</v>
      </c>
    </row>
    <row r="63" spans="1:27" ht="16.5" hidden="1">
      <c r="A63" s="387" t="str">
        <f>'STAT 77 Table'!$I$165</f>
        <v>ERN16946</v>
      </c>
      <c r="B63" t="s">
        <v>1664</v>
      </c>
      <c r="C63" t="s">
        <v>745</v>
      </c>
      <c r="D63" s="387" t="str">
        <f>IF($B63&lt;&gt;"",IFERROR(IF(LEFT($B63,3)=$Z$2,VLOOKUP($C63,Outbound!$B:$Z,4,FALSE),VLOOKUP($B63,Outbound!$B:$Z,4,FALSE)),"ON ROCS/NOT ON FILE"),"")</f>
        <v>BO2</v>
      </c>
      <c r="E63" s="387" t="str">
        <f>IF($B63&lt;&gt;"",IFERROR(IF(LEFT($B63,4)=$Z$2,VLOOKUP($C63,Outbound!$B:$Z,5,FALSE),VLOOKUP($B63,Outbound!$B:$Z,5,FALSE)),"ON ROCS/NOT ON FILE"),"")</f>
        <v>ON ROCS/NOT ON FILE</v>
      </c>
      <c r="F63" s="387" t="str">
        <f>IF(B63&lt;&gt;"",IFERROR(IF(LEFT($B63,3)=$Z$2,VLOOKUP($C63,Outbound!$B:$Z,11,FALSE),VLOOKUP($B63,Outbound!$B:$Z,11,FALSE)),"NON TROVATO"),"")</f>
        <v>CORNALI AUTOTRASPORTI SRL</v>
      </c>
      <c r="G63" s="394" t="str">
        <f>IF(B63&lt;&gt;"",IFERROR(IF(LEFT($B63,3)=$Z$2,VLOOKUP($C63,Outbound!$B:$AAZ,16,FALSE),VLOOKUP($B63,Outbound!$B:$AAZ,16,FALSE)),"NON TROVATO"),"")</f>
        <v>AD69356</v>
      </c>
      <c r="H63" s="394">
        <f>IF(B63&lt;&gt;"",IFERROR(IF(LEFT($B63,3)=$Z$2,VLOOKUP($C63,Outbound!$B:$AAZ,6,FALSE),VLOOKUP($B63,Outbound!$B:$AAZ,6,FALSE)),"NON TROVATO"),"")</f>
        <v>6.9444444444444441E-3</v>
      </c>
      <c r="I63" s="394">
        <f>IF(B63&lt;&gt;"",IFERROR(IF(LEFT($B63,3)=$Z$2,VLOOKUP($C63,Outbound!$B:$AAZ,52,FALSE),VLOOKUP($B63,Outbound!$B:$AAZ,52,FALSE)),"NON TROVATO"),"")</f>
        <v>1.3888888888888889E-3</v>
      </c>
      <c r="J63" s="440">
        <v>546808749855</v>
      </c>
      <c r="K63" s="387" t="str">
        <f>IF(B63&lt;&gt;"",IF($D63&lt;&gt;"ON ROCS/NOT ON FILE",IFERROR(_xlfn.XLOOKUP(LEFT($D63,3),'STAT 77 Table'!$B:$B,'STAT 77 Table'!$A:$A),"ZZ"&amp;RIGHT($B63,4)),""),"")</f>
        <v>IM257</v>
      </c>
      <c r="L63" s="396" t="s">
        <v>1605</v>
      </c>
      <c r="O63" s="388"/>
      <c r="P63" s="388"/>
      <c r="AA63" s="421" t="str">
        <f t="shared" si="0"/>
        <v>ITD32564</v>
      </c>
    </row>
    <row r="64" spans="1:27" ht="16.5" hidden="1">
      <c r="A64" s="387" t="str">
        <f>'STAT 77 Table'!$I$168</f>
        <v>ERN16682</v>
      </c>
      <c r="B64" t="s">
        <v>1665</v>
      </c>
      <c r="C64" t="s">
        <v>980</v>
      </c>
      <c r="D64" s="387" t="str">
        <f>IF($B64&lt;&gt;"",IFERROR(IF(LEFT($B64,3)=$Z$2,VLOOKUP($C64,Outbound!$B:$Z,4,FALSE),VLOOKUP($B64,Outbound!$B:$Z,4,FALSE)),"ON ROCS/NOT ON FILE"),"")</f>
        <v>FC5</v>
      </c>
      <c r="E64" s="387" t="str">
        <f>IF($B64&lt;&gt;"",IFERROR(IF(LEFT($B64,4)=$Z$2,VLOOKUP($C64,Outbound!$B:$Z,5,FALSE),VLOOKUP($B64,Outbound!$B:$Z,5,FALSE)),"ON ROCS/NOT ON FILE"),"")</f>
        <v>ON ROCS/NOT ON FILE</v>
      </c>
      <c r="F64" s="387" t="str">
        <f>IF(B64&lt;&gt;"",IFERROR(IF(LEFT($B64,3)=$Z$2,VLOOKUP($C64,Outbound!$B:$Z,11,FALSE),VLOOKUP($B64,Outbound!$B:$Z,11,FALSE)),"NON TROVATO"),"")</f>
        <v>F.M. Trasporti S.R.L.</v>
      </c>
      <c r="G64" s="394" t="str">
        <f>IF(B64&lt;&gt;"",IFERROR(IF(LEFT($B64,3)=$Z$2,VLOOKUP($C64,Outbound!$B:$AAZ,16,FALSE),VLOOKUP($B64,Outbound!$B:$AAZ,16,FALSE)),"NON TROVATO"),"")</f>
        <v>xa339nc</v>
      </c>
      <c r="H64" s="394">
        <f>IF(B64&lt;&gt;"",IFERROR(IF(LEFT($B64,3)=$Z$2,VLOOKUP($C64,Outbound!$B:$AAZ,6,FALSE),VLOOKUP($B64,Outbound!$B:$AAZ,6,FALSE)),"NON TROVATO"),"")</f>
        <v>6.9444444444444441E-3</v>
      </c>
      <c r="I64" s="394">
        <f>IF(B64&lt;&gt;"",IFERROR(IF(LEFT($B64,3)=$Z$2,VLOOKUP($C64,Outbound!$B:$AAZ,52,FALSE),VLOOKUP($B64,Outbound!$B:$AAZ,52,FALSE)),"NON TROVATO"),"")</f>
        <v>0.99375000000000002</v>
      </c>
      <c r="J64" s="440">
        <v>546687486630</v>
      </c>
      <c r="K64" s="387" t="str">
        <f>IF(B64&lt;&gt;"",IF($D64&lt;&gt;"ON ROCS/NOT ON FILE",IFERROR(_xlfn.XLOOKUP(LEFT($D64,3),'STAT 77 Table'!$B:$B,'STAT 77 Table'!$A:$A),"ZZ"&amp;RIGHT($B64,4)),""),"")</f>
        <v>ZZ2258</v>
      </c>
      <c r="L64" s="396" t="s">
        <v>1605</v>
      </c>
      <c r="O64" s="388"/>
      <c r="P64" s="388"/>
      <c r="AA64" s="421" t="str">
        <f t="shared" si="0"/>
        <v>ITD32258</v>
      </c>
    </row>
    <row r="65" spans="1:27" ht="16.5" hidden="1">
      <c r="A65" s="387" t="str">
        <f>'STAT 77 Table'!$I$169</f>
        <v>ITD12246</v>
      </c>
      <c r="B65" t="s">
        <v>1666</v>
      </c>
      <c r="C65" t="s">
        <v>1087</v>
      </c>
      <c r="D65" s="387" t="str">
        <f>IF($B65&lt;&gt;"",IFERROR(IF(LEFT($B65,3)=$Z$2,VLOOKUP($C65,Outbound!$B:$Z,4,FALSE),VLOOKUP($B65,Outbound!$B:$Z,4,FALSE)),"ON ROCS/NOT ON FILE"),"")</f>
        <v>RMZ</v>
      </c>
      <c r="E65" s="387" t="str">
        <f>IF($B65&lt;&gt;"",IFERROR(IF(LEFT($B65,4)=$Z$2,VLOOKUP($C65,Outbound!$B:$Z,5,FALSE),VLOOKUP($B65,Outbound!$B:$Z,5,FALSE)),"ON ROCS/NOT ON FILE"),"")</f>
        <v>ON ROCS/NOT ON FILE</v>
      </c>
      <c r="F65" s="387" t="str">
        <f>IF(B65&lt;&gt;"",IFERROR(IF(LEFT($B65,3)=$Z$2,VLOOKUP($C65,Outbound!$B:$Z,11,FALSE),VLOOKUP($B65,Outbound!$B:$Z,11,FALSE)),"NON TROVATO"),"")</f>
        <v>Autotrasporti RDS</v>
      </c>
      <c r="G65" s="394" t="str">
        <f>IF(B65&lt;&gt;"",IFERROR(IF(LEFT($B65,3)=$Z$2,VLOOKUP($C65,Outbound!$B:$AAZ,16,FALSE),VLOOKUP($B65,Outbound!$B:$AAZ,16,FALSE)),"NON TROVATO"),"")</f>
        <v>xa994zj</v>
      </c>
      <c r="H65" s="394">
        <f>IF(B65&lt;&gt;"",IFERROR(IF(LEFT($B65,3)=$Z$2,VLOOKUP($C65,Outbound!$B:$AAZ,6,FALSE),VLOOKUP($B65,Outbound!$B:$AAZ,6,FALSE)),"NON TROVATO"),"")</f>
        <v>6.9444444444444441E-3</v>
      </c>
      <c r="I65" s="394">
        <f>IF(B65&lt;&gt;"",IFERROR(IF(LEFT($B65,3)=$Z$2,VLOOKUP($C65,Outbound!$B:$AAZ,52,FALSE),VLOOKUP($B65,Outbound!$B:$AAZ,52,FALSE)),"NON TROVATO"),"")</f>
        <v>0.99236111111111114</v>
      </c>
      <c r="J65" s="440">
        <v>546778276080</v>
      </c>
      <c r="K65" s="387" t="str">
        <f>IF(B65&lt;&gt;"",IF($D65&lt;&gt;"ON ROCS/NOT ON FILE",IFERROR(_xlfn.XLOOKUP(LEFT($D65,3),'STAT 77 Table'!$B:$B,'STAT 77 Table'!$A:$A),"ZZ"&amp;RIGHT($B65,4)),""),"")</f>
        <v>ZZ0810</v>
      </c>
      <c r="L65" s="396" t="s">
        <v>1605</v>
      </c>
      <c r="O65" s="388"/>
      <c r="P65" s="388"/>
      <c r="AA65" s="421" t="str">
        <f t="shared" si="0"/>
        <v>ITD12072</v>
      </c>
    </row>
    <row r="66" spans="1:27" ht="16.5" hidden="1">
      <c r="A66" s="387" t="str">
        <f>'STAT 77 Table'!$I$210</f>
        <v>ITD12382</v>
      </c>
      <c r="B66" t="s">
        <v>1667</v>
      </c>
      <c r="C66" t="s">
        <v>749</v>
      </c>
      <c r="D66" s="387" t="str">
        <f>IF($B66&lt;&gt;"",IFERROR(IF(LEFT($B66,3)=$Z$2,VLOOKUP($C66,Outbound!$B:$Z,4,FALSE),VLOOKUP($B66,Outbound!$B:$Z,4,FALSE)),"ON ROCS/NOT ON FILE"),"")</f>
        <v>FC5</v>
      </c>
      <c r="E66" s="387" t="str">
        <f>IF($B66&lt;&gt;"",IFERROR(IF(LEFT($B66,4)=$Z$2,VLOOKUP($C66,Outbound!$B:$Z,5,FALSE),VLOOKUP($B66,Outbound!$B:$Z,5,FALSE)),"ON ROCS/NOT ON FILE"),"")</f>
        <v>ON ROCS/NOT ON FILE</v>
      </c>
      <c r="F66" s="387" t="str">
        <f>IF(B66&lt;&gt;"",IFERROR(IF(LEFT($B66,3)=$Z$2,VLOOKUP($C66,Outbound!$B:$Z,11,FALSE),VLOOKUP($B66,Outbound!$B:$Z,11,FALSE)),"NON TROVATO"),"")</f>
        <v>T&amp;ti Cargo Line Srl</v>
      </c>
      <c r="G66" s="394" t="str">
        <f>IF(B66&lt;&gt;"",IFERROR(IF(LEFT($B66,3)=$Z$2,VLOOKUP($C66,Outbound!$B:$AAZ,16,FALSE),VLOOKUP($B66,Outbound!$B:$AAZ,16,FALSE)),"NON TROVATO"),"")</f>
        <v>XB025AP</v>
      </c>
      <c r="H66" s="394">
        <f>IF(B66&lt;&gt;"",IFERROR(IF(LEFT($B66,3)=$Z$2,VLOOKUP($C66,Outbound!$B:$AAZ,6,FALSE),VLOOKUP($B66,Outbound!$B:$AAZ,6,FALSE)),"NON TROVATO"),"")</f>
        <v>6.9444444444444441E-3</v>
      </c>
      <c r="I66" s="394">
        <f>IF(B66&lt;&gt;"",IFERROR(IF(LEFT($B66,3)=$Z$2,VLOOKUP($C66,Outbound!$B:$AAZ,52,FALSE),VLOOKUP($B66,Outbound!$B:$AAZ,52,FALSE)),"NON TROVATO"),"")</f>
        <v>0.99861111111111112</v>
      </c>
      <c r="J66" s="440">
        <v>546804703538</v>
      </c>
      <c r="K66" s="387" t="str">
        <f>IF(B66&lt;&gt;"",IF($D66&lt;&gt;"ON ROCS/NOT ON FILE",IFERROR(_xlfn.XLOOKUP(LEFT($D66,3),'STAT 77 Table'!$B:$B,'STAT 77 Table'!$A:$A),"ZZ"&amp;RIGHT($B66,4)),""),"")</f>
        <v>ZZ2264</v>
      </c>
      <c r="L66" s="396" t="s">
        <v>1605</v>
      </c>
      <c r="O66" s="388"/>
      <c r="P66" s="388"/>
      <c r="AA66" s="421" t="str">
        <f t="shared" si="0"/>
        <v>ITD12764</v>
      </c>
    </row>
    <row r="67" spans="1:27" ht="16.5" hidden="1">
      <c r="A67" s="387" t="str">
        <f>'STAT 77 Table'!$I$212</f>
        <v>ITD12798</v>
      </c>
      <c r="B67" t="s">
        <v>1668</v>
      </c>
      <c r="C67" t="s">
        <v>835</v>
      </c>
      <c r="D67" s="387" t="str">
        <f>IF($B67&lt;&gt;"",IFERROR(IF(LEFT($B67,3)=$Z$2,VLOOKUP($C67,Outbound!$B:$Z,4,FALSE),VLOOKUP($B67,Outbound!$B:$Z,4,FALSE)),"ON ROCS/NOT ON FILE"),"")</f>
        <v>PD2</v>
      </c>
      <c r="E67" s="387" t="str">
        <f>IF($B67&lt;&gt;"",IFERROR(IF(LEFT($B67,4)=$Z$2,VLOOKUP($C67,Outbound!$B:$Z,5,FALSE),VLOOKUP($B67,Outbound!$B:$Z,5,FALSE)),"ON ROCS/NOT ON FILE"),"")</f>
        <v>ON ROCS/NOT ON FILE</v>
      </c>
      <c r="F67" s="387" t="str">
        <f>IF(B67&lt;&gt;"",IFERROR(IF(LEFT($B67,3)=$Z$2,VLOOKUP($C67,Outbound!$B:$Z,11,FALSE),VLOOKUP($B67,Outbound!$B:$Z,11,FALSE)),"NON TROVATO"),"")</f>
        <v>F.M. Trasporti S.R.L.</v>
      </c>
      <c r="G67" s="394" t="str">
        <f>IF(B67&lt;&gt;"",IFERROR(IF(LEFT($B67,3)=$Z$2,VLOOKUP($C67,Outbound!$B:$AAZ,16,FALSE),VLOOKUP($B67,Outbound!$B:$AAZ,16,FALSE)),"NON TROVATO"),"")</f>
        <v>XA668VJ</v>
      </c>
      <c r="H67" s="394">
        <f>IF(B67&lt;&gt;"",IFERROR(IF(LEFT($B67,3)=$Z$2,VLOOKUP($C67,Outbound!$B:$AAZ,6,FALSE),VLOOKUP($B67,Outbound!$B:$AAZ,6,FALSE)),"NON TROVATO"),"")</f>
        <v>6.9444444444444441E-3</v>
      </c>
      <c r="I67" s="394">
        <f>IF(B67&lt;&gt;"",IFERROR(IF(LEFT($B67,3)=$Z$2,VLOOKUP($C67,Outbound!$B:$AAZ,52,FALSE),VLOOKUP($B67,Outbound!$B:$AAZ,52,FALSE)),"NON TROVATO"),"")</f>
        <v>0.99513888888888891</v>
      </c>
      <c r="J67" s="440">
        <v>546794992460</v>
      </c>
      <c r="K67" s="387" t="str">
        <f>IF(B67&lt;&gt;"",IF($D67&lt;&gt;"ON ROCS/NOT ON FILE",IFERROR(_xlfn.XLOOKUP(LEFT($D67,3),'STAT 77 Table'!$B:$B,'STAT 77 Table'!$A:$A),"ZZ"&amp;RIGHT($B67,4)),""),"")</f>
        <v>ZZ1191</v>
      </c>
      <c r="L67" s="396" t="s">
        <v>1605</v>
      </c>
      <c r="O67" s="388"/>
      <c r="P67" s="388"/>
      <c r="AA67" s="421" t="str">
        <f t="shared" si="0"/>
        <v>ITD12247</v>
      </c>
    </row>
    <row r="68" spans="1:27" ht="16.5" hidden="1">
      <c r="A68" s="387" t="str">
        <f>'STAT 77 Table'!$I$213</f>
        <v>ITD12019</v>
      </c>
      <c r="B68" t="s">
        <v>1669</v>
      </c>
      <c r="C68" t="s">
        <v>940</v>
      </c>
      <c r="D68" s="387" t="str">
        <f>IF($B68&lt;&gt;"",IFERROR(IF(LEFT($B68,3)=$Z$2,VLOOKUP($C68,Outbound!$B:$Z,4,FALSE),VLOOKUP($B68,Outbound!$B:$Z,4,FALSE)),"ON ROCS/NOT ON FILE"),"")</f>
        <v>PD2</v>
      </c>
      <c r="E68" s="387" t="str">
        <f>IF($B68&lt;&gt;"",IFERROR(IF(LEFT($B68,4)=$Z$2,VLOOKUP($C68,Outbound!$B:$Z,5,FALSE),VLOOKUP($B68,Outbound!$B:$Z,5,FALSE)),"ON ROCS/NOT ON FILE"),"")</f>
        <v>ON ROCS/NOT ON FILE</v>
      </c>
      <c r="F68" s="387" t="str">
        <f>IF(B68&lt;&gt;"",IFERROR(IF(LEFT($B68,3)=$Z$2,VLOOKUP($C68,Outbound!$B:$Z,11,FALSE),VLOOKUP($B68,Outbound!$B:$Z,11,FALSE)),"NON TROVATO"),"")</f>
        <v>F.M. Trasporti S.R.L.</v>
      </c>
      <c r="G68" s="394" t="str">
        <f>IF(B68&lt;&gt;"",IFERROR(IF(LEFT($B68,3)=$Z$2,VLOOKUP($C68,Outbound!$B:$AAZ,16,FALSE),VLOOKUP($B68,Outbound!$B:$AAZ,16,FALSE)),"NON TROVATO"),"")</f>
        <v>XA398MW</v>
      </c>
      <c r="H68" s="394">
        <f>IF(B68&lt;&gt;"",IFERROR(IF(LEFT($B68,3)=$Z$2,VLOOKUP($C68,Outbound!$B:$AAZ,6,FALSE),VLOOKUP($B68,Outbound!$B:$AAZ,6,FALSE)),"NON TROVATO"),"")</f>
        <v>6.9444444444444441E-3</v>
      </c>
      <c r="I68" s="394">
        <f>IF(B68&lt;&gt;"",IFERROR(IF(LEFT($B68,3)=$Z$2,VLOOKUP($C68,Outbound!$B:$AAZ,52,FALSE),VLOOKUP($B68,Outbound!$B:$AAZ,52,FALSE)),"NON TROVATO"),"")</f>
        <v>0.99305555555555558</v>
      </c>
      <c r="J68" s="440">
        <v>546758560010</v>
      </c>
      <c r="K68" s="387" t="str">
        <f>IF(B68&lt;&gt;"",IF($D68&lt;&gt;"ON ROCS/NOT ON FILE",IFERROR(_xlfn.XLOOKUP(LEFT($D68,3),'STAT 77 Table'!$B:$B,'STAT 77 Table'!$A:$A),"ZZ"&amp;RIGHT($B68,4)),""),"")</f>
        <v>ZZ1176</v>
      </c>
      <c r="L68" s="396" t="s">
        <v>1605</v>
      </c>
      <c r="O68" s="388"/>
      <c r="P68" s="388"/>
      <c r="AA68" s="421" t="str">
        <f t="shared" ref="AA68:AA131" si="1">IF(LEFT(A68,3)=$X$2,C68,B68)</f>
        <v>ITD12242</v>
      </c>
    </row>
    <row r="69" spans="1:27" ht="16.5" hidden="1">
      <c r="A69" s="387" t="str">
        <f>'STAT 77 Table'!$I$214</f>
        <v>ITD12022</v>
      </c>
      <c r="B69" t="s">
        <v>1670</v>
      </c>
      <c r="C69" t="s">
        <v>1091</v>
      </c>
      <c r="D69" s="387" t="str">
        <f>IF($B69&lt;&gt;"",IFERROR(IF(LEFT($B69,3)=$Z$2,VLOOKUP($C69,Outbound!$B:$Z,4,FALSE),VLOOKUP($B69,Outbound!$B:$Z,4,FALSE)),"ON ROCS/NOT ON FILE"),"")</f>
        <v>RMZ</v>
      </c>
      <c r="E69" s="387" t="str">
        <f>IF($B69&lt;&gt;"",IFERROR(IF(LEFT($B69,4)=$Z$2,VLOOKUP($C69,Outbound!$B:$Z,5,FALSE),VLOOKUP($B69,Outbound!$B:$Z,5,FALSE)),"ON ROCS/NOT ON FILE"),"")</f>
        <v>ON ROCS/NOT ON FILE</v>
      </c>
      <c r="F69" s="387" t="str">
        <f>IF(B69&lt;&gt;"",IFERROR(IF(LEFT($B69,3)=$Z$2,VLOOKUP($C69,Outbound!$B:$Z,11,FALSE),VLOOKUP($B69,Outbound!$B:$Z,11,FALSE)),"NON TROVATO"),"")</f>
        <v>Ste.Ma Srl</v>
      </c>
      <c r="G69" s="394" t="str">
        <f>IF(B69&lt;&gt;"",IFERROR(IF(LEFT($B69,3)=$Z$2,VLOOKUP($C69,Outbound!$B:$AAZ,16,FALSE),VLOOKUP($B69,Outbound!$B:$AAZ,16,FALSE)),"NON TROVATO"),"")</f>
        <v>XA491MG</v>
      </c>
      <c r="H69" s="394">
        <f>IF(B69&lt;&gt;"",IFERROR(IF(LEFT($B69,3)=$Z$2,VLOOKUP($C69,Outbound!$B:$AAZ,6,FALSE),VLOOKUP($B69,Outbound!$B:$AAZ,6,FALSE)),"NON TROVATO"),"")</f>
        <v>6.9444444444444441E-3</v>
      </c>
      <c r="I69" s="394">
        <f>IF(B69&lt;&gt;"",IFERROR(IF(LEFT($B69,3)=$Z$2,VLOOKUP($C69,Outbound!$B:$AAZ,52,FALSE),VLOOKUP($B69,Outbound!$B:$AAZ,52,FALSE)),"NON TROVATO"),"")</f>
        <v>0.98958333333333337</v>
      </c>
      <c r="J69" s="440">
        <v>546754030935</v>
      </c>
      <c r="K69" s="387" t="str">
        <f>IF(B69&lt;&gt;"",IF($D69&lt;&gt;"ON ROCS/NOT ON FILE",IFERROR(_xlfn.XLOOKUP(LEFT($D69,3),'STAT 77 Table'!$B:$B,'STAT 77 Table'!$A:$A),"ZZ"&amp;RIGHT($B69,4)),""),"")</f>
        <v>ZZ0814</v>
      </c>
      <c r="L69" s="396" t="s">
        <v>1605</v>
      </c>
      <c r="O69" s="388"/>
      <c r="P69" s="388"/>
      <c r="AA69" s="421" t="str">
        <f t="shared" si="1"/>
        <v>ITD12074</v>
      </c>
    </row>
    <row r="70" spans="1:27" ht="16.5" hidden="1">
      <c r="A70" s="387" t="str">
        <f>'STAT 77 Table'!$I$221</f>
        <v/>
      </c>
      <c r="B70" t="s">
        <v>1671</v>
      </c>
      <c r="C70" t="s">
        <v>706</v>
      </c>
      <c r="D70" s="387" t="str">
        <f>IF($B70&lt;&gt;"",IFERROR(IF(LEFT($B70,3)=$Z$2,VLOOKUP($C70,Outbound!$B:$Z,4,FALSE),VLOOKUP($B70,Outbound!$B:$Z,4,FALSE)),"ON ROCS/NOT ON FILE"),"")</f>
        <v>BA5</v>
      </c>
      <c r="E70" s="387" t="str">
        <f>IF($B70&lt;&gt;"",IFERROR(IF(LEFT($B70,4)=$Z$2,VLOOKUP($C70,Outbound!$B:$Z,5,FALSE),VLOOKUP($B70,Outbound!$B:$Z,5,FALSE)),"ON ROCS/NOT ON FILE"),"")</f>
        <v>ON ROCS/NOT ON FILE</v>
      </c>
      <c r="F70" s="387" t="str">
        <f>IF(B70&lt;&gt;"",IFERROR(IF(LEFT($B70,3)=$Z$2,VLOOKUP($C70,Outbound!$B:$Z,11,FALSE),VLOOKUP($B70,Outbound!$B:$Z,11,FALSE)),"NON TROVATO"),"")</f>
        <v>Conserva Spa</v>
      </c>
      <c r="G70" s="394" t="str">
        <f>IF(B70&lt;&gt;"",IFERROR(IF(LEFT($B70,3)=$Z$2,VLOOKUP($C70,Outbound!$B:$AAZ,16,FALSE),VLOOKUP($B70,Outbound!$B:$AAZ,16,FALSE)),"NON TROVATO"),"")</f>
        <v>XA654XK</v>
      </c>
      <c r="H70" s="394">
        <f>IF(B70&lt;&gt;"",IFERROR(IF(LEFT($B70,3)=$Z$2,VLOOKUP($C70,Outbound!$B:$AAZ,6,FALSE),VLOOKUP($B70,Outbound!$B:$AAZ,6,FALSE)),"NON TROVATO"),"")</f>
        <v>6.9444444444444441E-3</v>
      </c>
      <c r="I70" s="394">
        <f>IF(B70&lt;&gt;"",IFERROR(IF(LEFT($B70,3)=$Z$2,VLOOKUP($C70,Outbound!$B:$AAZ,52,FALSE),VLOOKUP($B70,Outbound!$B:$AAZ,52,FALSE)),"NON TROVATO"),"")</f>
        <v>0.99791666666666667</v>
      </c>
      <c r="J70" s="440">
        <v>546794993949</v>
      </c>
      <c r="K70" s="387" t="str">
        <f>IF(B70&lt;&gt;"",IF($D70&lt;&gt;"ON ROCS/NOT ON FILE",IFERROR(_xlfn.XLOOKUP(LEFT($D70,3),'STAT 77 Table'!$B:$B,'STAT 77 Table'!$A:$A),"ZZ"&amp;RIGHT($B70,4)),""),"")</f>
        <v>ZZ0716</v>
      </c>
      <c r="L70" s="396" t="s">
        <v>1605</v>
      </c>
      <c r="O70" s="388"/>
      <c r="P70" s="388"/>
      <c r="AA70" s="421" t="str">
        <f t="shared" si="1"/>
        <v>ITD30716</v>
      </c>
    </row>
    <row r="71" spans="1:27" ht="16.5" hidden="1">
      <c r="A71" s="387" t="str">
        <f>'STAT 77 Table'!$I$224</f>
        <v/>
      </c>
      <c r="B71" t="s">
        <v>1672</v>
      </c>
      <c r="C71" t="s">
        <v>1076</v>
      </c>
      <c r="D71" s="387" t="str">
        <f>IF($B71&lt;&gt;"",IFERROR(IF(LEFT($B71,3)=$Z$2,VLOOKUP($C71,Outbound!$B:$Z,4,FALSE),VLOOKUP($B71,Outbound!$B:$Z,4,FALSE)),"ON ROCS/NOT ON FILE"),"")</f>
        <v>BA5</v>
      </c>
      <c r="E71" s="387" t="str">
        <f>IF($B71&lt;&gt;"",IFERROR(IF(LEFT($B71,4)=$Z$2,VLOOKUP($C71,Outbound!$B:$Z,5,FALSE),VLOOKUP($B71,Outbound!$B:$Z,5,FALSE)),"ON ROCS/NOT ON FILE"),"")</f>
        <v>ON ROCS/NOT ON FILE</v>
      </c>
      <c r="F71" s="387" t="str">
        <f>IF(B71&lt;&gt;"",IFERROR(IF(LEFT($B71,3)=$Z$2,VLOOKUP($C71,Outbound!$B:$Z,11,FALSE),VLOOKUP($B71,Outbound!$B:$Z,11,FALSE)),"NON TROVATO"),"")</f>
        <v>Nuova Express Line S.R.L.</v>
      </c>
      <c r="G71" s="394" t="str">
        <f>IF(B71&lt;&gt;"",IFERROR(IF(LEFT($B71,3)=$Z$2,VLOOKUP($C71,Outbound!$B:$AAZ,16,FALSE),VLOOKUP($B71,Outbound!$B:$AAZ,16,FALSE)),"NON TROVATO"),"")</f>
        <v>af16794</v>
      </c>
      <c r="H71" s="394">
        <f>IF(B71&lt;&gt;"",IFERROR(IF(LEFT($B71,3)=$Z$2,VLOOKUP($C71,Outbound!$B:$AAZ,6,FALSE),VLOOKUP($B71,Outbound!$B:$AAZ,6,FALSE)),"NON TROVATO"),"")</f>
        <v>6.9444444444444441E-3</v>
      </c>
      <c r="I71" s="394">
        <f>IF(B71&lt;&gt;"",IFERROR(IF(LEFT($B71,3)=$Z$2,VLOOKUP($C71,Outbound!$B:$AAZ,52,FALSE),VLOOKUP($B71,Outbound!$B:$AAZ,52,FALSE)),"NON TROVATO"),"")</f>
        <v>1.5277777777777777E-2</v>
      </c>
      <c r="J71" s="440">
        <v>546762733688</v>
      </c>
      <c r="K71" s="387" t="str">
        <f>IF(B71&lt;&gt;"",IF($D71&lt;&gt;"ON ROCS/NOT ON FILE",IFERROR(_xlfn.XLOOKUP(LEFT($D71,3),'STAT 77 Table'!$B:$B,'STAT 77 Table'!$A:$A),"ZZ"&amp;RIGHT($B71,4)),""),"")</f>
        <v>ZZ0718</v>
      </c>
      <c r="L71" s="396" t="s">
        <v>1605</v>
      </c>
      <c r="O71" s="388"/>
      <c r="P71" s="388"/>
      <c r="AA71" s="421" t="str">
        <f t="shared" si="1"/>
        <v>ITD30718</v>
      </c>
    </row>
    <row r="72" spans="1:27" ht="16.5" hidden="1">
      <c r="A72" s="387" t="str">
        <f>'STAT 77 Table'!$I$246</f>
        <v/>
      </c>
      <c r="B72" t="s">
        <v>1673</v>
      </c>
      <c r="C72" t="s">
        <v>619</v>
      </c>
      <c r="D72" s="387" t="str">
        <f>IF($B72&lt;&gt;"",IFERROR(IF(LEFT($B72,3)=$Z$2,VLOOKUP($C72,Outbound!$B:$Z,4,FALSE),VLOOKUP($B72,Outbound!$B:$Z,4,FALSE)),"ON ROCS/NOT ON FILE"),"")</f>
        <v>PSA</v>
      </c>
      <c r="E72" s="387" t="str">
        <f>IF($B72&lt;&gt;"",IFERROR(IF(LEFT($B72,4)=$Z$2,VLOOKUP($C72,Outbound!$B:$Z,5,FALSE),VLOOKUP($B72,Outbound!$B:$Z,5,FALSE)),"ON ROCS/NOT ON FILE"),"")</f>
        <v>ON ROCS/NOT ON FILE</v>
      </c>
      <c r="F72" s="387" t="str">
        <f>IF(B72&lt;&gt;"",IFERROR(IF(LEFT($B72,3)=$Z$2,VLOOKUP($C72,Outbound!$B:$Z,11,FALSE),VLOOKUP($B72,Outbound!$B:$Z,11,FALSE)),"NON TROVATO"),"")</f>
        <v>Zampieri Holding S.R.L.</v>
      </c>
      <c r="G72" s="394" t="str">
        <f>IF(B72&lt;&gt;"",IFERROR(IF(LEFT($B72,3)=$Z$2,VLOOKUP($C72,Outbound!$B:$AAZ,16,FALSE),VLOOKUP($B72,Outbound!$B:$AAZ,16,FALSE)),"NON TROVATO"),"")</f>
        <v>XA378NX</v>
      </c>
      <c r="H72" s="394">
        <f>IF(B72&lt;&gt;"",IFERROR(IF(LEFT($B72,3)=$Z$2,VLOOKUP($C72,Outbound!$B:$AAZ,6,FALSE),VLOOKUP($B72,Outbound!$B:$AAZ,6,FALSE)),"NON TROVATO"),"")</f>
        <v>6.9444444444444441E-3</v>
      </c>
      <c r="I72" s="394">
        <f>IF(B72&lt;&gt;"",IFERROR(IF(LEFT($B72,3)=$Z$2,VLOOKUP($C72,Outbound!$B:$AAZ,52,FALSE),VLOOKUP($B72,Outbound!$B:$AAZ,52,FALSE)),"NON TROVATO"),"")</f>
        <v>4.1666666666666666E-3</v>
      </c>
      <c r="J72" s="440">
        <v>546689577023</v>
      </c>
      <c r="K72" s="387" t="str">
        <f>IF(B72&lt;&gt;"",IF($D72&lt;&gt;"ON ROCS/NOT ON FILE",IFERROR(_xlfn.XLOOKUP(LEFT($D72,3),'STAT 77 Table'!$B:$B,'STAT 77 Table'!$A:$A),"ZZ"&amp;RIGHT($B72,4)),""),"")</f>
        <v>ZZ1334</v>
      </c>
      <c r="L72" s="396" t="s">
        <v>1605</v>
      </c>
      <c r="O72" s="388"/>
      <c r="P72" s="388"/>
      <c r="AA72" s="421" t="str">
        <f t="shared" si="1"/>
        <v>ITD31334</v>
      </c>
    </row>
    <row r="73" spans="1:27" ht="16.5" hidden="1">
      <c r="A73" s="387" t="str">
        <f>'STAT 77 Table'!$I$271</f>
        <v/>
      </c>
      <c r="B73" t="s">
        <v>50</v>
      </c>
      <c r="C73" t="s">
        <v>1347</v>
      </c>
      <c r="D73" s="387" t="str">
        <f>IF($B73&lt;&gt;"",IFERROR(IF(LEFT($B73,3)=$Z$2,VLOOKUP($C73,Outbound!$B:$Z,4,FALSE),VLOOKUP($B73,Outbound!$B:$Z,4,FALSE)),"ON ROCS/NOT ON FILE"),"")</f>
        <v>06A</v>
      </c>
      <c r="E73" s="387" t="str">
        <f>IF($B73&lt;&gt;"",IFERROR(IF(LEFT($B73,4)=$Z$2,VLOOKUP($C73,Outbound!$B:$Z,5,FALSE),VLOOKUP($B73,Outbound!$B:$Z,5,FALSE)),"ON ROCS/NOT ON FILE"),"")</f>
        <v>JLPA</v>
      </c>
      <c r="F73" s="387" t="str">
        <f>IF(B73&lt;&gt;"",IFERROR(IF(LEFT($B73,3)=$Z$2,VLOOKUP($C73,Outbound!$B:$Z,11,FALSE),VLOOKUP($B73,Outbound!$B:$Z,11,FALSE)),"NON TROVATO"),"")</f>
        <v>Matelda Srl</v>
      </c>
      <c r="G73" s="394" t="str">
        <f>IF(B73&lt;&gt;"",IFERROR(IF(LEFT($B73,3)=$Z$2,VLOOKUP($C73,Outbound!$B:$AAZ,16,FALSE),VLOOKUP($B73,Outbound!$B:$AAZ,16,FALSE)),"NON TROVATO"),"")</f>
        <v>XA272NH</v>
      </c>
      <c r="H73" s="394">
        <f>IF(B73&lt;&gt;"",IFERROR(IF(LEFT($B73,3)=$Z$2,VLOOKUP($C73,Outbound!$B:$AAZ,6,FALSE),VLOOKUP($B73,Outbound!$B:$AAZ,6,FALSE)),"NON TROVATO"),"")</f>
        <v>2.0833333335758653E-2</v>
      </c>
      <c r="I73" s="394">
        <f>IF(B73&lt;&gt;"",IFERROR(IF(LEFT($B73,3)=$Z$2,VLOOKUP($C73,Outbound!$B:$AAZ,52,FALSE),VLOOKUP($B73,Outbound!$B:$AAZ,52,FALSE)),"NON TROVATO"),"")</f>
        <v>0.9916666666666667</v>
      </c>
      <c r="J73" s="440">
        <v>546687480675</v>
      </c>
      <c r="K73" s="387" t="str">
        <f>IF(B73&lt;&gt;"",IF($D73&lt;&gt;"ON ROCS/NOT ON FILE",IFERROR(_xlfn.XLOOKUP(LEFT($D73,3),'STAT 77 Table'!$B:$B,'STAT 77 Table'!$A:$A),"ZZ"&amp;RIGHT($B73,4)),""),"")</f>
        <v>IM234</v>
      </c>
      <c r="L73" s="396" t="s">
        <v>1605</v>
      </c>
      <c r="O73" s="388"/>
      <c r="P73" s="388"/>
      <c r="AA73" s="421" t="str">
        <f t="shared" si="1"/>
        <v>ERN17430</v>
      </c>
    </row>
    <row r="74" spans="1:27" ht="16.5" hidden="1">
      <c r="A74" s="387">
        <f>'STAT 77 Table'!$I$282</f>
        <v>0</v>
      </c>
      <c r="B74" t="s">
        <v>1674</v>
      </c>
      <c r="C74" t="s">
        <v>1213</v>
      </c>
      <c r="D74" s="387" t="str">
        <f>IF($B74&lt;&gt;"",IFERROR(IF(LEFT($B74,3)=$Z$2,VLOOKUP($C74,Outbound!$B:$Z,4,FALSE),VLOOKUP($B74,Outbound!$B:$Z,4,FALSE)),"ON ROCS/NOT ON FILE"),"")</f>
        <v>TV1</v>
      </c>
      <c r="E74" s="387" t="str">
        <f>IF($B74&lt;&gt;"",IFERROR(IF(LEFT($B74,4)=$Z$2,VLOOKUP($C74,Outbound!$B:$Z,5,FALSE),VLOOKUP($B74,Outbound!$B:$Z,5,FALSE)),"ON ROCS/NOT ON FILE"),"")</f>
        <v>ON ROCS/NOT ON FILE</v>
      </c>
      <c r="F74" s="387" t="str">
        <f>IF(B74&lt;&gt;"",IFERROR(IF(LEFT($B74,3)=$Z$2,VLOOKUP($C74,Outbound!$B:$Z,11,FALSE),VLOOKUP($B74,Outbound!$B:$Z,11,FALSE)),"NON TROVATO"),"")</f>
        <v>Matelda Srl</v>
      </c>
      <c r="G74" s="394" t="str">
        <f>IF(B74&lt;&gt;"",IFERROR(IF(LEFT($B74,3)=$Z$2,VLOOKUP($C74,Outbound!$B:$AAZ,16,FALSE),VLOOKUP($B74,Outbound!$B:$AAZ,16,FALSE)),"NON TROVATO"),"")</f>
        <v>XA631MR</v>
      </c>
      <c r="H74" s="394">
        <f>IF(B74&lt;&gt;"",IFERROR(IF(LEFT($B74,3)=$Z$2,VLOOKUP($C74,Outbound!$B:$AAZ,6,FALSE),VLOOKUP($B74,Outbound!$B:$AAZ,6,FALSE)),"NON TROVATO"),"")</f>
        <v>4.1666666666666664E-2</v>
      </c>
      <c r="I74" s="394">
        <f>IF(B74&lt;&gt;"",IFERROR(IF(LEFT($B74,3)=$Z$2,VLOOKUP($C74,Outbound!$B:$AAZ,52,FALSE),VLOOKUP($B74,Outbound!$B:$AAZ,52,FALSE)),"NON TROVATO"),"")</f>
        <v>2.7083333333333334E-2</v>
      </c>
      <c r="J74" s="440">
        <v>546687481145</v>
      </c>
      <c r="K74" s="387" t="str">
        <f>IF(B74&lt;&gt;"",IF($D74&lt;&gt;"ON ROCS/NOT ON FILE",IFERROR(_xlfn.XLOOKUP(LEFT($D74,3),'STAT 77 Table'!$B:$B,'STAT 77 Table'!$A:$A),"ZZ"&amp;RIGHT($B74,4)),""),"")</f>
        <v>ZZ1286</v>
      </c>
      <c r="L74" s="396" t="s">
        <v>1605</v>
      </c>
      <c r="O74" s="388"/>
      <c r="P74" s="388"/>
      <c r="AA74" s="421" t="str">
        <f t="shared" si="1"/>
        <v>ITD31286</v>
      </c>
    </row>
    <row r="75" spans="1:27" ht="16.5" hidden="1">
      <c r="A75" s="387" t="str">
        <f>'STAT 77 Table'!$I$176</f>
        <v>ERN02712</v>
      </c>
      <c r="B75" t="s">
        <v>1675</v>
      </c>
      <c r="C75" t="s">
        <v>848</v>
      </c>
      <c r="D75" s="387" t="str">
        <f>IF($B75&lt;&gt;"",IFERROR(IF(LEFT($B75,3)=$Z$2,VLOOKUP($C75,Outbound!$B:$Z,4,FALSE),VLOOKUP($B75,Outbound!$B:$Z,4,FALSE)),"ON ROCS/NOT ON FILE"),"")</f>
        <v>TV1</v>
      </c>
      <c r="E75" s="387" t="str">
        <f>IF($B75&lt;&gt;"",IFERROR(IF(LEFT($B75,4)=$Z$2,VLOOKUP($C75,Outbound!$B:$Z,5,FALSE),VLOOKUP($B75,Outbound!$B:$Z,5,FALSE)),"ON ROCS/NOT ON FILE"),"")</f>
        <v>ON ROCS/NOT ON FILE</v>
      </c>
      <c r="F75" s="387" t="str">
        <f>IF(B75&lt;&gt;"",IFERROR(IF(LEFT($B75,3)=$Z$2,VLOOKUP($C75,Outbound!$B:$Z,11,FALSE),VLOOKUP($B75,Outbound!$B:$Z,11,FALSE)),"NON TROVATO"),"")</f>
        <v>CORNALI AUTOTRASPORTI SRL</v>
      </c>
      <c r="G75" s="394" t="str">
        <f>IF(B75&lt;&gt;"",IFERROR(IF(LEFT($B75,3)=$Z$2,VLOOKUP($C75,Outbound!$B:$AAZ,16,FALSE),VLOOKUP($B75,Outbound!$B:$AAZ,16,FALSE)),"NON TROVATO"),"")</f>
        <v>AD40118</v>
      </c>
      <c r="H75" s="394">
        <f>IF(B75&lt;&gt;"",IFERROR(IF(LEFT($B75,3)=$Z$2,VLOOKUP($C75,Outbound!$B:$AAZ,6,FALSE),VLOOKUP($B75,Outbound!$B:$AAZ,6,FALSE)),"NON TROVATO"),"")</f>
        <v>4.1666666666666664E-2</v>
      </c>
      <c r="I75" s="394">
        <f>IF(B75&lt;&gt;"",IFERROR(IF(LEFT($B75,3)=$Z$2,VLOOKUP($C75,Outbound!$B:$AAZ,52,FALSE),VLOOKUP($B75,Outbound!$B:$AAZ,52,FALSE)),"NON TROVATO"),"")</f>
        <v>3.888888888888889E-2</v>
      </c>
      <c r="J75" s="440">
        <v>546748914662</v>
      </c>
      <c r="K75" s="387" t="str">
        <f>IF(B75&lt;&gt;"",IF($D75&lt;&gt;"ON ROCS/NOT ON FILE",IFERROR(_xlfn.XLOOKUP(LEFT($D75,3),'STAT 77 Table'!$B:$B,'STAT 77 Table'!$A:$A),"ZZ"&amp;RIGHT($B75,4)),""),"")</f>
        <v>ZZ1282</v>
      </c>
      <c r="L75" s="396" t="s">
        <v>1605</v>
      </c>
      <c r="O75" s="388"/>
      <c r="P75" s="388"/>
      <c r="AA75" s="421" t="str">
        <f t="shared" si="1"/>
        <v>ITD31282</v>
      </c>
    </row>
    <row r="76" spans="1:27" ht="16.5" hidden="1">
      <c r="A76" s="387" t="str">
        <f>'STAT 77 Table'!$I$200</f>
        <v>ITD12255</v>
      </c>
      <c r="B76" t="s">
        <v>1676</v>
      </c>
      <c r="C76" t="s">
        <v>478</v>
      </c>
      <c r="D76" s="387" t="str">
        <f>IF($B76&lt;&gt;"",IFERROR(IF(LEFT($B76,3)=$Z$2,VLOOKUP($C76,Outbound!$B:$Z,4,FALSE),VLOOKUP($B76,Outbound!$B:$Z,4,FALSE)),"ON ROCS/NOT ON FILE"),"")</f>
        <v>MDA</v>
      </c>
      <c r="E76" s="387" t="str">
        <f>IF($B76&lt;&gt;"",IFERROR(IF(LEFT($B76,4)=$Z$2,VLOOKUP($C76,Outbound!$B:$Z,5,FALSE),VLOOKUP($B76,Outbound!$B:$Z,5,FALSE)),"ON ROCS/NOT ON FILE"),"")</f>
        <v>ON ROCS/NOT ON FILE</v>
      </c>
      <c r="F76" s="387" t="str">
        <f>IF(B76&lt;&gt;"",IFERROR(IF(LEFT($B76,3)=$Z$2,VLOOKUP($C76,Outbound!$B:$Z,11,FALSE),VLOOKUP($B76,Outbound!$B:$Z,11,FALSE)),"NON TROVATO"),"")</f>
        <v>Transeuropa S.r.l.</v>
      </c>
      <c r="G76" s="394" t="str">
        <f>IF(B76&lt;&gt;"",IFERROR(IF(LEFT($B76,3)=$Z$2,VLOOKUP($C76,Outbound!$B:$AAZ,16,FALSE),VLOOKUP($B76,Outbound!$B:$AAZ,16,FALSE)),"NON TROVATO"),"")</f>
        <v>XA415NZ</v>
      </c>
      <c r="H76" s="394">
        <f>IF(B76&lt;&gt;"",IFERROR(IF(LEFT($B76,3)=$Z$2,VLOOKUP($C76,Outbound!$B:$AAZ,6,FALSE),VLOOKUP($B76,Outbound!$B:$AAZ,6,FALSE)),"NON TROVATO"),"")</f>
        <v>8.3333333333333329E-2</v>
      </c>
      <c r="I76" s="394">
        <f>IF(B76&lt;&gt;"",IFERROR(IF(LEFT($B76,3)=$Z$2,VLOOKUP($C76,Outbound!$B:$AAZ,52,FALSE),VLOOKUP($B76,Outbound!$B:$AAZ,52,FALSE)),"NON TROVATO"),"")</f>
        <v>7.1527777777777773E-2</v>
      </c>
      <c r="J76" s="440">
        <v>546705409840</v>
      </c>
      <c r="K76" s="387" t="str">
        <f>IF(B76&lt;&gt;"",IF($D76&lt;&gt;"ON ROCS/NOT ON FILE",IFERROR(_xlfn.XLOOKUP(LEFT($D76,3),'STAT 77 Table'!$B:$B,'STAT 77 Table'!$A:$A),"ZZ"&amp;RIGHT($B76,4)),""),"")</f>
        <v>IM257</v>
      </c>
      <c r="L76" s="396" t="s">
        <v>1605</v>
      </c>
      <c r="O76" s="388"/>
      <c r="P76" s="388"/>
      <c r="AA76" s="421" t="str">
        <f t="shared" si="1"/>
        <v>ITD12284</v>
      </c>
    </row>
    <row r="77" spans="1:27" ht="16.5" hidden="1">
      <c r="A77" s="387" t="str">
        <f>'STAT 77 Table'!$I$237</f>
        <v/>
      </c>
      <c r="B77" t="s">
        <v>1677</v>
      </c>
      <c r="C77" t="s">
        <v>1136</v>
      </c>
      <c r="D77" s="387" t="str">
        <f>IF($B77&lt;&gt;"",IFERROR(IF(LEFT($B77,3)=$Z$2,VLOOKUP($C77,Outbound!$B:$Z,4,FALSE),VLOOKUP($B77,Outbound!$B:$Z,4,FALSE)),"ON ROCS/NOT ON FILE"),"")</f>
        <v>BO1</v>
      </c>
      <c r="E77" s="387" t="str">
        <f>IF($B77&lt;&gt;"",IFERROR(IF(LEFT($B77,4)=$Z$2,VLOOKUP($C77,Outbound!$B:$Z,5,FALSE),VLOOKUP($B77,Outbound!$B:$Z,5,FALSE)),"ON ROCS/NOT ON FILE"),"")</f>
        <v>ON ROCS/NOT ON FILE</v>
      </c>
      <c r="F77" s="387" t="str">
        <f>IF(B77&lt;&gt;"",IFERROR(IF(LEFT($B77,3)=$Z$2,VLOOKUP($C77,Outbound!$B:$Z,11,FALSE),VLOOKUP($B77,Outbound!$B:$Z,11,FALSE)),"NON TROVATO"),"")</f>
        <v>Canguro Spa</v>
      </c>
      <c r="G77" s="394" t="str">
        <f>IF(B77&lt;&gt;"",IFERROR(IF(LEFT($B77,3)=$Z$2,VLOOKUP($C77,Outbound!$B:$AAZ,16,FALSE),VLOOKUP($B77,Outbound!$B:$AAZ,16,FALSE)),"NON TROVATO"),"")</f>
        <v>XA396ZM</v>
      </c>
      <c r="H77" s="394">
        <f>IF(B77&lt;&gt;"",IFERROR(IF(LEFT($B77,3)=$Z$2,VLOOKUP($C77,Outbound!$B:$AAZ,6,FALSE),VLOOKUP($B77,Outbound!$B:$AAZ,6,FALSE)),"NON TROVATO"),"")</f>
        <v>8.3333333333333329E-2</v>
      </c>
      <c r="I77" s="394">
        <f>IF(B77&lt;&gt;"",IFERROR(IF(LEFT($B77,3)=$Z$2,VLOOKUP($C77,Outbound!$B:$AAZ,52,FALSE),VLOOKUP($B77,Outbound!$B:$AAZ,52,FALSE)),"NON TROVATO"),"")</f>
        <v>3.1944444444444442E-2</v>
      </c>
      <c r="J77" s="440">
        <v>546755513428</v>
      </c>
      <c r="K77" s="387" t="str">
        <f>IF(B77&lt;&gt;"",IF($D77&lt;&gt;"ON ROCS/NOT ON FILE",IFERROR(_xlfn.XLOOKUP(LEFT($D77,3),'STAT 77 Table'!$B:$B,'STAT 77 Table'!$A:$A),"ZZ"&amp;RIGHT($B77,4)),""),"")</f>
        <v>IM257</v>
      </c>
      <c r="L77" s="396" t="s">
        <v>1605</v>
      </c>
      <c r="O77" s="388"/>
      <c r="P77" s="388"/>
      <c r="AA77" s="421" t="str">
        <f t="shared" si="1"/>
        <v>ITD30989</v>
      </c>
    </row>
    <row r="78" spans="1:27" ht="16.5" hidden="1">
      <c r="A78" s="387" t="str">
        <f>'STAT 77 Table'!$I$242</f>
        <v/>
      </c>
      <c r="B78" t="s">
        <v>1678</v>
      </c>
      <c r="C78" t="s">
        <v>689</v>
      </c>
      <c r="D78" s="387" t="str">
        <f>IF($B78&lt;&gt;"",IFERROR(IF(LEFT($B78,3)=$Z$2,VLOOKUP($C78,Outbound!$B:$Z,4,FALSE),VLOOKUP($B78,Outbound!$B:$Z,4,FALSE)),"ON ROCS/NOT ON FILE"),"")</f>
        <v>BO1</v>
      </c>
      <c r="E78" s="387" t="str">
        <f>IF($B78&lt;&gt;"",IFERROR(IF(LEFT($B78,4)=$Z$2,VLOOKUP($C78,Outbound!$B:$Z,5,FALSE),VLOOKUP($B78,Outbound!$B:$Z,5,FALSE)),"ON ROCS/NOT ON FILE"),"")</f>
        <v>ON ROCS/NOT ON FILE</v>
      </c>
      <c r="F78" s="387" t="str">
        <f>IF(B78&lt;&gt;"",IFERROR(IF(LEFT($B78,3)=$Z$2,VLOOKUP($C78,Outbound!$B:$Z,11,FALSE),VLOOKUP($B78,Outbound!$B:$Z,11,FALSE)),"NON TROVATO"),"")</f>
        <v>Canguro Spa</v>
      </c>
      <c r="G78" s="394" t="str">
        <f>IF(B78&lt;&gt;"",IFERROR(IF(LEFT($B78,3)=$Z$2,VLOOKUP($C78,Outbound!$B:$AAZ,16,FALSE),VLOOKUP($B78,Outbound!$B:$AAZ,16,FALSE)),"NON TROVATO"),"")</f>
        <v>XA177PX</v>
      </c>
      <c r="H78" s="394">
        <f>IF(B78&lt;&gt;"",IFERROR(IF(LEFT($B78,3)=$Z$2,VLOOKUP($C78,Outbound!$B:$AAZ,6,FALSE),VLOOKUP($B78,Outbound!$B:$AAZ,6,FALSE)),"NON TROVATO"),"")</f>
        <v>8.3333333333333329E-2</v>
      </c>
      <c r="I78" s="394">
        <f>IF(B78&lt;&gt;"",IFERROR(IF(LEFT($B78,3)=$Z$2,VLOOKUP($C78,Outbound!$B:$AAZ,52,FALSE),VLOOKUP($B78,Outbound!$B:$AAZ,52,FALSE)),"NON TROVATO"),"")</f>
        <v>6.9444444444444448E-2</v>
      </c>
      <c r="J78" s="440">
        <v>546755515681</v>
      </c>
      <c r="K78" s="387" t="str">
        <f>IF(B78&lt;&gt;"",IF($D78&lt;&gt;"ON ROCS/NOT ON FILE",IFERROR(_xlfn.XLOOKUP(LEFT($D78,3),'STAT 77 Table'!$B:$B,'STAT 77 Table'!$A:$A),"ZZ"&amp;RIGHT($B78,4)),""),"")</f>
        <v>IM257</v>
      </c>
      <c r="L78" s="396" t="s">
        <v>1605</v>
      </c>
      <c r="O78" s="388"/>
      <c r="P78" s="388"/>
      <c r="AA78" s="421" t="str">
        <f t="shared" si="1"/>
        <v>ITD30991</v>
      </c>
    </row>
    <row r="79" spans="1:27" ht="16.5" hidden="1">
      <c r="A79" s="387" t="str">
        <f>'STAT 77 Table'!$I$162</f>
        <v>ERN92357</v>
      </c>
      <c r="B79" t="s">
        <v>1519</v>
      </c>
      <c r="C79" t="s">
        <v>1520</v>
      </c>
      <c r="D79" s="387" t="str">
        <f>IF($B79&lt;&gt;"",IFERROR(IF(LEFT($B79,3)=$Z$2,VLOOKUP($C79,Outbound!$B:$Z,4,FALSE),VLOOKUP($B79,Outbound!$B:$Z,4,FALSE)),"ON ROCS/NOT ON FILE"),"")</f>
        <v>QAR 1</v>
      </c>
      <c r="E79" s="387" t="str">
        <f>IF($B79&lt;&gt;"",IFERROR(IF(LEFT($B79,4)=$Z$2,VLOOKUP($C79,Outbound!$B:$Z,5,FALSE),VLOOKUP($B79,Outbound!$B:$Z,5,FALSE)),"ON ROCS/NOT ON FILE"),"")</f>
        <v/>
      </c>
      <c r="F79" s="387" t="str">
        <f>IF(B79&lt;&gt;"",IFERROR(IF(LEFT($B79,3)=$Z$2,VLOOKUP($C79,Outbound!$B:$Z,11,FALSE),VLOOKUP($B79,Outbound!$B:$Z,11,FALSE)),"NON TROVATO"),"")</f>
        <v>Fedex Express Netherlands Bv Rno Own Nl</v>
      </c>
      <c r="G79" s="394" t="str">
        <f>IF(B79&lt;&gt;"",IFERROR(IF(LEFT($B79,3)=$Z$2,VLOOKUP($C79,Outbound!$B:$AAZ,16,FALSE),VLOOKUP($B79,Outbound!$B:$AAZ,16,FALSE)),"NON TROVATO"),"")</f>
        <v>ENBR21185</v>
      </c>
      <c r="H79" s="394">
        <f>IF(B79&lt;&gt;"",IFERROR(IF(LEFT($B79,3)=$Z$2,VLOOKUP($C79,Outbound!$B:$AAZ,6,FALSE),VLOOKUP($B79,Outbound!$B:$AAZ,6,FALSE)),"NON TROVATO"),"")</f>
        <v>8.3333333335758653E-2</v>
      </c>
      <c r="I79" s="394">
        <f>IF(B79&lt;&gt;"",IFERROR(IF(LEFT($B79,3)=$Z$2,VLOOKUP($C79,Outbound!$B:$AAZ,52,FALSE),VLOOKUP($B79,Outbound!$B:$AAZ,52,FALSE)),"NON TROVATO"),"")</f>
        <v>0.94236111111111109</v>
      </c>
      <c r="J79" s="440">
        <v>546755514284</v>
      </c>
      <c r="K79" s="387" t="str">
        <f>IF(B79&lt;&gt;"",IF($D79&lt;&gt;"ON ROCS/NOT ON FILE",IFERROR(_xlfn.XLOOKUP(LEFT($D79,3),'STAT 77 Table'!$B:$B,'STAT 77 Table'!$A:$A),"ZZ"&amp;RIGHT($B79,4)),""),"")</f>
        <v>IM727</v>
      </c>
      <c r="L79" s="396" t="s">
        <v>1605</v>
      </c>
      <c r="O79" s="388"/>
      <c r="P79" s="388"/>
      <c r="AA79" s="421" t="str">
        <f t="shared" si="1"/>
        <v>ERN17082</v>
      </c>
    </row>
    <row r="80" spans="1:27" ht="16.5" hidden="1">
      <c r="A80" s="387" t="str">
        <f>'STAT 77 Table'!$I$254</f>
        <v/>
      </c>
      <c r="B80" t="s">
        <v>1462</v>
      </c>
      <c r="C80" t="s">
        <v>1463</v>
      </c>
      <c r="D80" s="387" t="str">
        <f>IF($B80&lt;&gt;"",IFERROR(IF(LEFT($B80,3)=$Z$2,VLOOKUP($C80,Outbound!$B:$Z,4,FALSE),VLOOKUP($B80,Outbound!$B:$Z,4,FALSE)),"ON ROCS/NOT ON FILE"),"")</f>
        <v>MAD 1</v>
      </c>
      <c r="E80" s="387" t="str">
        <f>IF($B80&lt;&gt;"",IFERROR(IF(LEFT($B80,4)=$Z$2,VLOOKUP($C80,Outbound!$B:$Z,5,FALSE),VLOOKUP($B80,Outbound!$B:$Z,5,FALSE)),"ON ROCS/NOT ON FILE"),"")</f>
        <v/>
      </c>
      <c r="F80" s="387" t="str">
        <f>IF(B80&lt;&gt;"",IFERROR(IF(LEFT($B80,3)=$Z$2,VLOOKUP($C80,Outbound!$B:$Z,11,FALSE),VLOOKUP($B80,Outbound!$B:$Z,11,FALSE)),"NON TROVATO"),"")</f>
        <v>Furgo-trayler</v>
      </c>
      <c r="G80" s="394" t="str">
        <f>IF(B80&lt;&gt;"",IFERROR(IF(LEFT($B80,3)=$Z$2,VLOOKUP($C80,Outbound!$B:$AAZ,16,FALSE),VLOOKUP($B80,Outbound!$B:$AAZ,16,FALSE)),"NON TROVATO"),"")</f>
        <v>ENBR21008</v>
      </c>
      <c r="H80" s="394">
        <f>IF(B80&lt;&gt;"",IFERROR(IF(LEFT($B80,3)=$Z$2,VLOOKUP($C80,Outbound!$B:$AAZ,6,FALSE),VLOOKUP($B80,Outbound!$B:$AAZ,6,FALSE)),"NON TROVATO"),"")</f>
        <v>8.3333333335758653E-2</v>
      </c>
      <c r="I80" s="394">
        <f>IF(B80&lt;&gt;"",IFERROR(IF(LEFT($B80,3)=$Z$2,VLOOKUP($C80,Outbound!$B:$AAZ,52,FALSE),VLOOKUP($B80,Outbound!$B:$AAZ,52,FALSE)),"NON TROVATO"),"")</f>
        <v>4.0972222222222222E-2</v>
      </c>
      <c r="J80" s="440">
        <v>546758562263</v>
      </c>
      <c r="K80" s="387" t="str">
        <f>IF(B80&lt;&gt;"",IF($D80&lt;&gt;"ON ROCS/NOT ON FILE",IFERROR(_xlfn.XLOOKUP(LEFT($D80,3),'STAT 77 Table'!$B:$B,'STAT 77 Table'!$A:$A),"ZZ"&amp;RIGHT($B80,4)),""),"")</f>
        <v>IM623</v>
      </c>
      <c r="L80" s="396" t="s">
        <v>1605</v>
      </c>
      <c r="O80" s="388"/>
      <c r="P80" s="388"/>
      <c r="AA80" s="421" t="str">
        <f t="shared" si="1"/>
        <v>ERN18726</v>
      </c>
    </row>
    <row r="81" spans="1:27" ht="16.5" hidden="1">
      <c r="A81" s="387" t="str">
        <f>'STAT 77 Table'!$I$185</f>
        <v>ITD12338</v>
      </c>
      <c r="B81" t="s">
        <v>1575</v>
      </c>
      <c r="C81" t="s">
        <v>1576</v>
      </c>
      <c r="D81" s="387" t="str">
        <f>IF($B81&lt;&gt;"",IFERROR(IF(LEFT($B81,3)=$Z$2,VLOOKUP($C81,Outbound!$B:$Z,4,FALSE),VLOOKUP($B81,Outbound!$B:$Z,4,FALSE)),"ON ROCS/NOT ON FILE"),"")</f>
        <v>Z8C</v>
      </c>
      <c r="E81" s="387" t="str">
        <f>IF($B81&lt;&gt;"",IFERROR(IF(LEFT($B81,4)=$Z$2,VLOOKUP($C81,Outbound!$B:$Z,5,FALSE),VLOOKUP($B81,Outbound!$B:$Z,5,FALSE)),"ON ROCS/NOT ON FILE"),"")</f>
        <v>ZCBA</v>
      </c>
      <c r="F81" s="387" t="str">
        <f>IF(B81&lt;&gt;"",IFERROR(IF(LEFT($B81,3)=$Z$2,VLOOKUP($C81,Outbound!$B:$Z,11,FALSE),VLOOKUP($B81,Outbound!$B:$Z,11,FALSE)),"NON TROVATO"),"")</f>
        <v>Galileo Transport Srl</v>
      </c>
      <c r="G81" s="394" t="str">
        <f>IF(B81&lt;&gt;"",IFERROR(IF(LEFT($B81,3)=$Z$2,VLOOKUP($C81,Outbound!$B:$AAZ,16,FALSE),VLOOKUP($B81,Outbound!$B:$AAZ,16,FALSE)),"NON TROVATO"),"")</f>
        <v>enb17832</v>
      </c>
      <c r="H81" s="394">
        <f>IF(B81&lt;&gt;"",IFERROR(IF(LEFT($B81,3)=$Z$2,VLOOKUP($C81,Outbound!$B:$AAZ,6,FALSE),VLOOKUP($B81,Outbound!$B:$AAZ,6,FALSE)),"NON TROVATO"),"")</f>
        <v>8.3333333335758653E-2</v>
      </c>
      <c r="I81" s="394">
        <f>IF(B81&lt;&gt;"",IFERROR(IF(LEFT($B81,3)=$Z$2,VLOOKUP($C81,Outbound!$B:$AAZ,52,FALSE),VLOOKUP($B81,Outbound!$B:$AAZ,52,FALSE)),"NON TROVATO"),"")</f>
        <v>5.4166666666666669E-2</v>
      </c>
      <c r="J81" s="440">
        <v>546692645792</v>
      </c>
      <c r="K81" s="387" t="str">
        <f>IF(B81&lt;&gt;"",IF($D81&lt;&gt;"ON ROCS/NOT ON FILE",IFERROR(_xlfn.XLOOKUP(LEFT($D81,3),'STAT 77 Table'!$B:$B,'STAT 77 Table'!$A:$A),"ZZ"&amp;RIGHT($B81,4)),""),"")</f>
        <v>IM372</v>
      </c>
      <c r="L81" s="396" t="s">
        <v>1605</v>
      </c>
      <c r="O81" s="388"/>
      <c r="P81" s="388"/>
      <c r="AA81" s="421" t="str">
        <f t="shared" si="1"/>
        <v>ERN09228</v>
      </c>
    </row>
    <row r="82" spans="1:27" ht="16.5" hidden="1">
      <c r="A82" s="387" t="str">
        <f>'STAT 77 Table'!$I$190</f>
        <v>ITD12353</v>
      </c>
      <c r="B82" t="s">
        <v>1436</v>
      </c>
      <c r="C82" t="s">
        <v>1437</v>
      </c>
      <c r="D82" s="387" t="str">
        <f>IF($B82&lt;&gt;"",IFERROR(IF(LEFT($B82,3)=$Z$2,VLOOKUP($C82,Outbound!$B:$Z,4,FALSE),VLOOKUP($B82,Outbound!$B:$Z,4,FALSE)),"ON ROCS/NOT ON FILE"),"")</f>
        <v>HNJ 2</v>
      </c>
      <c r="E82" s="387" t="str">
        <f>IF($B82&lt;&gt;"",IFERROR(IF(LEFT($B82,4)=$Z$2,VLOOKUP($C82,Outbound!$B:$Z,5,FALSE),VLOOKUP($B82,Outbound!$B:$Z,5,FALSE)),"ON ROCS/NOT ON FILE"),"")</f>
        <v/>
      </c>
      <c r="F82" s="387" t="str">
        <f>IF(B82&lt;&gt;"",IFERROR(IF(LEFT($B82,3)=$Z$2,VLOOKUP($C82,Outbound!$B:$Z,11,FALSE),VLOOKUP($B82,Outbound!$B:$Z,11,FALSE)),"NON TROVATO"),"")</f>
        <v>Maracana Srl</v>
      </c>
      <c r="G82" s="394" t="str">
        <f>IF(B82&lt;&gt;"",IFERROR(IF(LEFT($B82,3)=$Z$2,VLOOKUP($C82,Outbound!$B:$AAZ,16,FALSE),VLOOKUP($B82,Outbound!$B:$AAZ,16,FALSE)),"NON TROVATO"),"")</f>
        <v>ENBD20238</v>
      </c>
      <c r="H82" s="394">
        <f>IF(B82&lt;&gt;"",IFERROR(IF(LEFT($B82,3)=$Z$2,VLOOKUP($C82,Outbound!$B:$AAZ,6,FALSE),VLOOKUP($B82,Outbound!$B:$AAZ,6,FALSE)),"NON TROVATO"),"")</f>
        <v>8.3333333335758653E-2</v>
      </c>
      <c r="I82" s="394">
        <f>IF(B82&lt;&gt;"",IFERROR(IF(LEFT($B82,3)=$Z$2,VLOOKUP($C82,Outbound!$B:$AAZ,52,FALSE),VLOOKUP($B82,Outbound!$B:$AAZ,52,FALSE)),"NON TROVATO"),"")</f>
        <v>4.8611111111111112E-2</v>
      </c>
      <c r="J82" s="570">
        <v>546758562723</v>
      </c>
      <c r="K82" s="387" t="str">
        <f>IF(B82&lt;&gt;"",IF($D82&lt;&gt;"ON ROCS/NOT ON FILE",IFERROR(_xlfn.XLOOKUP(LEFT($D82,3),'STAT 77 Table'!$B:$B,'STAT 77 Table'!$A:$A),"ZZ"&amp;RIGHT($B82,4)),""),"")</f>
        <v>IM484</v>
      </c>
      <c r="L82" s="396" t="s">
        <v>1605</v>
      </c>
      <c r="O82" s="388"/>
      <c r="P82" s="388"/>
      <c r="AA82" s="421" t="str">
        <f t="shared" si="1"/>
        <v>ERN09573</v>
      </c>
    </row>
    <row r="83" spans="1:27" ht="16.5" hidden="1">
      <c r="A83" s="387" t="str">
        <f>'STAT 77 Table'!$I$192</f>
        <v>ERN19818</v>
      </c>
      <c r="B83" t="s">
        <v>1440</v>
      </c>
      <c r="C83" t="s">
        <v>1441</v>
      </c>
      <c r="D83" s="387" t="str">
        <f>IF($B83&lt;&gt;"",IFERROR(IF(LEFT($B83,3)=$Z$2,VLOOKUP($C83,Outbound!$B:$Z,4,FALSE),VLOOKUP($B83,Outbound!$B:$Z,4,FALSE)),"ON ROCS/NOT ON FILE"),"")</f>
        <v>HNJ 1</v>
      </c>
      <c r="E83" s="387" t="str">
        <f>IF($B83&lt;&gt;"",IFERROR(IF(LEFT($B83,4)=$Z$2,VLOOKUP($C83,Outbound!$B:$Z,5,FALSE),VLOOKUP($B83,Outbound!$B:$Z,5,FALSE)),"ON ROCS/NOT ON FILE"),"")</f>
        <v/>
      </c>
      <c r="F83" s="387" t="str">
        <f>IF(B83&lt;&gt;"",IFERROR(IF(LEFT($B83,3)=$Z$2,VLOOKUP($C83,Outbound!$B:$Z,11,FALSE),VLOOKUP($B83,Outbound!$B:$Z,11,FALSE)),"NON TROVATO"),"")</f>
        <v>Ewals Cargo Care Logistics Bv</v>
      </c>
      <c r="G83" s="394" t="str">
        <f>IF(B83&lt;&gt;"",IFERROR(IF(LEFT($B83,3)=$Z$2,VLOOKUP($C83,Outbound!$B:$AAZ,16,FALSE),VLOOKUP($B83,Outbound!$B:$AAZ,16,FALSE)),"NON TROVATO"),"")</f>
        <v>ENB16211</v>
      </c>
      <c r="H83" s="394">
        <f>IF(B83&lt;&gt;"",IFERROR(IF(LEFT($B83,3)=$Z$2,VLOOKUP($C83,Outbound!$B:$AAZ,6,FALSE),VLOOKUP($B83,Outbound!$B:$AAZ,6,FALSE)),"NON TROVATO"),"")</f>
        <v>8.3333333335758653E-2</v>
      </c>
      <c r="I83" s="394" t="str">
        <f>IF(B83&lt;&gt;"",IFERROR(IF(LEFT($B83,3)=$Z$2,VLOOKUP($C83,Outbound!$B:$AAZ,52,FALSE),VLOOKUP($B83,Outbound!$B:$AAZ,52,FALSE)),"NON TROVATO"),"")</f>
        <v>X</v>
      </c>
      <c r="J83" s="440">
        <v>546689573006</v>
      </c>
      <c r="K83" s="387" t="str">
        <f>IF(B83&lt;&gt;"",IF($D83&lt;&gt;"ON ROCS/NOT ON FILE",IFERROR(_xlfn.XLOOKUP(LEFT($D83,3),'STAT 77 Table'!$B:$B,'STAT 77 Table'!$A:$A),"ZZ"&amp;RIGHT($B83,4)),""),"")</f>
        <v>IM484</v>
      </c>
      <c r="L83" s="396" t="s">
        <v>1605</v>
      </c>
      <c r="O83" s="388"/>
      <c r="P83" s="388"/>
      <c r="AA83" s="421" t="str">
        <f t="shared" si="1"/>
        <v>ERN18812</v>
      </c>
    </row>
    <row r="84" spans="1:27" ht="16.5" hidden="1">
      <c r="A84" s="387" t="str">
        <f>'STAT 77 Table'!$I$244</f>
        <v/>
      </c>
      <c r="B84" t="s">
        <v>1466</v>
      </c>
      <c r="C84" t="s">
        <v>1467</v>
      </c>
      <c r="D84" s="387" t="str">
        <f>IF($B84&lt;&gt;"",IFERROR(IF(LEFT($B84,3)=$Z$2,VLOOKUP($C84,Outbound!$B:$Z,4,FALSE),VLOOKUP($B84,Outbound!$B:$Z,4,FALSE)),"ON ROCS/NOT ON FILE"),"")</f>
        <v>MAD 2</v>
      </c>
      <c r="E84" s="387" t="str">
        <f>IF($B84&lt;&gt;"",IFERROR(IF(LEFT($B84,4)=$Z$2,VLOOKUP($C84,Outbound!$B:$Z,5,FALSE),VLOOKUP($B84,Outbound!$B:$Z,5,FALSE)),"ON ROCS/NOT ON FILE"),"")</f>
        <v/>
      </c>
      <c r="F84" s="387" t="str">
        <f>IF(B84&lt;&gt;"",IFERROR(IF(LEFT($B84,3)=$Z$2,VLOOKUP($C84,Outbound!$B:$Z,11,FALSE),VLOOKUP($B84,Outbound!$B:$Z,11,FALSE)),"NON TROVATO"),"")</f>
        <v>Logistica Grillo, S.L.</v>
      </c>
      <c r="G84" s="394" t="str">
        <f>IF(B84&lt;&gt;"",IFERROR(IF(LEFT($B84,3)=$Z$2,VLOOKUP($C84,Outbound!$B:$AAZ,16,FALSE),VLOOKUP($B84,Outbound!$B:$AAZ,16,FALSE)),"NON TROVATO"),"")</f>
        <v>ENBD20172</v>
      </c>
      <c r="H84" s="394">
        <f>IF(B84&lt;&gt;"",IFERROR(IF(LEFT($B84,3)=$Z$2,VLOOKUP($C84,Outbound!$B:$AAZ,6,FALSE),VLOOKUP($B84,Outbound!$B:$AAZ,6,FALSE)),"NON TROVATO"),"")</f>
        <v>8.3333333335758653E-2</v>
      </c>
      <c r="I84" s="394">
        <f>IF(B84&lt;&gt;"",IFERROR(IF(LEFT($B84,3)=$Z$2,VLOOKUP($C84,Outbound!$B:$AAZ,52,FALSE),VLOOKUP($B84,Outbound!$B:$AAZ,52,FALSE)),"NON TROVATO"),"")</f>
        <v>3.0555555555555555E-2</v>
      </c>
      <c r="J84" s="440">
        <v>546749496390</v>
      </c>
      <c r="K84" s="387" t="str">
        <f>IF(B84&lt;&gt;"",IF($D84&lt;&gt;"ON ROCS/NOT ON FILE",IFERROR(_xlfn.XLOOKUP(LEFT($D84,3),'STAT 77 Table'!$B:$B,'STAT 77 Table'!$A:$A),"ZZ"&amp;RIGHT($B84,4)),""),"")</f>
        <v>IM623</v>
      </c>
      <c r="L84" s="396" t="s">
        <v>1605</v>
      </c>
      <c r="O84" s="388"/>
      <c r="P84" s="388"/>
      <c r="AA84" s="421" t="str">
        <f t="shared" si="1"/>
        <v>ERN15904</v>
      </c>
    </row>
    <row r="85" spans="1:27" ht="16.5" hidden="1">
      <c r="A85" s="387" t="str">
        <f>'STAT 77 Table'!$I$262</f>
        <v/>
      </c>
      <c r="B85" t="s">
        <v>248</v>
      </c>
      <c r="C85" t="s">
        <v>1531</v>
      </c>
      <c r="D85" s="387" t="str">
        <f>IF($B85&lt;&gt;"",IFERROR(IF(LEFT($B85,3)=$Z$2,VLOOKUP($C85,Outbound!$B:$Z,4,FALSE),VLOOKUP($B85,Outbound!$B:$Z,4,FALSE)),"ON ROCS/NOT ON FILE"),"")</f>
        <v>QAR 2</v>
      </c>
      <c r="E85" s="387" t="str">
        <f>IF($B85&lt;&gt;"",IFERROR(IF(LEFT($B85,4)=$Z$2,VLOOKUP($C85,Outbound!$B:$Z,5,FALSE),VLOOKUP($B85,Outbound!$B:$Z,5,FALSE)),"ON ROCS/NOT ON FILE"),"")</f>
        <v/>
      </c>
      <c r="F85" s="387" t="str">
        <f>IF(B85&lt;&gt;"",IFERROR(IF(LEFT($B85,3)=$Z$2,VLOOKUP($C85,Outbound!$B:$Z,11,FALSE),VLOOKUP($B85,Outbound!$B:$Z,11,FALSE)),"NON TROVATO"),"")</f>
        <v>Fedex Express Netherlands Bv Rno Own Nl</v>
      </c>
      <c r="G85" s="394" t="str">
        <f>IF(B85&lt;&gt;"",IFERROR(IF(LEFT($B85,3)=$Z$2,VLOOKUP($C85,Outbound!$B:$AAZ,16,FALSE),VLOOKUP($B85,Outbound!$B:$AAZ,16,FALSE)),"NON TROVATO"),"")</f>
        <v>ENB15458</v>
      </c>
      <c r="H85" s="394">
        <f>IF(B85&lt;&gt;"",IFERROR(IF(LEFT($B85,3)=$Z$2,VLOOKUP($C85,Outbound!$B:$AAZ,6,FALSE),VLOOKUP($B85,Outbound!$B:$AAZ,6,FALSE)),"NON TROVATO"),"")</f>
        <v>8.3333333335758653E-2</v>
      </c>
      <c r="I85" s="394">
        <f>IF(B85&lt;&gt;"",IFERROR(IF(LEFT($B85,3)=$Z$2,VLOOKUP($C85,Outbound!$B:$AAZ,52,FALSE),VLOOKUP($B85,Outbound!$B:$AAZ,52,FALSE)),"NON TROVATO"),"")</f>
        <v>0.98124999999999996</v>
      </c>
      <c r="J85" s="440">
        <v>546749496849</v>
      </c>
      <c r="K85" s="387" t="str">
        <f>IF(B85&lt;&gt;"",IF($D85&lt;&gt;"ON ROCS/NOT ON FILE",IFERROR(_xlfn.XLOOKUP(LEFT($D85,3),'STAT 77 Table'!$B:$B,'STAT 77 Table'!$A:$A),"ZZ"&amp;RIGHT($B85,4)),""),"")</f>
        <v>IM727</v>
      </c>
      <c r="L85" s="396" t="s">
        <v>1605</v>
      </c>
      <c r="O85" s="388"/>
      <c r="P85" s="388"/>
      <c r="AA85" s="421" t="str">
        <f t="shared" si="1"/>
        <v>ERN17079</v>
      </c>
    </row>
    <row r="86" spans="1:27" ht="16.5" hidden="1">
      <c r="A86" s="387" t="str">
        <f>'STAT 77 Table'!$I$269</f>
        <v/>
      </c>
      <c r="B86" t="s">
        <v>174</v>
      </c>
      <c r="C86" t="s">
        <v>1423</v>
      </c>
      <c r="D86" s="387" t="str">
        <f>IF($B86&lt;&gt;"",IFERROR(IF(LEFT($B86,3)=$Z$2,VLOOKUP($C86,Outbound!$B:$Z,4,FALSE),VLOOKUP($B86,Outbound!$B:$Z,4,FALSE)),"ON ROCS/NOT ON FILE"),"")</f>
        <v>DNG 1</v>
      </c>
      <c r="E86" s="387" t="str">
        <f>IF($B86&lt;&gt;"",IFERROR(IF(LEFT($B86,4)=$Z$2,VLOOKUP($C86,Outbound!$B:$Z,5,FALSE),VLOOKUP($B86,Outbound!$B:$Z,5,FALSE)),"ON ROCS/NOT ON FILE"),"")</f>
        <v/>
      </c>
      <c r="F86" s="387" t="str">
        <f>IF(B86&lt;&gt;"",IFERROR(IF(LEFT($B86,3)=$Z$2,VLOOKUP($C86,Outbound!$B:$Z,11,FALSE),VLOOKUP($B86,Outbound!$B:$Z,11,FALSE)),"NON TROVATO"),"")</f>
        <v>T Service Spa</v>
      </c>
      <c r="G86" s="394" t="str">
        <f>IF(B86&lt;&gt;"",IFERROR(IF(LEFT($B86,3)=$Z$2,VLOOKUP($C86,Outbound!$B:$AAZ,16,FALSE),VLOOKUP($B86,Outbound!$B:$AAZ,16,FALSE)),"NON TROVATO"),"")</f>
        <v>ENBD20297</v>
      </c>
      <c r="H86" s="394">
        <f>IF(B86&lt;&gt;"",IFERROR(IF(LEFT($B86,3)=$Z$2,VLOOKUP($C86,Outbound!$B:$AAZ,6,FALSE),VLOOKUP($B86,Outbound!$B:$AAZ,6,FALSE)),"NON TROVATO"),"")</f>
        <v>8.3333333335758653E-2</v>
      </c>
      <c r="I86" s="394">
        <f>IF(B86&lt;&gt;"",IFERROR(IF(LEFT($B86,3)=$Z$2,VLOOKUP($C86,Outbound!$B:$AAZ,52,FALSE),VLOOKUP($B86,Outbound!$B:$AAZ,52,FALSE)),"NON TROVATO"),"")</f>
        <v>3.3333333333333333E-2</v>
      </c>
      <c r="J86" s="440">
        <v>546758563903</v>
      </c>
      <c r="K86" s="387" t="str">
        <f>IF(B86&lt;&gt;"",IF($D86&lt;&gt;"ON ROCS/NOT ON FILE",IFERROR(_xlfn.XLOOKUP(LEFT($D86,3),'STAT 77 Table'!$B:$B,'STAT 77 Table'!$A:$A),"ZZ"&amp;RIGHT($B86,4)),""),"")</f>
        <v>IM453</v>
      </c>
      <c r="L86" s="396" t="s">
        <v>1605</v>
      </c>
      <c r="O86" s="388"/>
      <c r="P86" s="388"/>
      <c r="AA86" s="421" t="str">
        <f t="shared" si="1"/>
        <v>ERN16731</v>
      </c>
    </row>
    <row r="87" spans="1:27" ht="16.5" hidden="1">
      <c r="A87" s="387">
        <f>'STAT 77 Table'!$I$290</f>
        <v>0</v>
      </c>
      <c r="B87" t="s">
        <v>1557</v>
      </c>
      <c r="C87" t="s">
        <v>1558</v>
      </c>
      <c r="D87" s="387" t="str">
        <f>IF($B87&lt;&gt;"",IFERROR(IF(LEFT($B87,3)=$Z$2,VLOOKUP($C87,Outbound!$B:$Z,4,FALSE),VLOOKUP($B87,Outbound!$B:$Z,4,FALSE)),"ON ROCS/NOT ON FILE"),"")</f>
        <v>XPI 1</v>
      </c>
      <c r="E87" s="387" t="str">
        <f>IF($B87&lt;&gt;"",IFERROR(IF(LEFT($B87,4)=$Z$2,VLOOKUP($C87,Outbound!$B:$Z,5,FALSE),VLOOKUP($B87,Outbound!$B:$Z,5,FALSE)),"ON ROCS/NOT ON FILE"),"")</f>
        <v/>
      </c>
      <c r="F87" s="387" t="str">
        <f>IF(B87&lt;&gt;"",IFERROR(IF(LEFT($B87,3)=$Z$2,VLOOKUP($C87,Outbound!$B:$Z,11,FALSE),VLOOKUP($B87,Outbound!$B:$Z,11,FALSE)),"NON TROVATO"),"")</f>
        <v>T Service Spa</v>
      </c>
      <c r="G87" s="394" t="str">
        <f>IF(B87&lt;&gt;"",IFERROR(IF(LEFT($B87,3)=$Z$2,VLOOKUP($C87,Outbound!$B:$AAZ,16,FALSE),VLOOKUP($B87,Outbound!$B:$AAZ,16,FALSE)),"NON TROVATO"),"")</f>
        <v>ENB16206</v>
      </c>
      <c r="H87" s="394">
        <f>IF(B87&lt;&gt;"",IFERROR(IF(LEFT($B87,3)=$Z$2,VLOOKUP($C87,Outbound!$B:$AAZ,6,FALSE),VLOOKUP($B87,Outbound!$B:$AAZ,6,FALSE)),"NON TROVATO"),"")</f>
        <v>8.3333333335758653E-2</v>
      </c>
      <c r="I87" s="394">
        <f>IF(B87&lt;&gt;"",IFERROR(IF(LEFT($B87,3)=$Z$2,VLOOKUP($C87,Outbound!$B:$AAZ,52,FALSE),VLOOKUP($B87,Outbound!$B:$AAZ,52,FALSE)),"NON TROVATO"),"")</f>
        <v>6.8750000000000006E-2</v>
      </c>
      <c r="J87" s="440">
        <v>546749489755</v>
      </c>
      <c r="K87" s="387" t="str">
        <f>IF(B87&lt;&gt;"",IF($D87&lt;&gt;"ON ROCS/NOT ON FILE",IFERROR(_xlfn.XLOOKUP(LEFT($D87,3),'STAT 77 Table'!$B:$B,'STAT 77 Table'!$A:$A),"ZZ"&amp;RIGHT($B87,4)),""),"")</f>
        <v>IM971</v>
      </c>
      <c r="L87" s="396" t="s">
        <v>1605</v>
      </c>
      <c r="O87" s="388"/>
      <c r="P87" s="388"/>
      <c r="AA87" s="421" t="str">
        <f t="shared" si="1"/>
        <v>ERN19161</v>
      </c>
    </row>
    <row r="88" spans="1:27" ht="16.5" hidden="1">
      <c r="A88" s="387" t="str">
        <f>'STAT 77 Table'!$I$220</f>
        <v/>
      </c>
      <c r="B88" t="s">
        <v>1365</v>
      </c>
      <c r="C88" t="s">
        <v>1366</v>
      </c>
      <c r="D88" s="387" t="str">
        <f>IF($B88&lt;&gt;"",IFERROR(IF(LEFT($B88,3)=$Z$2,VLOOKUP($C88,Outbound!$B:$Z,4,FALSE),VLOOKUP($B88,Outbound!$B:$Z,4,FALSE)),"ON ROCS/NOT ON FILE"),"")</f>
        <v>BCN 3</v>
      </c>
      <c r="E88" s="387" t="str">
        <f>IF($B88&lt;&gt;"",IFERROR(IF(LEFT($B88,4)=$Z$2,VLOOKUP($C88,Outbound!$B:$Z,5,FALSE),VLOOKUP($B88,Outbound!$B:$Z,5,FALSE)),"ON ROCS/NOT ON FILE"),"")</f>
        <v/>
      </c>
      <c r="F88" s="387" t="str">
        <f>IF(B88&lt;&gt;"",IFERROR(IF(LEFT($B88,3)=$Z$2,VLOOKUP($C88,Outbound!$B:$Z,11,FALSE),VLOOKUP($B88,Outbound!$B:$Z,11,FALSE)),"NON TROVATO"),"")</f>
        <v>Galileo Transport Srl</v>
      </c>
      <c r="G88" s="394" t="str">
        <f>IF(B88&lt;&gt;"",IFERROR(IF(LEFT($B88,3)=$Z$2,VLOOKUP($C88,Outbound!$B:$AAZ,16,FALSE),VLOOKUP($B88,Outbound!$B:$AAZ,16,FALSE)),"NON TROVATO"),"")</f>
        <v>enbd20373</v>
      </c>
      <c r="H88" s="394">
        <f>IF(B88&lt;&gt;"",IFERROR(IF(LEFT($B88,3)=$Z$2,VLOOKUP($C88,Outbound!$B:$AAZ,6,FALSE),VLOOKUP($B88,Outbound!$B:$AAZ,6,FALSE)),"NON TROVATO"),"")</f>
        <v>9.375E-2</v>
      </c>
      <c r="I88" s="394">
        <f>IF(B88&lt;&gt;"",IFERROR(IF(LEFT($B88,3)=$Z$2,VLOOKUP($C88,Outbound!$B:$AAZ,52,FALSE),VLOOKUP($B88,Outbound!$B:$AAZ,52,FALSE)),"NON TROVATO"),"")</f>
        <v>7.1527777777777773E-2</v>
      </c>
      <c r="J88" s="440">
        <v>546767387494</v>
      </c>
      <c r="K88" s="387" t="str">
        <f>IF(B88&lt;&gt;"",IF($D88&lt;&gt;"ON ROCS/NOT ON FILE",IFERROR(_xlfn.XLOOKUP(LEFT($D88,3),'STAT 77 Table'!$B:$B,'STAT 77 Table'!$A:$A),"ZZ"&amp;RIGHT($B88,4)),""),"")</f>
        <v>IM226</v>
      </c>
      <c r="L88" s="396" t="s">
        <v>1605</v>
      </c>
      <c r="O88" s="388"/>
      <c r="P88" s="388"/>
      <c r="AA88" s="421" t="str">
        <f t="shared" si="1"/>
        <v>ERN92396</v>
      </c>
    </row>
    <row r="89" spans="1:27" ht="16.5" hidden="1">
      <c r="A89" s="387">
        <f>'STAT 77 Table'!$I$276</f>
        <v>0</v>
      </c>
      <c r="B89" t="s">
        <v>1514</v>
      </c>
      <c r="C89" t="s">
        <v>1515</v>
      </c>
      <c r="D89" s="387" t="str">
        <f>IF($B89&lt;&gt;"",IFERROR(IF(LEFT($B89,3)=$Z$2,VLOOKUP($C89,Outbound!$B:$Z,4,FALSE),VLOOKUP($B89,Outbound!$B:$Z,4,FALSE)),"ON ROCS/NOT ON FILE"),"")</f>
        <v>QAR 4</v>
      </c>
      <c r="E89" s="387" t="str">
        <f>IF($B89&lt;&gt;"",IFERROR(IF(LEFT($B89,4)=$Z$2,VLOOKUP($C89,Outbound!$B:$Z,5,FALSE),VLOOKUP($B89,Outbound!$B:$Z,5,FALSE)),"ON ROCS/NOT ON FILE"),"")</f>
        <v/>
      </c>
      <c r="F89" s="387" t="str">
        <f>IF(B89&lt;&gt;"",IFERROR(IF(LEFT($B89,3)=$Z$2,VLOOKUP($C89,Outbound!$B:$Z,11,FALSE),VLOOKUP($B89,Outbound!$B:$Z,11,FALSE)),"NON TROVATO"),"")</f>
        <v>Galileo Transport Srl</v>
      </c>
      <c r="G89" s="394" t="str">
        <f>IF(B89&lt;&gt;"",IFERROR(IF(LEFT($B89,3)=$Z$2,VLOOKUP($C89,Outbound!$B:$AAZ,16,FALSE),VLOOKUP($B89,Outbound!$B:$AAZ,16,FALSE)),"NON TROVATO"),"")</f>
        <v>RENT214</v>
      </c>
      <c r="H89" s="394">
        <f>IF(B89&lt;&gt;"",IFERROR(IF(LEFT($B89,3)=$Z$2,VLOOKUP($C89,Outbound!$B:$AAZ,6,FALSE),VLOOKUP($B89,Outbound!$B:$AAZ,6,FALSE)),"NON TROVATO"),"")</f>
        <v>9.375E-2</v>
      </c>
      <c r="I89" s="394">
        <f>IF(B89&lt;&gt;"",IFERROR(IF(LEFT($B89,3)=$Z$2,VLOOKUP($C89,Outbound!$B:$AAZ,52,FALSE),VLOOKUP($B89,Outbound!$B:$AAZ,52,FALSE)),"NON TROVATO"),"")</f>
        <v>8.3333333333333329E-2</v>
      </c>
      <c r="J89" s="440">
        <v>546812595690</v>
      </c>
      <c r="K89" s="387" t="str">
        <f>IF(B89&lt;&gt;"",IF($D89&lt;&gt;"ON ROCS/NOT ON FILE",IFERROR(_xlfn.XLOOKUP(LEFT($D89,3),'STAT 77 Table'!$B:$B,'STAT 77 Table'!$A:$A),"ZZ"&amp;RIGHT($B89,4)),""),"")</f>
        <v>IM727</v>
      </c>
      <c r="L89" s="396" t="s">
        <v>1605</v>
      </c>
      <c r="O89" s="388"/>
      <c r="P89" s="388"/>
      <c r="AA89" s="421" t="str">
        <f t="shared" si="1"/>
        <v>ERN92398</v>
      </c>
    </row>
    <row r="90" spans="1:27" ht="16.5" hidden="1">
      <c r="A90" s="387">
        <f>'STAT 77 Table'!$I$294</f>
        <v>0</v>
      </c>
      <c r="B90" t="s">
        <v>1545</v>
      </c>
      <c r="C90" t="s">
        <v>1546</v>
      </c>
      <c r="D90" s="387" t="str">
        <f>IF($B90&lt;&gt;"",IFERROR(IF(LEFT($B90,3)=$Z$2,VLOOKUP($C90,Outbound!$B:$Z,4,FALSE),VLOOKUP($B90,Outbound!$B:$Z,4,FALSE)),"ON ROCS/NOT ON FILE"),"")</f>
        <v>WA1 1</v>
      </c>
      <c r="E90" s="387" t="str">
        <f>IF($B90&lt;&gt;"",IFERROR(IF(LEFT($B90,4)=$Z$2,VLOOKUP($C90,Outbound!$B:$Z,5,FALSE),VLOOKUP($B90,Outbound!$B:$Z,5,FALSE)),"ON ROCS/NOT ON FILE"),"")</f>
        <v/>
      </c>
      <c r="F90" s="387" t="str">
        <f>IF(B90&lt;&gt;"",IFERROR(IF(LEFT($B90,3)=$Z$2,VLOOKUP($C90,Outbound!$B:$Z,11,FALSE),VLOOKUP($B90,Outbound!$B:$Z,11,FALSE)),"NON TROVATO"),"")</f>
        <v>P.H.U Transbed Grzegorz Bednarek</v>
      </c>
      <c r="G90" s="394" t="str">
        <f>IF(B90&lt;&gt;"",IFERROR(IF(LEFT($B90,3)=$Z$2,VLOOKUP($C90,Outbound!$B:$AAZ,16,FALSE),VLOOKUP($B90,Outbound!$B:$AAZ,16,FALSE)),"NON TROVATO"),"")</f>
        <v>ENBR21025</v>
      </c>
      <c r="H90" s="394">
        <f>IF(B90&lt;&gt;"",IFERROR(IF(LEFT($B90,3)=$Z$2,VLOOKUP($C90,Outbound!$B:$AAZ,6,FALSE),VLOOKUP($B90,Outbound!$B:$AAZ,6,FALSE)),"NON TROVATO"),"")</f>
        <v>9.375E-2</v>
      </c>
      <c r="I90" s="394">
        <f>IF(B90&lt;&gt;"",IFERROR(IF(LEFT($B90,3)=$Z$2,VLOOKUP($C90,Outbound!$B:$AAZ,52,FALSE),VLOOKUP($B90,Outbound!$B:$AAZ,52,FALSE)),"NON TROVATO"),"")</f>
        <v>6.5972222222222224E-2</v>
      </c>
      <c r="J90" s="440">
        <v>546706527610</v>
      </c>
      <c r="K90" s="387" t="str">
        <f>IF(B90&lt;&gt;"",IF($D90&lt;&gt;"ON ROCS/NOT ON FILE",IFERROR(_xlfn.XLOOKUP(LEFT($D90,3),'STAT 77 Table'!$B:$B,'STAT 77 Table'!$A:$A),"ZZ"&amp;RIGHT($B90,4)),""),"")</f>
        <v>IM873</v>
      </c>
      <c r="L90" s="396" t="s">
        <v>1605</v>
      </c>
      <c r="O90" s="388"/>
      <c r="P90" s="388"/>
      <c r="AA90" s="421" t="str">
        <f t="shared" si="1"/>
        <v>ERN18882</v>
      </c>
    </row>
    <row r="91" spans="1:27" ht="16.5" hidden="1">
      <c r="A91" s="387" t="str">
        <f>'STAT 77 Table'!$I$202</f>
        <v>ERN92398</v>
      </c>
      <c r="B91" t="s">
        <v>1523</v>
      </c>
      <c r="C91" t="s">
        <v>1524</v>
      </c>
      <c r="D91" s="387" t="str">
        <f>IF($B91&lt;&gt;"",IFERROR(IF(LEFT($B91,3)=$Z$2,VLOOKUP($C91,Outbound!$B:$Z,4,FALSE),VLOOKUP($B91,Outbound!$B:$Z,4,FALSE)),"ON ROCS/NOT ON FILE"),"")</f>
        <v>QAR 3</v>
      </c>
      <c r="E91" s="387" t="str">
        <f>IF($B91&lt;&gt;"",IFERROR(IF(LEFT($B91,4)=$Z$2,VLOOKUP($C91,Outbound!$B:$Z,5,FALSE),VLOOKUP($B91,Outbound!$B:$Z,5,FALSE)),"ON ROCS/NOT ON FILE"),"")</f>
        <v/>
      </c>
      <c r="F91" s="387" t="str">
        <f>IF(B91&lt;&gt;"",IFERROR(IF(LEFT($B91,3)=$Z$2,VLOOKUP($C91,Outbound!$B:$Z,11,FALSE),VLOOKUP($B91,Outbound!$B:$Z,11,FALSE)),"NON TROVATO"),"")</f>
        <v>Fedex Express Netherlands Bv Rno Own Nl</v>
      </c>
      <c r="G91" s="394" t="str">
        <f>IF(B91&lt;&gt;"",IFERROR(IF(LEFT($B91,3)=$Z$2,VLOOKUP($C91,Outbound!$B:$AAZ,16,FALSE),VLOOKUP($B91,Outbound!$B:$AAZ,16,FALSE)),"NON TROVATO"),"")</f>
        <v>enbr21355</v>
      </c>
      <c r="H91" s="394">
        <f>IF(B91&lt;&gt;"",IFERROR(IF(LEFT($B91,3)=$Z$2,VLOOKUP($C91,Outbound!$B:$AAZ,6,FALSE),VLOOKUP($B91,Outbound!$B:$AAZ,6,FALSE)),"NON TROVATO"),"")</f>
        <v>9.375E-2</v>
      </c>
      <c r="I91" s="394">
        <f>IF(B91&lt;&gt;"",IFERROR(IF(LEFT($B91,3)=$Z$2,VLOOKUP($C91,Outbound!$B:$AAZ,52,FALSE),VLOOKUP($B91,Outbound!$B:$AAZ,52,FALSE)),"NON TROVATO"),"")</f>
        <v>1.5277777777777777E-2</v>
      </c>
      <c r="J91" s="440">
        <v>546777098726</v>
      </c>
      <c r="K91" s="387" t="str">
        <f>IF(B91&lt;&gt;"",IF($D91&lt;&gt;"ON ROCS/NOT ON FILE",IFERROR(_xlfn.XLOOKUP(LEFT($D91,3),'STAT 77 Table'!$B:$B,'STAT 77 Table'!$A:$A),"ZZ"&amp;RIGHT($B91,4)),""),"")</f>
        <v>IM727</v>
      </c>
      <c r="L91" s="396" t="s">
        <v>1605</v>
      </c>
      <c r="O91" s="388"/>
      <c r="P91" s="388"/>
      <c r="AA91" s="421" t="str">
        <f t="shared" si="1"/>
        <v>ERN17085</v>
      </c>
    </row>
    <row r="92" spans="1:27" ht="16.5" hidden="1">
      <c r="A92" s="387" t="str">
        <f>'STAT 77 Table'!$I$203</f>
        <v>ERN17082</v>
      </c>
      <c r="B92" t="s">
        <v>80</v>
      </c>
      <c r="C92" t="s">
        <v>1381</v>
      </c>
      <c r="D92" s="387" t="str">
        <f>IF($B92&lt;&gt;"",IFERROR(IF(LEFT($B92,3)=$Z$2,VLOOKUP($C92,Outbound!$B:$Z,4,FALSE),VLOOKUP($B92,Outbound!$B:$Z,4,FALSE)),"ON ROCS/NOT ON FILE"),"")</f>
        <v>BCN 1</v>
      </c>
      <c r="E92" s="387" t="str">
        <f>IF($B92&lt;&gt;"",IFERROR(IF(LEFT($B92,4)=$Z$2,VLOOKUP($C92,Outbound!$B:$Z,5,FALSE),VLOOKUP($B92,Outbound!$B:$Z,5,FALSE)),"ON ROCS/NOT ON FILE"),"")</f>
        <v/>
      </c>
      <c r="F92" s="387" t="str">
        <f>IF(B92&lt;&gt;"",IFERROR(IF(LEFT($B92,3)=$Z$2,VLOOKUP($C92,Outbound!$B:$Z,11,FALSE),VLOOKUP($B92,Outbound!$B:$Z,11,FALSE)),"NON TROVATO"),"")</f>
        <v>Furgo-trayler</v>
      </c>
      <c r="G92" s="394" t="str">
        <f>IF(B92&lt;&gt;"",IFERROR(IF(LEFT($B92,3)=$Z$2,VLOOKUP($C92,Outbound!$B:$AAZ,16,FALSE),VLOOKUP($B92,Outbound!$B:$AAZ,16,FALSE)),"NON TROVATO"),"")</f>
        <v>ENBR21391</v>
      </c>
      <c r="H92" s="394">
        <f>IF(B92&lt;&gt;"",IFERROR(IF(LEFT($B92,3)=$Z$2,VLOOKUP($C92,Outbound!$B:$AAZ,6,FALSE),VLOOKUP($B92,Outbound!$B:$AAZ,6,FALSE)),"NON TROVATO"),"")</f>
        <v>9.375E-2</v>
      </c>
      <c r="I92" s="394">
        <f>IF(B92&lt;&gt;"",IFERROR(IF(LEFT($B92,3)=$Z$2,VLOOKUP($C92,Outbound!$B:$AAZ,52,FALSE),VLOOKUP($B92,Outbound!$B:$AAZ,52,FALSE)),"NON TROVATO"),"")</f>
        <v>6.9444444444444448E-2</v>
      </c>
      <c r="J92" s="440">
        <v>546755512888</v>
      </c>
      <c r="K92" s="387" t="str">
        <f>IF(B92&lt;&gt;"",IF($D92&lt;&gt;"ON ROCS/NOT ON FILE",IFERROR(_xlfn.XLOOKUP(LEFT($D92,3),'STAT 77 Table'!$B:$B,'STAT 77 Table'!$A:$A),"ZZ"&amp;RIGHT($B92,4)),""),"")</f>
        <v>IM226</v>
      </c>
      <c r="L92" s="396" t="s">
        <v>1605</v>
      </c>
      <c r="O92" s="388"/>
      <c r="P92" s="388"/>
      <c r="AA92" s="421" t="str">
        <f t="shared" si="1"/>
        <v>ERN12476</v>
      </c>
    </row>
    <row r="93" spans="1:27" ht="16.5" hidden="1">
      <c r="A93" s="387" t="str">
        <f>'STAT 77 Table'!$I$272</f>
        <v/>
      </c>
      <c r="B93" t="s">
        <v>1547</v>
      </c>
      <c r="C93" t="s">
        <v>1548</v>
      </c>
      <c r="D93" s="387" t="str">
        <f>IF($B93&lt;&gt;"",IFERROR(IF(LEFT($B93,3)=$Z$2,VLOOKUP($C93,Outbound!$B:$Z,4,FALSE),VLOOKUP($B93,Outbound!$B:$Z,4,FALSE)),"ON ROCS/NOT ON FILE"),"")</f>
        <v>WA1 2</v>
      </c>
      <c r="E93" s="387" t="str">
        <f>IF($B93&lt;&gt;"",IFERROR(IF(LEFT($B93,4)=$Z$2,VLOOKUP($C93,Outbound!$B:$Z,5,FALSE),VLOOKUP($B93,Outbound!$B:$Z,5,FALSE)),"ON ROCS/NOT ON FILE"),"")</f>
        <v/>
      </c>
      <c r="F93" s="387" t="str">
        <f>IF(B93&lt;&gt;"",IFERROR(IF(LEFT($B93,3)=$Z$2,VLOOKUP($C93,Outbound!$B:$Z,11,FALSE),VLOOKUP($B93,Outbound!$B:$Z,11,FALSE)),"NON TROVATO"),"")</f>
        <v>Matelda Srl</v>
      </c>
      <c r="G93" s="394" t="str">
        <f>IF(B93&lt;&gt;"",IFERROR(IF(LEFT($B93,3)=$Z$2,VLOOKUP($C93,Outbound!$B:$AAZ,16,FALSE),VLOOKUP($B93,Outbound!$B:$AAZ,16,FALSE)),"NON TROVATO"),"")</f>
        <v>ENB17843</v>
      </c>
      <c r="H93" s="394">
        <f>IF(B93&lt;&gt;"",IFERROR(IF(LEFT($B93,3)=$Z$2,VLOOKUP($C93,Outbound!$B:$AAZ,6,FALSE),VLOOKUP($B93,Outbound!$B:$AAZ,6,FALSE)),"NON TROVATO"),"")</f>
        <v>9.375E-2</v>
      </c>
      <c r="I93" s="394" t="str">
        <f>IF(B93&lt;&gt;"",IFERROR(IF(LEFT($B93,3)=$Z$2,VLOOKUP($C93,Outbound!$B:$AAZ,52,FALSE),VLOOKUP($B93,Outbound!$B:$AAZ,52,FALSE)),"NON TROVATO"),"")</f>
        <v>X</v>
      </c>
      <c r="J93" s="440">
        <v>546693727667</v>
      </c>
      <c r="K93" s="387" t="str">
        <f>IF(B93&lt;&gt;"",IF($D93&lt;&gt;"ON ROCS/NOT ON FILE",IFERROR(_xlfn.XLOOKUP(LEFT($D93,3),'STAT 77 Table'!$B:$B,'STAT 77 Table'!$A:$A),"ZZ"&amp;RIGHT($B93,4)),""),"")</f>
        <v>IM873</v>
      </c>
      <c r="L93" s="396" t="s">
        <v>1605</v>
      </c>
      <c r="O93" s="388"/>
      <c r="P93" s="388"/>
      <c r="AA93" s="421" t="str">
        <f t="shared" si="1"/>
        <v>ERN19613</v>
      </c>
    </row>
    <row r="94" spans="1:27" ht="16.5" hidden="1">
      <c r="A94" s="387">
        <f>'STAT 77 Table'!$I$283</f>
        <v>0</v>
      </c>
      <c r="B94" t="s">
        <v>231</v>
      </c>
      <c r="C94" t="s">
        <v>1483</v>
      </c>
      <c r="D94" s="387" t="str">
        <f>IF($B94&lt;&gt;"",IFERROR(IF(LEFT($B94,3)=$Z$2,VLOOKUP($C94,Outbound!$B:$Z,4,FALSE),VLOOKUP($B94,Outbound!$B:$Z,4,FALSE)),"ON ROCS/NOT ON FILE"),"")</f>
        <v>MV9 2</v>
      </c>
      <c r="E94" s="387" t="str">
        <f>IF($B94&lt;&gt;"",IFERROR(IF(LEFT($B94,4)=$Z$2,VLOOKUP($C94,Outbound!$B:$Z,5,FALSE),VLOOKUP($B94,Outbound!$B:$Z,5,FALSE)),"ON ROCS/NOT ON FILE"),"")</f>
        <v/>
      </c>
      <c r="F94" s="387" t="str">
        <f>IF(B94&lt;&gt;"",IFERROR(IF(LEFT($B94,3)=$Z$2,VLOOKUP($C94,Outbound!$B:$Z,11,FALSE),VLOOKUP($B94,Outbound!$B:$Z,11,FALSE)),"NON TROVATO"),"")</f>
        <v>Lpx Group Bv</v>
      </c>
      <c r="G94" s="394" t="str">
        <f>IF(B94&lt;&gt;"",IFERROR(IF(LEFT($B94,3)=$Z$2,VLOOKUP($C94,Outbound!$B:$AAZ,16,FALSE),VLOOKUP($B94,Outbound!$B:$AAZ,16,FALSE)),"NON TROVATO"),"")</f>
        <v>ENB17859</v>
      </c>
      <c r="H94" s="394">
        <f>IF(B94&lt;&gt;"",IFERROR(IF(LEFT($B94,3)=$Z$2,VLOOKUP($C94,Outbound!$B:$AAZ,6,FALSE),VLOOKUP($B94,Outbound!$B:$AAZ,6,FALSE)),"NON TROVATO"),"")</f>
        <v>9.375E-2</v>
      </c>
      <c r="I94" s="394">
        <f>IF(B94&lt;&gt;"",IFERROR(IF(LEFT($B94,3)=$Z$2,VLOOKUP($C94,Outbound!$B:$AAZ,52,FALSE),VLOOKUP($B94,Outbound!$B:$AAZ,52,FALSE)),"NON TROVATO"),"")</f>
        <v>8.819444444444445E-2</v>
      </c>
      <c r="J94" s="440">
        <v>546793114424</v>
      </c>
      <c r="K94" s="387" t="str">
        <f>IF(B94&lt;&gt;"",IF($D94&lt;&gt;"ON ROCS/NOT ON FILE",IFERROR(_xlfn.XLOOKUP(LEFT($D94,3),'STAT 77 Table'!$B:$B,'STAT 77 Table'!$A:$A),"ZZ"&amp;RIGHT($B94,4)),""),"")</f>
        <v>IM978</v>
      </c>
      <c r="L94" s="396" t="s">
        <v>1605</v>
      </c>
      <c r="O94" s="388"/>
      <c r="P94" s="388"/>
      <c r="AA94" s="421" t="str">
        <f t="shared" si="1"/>
        <v>ERN16616</v>
      </c>
    </row>
    <row r="95" spans="1:27" ht="16.5" hidden="1">
      <c r="A95" s="387" t="str">
        <f>'STAT 77 Table'!$I$132</f>
        <v>ITD12886</v>
      </c>
      <c r="B95" t="s">
        <v>100</v>
      </c>
      <c r="C95" t="s">
        <v>1385</v>
      </c>
      <c r="D95" s="387" t="str">
        <f>IF($B95&lt;&gt;"",IFERROR(IF(LEFT($B95,3)=$Z$2,VLOOKUP($C95,Outbound!$B:$Z,4,FALSE),VLOOKUP($B95,Outbound!$B:$Z,4,FALSE)),"ON ROCS/NOT ON FILE"),"")</f>
        <v>BCN 2</v>
      </c>
      <c r="E95" s="387" t="str">
        <f>IF($B95&lt;&gt;"",IFERROR(IF(LEFT($B95,4)=$Z$2,VLOOKUP($C95,Outbound!$B:$Z,5,FALSE),VLOOKUP($B95,Outbound!$B:$Z,5,FALSE)),"ON ROCS/NOT ON FILE"),"")</f>
        <v/>
      </c>
      <c r="F95" s="387" t="str">
        <f>IF(B95&lt;&gt;"",IFERROR(IF(LEFT($B95,3)=$Z$2,VLOOKUP($C95,Outbound!$B:$Z,11,FALSE),VLOOKUP($B95,Outbound!$B:$Z,11,FALSE)),"NON TROVATO"),"")</f>
        <v>Logistica Grillo, S.L.</v>
      </c>
      <c r="G95" s="394" t="str">
        <f>IF(B95&lt;&gt;"",IFERROR(IF(LEFT($B95,3)=$Z$2,VLOOKUP($C95,Outbound!$B:$AAZ,16,FALSE),VLOOKUP($B95,Outbound!$B:$AAZ,16,FALSE)),"NON TROVATO"),"")</f>
        <v>r7097bdg</v>
      </c>
      <c r="H95" s="394">
        <f>IF(B95&lt;&gt;"",IFERROR(IF(LEFT($B95,3)=$Z$2,VLOOKUP($C95,Outbound!$B:$AAZ,6,FALSE),VLOOKUP($B95,Outbound!$B:$AAZ,6,FALSE)),"NON TROVATO"),"")</f>
        <v>9.375E-2</v>
      </c>
      <c r="I95" s="394">
        <f>IF(B95&lt;&gt;"",IFERROR(IF(LEFT($B95,3)=$Z$2,VLOOKUP($C95,Outbound!$B:$AAZ,52,FALSE),VLOOKUP($B95,Outbound!$B:$AAZ,52,FALSE)),"NON TROVATO"),"")</f>
        <v>0.99722222222222223</v>
      </c>
      <c r="J95" s="440">
        <v>546749495810</v>
      </c>
      <c r="K95" s="387" t="str">
        <f>IF(B95&lt;&gt;"",IF($D95&lt;&gt;"ON ROCS/NOT ON FILE",IFERROR(_xlfn.XLOOKUP(LEFT($D95,3),'STAT 77 Table'!$B:$B,'STAT 77 Table'!$A:$A),"ZZ"&amp;RIGHT($B95,4)),""),"")</f>
        <v>IM226</v>
      </c>
      <c r="L95" s="396" t="s">
        <v>1605</v>
      </c>
      <c r="O95" s="388"/>
      <c r="P95" s="388"/>
      <c r="AA95" s="421" t="str">
        <f t="shared" si="1"/>
        <v>ERN08119</v>
      </c>
    </row>
    <row r="96" spans="1:27" ht="16.5" hidden="1">
      <c r="A96" s="387" t="str">
        <f>'STAT 77 Table'!$I$155</f>
        <v>ERN92365</v>
      </c>
      <c r="B96" t="s">
        <v>1561</v>
      </c>
      <c r="C96" t="s">
        <v>1562</v>
      </c>
      <c r="D96" s="387" t="str">
        <f>IF($B96&lt;&gt;"",IFERROR(IF(LEFT($B96,3)=$Z$2,VLOOKUP($C96,Outbound!$B:$Z,4,FALSE),VLOOKUP($B96,Outbound!$B:$Z,4,FALSE)),"ON ROCS/NOT ON FILE"),"")</f>
        <v>XWT 4</v>
      </c>
      <c r="E96" s="387" t="str">
        <f>IF($B96&lt;&gt;"",IFERROR(IF(LEFT($B96,4)=$Z$2,VLOOKUP($C96,Outbound!$B:$Z,5,FALSE),VLOOKUP($B96,Outbound!$B:$Z,5,FALSE)),"ON ROCS/NOT ON FILE"),"")</f>
        <v/>
      </c>
      <c r="F96" s="387" t="str">
        <f>IF(B96&lt;&gt;"",IFERROR(IF(LEFT($B96,3)=$Z$2,VLOOKUP($C96,Outbound!$B:$Z,11,FALSE),VLOOKUP($B96,Outbound!$B:$Z,11,FALSE)),"NON TROVATO"),"")</f>
        <v>Matelda Srl</v>
      </c>
      <c r="G96" s="394" t="str">
        <f>IF(B96&lt;&gt;"",IFERROR(IF(LEFT($B96,3)=$Z$2,VLOOKUP($C96,Outbound!$B:$AAZ,16,FALSE),VLOOKUP($B96,Outbound!$B:$AAZ,16,FALSE)),"NON TROVATO"),"")</f>
        <v>XA318EY</v>
      </c>
      <c r="H96" s="394">
        <f>IF(B96&lt;&gt;"",IFERROR(IF(LEFT($B96,3)=$Z$2,VLOOKUP($C96,Outbound!$B:$AAZ,6,FALSE),VLOOKUP($B96,Outbound!$B:$AAZ,6,FALSE)),"NON TROVATO"),"")</f>
        <v>0.10416666666424135</v>
      </c>
      <c r="I96" s="394">
        <f>IF(B96&lt;&gt;"",IFERROR(IF(LEFT($B96,3)=$Z$2,VLOOKUP($C96,Outbound!$B:$AAZ,52,FALSE),VLOOKUP($B96,Outbound!$B:$AAZ,52,FALSE)),"NON TROVATO"),"")</f>
        <v>8.1250000000000003E-2</v>
      </c>
      <c r="J96" s="440">
        <v>546812597968</v>
      </c>
      <c r="K96" s="387" t="str">
        <f>IF(B96&lt;&gt;"",IF($D96&lt;&gt;"ON ROCS/NOT ON FILE",IFERROR(_xlfn.XLOOKUP(LEFT($D96,3),'STAT 77 Table'!$B:$B,'STAT 77 Table'!$A:$A),"ZZ"&amp;RIGHT($B96,4)),""),"")</f>
        <v>IM843</v>
      </c>
      <c r="L96" s="396" t="s">
        <v>1605</v>
      </c>
      <c r="O96" s="388"/>
      <c r="P96" s="388"/>
      <c r="AA96" s="421" t="str">
        <f t="shared" si="1"/>
        <v>ERN92365</v>
      </c>
    </row>
    <row r="97" spans="1:27" ht="16.5" hidden="1">
      <c r="A97" s="387" t="str">
        <f>'STAT 77 Table'!$I$170</f>
        <v>ITD12282</v>
      </c>
      <c r="B97" t="s">
        <v>167</v>
      </c>
      <c r="C97" t="s">
        <v>1409</v>
      </c>
      <c r="D97" s="387" t="str">
        <f>IF($B97&lt;&gt;"",IFERROR(IF(LEFT($B97,3)=$Z$2,VLOOKUP($C97,Outbound!$B:$Z,4,FALSE),VLOOKUP($B97,Outbound!$B:$Z,4,FALSE)),"ON ROCS/NOT ON FILE"),"")</f>
        <v>DNG 4</v>
      </c>
      <c r="E97" s="387" t="str">
        <f>IF($B97&lt;&gt;"",IFERROR(IF(LEFT($B97,4)=$Z$2,VLOOKUP($C97,Outbound!$B:$Z,5,FALSE),VLOOKUP($B97,Outbound!$B:$Z,5,FALSE)),"ON ROCS/NOT ON FILE"),"")</f>
        <v/>
      </c>
      <c r="F97" s="387" t="str">
        <f>IF(B97&lt;&gt;"",IFERROR(IF(LEFT($B97,3)=$Z$2,VLOOKUP($C97,Outbound!$B:$Z,11,FALSE),VLOOKUP($B97,Outbound!$B:$Z,11,FALSE)),"NON TROVATO"),"")</f>
        <v>Cornali Autotrasporti Srl</v>
      </c>
      <c r="G97" s="394" t="str">
        <f>IF(B97&lt;&gt;"",IFERROR(IF(LEFT($B97,3)=$Z$2,VLOOKUP($C97,Outbound!$B:$AAZ,16,FALSE),VLOOKUP($B97,Outbound!$B:$AAZ,16,FALSE)),"NON TROVATO"),"")</f>
        <v>enbr26446</v>
      </c>
      <c r="H97" s="394">
        <f>IF(B97&lt;&gt;"",IFERROR(IF(LEFT($B97,3)=$Z$2,VLOOKUP($C97,Outbound!$B:$AAZ,6,FALSE),VLOOKUP($B97,Outbound!$B:$AAZ,6,FALSE)),"NON TROVATO"),"")</f>
        <v>0.10416666666424135</v>
      </c>
      <c r="I97" s="394">
        <f>IF(B97&lt;&gt;"",IFERROR(IF(LEFT($B97,3)=$Z$2,VLOOKUP($C97,Outbound!$B:$AAZ,52,FALSE),VLOOKUP($B97,Outbound!$B:$AAZ,52,FALSE)),"NON TROVATO"),"")</f>
        <v>2.8472222222222222E-2</v>
      </c>
      <c r="J97" s="440">
        <v>546758563498</v>
      </c>
      <c r="K97" s="387" t="str">
        <f>IF(B97&lt;&gt;"",IF($D97&lt;&gt;"ON ROCS/NOT ON FILE",IFERROR(_xlfn.XLOOKUP(LEFT($D97,3),'STAT 77 Table'!$B:$B,'STAT 77 Table'!$A:$A),"ZZ"&amp;RIGHT($B97,4)),""),"")</f>
        <v>IM453</v>
      </c>
      <c r="L97" s="396" t="s">
        <v>1605</v>
      </c>
      <c r="O97" s="388"/>
      <c r="P97" s="388"/>
      <c r="AA97" s="421" t="str">
        <f t="shared" si="1"/>
        <v>ERN07152</v>
      </c>
    </row>
    <row r="98" spans="1:27" ht="16.5">
      <c r="A98" s="387" t="str">
        <f>'STAT 77 Table'!$I$182</f>
        <v>ITD12013</v>
      </c>
      <c r="B98" t="s">
        <v>1414</v>
      </c>
      <c r="C98" t="s">
        <v>1415</v>
      </c>
      <c r="D98" s="387" t="str">
        <f>IF($B98&lt;&gt;"",IFERROR(IF(LEFT($B98,3)=$Z$2,VLOOKUP($C98,Outbound!$B:$Z,4,FALSE),VLOOKUP($B98,Outbound!$B:$Z,4,FALSE)),"ON ROCS/NOT ON FILE"),"")</f>
        <v>ON ROCS/NOT ON FILE</v>
      </c>
      <c r="E98" s="387" t="str">
        <f>IF($B98&lt;&gt;"",IFERROR(IF(LEFT($B98,4)=$Z$2,VLOOKUP($C98,Outbound!$B:$Z,5,FALSE),VLOOKUP($B98,Outbound!$B:$Z,5,FALSE)),"ON ROCS/NOT ON FILE"),"")</f>
        <v>ON ROCS/NOT ON FILE</v>
      </c>
      <c r="F98" s="387" t="str">
        <f>IF(B98&lt;&gt;"",IFERROR(IF(LEFT($B98,3)=$Z$2,VLOOKUP($C98,Outbound!$B:$Z,11,FALSE),VLOOKUP($B98,Outbound!$B:$Z,11,FALSE)),"NON TROVATO"),"")</f>
        <v>NON TROVATO</v>
      </c>
      <c r="G98" s="394" t="str">
        <f>IF(B98&lt;&gt;"",IFERROR(IF(LEFT($B98,3)=$Z$2,VLOOKUP($C98,Outbound!$B:$AAZ,16,FALSE),VLOOKUP($B98,Outbound!$B:$AAZ,16,FALSE)),"NON TROVATO"),"")</f>
        <v>NON TROVATO</v>
      </c>
      <c r="H98" s="394" t="str">
        <f>IF(B98&lt;&gt;"",IFERROR(IF(LEFT($B98,3)=$Z$2,VLOOKUP($C98,Outbound!$B:$AAZ,6,FALSE),VLOOKUP($B98,Outbound!$B:$AAZ,6,FALSE)),"NON TROVATO"),"")</f>
        <v>NON TROVATO</v>
      </c>
      <c r="I98" s="394" t="str">
        <f>IF(B98&lt;&gt;"",IFERROR(IF(LEFT($B98,3)=$Z$2,VLOOKUP($C98,Outbound!$B:$AAZ,52,FALSE),VLOOKUP($B98,Outbound!$B:$AAZ,52,FALSE)),"NON TROVATO"),"")</f>
        <v>NON TROVATO</v>
      </c>
      <c r="J98" s="396"/>
      <c r="K98" s="387" t="str">
        <f>IF(B98&lt;&gt;"",IF($D98&lt;&gt;"ON ROCS/NOT ON FILE",IFERROR(_xlfn.XLOOKUP(LEFT($D98,3),'STAT 77 Table'!$B:$B,'STAT 77 Table'!$A:$A),"ZZ"&amp;RIGHT($B98,4)),""),"")</f>
        <v/>
      </c>
      <c r="L98" s="396"/>
      <c r="O98" s="388"/>
      <c r="P98" s="388"/>
      <c r="AA98" s="421" t="str">
        <f t="shared" si="1"/>
        <v>ERN10416</v>
      </c>
    </row>
    <row r="99" spans="1:27" ht="16.5" hidden="1">
      <c r="A99" s="387" t="str">
        <f>'STAT 77 Table'!$I$188</f>
        <v>ITD12884</v>
      </c>
      <c r="B99" t="s">
        <v>301</v>
      </c>
      <c r="C99" t="s">
        <v>1569</v>
      </c>
      <c r="D99" s="387" t="str">
        <f>IF($B99&lt;&gt;"",IFERROR(IF(LEFT($B99,3)=$Z$2,VLOOKUP($C99,Outbound!$B:$Z,4,FALSE),VLOOKUP($B99,Outbound!$B:$Z,4,FALSE)),"ON ROCS/NOT ON FILE"),"")</f>
        <v>XWT 2</v>
      </c>
      <c r="E99" s="387" t="str">
        <f>IF($B99&lt;&gt;"",IFERROR(IF(LEFT($B99,4)=$Z$2,VLOOKUP($C99,Outbound!$B:$Z,5,FALSE),VLOOKUP($B99,Outbound!$B:$Z,5,FALSE)),"ON ROCS/NOT ON FILE"),"")</f>
        <v/>
      </c>
      <c r="F99" s="387" t="str">
        <f>IF(B99&lt;&gt;"",IFERROR(IF(LEFT($B99,3)=$Z$2,VLOOKUP($C99,Outbound!$B:$Z,11,FALSE),VLOOKUP($B99,Outbound!$B:$Z,11,FALSE)),"NON TROVATO"),"")</f>
        <v>T&amp;ti Cargo Line Srl</v>
      </c>
      <c r="G99" s="394" t="str">
        <f>IF(B99&lt;&gt;"",IFERROR(IF(LEFT($B99,3)=$Z$2,VLOOKUP($C99,Outbound!$B:$AAZ,16,FALSE),VLOOKUP($B99,Outbound!$B:$AAZ,16,FALSE)),"NON TROVATO"),"")</f>
        <v>enbd20115</v>
      </c>
      <c r="H99" s="394">
        <f>IF(B99&lt;&gt;"",IFERROR(IF(LEFT($B99,3)=$Z$2,VLOOKUP($C99,Outbound!$B:$AAZ,6,FALSE),VLOOKUP($B99,Outbound!$B:$AAZ,6,FALSE)),"NON TROVATO"),"")</f>
        <v>0.10416666666424135</v>
      </c>
      <c r="I99" s="394">
        <f>IF(B99&lt;&gt;"",IFERROR(IF(LEFT($B99,3)=$Z$2,VLOOKUP($C99,Outbound!$B:$AAZ,52,FALSE),VLOOKUP($B99,Outbound!$B:$AAZ,52,FALSE)),"NON TROVATO"),"")</f>
        <v>5.9722222222222225E-2</v>
      </c>
      <c r="J99" s="440">
        <v>546758560710</v>
      </c>
      <c r="K99" s="387" t="str">
        <f>IF(B99&lt;&gt;"",IF($D99&lt;&gt;"ON ROCS/NOT ON FILE",IFERROR(_xlfn.XLOOKUP(LEFT($D99,3),'STAT 77 Table'!$B:$B,'STAT 77 Table'!$A:$A),"ZZ"&amp;RIGHT($B99,4)),""),"")</f>
        <v>IM843</v>
      </c>
      <c r="L99" s="396" t="s">
        <v>1605</v>
      </c>
      <c r="O99" s="388"/>
      <c r="P99" s="388"/>
      <c r="AA99" s="421" t="str">
        <f t="shared" si="1"/>
        <v>ERN08143</v>
      </c>
    </row>
    <row r="100" spans="1:27" ht="16.5">
      <c r="A100" s="387" t="str">
        <f>'STAT 77 Table'!$I$196</f>
        <v>ITD12172</v>
      </c>
      <c r="B100" t="s">
        <v>235</v>
      </c>
      <c r="C100" t="s">
        <v>1554</v>
      </c>
      <c r="D100" s="387" t="str">
        <f>IF($B100&lt;&gt;"",IFERROR(IF(LEFT($B100,3)=$Z$2,VLOOKUP($C100,Outbound!$B:$Z,4,FALSE),VLOOKUP($B100,Outbound!$B:$Z,4,FALSE)),"ON ROCS/NOT ON FILE"),"")</f>
        <v>XPI 3</v>
      </c>
      <c r="E100" s="387" t="str">
        <f>IF($B100&lt;&gt;"",IFERROR(IF(LEFT($B100,4)=$Z$2,VLOOKUP($C100,Outbound!$B:$Z,5,FALSE),VLOOKUP($B100,Outbound!$B:$Z,5,FALSE)),"ON ROCS/NOT ON FILE"),"")</f>
        <v/>
      </c>
      <c r="F100" s="387" t="str">
        <f>IF(B100&lt;&gt;"",IFERROR(IF(LEFT($B100,3)=$Z$2,VLOOKUP($C100,Outbound!$B:$Z,11,FALSE),VLOOKUP($B100,Outbound!$B:$Z,11,FALSE)),"NON TROVATO"),"")</f>
        <v>Rayden N.V.</v>
      </c>
      <c r="G100" s="394" t="str">
        <f>IF(B100&lt;&gt;"",IFERROR(IF(LEFT($B100,3)=$Z$2,VLOOKUP($C100,Outbound!$B:$AAZ,16,FALSE),VLOOKUP($B100,Outbound!$B:$AAZ,16,FALSE)),"NON TROVATO"),"")</f>
        <v>QAPJ563</v>
      </c>
      <c r="H100" s="394">
        <f>IF(B100&lt;&gt;"",IFERROR(IF(LEFT($B100,3)=$Z$2,VLOOKUP($C100,Outbound!$B:$AAZ,6,FALSE),VLOOKUP($B100,Outbound!$B:$AAZ,6,FALSE)),"NON TROVATO"),"")</f>
        <v>0.4375</v>
      </c>
      <c r="I100" s="394">
        <f>IF(B100&lt;&gt;"",IFERROR(IF(LEFT($B100,3)=$Z$2,VLOOKUP($C100,Outbound!$B:$AAZ,52,FALSE),VLOOKUP($B100,Outbound!$B:$AAZ,52,FALSE)),"NON TROVATO"),"")</f>
        <v>0</v>
      </c>
      <c r="J100" s="396"/>
      <c r="K100" s="387" t="str">
        <f>IF(B100&lt;&gt;"",IF($D100&lt;&gt;"ON ROCS/NOT ON FILE",IFERROR(_xlfn.XLOOKUP(LEFT($D100,3),'STAT 77 Table'!$B:$B,'STAT 77 Table'!$A:$A),"ZZ"&amp;RIGHT($B100,4)),""),"")</f>
        <v>IM971</v>
      </c>
      <c r="L100" s="396"/>
      <c r="O100" s="388"/>
      <c r="P100" s="388"/>
      <c r="AA100" s="421" t="str">
        <f t="shared" si="1"/>
        <v>ERN07173</v>
      </c>
    </row>
    <row r="101" spans="1:27" ht="16.5" hidden="1">
      <c r="A101" s="387" t="str">
        <f>'STAT 77 Table'!$I$205</f>
        <v>ITD12219</v>
      </c>
      <c r="B101" t="s">
        <v>304</v>
      </c>
      <c r="C101" t="s">
        <v>1573</v>
      </c>
      <c r="D101" s="387" t="str">
        <f>IF($B101&lt;&gt;"",IFERROR(IF(LEFT($B101,3)=$Z$2,VLOOKUP($C101,Outbound!$B:$Z,4,FALSE),VLOOKUP($B101,Outbound!$B:$Z,4,FALSE)),"ON ROCS/NOT ON FILE"),"")</f>
        <v>XWT 3</v>
      </c>
      <c r="E101" s="387" t="str">
        <f>IF($B101&lt;&gt;"",IFERROR(IF(LEFT($B101,4)=$Z$2,VLOOKUP($C101,Outbound!$B:$Z,5,FALSE),VLOOKUP($B101,Outbound!$B:$Z,5,FALSE)),"ON ROCS/NOT ON FILE"),"")</f>
        <v/>
      </c>
      <c r="F101" s="387" t="str">
        <f>IF(B101&lt;&gt;"",IFERROR(IF(LEFT($B101,3)=$Z$2,VLOOKUP($C101,Outbound!$B:$Z,11,FALSE),VLOOKUP($B101,Outbound!$B:$Z,11,FALSE)),"NON TROVATO"),"")</f>
        <v>Maracana Srl</v>
      </c>
      <c r="G101" s="394" t="str">
        <f>IF(B101&lt;&gt;"",IFERROR(IF(LEFT($B101,3)=$Z$2,VLOOKUP($C101,Outbound!$B:$AAZ,16,FALSE),VLOOKUP($B101,Outbound!$B:$AAZ,16,FALSE)),"NON TROVATO"),"")</f>
        <v>RENT212</v>
      </c>
      <c r="H101" s="394">
        <f>IF(B101&lt;&gt;"",IFERROR(IF(LEFT($B101,3)=$Z$2,VLOOKUP($C101,Outbound!$B:$AAZ,6,FALSE),VLOOKUP($B101,Outbound!$B:$AAZ,6,FALSE)),"NON TROVATO"),"")</f>
        <v>0.10416666666424135</v>
      </c>
      <c r="I101" s="394">
        <f>IF(B101&lt;&gt;"",IFERROR(IF(LEFT($B101,3)=$Z$2,VLOOKUP($C101,Outbound!$B:$AAZ,52,FALSE),VLOOKUP($B101,Outbound!$B:$AAZ,52,FALSE)),"NON TROVATO"),"")</f>
        <v>6.5972222222222224E-2</v>
      </c>
      <c r="J101" s="440">
        <v>546789875960</v>
      </c>
      <c r="K101" s="387" t="str">
        <f>IF(B101&lt;&gt;"",IF($D101&lt;&gt;"ON ROCS/NOT ON FILE",IFERROR(_xlfn.XLOOKUP(LEFT($D101,3),'STAT 77 Table'!$B:$B,'STAT 77 Table'!$A:$A),"ZZ"&amp;RIGHT($B101,4)),""),"")</f>
        <v>IM843</v>
      </c>
      <c r="L101" s="396" t="s">
        <v>1605</v>
      </c>
      <c r="O101" s="388"/>
      <c r="P101" s="388"/>
      <c r="AA101" s="421" t="str">
        <f t="shared" si="1"/>
        <v>ERN08469</v>
      </c>
    </row>
    <row r="102" spans="1:27" ht="16.5" hidden="1">
      <c r="A102" s="387" t="str">
        <f>'STAT 77 Table'!$I$207</f>
        <v>ITD12888</v>
      </c>
      <c r="B102" t="s">
        <v>1555</v>
      </c>
      <c r="C102" t="s">
        <v>1556</v>
      </c>
      <c r="D102" s="387" t="str">
        <f>IF($B102&lt;&gt;"",IFERROR(IF(LEFT($B102,3)=$Z$2,VLOOKUP($C102,Outbound!$B:$Z,4,FALSE),VLOOKUP($B102,Outbound!$B:$Z,4,FALSE)),"ON ROCS/NOT ON FILE"),"")</f>
        <v>XPI 2</v>
      </c>
      <c r="E102" s="387" t="str">
        <f>IF($B102&lt;&gt;"",IFERROR(IF(LEFT($B102,4)=$Z$2,VLOOKUP($C102,Outbound!$B:$Z,5,FALSE),VLOOKUP($B102,Outbound!$B:$Z,5,FALSE)),"ON ROCS/NOT ON FILE"),"")</f>
        <v/>
      </c>
      <c r="F102" s="387" t="str">
        <f>IF(B102&lt;&gt;"",IFERROR(IF(LEFT($B102,3)=$Z$2,VLOOKUP($C102,Outbound!$B:$Z,11,FALSE),VLOOKUP($B102,Outbound!$B:$Z,11,FALSE)),"NON TROVATO"),"")</f>
        <v>Lpx Group Bv</v>
      </c>
      <c r="G102" s="394" t="str">
        <f>IF(B102&lt;&gt;"",IFERROR(IF(LEFT($B102,3)=$Z$2,VLOOKUP($C102,Outbound!$B:$AAZ,16,FALSE),VLOOKUP($B102,Outbound!$B:$AAZ,16,FALSE)),"NON TROVATO"),"")</f>
        <v>ENBR21056</v>
      </c>
      <c r="H102" s="394">
        <f>IF(B102&lt;&gt;"",IFERROR(IF(LEFT($B102,3)=$Z$2,VLOOKUP($C102,Outbound!$B:$AAZ,6,FALSE),VLOOKUP($B102,Outbound!$B:$AAZ,6,FALSE)),"NON TROVATO"),"")</f>
        <v>0.10416666666424135</v>
      </c>
      <c r="I102" s="394">
        <f>IF(B102&lt;&gt;"",IFERROR(IF(LEFT($B102,3)=$Z$2,VLOOKUP($C102,Outbound!$B:$AAZ,52,FALSE),VLOOKUP($B102,Outbound!$B:$AAZ,52,FALSE)),"NON TROVATO"),"")</f>
        <v>7.0833333333333331E-2</v>
      </c>
      <c r="J102" s="440">
        <v>546758559212</v>
      </c>
      <c r="K102" s="387" t="str">
        <f>IF(B102&lt;&gt;"",IF($D102&lt;&gt;"ON ROCS/NOT ON FILE",IFERROR(_xlfn.XLOOKUP(LEFT($D102,3),'STAT 77 Table'!$B:$B,'STAT 77 Table'!$A:$A),"ZZ"&amp;RIGHT($B102,4)),""),"")</f>
        <v>IM971</v>
      </c>
      <c r="L102" s="396" t="s">
        <v>1605</v>
      </c>
      <c r="O102" s="388"/>
      <c r="P102" s="388"/>
      <c r="AA102" s="421" t="str">
        <f t="shared" si="1"/>
        <v>ERN09699</v>
      </c>
    </row>
    <row r="103" spans="1:27" ht="16.5" hidden="1">
      <c r="A103" s="387" t="str">
        <f>'STAT 77 Table'!$I$229</f>
        <v/>
      </c>
      <c r="B103" t="s">
        <v>1429</v>
      </c>
      <c r="C103" t="s">
        <v>1430</v>
      </c>
      <c r="D103" s="387" t="str">
        <f>IF($B103&lt;&gt;"",IFERROR(IF(LEFT($B103,3)=$Z$2,VLOOKUP($C103,Outbound!$B:$Z,4,FALSE),VLOOKUP($B103,Outbound!$B:$Z,4,FALSE)),"ON ROCS/NOT ON FILE"),"")</f>
        <v>DNG 5</v>
      </c>
      <c r="E103" s="387" t="str">
        <f>IF($B103&lt;&gt;"",IFERROR(IF(LEFT($B103,4)=$Z$2,VLOOKUP($C103,Outbound!$B:$Z,5,FALSE),VLOOKUP($B103,Outbound!$B:$Z,5,FALSE)),"ON ROCS/NOT ON FILE"),"")</f>
        <v/>
      </c>
      <c r="F103" s="387" t="str">
        <f>IF(B103&lt;&gt;"",IFERROR(IF(LEFT($B103,3)=$Z$2,VLOOKUP($C103,Outbound!$B:$Z,11,FALSE),VLOOKUP($B103,Outbound!$B:$Z,11,FALSE)),"NON TROVATO"),"")</f>
        <v>Maracana Srl</v>
      </c>
      <c r="G103" s="394" t="str">
        <f>IF(B103&lt;&gt;"",IFERROR(IF(LEFT($B103,3)=$Z$2,VLOOKUP($C103,Outbound!$B:$AAZ,16,FALSE),VLOOKUP($B103,Outbound!$B:$AAZ,16,FALSE)),"NON TROVATO"),"")</f>
        <v>ENBR21296</v>
      </c>
      <c r="H103" s="394">
        <f>IF(B103&lt;&gt;"",IFERROR(IF(LEFT($B103,3)=$Z$2,VLOOKUP($C103,Outbound!$B:$AAZ,6,FALSE),VLOOKUP($B103,Outbound!$B:$AAZ,6,FALSE)),"NON TROVATO"),"")</f>
        <v>0.10416666666424135</v>
      </c>
      <c r="I103" s="394">
        <f>IF(B103&lt;&gt;"",IFERROR(IF(LEFT($B103,3)=$Z$2,VLOOKUP($C103,Outbound!$B:$AAZ,52,FALSE),VLOOKUP($B103,Outbound!$B:$AAZ,52,FALSE)),"NON TROVATO"),"")</f>
        <v>7.9861111111111105E-2</v>
      </c>
      <c r="J103" s="440">
        <v>546804707566</v>
      </c>
      <c r="K103" s="387" t="str">
        <f>IF(B103&lt;&gt;"",IF($D103&lt;&gt;"ON ROCS/NOT ON FILE",IFERROR(_xlfn.XLOOKUP(LEFT($D103,3),'STAT 77 Table'!$B:$B,'STAT 77 Table'!$A:$A),"ZZ"&amp;RIGHT($B103,4)),""),"")</f>
        <v>IM453</v>
      </c>
      <c r="L103" s="396" t="s">
        <v>1605</v>
      </c>
      <c r="O103" s="388"/>
      <c r="P103" s="388"/>
      <c r="AA103" s="421" t="str">
        <f t="shared" si="1"/>
        <v>ERN18810</v>
      </c>
    </row>
    <row r="104" spans="1:27" ht="16.5" hidden="1">
      <c r="A104" s="387" t="str">
        <f>'STAT 77 Table'!$I$230</f>
        <v/>
      </c>
      <c r="B104" t="s">
        <v>182</v>
      </c>
      <c r="C104" t="s">
        <v>1424</v>
      </c>
      <c r="D104" s="387" t="str">
        <f>IF($B104&lt;&gt;"",IFERROR(IF(LEFT($B104,3)=$Z$2,VLOOKUP($C104,Outbound!$B:$Z,4,FALSE),VLOOKUP($B104,Outbound!$B:$Z,4,FALSE)),"ON ROCS/NOT ON FILE"),"")</f>
        <v>DNG 2</v>
      </c>
      <c r="E104" s="387" t="str">
        <f>IF($B104&lt;&gt;"",IFERROR(IF(LEFT($B104,4)=$Z$2,VLOOKUP($C104,Outbound!$B:$Z,5,FALSE),VLOOKUP($B104,Outbound!$B:$Z,5,FALSE)),"ON ROCS/NOT ON FILE"),"")</f>
        <v/>
      </c>
      <c r="F104" s="387" t="str">
        <f>IF(B104&lt;&gt;"",IFERROR(IF(LEFT($B104,3)=$Z$2,VLOOKUP($C104,Outbound!$B:$Z,11,FALSE),VLOOKUP($B104,Outbound!$B:$Z,11,FALSE)),"NON TROVATO"),"")</f>
        <v>Ravitex Srl</v>
      </c>
      <c r="G104" s="394" t="str">
        <f>IF(B104&lt;&gt;"",IFERROR(IF(LEFT($B104,3)=$Z$2,VLOOKUP($C104,Outbound!$B:$AAZ,16,FALSE),VLOOKUP($B104,Outbound!$B:$AAZ,16,FALSE)),"NON TROVATO"),"")</f>
        <v>TM27MNV</v>
      </c>
      <c r="H104" s="394">
        <f>IF(B104&lt;&gt;"",IFERROR(IF(LEFT($B104,3)=$Z$2,VLOOKUP($C104,Outbound!$B:$AAZ,6,FALSE),VLOOKUP($B104,Outbound!$B:$AAZ,6,FALSE)),"NON TROVATO"),"")</f>
        <v>0.10416666666424135</v>
      </c>
      <c r="I104" s="394">
        <f>IF(B104&lt;&gt;"",IFERROR(IF(LEFT($B104,3)=$Z$2,VLOOKUP($C104,Outbound!$B:$AAZ,52,FALSE),VLOOKUP($B104,Outbound!$B:$AAZ,52,FALSE)),"NON TROVATO"),"")</f>
        <v>6.1111111111111109E-2</v>
      </c>
      <c r="J104" s="440">
        <v>546752115214</v>
      </c>
      <c r="K104" s="387" t="str">
        <f>IF(B104&lt;&gt;"",IF($D104&lt;&gt;"ON ROCS/NOT ON FILE",IFERROR(_xlfn.XLOOKUP(LEFT($D104,3),'STAT 77 Table'!$B:$B,'STAT 77 Table'!$A:$A),"ZZ"&amp;RIGHT($B104,4)),""),"")</f>
        <v>IM453</v>
      </c>
      <c r="L104" s="396" t="s">
        <v>1605</v>
      </c>
      <c r="O104" s="388"/>
      <c r="P104" s="388"/>
      <c r="AA104" s="421" t="str">
        <f t="shared" si="1"/>
        <v>ERN16770</v>
      </c>
    </row>
    <row r="105" spans="1:27" ht="16.5" hidden="1">
      <c r="A105" s="387" t="str">
        <f>'STAT 77 Table'!$I$238</f>
        <v/>
      </c>
      <c r="B105" t="s">
        <v>177</v>
      </c>
      <c r="C105" t="s">
        <v>1434</v>
      </c>
      <c r="D105" s="387" t="str">
        <f>IF($B105&lt;&gt;"",IFERROR(IF(LEFT($B105,3)=$Z$2,VLOOKUP($C105,Outbound!$B:$Z,4,FALSE),VLOOKUP($B105,Outbound!$B:$Z,4,FALSE)),"ON ROCS/NOT ON FILE"),"")</f>
        <v>DNG 3</v>
      </c>
      <c r="E105" s="387" t="str">
        <f>IF($B105&lt;&gt;"",IFERROR(IF(LEFT($B105,4)=$Z$2,VLOOKUP($C105,Outbound!$B:$Z,5,FALSE),VLOOKUP($B105,Outbound!$B:$Z,5,FALSE)),"ON ROCS/NOT ON FILE"),"")</f>
        <v/>
      </c>
      <c r="F105" s="387" t="str">
        <f>IF(B105&lt;&gt;"",IFERROR(IF(LEFT($B105,3)=$Z$2,VLOOKUP($C105,Outbound!$B:$Z,11,FALSE),VLOOKUP($B105,Outbound!$B:$Z,11,FALSE)),"NON TROVATO"),"")</f>
        <v>T Service Spa</v>
      </c>
      <c r="G105" s="394" t="str">
        <f>IF(B105&lt;&gt;"",IFERROR(IF(LEFT($B105,3)=$Z$2,VLOOKUP($C105,Outbound!$B:$AAZ,16,FALSE),VLOOKUP($B105,Outbound!$B:$AAZ,16,FALSE)),"NON TROVATO"),"")</f>
        <v>enbr21046</v>
      </c>
      <c r="H105" s="394">
        <f>IF(B105&lt;&gt;"",IFERROR(IF(LEFT($B105,3)=$Z$2,VLOOKUP($C105,Outbound!$B:$AAZ,6,FALSE),VLOOKUP($B105,Outbound!$B:$AAZ,6,FALSE)),"NON TROVATO"),"")</f>
        <v>0.10416666666424135</v>
      </c>
      <c r="I105" s="394">
        <f>IF(B105&lt;&gt;"",IFERROR(IF(LEFT($B105,3)=$Z$2,VLOOKUP($C105,Outbound!$B:$AAZ,52,FALSE),VLOOKUP($B105,Outbound!$B:$AAZ,52,FALSE)),"NON TROVATO"),"")</f>
        <v>8.0555555555555561E-2</v>
      </c>
      <c r="J105" s="440">
        <v>546762728818</v>
      </c>
      <c r="K105" s="387" t="str">
        <f>IF(B105&lt;&gt;"",IF($D105&lt;&gt;"ON ROCS/NOT ON FILE",IFERROR(_xlfn.XLOOKUP(LEFT($D105,3),'STAT 77 Table'!$B:$B,'STAT 77 Table'!$A:$A),"ZZ"&amp;RIGHT($B105,4)),""),"")</f>
        <v>IM453</v>
      </c>
      <c r="L105" s="396" t="s">
        <v>1605</v>
      </c>
      <c r="O105" s="388"/>
      <c r="P105" s="388"/>
      <c r="AA105" s="421" t="str">
        <f t="shared" si="1"/>
        <v>ERN16768</v>
      </c>
    </row>
    <row r="106" spans="1:27" ht="16.5" hidden="1">
      <c r="A106" s="387" t="str">
        <f>'STAT 77 Table'!$I$245</f>
        <v/>
      </c>
      <c r="B106" t="s">
        <v>1390</v>
      </c>
      <c r="C106" t="s">
        <v>1391</v>
      </c>
      <c r="D106" s="387" t="str">
        <f>IF($B106&lt;&gt;"",IFERROR(IF(LEFT($B106,3)=$Z$2,VLOOKUP($C106,Outbound!$B:$Z,4,FALSE),VLOOKUP($B106,Outbound!$B:$Z,4,FALSE)),"ON ROCS/NOT ON FILE"),"")</f>
        <v>BZQ 3</v>
      </c>
      <c r="E106" s="387" t="str">
        <f>IF($B106&lt;&gt;"",IFERROR(IF(LEFT($B106,4)=$Z$2,VLOOKUP($C106,Outbound!$B:$Z,5,FALSE),VLOOKUP($B106,Outbound!$B:$Z,5,FALSE)),"ON ROCS/NOT ON FILE"),"")</f>
        <v/>
      </c>
      <c r="F106" s="387" t="str">
        <f>IF(B106&lt;&gt;"",IFERROR(IF(LEFT($B106,3)=$Z$2,VLOOKUP($C106,Outbound!$B:$Z,11,FALSE),VLOOKUP($B106,Outbound!$B:$Z,11,FALSE)),"NON TROVATO"),"")</f>
        <v>T Service Spa</v>
      </c>
      <c r="G106" s="394" t="str">
        <f>IF(B106&lt;&gt;"",IFERROR(IF(LEFT($B106,3)=$Z$2,VLOOKUP($C106,Outbound!$B:$AAZ,16,FALSE),VLOOKUP($B106,Outbound!$B:$AAZ,16,FALSE)),"NON TROVATO"),"")</f>
        <v>ENB17310</v>
      </c>
      <c r="H106" s="394">
        <f>IF(B106&lt;&gt;"",IFERROR(IF(LEFT($B106,3)=$Z$2,VLOOKUP($C106,Outbound!$B:$AAZ,6,FALSE),VLOOKUP($B106,Outbound!$B:$AAZ,6,FALSE)),"NON TROVATO"),"")</f>
        <v>0.11458333333575865</v>
      </c>
      <c r="I106" s="394">
        <f>IF(B106&lt;&gt;"",IFERROR(IF(LEFT($B106,3)=$Z$2,VLOOKUP($C106,Outbound!$B:$AAZ,52,FALSE),VLOOKUP($B106,Outbound!$B:$AAZ,52,FALSE)),"NON TROVATO"),"")</f>
        <v>9.2361111111111116E-2</v>
      </c>
      <c r="J106" s="440">
        <v>546816604156</v>
      </c>
      <c r="K106" s="387" t="str">
        <f>IF(B106&lt;&gt;"",IF($D106&lt;&gt;"ON ROCS/NOT ON FILE",IFERROR(_xlfn.XLOOKUP(LEFT($D106,3),'STAT 77 Table'!$B:$B,'STAT 77 Table'!$A:$A),"ZZ"&amp;RIGHT($B106,4)),""),"")</f>
        <v>IM278</v>
      </c>
      <c r="L106" s="396" t="s">
        <v>1605</v>
      </c>
      <c r="O106" s="388"/>
      <c r="P106" s="388"/>
      <c r="AA106" s="421" t="str">
        <f t="shared" si="1"/>
        <v>ERN92357</v>
      </c>
    </row>
    <row r="107" spans="1:27" ht="16.5" hidden="1">
      <c r="A107" s="387" t="str">
        <f>'STAT 77 Table'!$I$248</f>
        <v/>
      </c>
      <c r="B107" t="s">
        <v>133</v>
      </c>
      <c r="C107" t="s">
        <v>1392</v>
      </c>
      <c r="D107" s="387" t="str">
        <f>IF($B107&lt;&gt;"",IFERROR(IF(LEFT($B107,3)=$Z$2,VLOOKUP($C107,Outbound!$B:$Z,4,FALSE),VLOOKUP($B107,Outbound!$B:$Z,4,FALSE)),"ON ROCS/NOT ON FILE"),"")</f>
        <v>BZQ 1</v>
      </c>
      <c r="E107" s="387" t="str">
        <f>IF($B107&lt;&gt;"",IFERROR(IF(LEFT($B107,4)=$Z$2,VLOOKUP($C107,Outbound!$B:$Z,5,FALSE),VLOOKUP($B107,Outbound!$B:$Z,5,FALSE)),"ON ROCS/NOT ON FILE"),"")</f>
        <v/>
      </c>
      <c r="F107" s="387" t="str">
        <f>IF(B107&lt;&gt;"",IFERROR(IF(LEFT($B107,3)=$Z$2,VLOOKUP($C107,Outbound!$B:$Z,11,FALSE),VLOOKUP($B107,Outbound!$B:$Z,11,FALSE)),"NON TROVATO"),"")</f>
        <v>N.T.S. Bv (New Team Services Bv)</v>
      </c>
      <c r="G107" s="394" t="str">
        <f>IF(B107&lt;&gt;"",IFERROR(IF(LEFT($B107,3)=$Z$2,VLOOKUP($C107,Outbound!$B:$AAZ,16,FALSE),VLOOKUP($B107,Outbound!$B:$AAZ,16,FALSE)),"NON TROVATO"),"")</f>
        <v>ENB15376</v>
      </c>
      <c r="H107" s="394">
        <f>IF(B107&lt;&gt;"",IFERROR(IF(LEFT($B107,3)=$Z$2,VLOOKUP($C107,Outbound!$B:$AAZ,6,FALSE),VLOOKUP($B107,Outbound!$B:$AAZ,6,FALSE)),"NON TROVATO"),"")</f>
        <v>0.11458333333575865</v>
      </c>
      <c r="I107" s="394">
        <f>IF(B107&lt;&gt;"",IFERROR(IF(LEFT($B107,3)=$Z$2,VLOOKUP($C107,Outbound!$B:$AAZ,52,FALSE),VLOOKUP($B107,Outbound!$B:$AAZ,52,FALSE)),"NON TROVATO"),"")</f>
        <v>9.4444444444444442E-2</v>
      </c>
      <c r="J107" s="440">
        <v>546694091950</v>
      </c>
      <c r="K107" s="387" t="str">
        <f>IF(B107&lt;&gt;"",IF($D107&lt;&gt;"ON ROCS/NOT ON FILE",IFERROR(_xlfn.XLOOKUP(LEFT($D107,3),'STAT 77 Table'!$B:$B,'STAT 77 Table'!$A:$A),"ZZ"&amp;RIGHT($B107,4)),""),"")</f>
        <v>IM278</v>
      </c>
      <c r="L107" s="396" t="s">
        <v>1605</v>
      </c>
      <c r="O107" s="388"/>
      <c r="P107" s="388"/>
      <c r="AA107" s="421" t="str">
        <f t="shared" si="1"/>
        <v>ERN17451</v>
      </c>
    </row>
    <row r="108" spans="1:27" ht="16.5" hidden="1">
      <c r="A108" s="387" t="str">
        <f>'STAT 77 Table'!$I$257</f>
        <v/>
      </c>
      <c r="B108" t="s">
        <v>140</v>
      </c>
      <c r="C108" t="s">
        <v>1396</v>
      </c>
      <c r="D108" s="387" t="str">
        <f>IF($B108&lt;&gt;"",IFERROR(IF(LEFT($B108,3)=$Z$2,VLOOKUP($C108,Outbound!$B:$Z,4,FALSE),VLOOKUP($B108,Outbound!$B:$Z,4,FALSE)),"ON ROCS/NOT ON FILE"),"")</f>
        <v>BZQ 2</v>
      </c>
      <c r="E108" s="387" t="str">
        <f>IF($B108&lt;&gt;"",IFERROR(IF(LEFT($B108,4)=$Z$2,VLOOKUP($C108,Outbound!$B:$Z,5,FALSE),VLOOKUP($B108,Outbound!$B:$Z,5,FALSE)),"ON ROCS/NOT ON FILE"),"")</f>
        <v/>
      </c>
      <c r="F108" s="387" t="str">
        <f>IF(B108&lt;&gt;"",IFERROR(IF(LEFT($B108,3)=$Z$2,VLOOKUP($C108,Outbound!$B:$Z,11,FALSE),VLOOKUP($B108,Outbound!$B:$Z,11,FALSE)),"NON TROVATO"),"")</f>
        <v>Matelda Srl</v>
      </c>
      <c r="G108" s="394" t="str">
        <f>IF(B108&lt;&gt;"",IFERROR(IF(LEFT($B108,3)=$Z$2,VLOOKUP($C108,Outbound!$B:$AAZ,16,FALSE),VLOOKUP($B108,Outbound!$B:$AAZ,16,FALSE)),"NON TROVATO"),"")</f>
        <v>ENBR22026</v>
      </c>
      <c r="H108" s="394">
        <f>IF(B108&lt;&gt;"",IFERROR(IF(LEFT($B108,3)=$Z$2,VLOOKUP($C108,Outbound!$B:$AAZ,6,FALSE),VLOOKUP($B108,Outbound!$B:$AAZ,6,FALSE)),"NON TROVATO"),"")</f>
        <v>0.11458333333575865</v>
      </c>
      <c r="I108" s="394">
        <f>IF(B108&lt;&gt;"",IFERROR(IF(LEFT($B108,3)=$Z$2,VLOOKUP($C108,Outbound!$B:$AAZ,52,FALSE),VLOOKUP($B108,Outbound!$B:$AAZ,52,FALSE)),"NON TROVATO"),"")</f>
        <v>9.0277777777777776E-2</v>
      </c>
      <c r="J108" s="440">
        <v>546705416680</v>
      </c>
      <c r="K108" s="387" t="str">
        <f>IF(B108&lt;&gt;"",IF($D108&lt;&gt;"ON ROCS/NOT ON FILE",IFERROR(_xlfn.XLOOKUP(LEFT($D108,3),'STAT 77 Table'!$B:$B,'STAT 77 Table'!$A:$A),"ZZ"&amp;RIGHT($B108,4)),""),"")</f>
        <v>IM278</v>
      </c>
      <c r="L108" s="396" t="s">
        <v>1605</v>
      </c>
      <c r="O108" s="388"/>
      <c r="P108" s="388"/>
      <c r="AA108" s="421" t="str">
        <f t="shared" si="1"/>
        <v>ERN16950</v>
      </c>
    </row>
    <row r="109" spans="1:27" ht="16.5" hidden="1">
      <c r="A109" s="387" t="str">
        <f>'STAT 77 Table'!$I$258</f>
        <v/>
      </c>
      <c r="B109" t="s">
        <v>1679</v>
      </c>
      <c r="C109" t="s">
        <v>575</v>
      </c>
      <c r="D109" s="387" t="str">
        <f>IF($B109&lt;&gt;"",IFERROR(IF(LEFT($B109,3)=$Z$2,VLOOKUP($C109,Outbound!$B:$Z,4,FALSE),VLOOKUP($B109,Outbound!$B:$Z,4,FALSE)),"ON ROCS/NOT ON FILE"),"")</f>
        <v>VBS</v>
      </c>
      <c r="E109" s="387" t="str">
        <f>IF($B109&lt;&gt;"",IFERROR(IF(LEFT($B109,4)=$Z$2,VLOOKUP($C109,Outbound!$B:$Z,5,FALSE),VLOOKUP($B109,Outbound!$B:$Z,5,FALSE)),"ON ROCS/NOT ON FILE"),"")</f>
        <v>ON ROCS/NOT ON FILE</v>
      </c>
      <c r="F109" s="387" t="str">
        <f>IF(B109&lt;&gt;"",IFERROR(IF(LEFT($B109,3)=$Z$2,VLOOKUP($C109,Outbound!$B:$Z,11,FALSE),VLOOKUP($B109,Outbound!$B:$Z,11,FALSE)),"NON TROVATO"),"")</f>
        <v>Zampieri Holding S.R.L.</v>
      </c>
      <c r="G109" s="394" t="str">
        <f>IF(B109&lt;&gt;"",IFERROR(IF(LEFT($B109,3)=$Z$2,VLOOKUP($C109,Outbound!$B:$AAZ,16,FALSE),VLOOKUP($B109,Outbound!$B:$AAZ,16,FALSE)),"NON TROVATO"),"")</f>
        <v>XA286YG</v>
      </c>
      <c r="H109" s="394">
        <f>IF(B109&lt;&gt;"",IFERROR(IF(LEFT($B109,3)=$Z$2,VLOOKUP($C109,Outbound!$B:$AAZ,6,FALSE),VLOOKUP($B109,Outbound!$B:$AAZ,6,FALSE)),"NON TROVATO"),"")</f>
        <v>0.125</v>
      </c>
      <c r="I109" s="394">
        <f>IF(B109&lt;&gt;"",IFERROR(IF(LEFT($B109,3)=$Z$2,VLOOKUP($C109,Outbound!$B:$AAZ,52,FALSE),VLOOKUP($B109,Outbound!$B:$AAZ,52,FALSE)),"NON TROVATO"),"")</f>
        <v>0.1111111111111111</v>
      </c>
      <c r="J109" s="396">
        <v>546706528503</v>
      </c>
      <c r="K109" s="387" t="str">
        <f>IF(B109&lt;&gt;"",IF($D109&lt;&gt;"ON ROCS/NOT ON FILE",IFERROR(_xlfn.XLOOKUP(LEFT($D109,3),'STAT 77 Table'!$B:$B,'STAT 77 Table'!$A:$A),"ZZ"&amp;RIGHT($B109,4)),""),"")</f>
        <v>ZZ2510</v>
      </c>
      <c r="L109" s="396" t="s">
        <v>1605</v>
      </c>
      <c r="O109" s="388"/>
      <c r="P109" s="388"/>
      <c r="AA109" s="421" t="str">
        <f t="shared" si="1"/>
        <v>ITD32510</v>
      </c>
    </row>
    <row r="110" spans="1:27" ht="16.5" hidden="1">
      <c r="A110" s="387" t="str">
        <f>'STAT 77 Table'!$I$268</f>
        <v/>
      </c>
      <c r="B110" t="s">
        <v>1680</v>
      </c>
      <c r="C110" t="s">
        <v>1171</v>
      </c>
      <c r="D110" s="387" t="str">
        <f>IF($B110&lt;&gt;"",IFERROR(IF(LEFT($B110,3)=$Z$2,VLOOKUP($C110,Outbound!$B:$Z,4,FALSE),VLOOKUP($B110,Outbound!$B:$Z,4,FALSE)),"ON ROCS/NOT ON FILE"),"")</f>
        <v>VBS</v>
      </c>
      <c r="E110" s="387" t="str">
        <f>IF($B110&lt;&gt;"",IFERROR(IF(LEFT($B110,4)=$Z$2,VLOOKUP($C110,Outbound!$B:$Z,5,FALSE),VLOOKUP($B110,Outbound!$B:$Z,5,FALSE)),"ON ROCS/NOT ON FILE"),"")</f>
        <v>ON ROCS/NOT ON FILE</v>
      </c>
      <c r="F110" s="387" t="str">
        <f>IF(B110&lt;&gt;"",IFERROR(IF(LEFT($B110,3)=$Z$2,VLOOKUP($C110,Outbound!$B:$Z,11,FALSE),VLOOKUP($B110,Outbound!$B:$Z,11,FALSE)),"NON TROVATO"),"")</f>
        <v>Trans Speedy S.R.L</v>
      </c>
      <c r="G110" s="394" t="str">
        <f>IF(B110&lt;&gt;"",IFERROR(IF(LEFT($B110,3)=$Z$2,VLOOKUP($C110,Outbound!$B:$AAZ,16,FALSE),VLOOKUP($B110,Outbound!$B:$AAZ,16,FALSE)),"NON TROVATO"),"")</f>
        <v>XA442ZJ</v>
      </c>
      <c r="H110" s="394">
        <f>IF(B110&lt;&gt;"",IFERROR(IF(LEFT($B110,3)=$Z$2,VLOOKUP($C110,Outbound!$B:$AAZ,6,FALSE),VLOOKUP($B110,Outbound!$B:$AAZ,6,FALSE)),"NON TROVATO"),"")</f>
        <v>0.125</v>
      </c>
      <c r="I110" s="394">
        <f>IF(B110&lt;&gt;"",IFERROR(IF(LEFT($B110,3)=$Z$2,VLOOKUP($C110,Outbound!$B:$AAZ,52,FALSE),VLOOKUP($B110,Outbound!$B:$AAZ,52,FALSE)),"NON TROVATO"),"")</f>
        <v>0.10208333333333333</v>
      </c>
      <c r="J110" s="440">
        <v>546755516092</v>
      </c>
      <c r="K110" s="387" t="str">
        <f>IF(B110&lt;&gt;"",IF($D110&lt;&gt;"ON ROCS/NOT ON FILE",IFERROR(_xlfn.XLOOKUP(LEFT($D110,3),'STAT 77 Table'!$B:$B,'STAT 77 Table'!$A:$A),"ZZ"&amp;RIGHT($B110,4)),""),"")</f>
        <v>ZZ1594</v>
      </c>
      <c r="L110" s="396" t="s">
        <v>1605</v>
      </c>
      <c r="O110" s="388"/>
      <c r="P110" s="388"/>
      <c r="AA110" s="421" t="str">
        <f t="shared" si="1"/>
        <v>ITD31594</v>
      </c>
    </row>
    <row r="111" spans="1:27" ht="16.5" hidden="1">
      <c r="A111" s="387" t="str">
        <f>'STAT 77 Table'!$I$270</f>
        <v/>
      </c>
      <c r="B111" t="s">
        <v>1681</v>
      </c>
      <c r="C111" t="s">
        <v>1096</v>
      </c>
      <c r="D111" s="387" t="str">
        <f>IF($B111&lt;&gt;"",IFERROR(IF(LEFT($B111,3)=$Z$2,VLOOKUP($C111,Outbound!$B:$Z,4,FALSE),VLOOKUP($B111,Outbound!$B:$Z,4,FALSE)),"ON ROCS/NOT ON FILE"),"")</f>
        <v>VRN</v>
      </c>
      <c r="E111" s="387" t="str">
        <f>IF($B111&lt;&gt;"",IFERROR(IF(LEFT($B111,4)=$Z$2,VLOOKUP($C111,Outbound!$B:$Z,5,FALSE),VLOOKUP($B111,Outbound!$B:$Z,5,FALSE)),"ON ROCS/NOT ON FILE"),"")</f>
        <v>ON ROCS/NOT ON FILE</v>
      </c>
      <c r="F111" s="387" t="str">
        <f>IF(B111&lt;&gt;"",IFERROR(IF(LEFT($B111,3)=$Z$2,VLOOKUP($C111,Outbound!$B:$Z,11,FALSE),VLOOKUP($B111,Outbound!$B:$Z,11,FALSE)),"NON TROVATO"),"")</f>
        <v>Trans Speedy S.R.L</v>
      </c>
      <c r="G111" s="394" t="str">
        <f>IF(B111&lt;&gt;"",IFERROR(IF(LEFT($B111,3)=$Z$2,VLOOKUP($C111,Outbound!$B:$AAZ,16,FALSE),VLOOKUP($B111,Outbound!$B:$AAZ,16,FALSE)),"NON TROVATO"),"")</f>
        <v>XA720RS</v>
      </c>
      <c r="H111" s="394">
        <f>IF(B111&lt;&gt;"",IFERROR(IF(LEFT($B111,3)=$Z$2,VLOOKUP($C111,Outbound!$B:$AAZ,6,FALSE),VLOOKUP($B111,Outbound!$B:$AAZ,6,FALSE)),"NON TROVATO"),"")</f>
        <v>0.125</v>
      </c>
      <c r="I111" s="394">
        <f>IF(B111&lt;&gt;"",IFERROR(IF(LEFT($B111,3)=$Z$2,VLOOKUP($C111,Outbound!$B:$AAZ,52,FALSE),VLOOKUP($B111,Outbound!$B:$AAZ,52,FALSE)),"NON TROVATO"),"")</f>
        <v>0.10277777777777777</v>
      </c>
      <c r="J111" s="440">
        <v>546758560157</v>
      </c>
      <c r="K111" s="387" t="str">
        <f>IF(B111&lt;&gt;"",IF($D111&lt;&gt;"ON ROCS/NOT ON FILE",IFERROR(_xlfn.XLOOKUP(LEFT($D111,3),'STAT 77 Table'!$B:$B,'STAT 77 Table'!$A:$A),"ZZ"&amp;RIGHT($B111,4)),""),"")</f>
        <v>ZZ1428</v>
      </c>
      <c r="L111" s="396" t="s">
        <v>1605</v>
      </c>
      <c r="O111" s="388"/>
      <c r="P111" s="388"/>
      <c r="AA111" s="421" t="str">
        <f t="shared" si="1"/>
        <v>ITD31428</v>
      </c>
    </row>
    <row r="112" spans="1:27" ht="16.5" hidden="1">
      <c r="A112" s="387">
        <f>'STAT 77 Table'!$I$273</f>
        <v>0</v>
      </c>
      <c r="B112" t="s">
        <v>1682</v>
      </c>
      <c r="C112" t="s">
        <v>474</v>
      </c>
      <c r="D112" s="387" t="str">
        <f>IF($B112&lt;&gt;"",IFERROR(IF(LEFT($B112,3)=$Z$2,VLOOKUP($C112,Outbound!$B:$Z,4,FALSE),VLOOKUP($B112,Outbound!$B:$Z,4,FALSE)),"ON ROCS/NOT ON FILE"),"")</f>
        <v>VRN</v>
      </c>
      <c r="E112" s="387" t="str">
        <f>IF($B112&lt;&gt;"",IFERROR(IF(LEFT($B112,4)=$Z$2,VLOOKUP($C112,Outbound!$B:$Z,5,FALSE),VLOOKUP($B112,Outbound!$B:$Z,5,FALSE)),"ON ROCS/NOT ON FILE"),"")</f>
        <v>ON ROCS/NOT ON FILE</v>
      </c>
      <c r="F112" s="387" t="str">
        <f>IF(B112&lt;&gt;"",IFERROR(IF(LEFT($B112,3)=$Z$2,VLOOKUP($C112,Outbound!$B:$Z,11,FALSE),VLOOKUP($B112,Outbound!$B:$Z,11,FALSE)),"NON TROVATO"),"")</f>
        <v>Fenix Srl</v>
      </c>
      <c r="G112" s="394" t="str">
        <f>IF(B112&lt;&gt;"",IFERROR(IF(LEFT($B112,3)=$Z$2,VLOOKUP($C112,Outbound!$B:$AAZ,16,FALSE),VLOOKUP($B112,Outbound!$B:$AAZ,16,FALSE)),"NON TROVATO"),"")</f>
        <v>XA598ZA</v>
      </c>
      <c r="H112" s="394">
        <f>IF(B112&lt;&gt;"",IFERROR(IF(LEFT($B112,3)=$Z$2,VLOOKUP($C112,Outbound!$B:$AAZ,6,FALSE),VLOOKUP($B112,Outbound!$B:$AAZ,6,FALSE)),"NON TROVATO"),"")</f>
        <v>0.125</v>
      </c>
      <c r="I112" s="394">
        <f>IF(B112&lt;&gt;"",IFERROR(IF(LEFT($B112,3)=$Z$2,VLOOKUP($C112,Outbound!$B:$AAZ,52,FALSE),VLOOKUP($B112,Outbound!$B:$AAZ,52,FALSE)),"NON TROVATO"),"")</f>
        <v>8.819444444444445E-2</v>
      </c>
      <c r="J112" s="440">
        <v>546706528102</v>
      </c>
      <c r="K112" s="387" t="str">
        <f>IF(B112&lt;&gt;"",IF($D112&lt;&gt;"ON ROCS/NOT ON FILE",IFERROR(_xlfn.XLOOKUP(LEFT($D112,3),'STAT 77 Table'!$B:$B,'STAT 77 Table'!$A:$A),"ZZ"&amp;RIGHT($B112,4)),""),"")</f>
        <v>ZZ2221</v>
      </c>
      <c r="L112" s="396" t="s">
        <v>1605</v>
      </c>
      <c r="O112" s="388"/>
      <c r="P112" s="388"/>
      <c r="AA112" s="421" t="str">
        <f t="shared" si="1"/>
        <v>ITD32221</v>
      </c>
    </row>
    <row r="113" spans="1:27" ht="16.5" hidden="1">
      <c r="A113" s="387">
        <f>'STAT 77 Table'!$I$288</f>
        <v>0</v>
      </c>
      <c r="B113" t="s">
        <v>1683</v>
      </c>
      <c r="C113" t="s">
        <v>458</v>
      </c>
      <c r="D113" s="387" t="str">
        <f>IF($B113&lt;&gt;"",IFERROR(IF(LEFT($B113,3)=$Z$2,VLOOKUP($C113,Outbound!$B:$Z,4,FALSE),VLOOKUP($B113,Outbound!$B:$Z,4,FALSE)),"ON ROCS/NOT ON FILE"),"")</f>
        <v>MM1</v>
      </c>
      <c r="E113" s="387" t="str">
        <f>IF($B113&lt;&gt;"",IFERROR(IF(LEFT($B113,4)=$Z$2,VLOOKUP($C113,Outbound!$B:$Z,5,FALSE),VLOOKUP($B113,Outbound!$B:$Z,5,FALSE)),"ON ROCS/NOT ON FILE"),"")</f>
        <v>ON ROCS/NOT ON FILE</v>
      </c>
      <c r="F113" s="387" t="str">
        <f>IF(B113&lt;&gt;"",IFERROR(IF(LEFT($B113,3)=$Z$2,VLOOKUP($C113,Outbound!$B:$Z,11,FALSE),VLOOKUP($B113,Outbound!$B:$Z,11,FALSE)),"NON TROVATO"),"")</f>
        <v>Trans Speedy S.R.L</v>
      </c>
      <c r="G113" s="394" t="str">
        <f>IF(B113&lt;&gt;"",IFERROR(IF(LEFT($B113,3)=$Z$2,VLOOKUP($C113,Outbound!$B:$AAZ,16,FALSE),VLOOKUP($B113,Outbound!$B:$AAZ,16,FALSE)),"NON TROVATO"),"")</f>
        <v>XA754VH</v>
      </c>
      <c r="H113" s="394">
        <f>IF(B113&lt;&gt;"",IFERROR(IF(LEFT($B113,3)=$Z$2,VLOOKUP($C113,Outbound!$B:$AAZ,6,FALSE),VLOOKUP($B113,Outbound!$B:$AAZ,6,FALSE)),"NON TROVATO"),"")</f>
        <v>0.14583333333333334</v>
      </c>
      <c r="I113" s="394">
        <f>IF(B113&lt;&gt;"",IFERROR(IF(LEFT($B113,3)=$Z$2,VLOOKUP($C113,Outbound!$B:$AAZ,52,FALSE),VLOOKUP($B113,Outbound!$B:$AAZ,52,FALSE)),"NON TROVATO"),"")</f>
        <v>0.10625</v>
      </c>
      <c r="J113" s="440">
        <v>546708329069</v>
      </c>
      <c r="K113" s="387" t="str">
        <f>IF(B113&lt;&gt;"",IF($D113&lt;&gt;"ON ROCS/NOT ON FILE",IFERROR(_xlfn.XLOOKUP(LEFT($D113,3),'STAT 77 Table'!$B:$B,'STAT 77 Table'!$A:$A),"ZZ"&amp;RIGHT($B113,4)),""),"")</f>
        <v>IM697</v>
      </c>
      <c r="L113" s="396" t="s">
        <v>1605</v>
      </c>
      <c r="O113" s="388"/>
      <c r="P113" s="388"/>
      <c r="AA113" s="421" t="str">
        <f t="shared" si="1"/>
        <v>ITD32205</v>
      </c>
    </row>
    <row r="114" spans="1:27" ht="16.5" hidden="1">
      <c r="A114" s="387">
        <f>'STAT 77 Table'!$I$291</f>
        <v>0</v>
      </c>
      <c r="B114" t="s">
        <v>1684</v>
      </c>
      <c r="C114" t="s">
        <v>438</v>
      </c>
      <c r="D114" s="387" t="str">
        <f>IF($B114&lt;&gt;"",IFERROR(IF(LEFT($B114,3)=$Z$2,VLOOKUP($C114,Outbound!$B:$Z,4,FALSE),VLOOKUP($B114,Outbound!$B:$Z,4,FALSE)),"ON ROCS/NOT ON FILE"),"")</f>
        <v>BRG</v>
      </c>
      <c r="E114" s="387" t="str">
        <f>IF($B114&lt;&gt;"",IFERROR(IF(LEFT($B114,4)=$Z$2,VLOOKUP($C114,Outbound!$B:$Z,5,FALSE),VLOOKUP($B114,Outbound!$B:$Z,5,FALSE)),"ON ROCS/NOT ON FILE"),"")</f>
        <v>ON ROCS/NOT ON FILE</v>
      </c>
      <c r="F114" s="387" t="str">
        <f>IF(B114&lt;&gt;"",IFERROR(IF(LEFT($B114,3)=$Z$2,VLOOKUP($C114,Outbound!$B:$Z,11,FALSE),VLOOKUP($B114,Outbound!$B:$Z,11,FALSE)),"NON TROVATO"),"")</f>
        <v>CORNALI AUTOTRASPORTI SRL</v>
      </c>
      <c r="G114" s="394" t="str">
        <f>IF(B114&lt;&gt;"",IFERROR(IF(LEFT($B114,3)=$Z$2,VLOOKUP($C114,Outbound!$B:$AAZ,16,FALSE),VLOOKUP($B114,Outbound!$B:$AAZ,16,FALSE)),"NON TROVATO"),"")</f>
        <v>AE52553</v>
      </c>
      <c r="H114" s="394">
        <f>IF(B114&lt;&gt;"",IFERROR(IF(LEFT($B114,3)=$Z$2,VLOOKUP($C114,Outbound!$B:$AAZ,6,FALSE),VLOOKUP($B114,Outbound!$B:$AAZ,6,FALSE)),"NON TROVATO"),"")</f>
        <v>0.14930555555555555</v>
      </c>
      <c r="I114" s="394">
        <f>IF(B114&lt;&gt;"",IFERROR(IF(LEFT($B114,3)=$Z$2,VLOOKUP($C114,Outbound!$B:$AAZ,52,FALSE),VLOOKUP($B114,Outbound!$B:$AAZ,52,FALSE)),"NON TROVATO"),"")</f>
        <v>0.125</v>
      </c>
      <c r="J114" s="396">
        <v>546707708396</v>
      </c>
      <c r="K114" s="387" t="str">
        <f>IF(B114&lt;&gt;"",IF($D114&lt;&gt;"ON ROCS/NOT ON FILE",IFERROR(_xlfn.XLOOKUP(LEFT($D114,3),'STAT 77 Table'!$B:$B,'STAT 77 Table'!$A:$A),"ZZ"&amp;RIGHT($B114,4)),""),"")</f>
        <v>ZZ2622</v>
      </c>
      <c r="L114" s="396" t="s">
        <v>1605</v>
      </c>
      <c r="O114" s="388"/>
      <c r="P114" s="388"/>
      <c r="AA114" s="421" t="str">
        <f t="shared" si="1"/>
        <v>ITD32622</v>
      </c>
    </row>
    <row r="115" spans="1:27" ht="16.5">
      <c r="A115" s="387" t="str">
        <f>'STAT 77 Table'!$I$186</f>
        <v>ITD12336</v>
      </c>
      <c r="B115" t="s">
        <v>1685</v>
      </c>
      <c r="C115" t="s">
        <v>924</v>
      </c>
      <c r="D115" s="387" t="str">
        <f>IF($B115&lt;&gt;"",IFERROR(IF(LEFT($B115,3)=$Z$2,VLOOKUP($C115,Outbound!$B:$Z,4,FALSE),VLOOKUP($B115,Outbound!$B:$Z,4,FALSE)),"ON ROCS/NOT ON FILE"),"")</f>
        <v>PMF</v>
      </c>
      <c r="E115" s="387" t="str">
        <f>IF($B115&lt;&gt;"",IFERROR(IF(LEFT($B115,4)=$Z$2,VLOOKUP($C115,Outbound!$B:$Z,5,FALSE),VLOOKUP($B115,Outbound!$B:$Z,5,FALSE)),"ON ROCS/NOT ON FILE"),"")</f>
        <v>ON ROCS/NOT ON FILE</v>
      </c>
      <c r="F115" s="387" t="str">
        <f>IF(B115&lt;&gt;"",IFERROR(IF(LEFT($B115,3)=$Z$2,VLOOKUP($C115,Outbound!$B:$Z,11,FALSE),VLOOKUP($B115,Outbound!$B:$Z,11,FALSE)),"NON TROVATO"),"")</f>
        <v>Zampieri Holding S.R.L.</v>
      </c>
      <c r="G115" s="394" t="str">
        <f>IF(B115&lt;&gt;"",IFERROR(IF(LEFT($B115,3)=$Z$2,VLOOKUP($C115,Outbound!$B:$AAZ,16,FALSE),VLOOKUP($B115,Outbound!$B:$AAZ,16,FALSE)),"NON TROVATO"),"")</f>
        <v>xa266yg</v>
      </c>
      <c r="H115" s="394">
        <f>IF(B115&lt;&gt;"",IFERROR(IF(LEFT($B115,3)=$Z$2,VLOOKUP($C115,Outbound!$B:$AAZ,6,FALSE),VLOOKUP($B115,Outbound!$B:$AAZ,6,FALSE)),"NON TROVATO"),"")</f>
        <v>0.15625</v>
      </c>
      <c r="I115" s="394">
        <f>IF(B115&lt;&gt;"",IFERROR(IF(LEFT($B115,3)=$Z$2,VLOOKUP($C115,Outbound!$B:$AAZ,52,FALSE),VLOOKUP($B115,Outbound!$B:$AAZ,52,FALSE)),"NON TROVATO"),"")</f>
        <v>0</v>
      </c>
      <c r="J115" s="396"/>
      <c r="K115" s="387" t="str">
        <f>IF(B115&lt;&gt;"",IF($D115&lt;&gt;"ON ROCS/NOT ON FILE",IFERROR(_xlfn.XLOOKUP(LEFT($D115,3),'STAT 77 Table'!$B:$B,'STAT 77 Table'!$A:$A),"ZZ"&amp;RIGHT($B115,4)),""),"")</f>
        <v>IM257</v>
      </c>
      <c r="L115" s="396"/>
      <c r="O115" s="388"/>
      <c r="P115" s="388"/>
      <c r="AA115" s="421" t="str">
        <f t="shared" si="1"/>
        <v>ITD12886</v>
      </c>
    </row>
    <row r="116" spans="1:27" ht="16.5">
      <c r="A116" s="387" t="str">
        <f>'STAT 77 Table'!$I$225</f>
        <v/>
      </c>
      <c r="B116" t="s">
        <v>1686</v>
      </c>
      <c r="C116" t="s">
        <v>594</v>
      </c>
      <c r="D116" s="387" t="str">
        <f>IF($B116&lt;&gt;"",IFERROR(IF(LEFT($B116,3)=$Z$2,VLOOKUP($C116,Outbound!$B:$Z,4,FALSE),VLOOKUP($B116,Outbound!$B:$Z,4,FALSE)),"ON ROCS/NOT ON FILE"),"")</f>
        <v>GOA</v>
      </c>
      <c r="E116" s="387" t="str">
        <f>IF($B116&lt;&gt;"",IFERROR(IF(LEFT($B116,4)=$Z$2,VLOOKUP($C116,Outbound!$B:$Z,5,FALSE),VLOOKUP($B116,Outbound!$B:$Z,5,FALSE)),"ON ROCS/NOT ON FILE"),"")</f>
        <v>ON ROCS/NOT ON FILE</v>
      </c>
      <c r="F116" s="387" t="str">
        <f>IF(B116&lt;&gt;"",IFERROR(IF(LEFT($B116,3)=$Z$2,VLOOKUP($C116,Outbound!$B:$Z,11,FALSE),VLOOKUP($B116,Outbound!$B:$Z,11,FALSE)),"NON TROVATO"),"")</f>
        <v>Matelda Srl</v>
      </c>
      <c r="G116" s="394" t="str">
        <f>IF(B116&lt;&gt;"",IFERROR(IF(LEFT($B116,3)=$Z$2,VLOOKUP($C116,Outbound!$B:$AAZ,16,FALSE),VLOOKUP($B116,Outbound!$B:$AAZ,16,FALSE)),"NON TROVATO"),"")</f>
        <v>XB490BJ</v>
      </c>
      <c r="H116" s="394">
        <f>IF(B116&lt;&gt;"",IFERROR(IF(LEFT($B116,3)=$Z$2,VLOOKUP($C116,Outbound!$B:$AAZ,6,FALSE),VLOOKUP($B116,Outbound!$B:$AAZ,6,FALSE)),"NON TROVATO"),"")</f>
        <v>0.16666666666666666</v>
      </c>
      <c r="I116" s="394">
        <f>IF(B116&lt;&gt;"",IFERROR(IF(LEFT($B116,3)=$Z$2,VLOOKUP($C116,Outbound!$B:$AAZ,52,FALSE),VLOOKUP($B116,Outbound!$B:$AAZ,52,FALSE)),"NON TROVATO"),"")</f>
        <v>0</v>
      </c>
      <c r="J116" s="396"/>
      <c r="K116" s="387" t="str">
        <f>IF(B116&lt;&gt;"",IF($D116&lt;&gt;"ON ROCS/NOT ON FILE",IFERROR(_xlfn.XLOOKUP(LEFT($D116,3),'STAT 77 Table'!$B:$B,'STAT 77 Table'!$A:$A),"ZZ"&amp;RIGHT($B116,4)),""),"")</f>
        <v>ZZ1560</v>
      </c>
      <c r="L116" s="396"/>
      <c r="O116" s="388"/>
      <c r="P116" s="388"/>
      <c r="AA116" s="421" t="str">
        <f t="shared" si="1"/>
        <v>ITD31560</v>
      </c>
    </row>
    <row r="117" spans="1:27" ht="16.5">
      <c r="A117" s="387" t="str">
        <f>'STAT 77 Table'!$I$234</f>
        <v/>
      </c>
      <c r="B117" t="s">
        <v>1687</v>
      </c>
      <c r="C117" t="s">
        <v>580</v>
      </c>
      <c r="D117" s="387" t="str">
        <f>IF($B117&lt;&gt;"",IFERROR(IF(LEFT($B117,3)=$Z$2,VLOOKUP($C117,Outbound!$B:$Z,4,FALSE),VLOOKUP($B117,Outbound!$B:$Z,4,FALSE)),"ON ROCS/NOT ON FILE"),"")</f>
        <v>VBS</v>
      </c>
      <c r="E117" s="387" t="str">
        <f>IF($B117&lt;&gt;"",IFERROR(IF(LEFT($B117,4)=$Z$2,VLOOKUP($C117,Outbound!$B:$Z,5,FALSE),VLOOKUP($B117,Outbound!$B:$Z,5,FALSE)),"ON ROCS/NOT ON FILE"),"")</f>
        <v>ON ROCS/NOT ON FILE</v>
      </c>
      <c r="F117" s="387" t="str">
        <f>IF(B117&lt;&gt;"",IFERROR(IF(LEFT($B117,3)=$Z$2,VLOOKUP($C117,Outbound!$B:$Z,11,FALSE),VLOOKUP($B117,Outbound!$B:$Z,11,FALSE)),"NON TROVATO"),"")</f>
        <v>Trans Speedy S.R.L</v>
      </c>
      <c r="G117" s="394" t="str">
        <f>IF(B117&lt;&gt;"",IFERROR(IF(LEFT($B117,3)=$Z$2,VLOOKUP($C117,Outbound!$B:$AAZ,16,FALSE),VLOOKUP($B117,Outbound!$B:$AAZ,16,FALSE)),"NON TROVATO"),"")</f>
        <v>XA636FA</v>
      </c>
      <c r="H117" s="394">
        <f>IF(B117&lt;&gt;"",IFERROR(IF(LEFT($B117,3)=$Z$2,VLOOKUP($C117,Outbound!$B:$AAZ,6,FALSE),VLOOKUP($B117,Outbound!$B:$AAZ,6,FALSE)),"NON TROVATO"),"")</f>
        <v>0.16666666666666666</v>
      </c>
      <c r="I117" s="394">
        <f>IF(B117&lt;&gt;"",IFERROR(IF(LEFT($B117,3)=$Z$2,VLOOKUP($C117,Outbound!$B:$AAZ,52,FALSE),VLOOKUP($B117,Outbound!$B:$AAZ,52,FALSE)),"NON TROVATO"),"")</f>
        <v>0</v>
      </c>
      <c r="J117" s="396"/>
      <c r="K117" s="387" t="str">
        <f>IF(B117&lt;&gt;"",IF($D117&lt;&gt;"ON ROCS/NOT ON FILE",IFERROR(_xlfn.XLOOKUP(LEFT($D117,3),'STAT 77 Table'!$B:$B,'STAT 77 Table'!$A:$A),"ZZ"&amp;RIGHT($B117,4)),""),"")</f>
        <v>ZZ1584</v>
      </c>
      <c r="L117" s="396"/>
      <c r="O117" s="388"/>
      <c r="P117" s="388"/>
      <c r="AA117" s="421" t="str">
        <f t="shared" si="1"/>
        <v>ITD31584</v>
      </c>
    </row>
    <row r="118" spans="1:27" ht="16.5">
      <c r="A118" s="387" t="str">
        <f>'STAT 77 Table'!$I$260</f>
        <v/>
      </c>
      <c r="B118" t="s">
        <v>1688</v>
      </c>
      <c r="C118" t="s">
        <v>1105</v>
      </c>
      <c r="D118" s="387" t="str">
        <f>IF($B118&lt;&gt;"",IFERROR(IF(LEFT($B118,3)=$Z$2,VLOOKUP($C118,Outbound!$B:$Z,4,FALSE),VLOOKUP($B118,Outbound!$B:$Z,4,FALSE)),"ON ROCS/NOT ON FILE"),"")</f>
        <v>GOA</v>
      </c>
      <c r="E118" s="387" t="str">
        <f>IF($B118&lt;&gt;"",IFERROR(IF(LEFT($B118,4)=$Z$2,VLOOKUP($C118,Outbound!$B:$Z,5,FALSE),VLOOKUP($B118,Outbound!$B:$Z,5,FALSE)),"ON ROCS/NOT ON FILE"),"")</f>
        <v>ON ROCS/NOT ON FILE</v>
      </c>
      <c r="F118" s="387" t="str">
        <f>IF(B118&lt;&gt;"",IFERROR(IF(LEFT($B118,3)=$Z$2,VLOOKUP($C118,Outbound!$B:$Z,11,FALSE),VLOOKUP($B118,Outbound!$B:$Z,11,FALSE)),"NON TROVATO"),"")</f>
        <v>Trans Speedy S.R.L</v>
      </c>
      <c r="G118" s="394" t="str">
        <f>IF(B118&lt;&gt;"",IFERROR(IF(LEFT($B118,3)=$Z$2,VLOOKUP($C118,Outbound!$B:$AAZ,16,FALSE),VLOOKUP($B118,Outbound!$B:$AAZ,16,FALSE)),"NON TROVATO"),"")</f>
        <v>XA725ZV</v>
      </c>
      <c r="H118" s="394">
        <f>IF(B118&lt;&gt;"",IFERROR(IF(LEFT($B118,3)=$Z$2,VLOOKUP($C118,Outbound!$B:$AAZ,6,FALSE),VLOOKUP($B118,Outbound!$B:$AAZ,6,FALSE)),"NON TROVATO"),"")</f>
        <v>0.16666666666666666</v>
      </c>
      <c r="I118" s="394">
        <f>IF(B118&lt;&gt;"",IFERROR(IF(LEFT($B118,3)=$Z$2,VLOOKUP($C118,Outbound!$B:$AAZ,52,FALSE),VLOOKUP($B118,Outbound!$B:$AAZ,52,FALSE)),"NON TROVATO"),"")</f>
        <v>0</v>
      </c>
      <c r="J118" s="396"/>
      <c r="K118" s="387" t="str">
        <f>IF(B118&lt;&gt;"",IF($D118&lt;&gt;"ON ROCS/NOT ON FILE",IFERROR(_xlfn.XLOOKUP(LEFT($D118,3),'STAT 77 Table'!$B:$B,'STAT 77 Table'!$A:$A),"ZZ"&amp;RIGHT($B118,4)),""),"")</f>
        <v>ZZ2508</v>
      </c>
      <c r="L118" s="396"/>
      <c r="O118" s="388"/>
      <c r="P118" s="388"/>
      <c r="AA118" s="421" t="str">
        <f t="shared" si="1"/>
        <v>ITD32508</v>
      </c>
    </row>
    <row r="119" spans="1:27" ht="16.5" hidden="1">
      <c r="A119" s="387">
        <f>'STAT 77 Table'!$I$278</f>
        <v>0</v>
      </c>
      <c r="B119" t="s">
        <v>313</v>
      </c>
      <c r="C119" t="s">
        <v>1582</v>
      </c>
      <c r="D119" s="387" t="str">
        <f>IF($B119&lt;&gt;"",IFERROR(IF(LEFT($B119,3)=$Z$2,VLOOKUP($C119,Outbound!$B:$Z,4,FALSE),VLOOKUP($B119,Outbound!$B:$Z,4,FALSE)),"ON ROCS/NOT ON FILE"),"")</f>
        <v>ZRH 1</v>
      </c>
      <c r="E119" s="387" t="str">
        <f>IF($B119&lt;&gt;"",IFERROR(IF(LEFT($B119,4)=$Z$2,VLOOKUP($C119,Outbound!$B:$Z,5,FALSE),VLOOKUP($B119,Outbound!$B:$Z,5,FALSE)),"ON ROCS/NOT ON FILE"),"")</f>
        <v/>
      </c>
      <c r="F119" s="387" t="str">
        <f>IF(B119&lt;&gt;"",IFERROR(IF(LEFT($B119,3)=$Z$2,VLOOKUP($C119,Outbound!$B:$Z,11,FALSE),VLOOKUP($B119,Outbound!$B:$Z,11,FALSE)),"NON TROVATO"),"")</f>
        <v>Ravitex Srl</v>
      </c>
      <c r="G119" s="394" t="str">
        <f>IF(B119&lt;&gt;"",IFERROR(IF(LEFT($B119,3)=$Z$2,VLOOKUP($C119,Outbound!$B:$AAZ,16,FALSE),VLOOKUP($B119,Outbound!$B:$AAZ,16,FALSE)),"NON TROVATO"),"")</f>
        <v>ENBR26444</v>
      </c>
      <c r="H119" s="394">
        <f>IF(B119&lt;&gt;"",IFERROR(IF(LEFT($B119,3)=$Z$2,VLOOKUP($C119,Outbound!$B:$AAZ,6,FALSE),VLOOKUP($B119,Outbound!$B:$AAZ,6,FALSE)),"NON TROVATO"),"")</f>
        <v>0.16666666666424135</v>
      </c>
      <c r="I119" s="394">
        <f>IF(B119&lt;&gt;"",IFERROR(IF(LEFT($B119,3)=$Z$2,VLOOKUP($C119,Outbound!$B:$AAZ,52,FALSE),VLOOKUP($B119,Outbound!$B:$AAZ,52,FALSE)),"NON TROVATO"),"")</f>
        <v>0.1076388888888889</v>
      </c>
      <c r="J119" s="396">
        <v>546758558580</v>
      </c>
      <c r="K119" s="387" t="str">
        <f>IF(B119&lt;&gt;"",IF($D119&lt;&gt;"ON ROCS/NOT ON FILE",IFERROR(_xlfn.XLOOKUP(LEFT($D119,3),'STAT 77 Table'!$B:$B,'STAT 77 Table'!$A:$A),"ZZ"&amp;RIGHT($B119,4)),""),"")</f>
        <v>IM974</v>
      </c>
      <c r="L119" s="396" t="s">
        <v>1605</v>
      </c>
      <c r="O119" s="388"/>
      <c r="P119" s="388"/>
      <c r="AA119" s="421" t="str">
        <f t="shared" si="1"/>
        <v>ERN03542</v>
      </c>
    </row>
    <row r="120" spans="1:27" ht="16.5">
      <c r="A120" s="387">
        <f>'STAT 77 Table'!$I$284</f>
        <v>0</v>
      </c>
      <c r="B120" t="s">
        <v>307</v>
      </c>
      <c r="C120" t="s">
        <v>1585</v>
      </c>
      <c r="D120" s="387" t="str">
        <f>IF($B120&lt;&gt;"",IFERROR(IF(LEFT($B120,3)=$Z$2,VLOOKUP($C120,Outbound!$B:$Z,4,FALSE),VLOOKUP($B120,Outbound!$B:$Z,4,FALSE)),"ON ROCS/NOT ON FILE"),"")</f>
        <v>ZRH 2</v>
      </c>
      <c r="E120" s="387" t="str">
        <f>IF($B120&lt;&gt;"",IFERROR(IF(LEFT($B120,4)=$Z$2,VLOOKUP($C120,Outbound!$B:$Z,5,FALSE),VLOOKUP($B120,Outbound!$B:$Z,5,FALSE)),"ON ROCS/NOT ON FILE"),"")</f>
        <v/>
      </c>
      <c r="F120" s="387" t="str">
        <f>IF(B120&lt;&gt;"",IFERROR(IF(LEFT($B120,3)=$Z$2,VLOOKUP($C120,Outbound!$B:$Z,11,FALSE),VLOOKUP($B120,Outbound!$B:$Z,11,FALSE)),"NON TROVATO"),"")</f>
        <v>Ravitex Srl</v>
      </c>
      <c r="G120" s="394" t="str">
        <f>IF(B120&lt;&gt;"",IFERROR(IF(LEFT($B120,3)=$Z$2,VLOOKUP($C120,Outbound!$B:$AAZ,16,FALSE),VLOOKUP($B120,Outbound!$B:$AAZ,16,FALSE)),"NON TROVATO"),"")</f>
        <v>ENBR26514</v>
      </c>
      <c r="H120" s="394">
        <f>IF(B120&lt;&gt;"",IFERROR(IF(LEFT($B120,3)=$Z$2,VLOOKUP($C120,Outbound!$B:$AAZ,6,FALSE),VLOOKUP($B120,Outbound!$B:$AAZ,6,FALSE)),"NON TROVATO"),"")</f>
        <v>0.16666666666424135</v>
      </c>
      <c r="I120" s="394">
        <f>IF(B120&lt;&gt;"",IFERROR(IF(LEFT($B120,3)=$Z$2,VLOOKUP($C120,Outbound!$B:$AAZ,52,FALSE),VLOOKUP($B120,Outbound!$B:$AAZ,52,FALSE)),"NON TROVATO"),"")</f>
        <v>0</v>
      </c>
      <c r="J120" s="396"/>
      <c r="K120" s="387" t="str">
        <f>IF(B120&lt;&gt;"",IF($D120&lt;&gt;"ON ROCS/NOT ON FILE",IFERROR(_xlfn.XLOOKUP(LEFT($D120,3),'STAT 77 Table'!$B:$B,'STAT 77 Table'!$A:$A),"ZZ"&amp;RIGHT($B120,4)),""),"")</f>
        <v>IM974</v>
      </c>
      <c r="L120" s="396"/>
      <c r="O120" s="388"/>
      <c r="P120" s="388"/>
      <c r="AA120" s="421" t="str">
        <f t="shared" si="1"/>
        <v>ERN07482</v>
      </c>
    </row>
    <row r="121" spans="1:27" ht="16.5">
      <c r="A121" s="387">
        <f>'STAT 77 Table'!$I$286</f>
        <v>0</v>
      </c>
      <c r="B121" t="s">
        <v>1689</v>
      </c>
      <c r="C121" t="s">
        <v>634</v>
      </c>
      <c r="D121" s="387" t="str">
        <f>IF($B121&lt;&gt;"",IFERROR(IF(LEFT($B121,3)=$Z$2,VLOOKUP($C121,Outbound!$B:$Z,4,FALSE),VLOOKUP($B121,Outbound!$B:$Z,4,FALSE)),"ON ROCS/NOT ON FILE"),"")</f>
        <v>TO1</v>
      </c>
      <c r="E121" s="387" t="str">
        <f>IF($B121&lt;&gt;"",IFERROR(IF(LEFT($B121,4)=$Z$2,VLOOKUP($C121,Outbound!$B:$Z,5,FALSE),VLOOKUP($B121,Outbound!$B:$Z,5,FALSE)),"ON ROCS/NOT ON FILE"),"")</f>
        <v>ON ROCS/NOT ON FILE</v>
      </c>
      <c r="F121" s="387" t="str">
        <f>IF(B121&lt;&gt;"",IFERROR(IF(LEFT($B121,3)=$Z$2,VLOOKUP($C121,Outbound!$B:$Z,11,FALSE),VLOOKUP($B121,Outbound!$B:$Z,11,FALSE)),"NON TROVATO"),"")</f>
        <v>Trans Speedy S.R.L</v>
      </c>
      <c r="G121" s="394" t="str">
        <f>IF(B121&lt;&gt;"",IFERROR(IF(LEFT($B121,3)=$Z$2,VLOOKUP($C121,Outbound!$B:$AAZ,16,FALSE),VLOOKUP($B121,Outbound!$B:$AAZ,16,FALSE)),"NON TROVATO"),"")</f>
        <v>XA436ZJ</v>
      </c>
      <c r="H121" s="394">
        <f>IF(B121&lt;&gt;"",IFERROR(IF(LEFT($B121,3)=$Z$2,VLOOKUP($C121,Outbound!$B:$AAZ,6,FALSE),VLOOKUP($B121,Outbound!$B:$AAZ,6,FALSE)),"NON TROVATO"),"")</f>
        <v>0.17708333333333334</v>
      </c>
      <c r="I121" s="394">
        <f>IF(B121&lt;&gt;"",IFERROR(IF(LEFT($B121,3)=$Z$2,VLOOKUP($C121,Outbound!$B:$AAZ,52,FALSE),VLOOKUP($B121,Outbound!$B:$AAZ,52,FALSE)),"NON TROVATO"),"")</f>
        <v>0</v>
      </c>
      <c r="J121" s="396"/>
      <c r="K121" s="387" t="str">
        <f>IF(B121&lt;&gt;"",IF($D121&lt;&gt;"ON ROCS/NOT ON FILE",IFERROR(_xlfn.XLOOKUP(LEFT($D121,3),'STAT 77 Table'!$B:$B,'STAT 77 Table'!$A:$A),"ZZ"&amp;RIGHT($B121,4)),""),"")</f>
        <v>ZZ1494</v>
      </c>
      <c r="L121" s="396"/>
      <c r="O121" s="388"/>
      <c r="P121" s="388"/>
      <c r="AA121" s="421" t="str">
        <f t="shared" si="1"/>
        <v>ITD31494</v>
      </c>
    </row>
    <row r="122" spans="1:27" ht="16.5" hidden="1">
      <c r="A122" s="387">
        <f>'STAT 77 Table'!$I$292</f>
        <v>0</v>
      </c>
      <c r="B122" t="s">
        <v>1690</v>
      </c>
      <c r="C122" t="s">
        <v>1126</v>
      </c>
      <c r="D122" s="387" t="str">
        <f>IF($B122&lt;&gt;"",IFERROR(IF(LEFT($B122,3)=$Z$2,VLOOKUP($C122,Outbound!$B:$Z,4,FALSE),VLOOKUP($B122,Outbound!$B:$Z,4,FALSE)),"ON ROCS/NOT ON FILE"),"")</f>
        <v>TO1</v>
      </c>
      <c r="E122" s="387" t="str">
        <f>IF($B122&lt;&gt;"",IFERROR(IF(LEFT($B122,4)=$Z$2,VLOOKUP($C122,Outbound!$B:$Z,5,FALSE),VLOOKUP($B122,Outbound!$B:$Z,5,FALSE)),"ON ROCS/NOT ON FILE"),"")</f>
        <v>ON ROCS/NOT ON FILE</v>
      </c>
      <c r="F122" s="387" t="str">
        <f>IF(B122&lt;&gt;"",IFERROR(IF(LEFT($B122,3)=$Z$2,VLOOKUP($C122,Outbound!$B:$Z,11,FALSE),VLOOKUP($B122,Outbound!$B:$Z,11,FALSE)),"NON TROVATO"),"")</f>
        <v>Zampieri Holding S.R.L.</v>
      </c>
      <c r="G122" s="394" t="str">
        <f>IF(B122&lt;&gt;"",IFERROR(IF(LEFT($B122,3)=$Z$2,VLOOKUP($C122,Outbound!$B:$AAZ,16,FALSE),VLOOKUP($B122,Outbound!$B:$AAZ,16,FALSE)),"NON TROVATO"),"")</f>
        <v>XA852EK</v>
      </c>
      <c r="H122" s="394">
        <f>IF(B122&lt;&gt;"",IFERROR(IF(LEFT($B122,3)=$Z$2,VLOOKUP($C122,Outbound!$B:$AAZ,6,FALSE),VLOOKUP($B122,Outbound!$B:$AAZ,6,FALSE)),"NON TROVATO"),"")</f>
        <v>0.17708333333333334</v>
      </c>
      <c r="I122" s="394">
        <f>IF(B122&lt;&gt;"",IFERROR(IF(LEFT($B122,3)=$Z$2,VLOOKUP($C122,Outbound!$B:$AAZ,52,FALSE),VLOOKUP($B122,Outbound!$B:$AAZ,52,FALSE)),"NON TROVATO"),"")</f>
        <v>0.13194444444444445</v>
      </c>
      <c r="J122" s="396">
        <v>546755513050</v>
      </c>
      <c r="K122" s="387" t="str">
        <f>IF(B122&lt;&gt;"",IF($D122&lt;&gt;"ON ROCS/NOT ON FILE",IFERROR(_xlfn.XLOOKUP(LEFT($D122,3),'STAT 77 Table'!$B:$B,'STAT 77 Table'!$A:$A),"ZZ"&amp;RIGHT($B122,4)),""),"")</f>
        <v>ZZ1524</v>
      </c>
      <c r="L122" s="396" t="s">
        <v>1605</v>
      </c>
      <c r="O122" s="388"/>
      <c r="P122" s="388"/>
      <c r="AA122" s="421" t="str">
        <f t="shared" si="1"/>
        <v>ITD31524</v>
      </c>
    </row>
    <row r="123" spans="1:27" ht="16.5">
      <c r="A123" s="387" t="str">
        <f>'STAT 77 Table'!$I$222</f>
        <v/>
      </c>
      <c r="B123" t="s">
        <v>1691</v>
      </c>
      <c r="C123" t="s">
        <v>1177</v>
      </c>
      <c r="D123" s="387" t="str">
        <f>IF($B123&lt;&gt;"",IFERROR(IF(LEFT($B123,3)=$Z$2,VLOOKUP($C123,Outbound!$B:$Z,4,FALSE),VLOOKUP($B123,Outbound!$B:$Z,4,FALSE)),"ON ROCS/NOT ON FILE"),"")</f>
        <v>ZD1</v>
      </c>
      <c r="E123" s="387" t="str">
        <f>IF($B123&lt;&gt;"",IFERROR(IF(LEFT($B123,4)=$Z$2,VLOOKUP($C123,Outbound!$B:$Z,5,FALSE),VLOOKUP($B123,Outbound!$B:$Z,5,FALSE)),"ON ROCS/NOT ON FILE"),"")</f>
        <v>ON ROCS/NOT ON FILE</v>
      </c>
      <c r="F123" s="387" t="str">
        <f>IF(B123&lt;&gt;"",IFERROR(IF(LEFT($B123,3)=$Z$2,VLOOKUP($C123,Outbound!$B:$Z,11,FALSE),VLOOKUP($B123,Outbound!$B:$Z,11,FALSE)),"NON TROVATO"),"")</f>
        <v>Trans Speedy S.R.L</v>
      </c>
      <c r="G123" s="394" t="str">
        <f>IF(B123&lt;&gt;"",IFERROR(IF(LEFT($B123,3)=$Z$2,VLOOKUP($C123,Outbound!$B:$AAZ,16,FALSE),VLOOKUP($B123,Outbound!$B:$AAZ,16,FALSE)),"NON TROVATO"),"")</f>
        <v>XA434TW</v>
      </c>
      <c r="H123" s="394">
        <f>IF(B123&lt;&gt;"",IFERROR(IF(LEFT($B123,3)=$Z$2,VLOOKUP($C123,Outbound!$B:$AAZ,6,FALSE),VLOOKUP($B123,Outbound!$B:$AAZ,6,FALSE)),"NON TROVATO"),"")</f>
        <v>0.1875</v>
      </c>
      <c r="I123" s="394">
        <f>IF(B123&lt;&gt;"",IFERROR(IF(LEFT($B123,3)=$Z$2,VLOOKUP($C123,Outbound!$B:$AAZ,52,FALSE),VLOOKUP($B123,Outbound!$B:$AAZ,52,FALSE)),"NON TROVATO"),"")</f>
        <v>0</v>
      </c>
      <c r="J123" s="396"/>
      <c r="K123" s="387" t="str">
        <f>IF(B123&lt;&gt;"",IF($D123&lt;&gt;"ON ROCS/NOT ON FILE",IFERROR(_xlfn.XLOOKUP(LEFT($D123,3),'STAT 77 Table'!$B:$B,'STAT 77 Table'!$A:$A),"ZZ"&amp;RIGHT($B123,4)),""),"")</f>
        <v>ZZ1482</v>
      </c>
      <c r="L123" s="396"/>
      <c r="O123" s="388"/>
      <c r="P123" s="388"/>
      <c r="AA123" s="421" t="str">
        <f t="shared" si="1"/>
        <v>ITD31482</v>
      </c>
    </row>
    <row r="124" spans="1:27" ht="16.5">
      <c r="A124" s="387" t="str">
        <f>'STAT 77 Table'!$I$247</f>
        <v/>
      </c>
      <c r="B124" t="s">
        <v>1692</v>
      </c>
      <c r="C124" t="s">
        <v>906</v>
      </c>
      <c r="D124" s="387" t="str">
        <f>IF($B124&lt;&gt;"",IFERROR(IF(LEFT($B124,3)=$Z$2,VLOOKUP($C124,Outbound!$B:$Z,4,FALSE),VLOOKUP($B124,Outbound!$B:$Z,4,FALSE)),"ON ROCS/NOT ON FILE"),"")</f>
        <v>BRG</v>
      </c>
      <c r="E124" s="387" t="str">
        <f>IF($B124&lt;&gt;"",IFERROR(IF(LEFT($B124,4)=$Z$2,VLOOKUP($C124,Outbound!$B:$Z,5,FALSE),VLOOKUP($B124,Outbound!$B:$Z,5,FALSE)),"ON ROCS/NOT ON FILE"),"")</f>
        <v>ON ROCS/NOT ON FILE</v>
      </c>
      <c r="F124" s="387" t="str">
        <f>IF(B124&lt;&gt;"",IFERROR(IF(LEFT($B124,3)=$Z$2,VLOOKUP($C124,Outbound!$B:$Z,11,FALSE),VLOOKUP($B124,Outbound!$B:$Z,11,FALSE)),"NON TROVATO"),"")</f>
        <v>Transeuropa S.r.l.</v>
      </c>
      <c r="G124" s="394" t="str">
        <f>IF(B124&lt;&gt;"",IFERROR(IF(LEFT($B124,3)=$Z$2,VLOOKUP($C124,Outbound!$B:$AAZ,16,FALSE),VLOOKUP($B124,Outbound!$B:$AAZ,16,FALSE)),"NON TROVATO"),"")</f>
        <v>XA687WL</v>
      </c>
      <c r="H124" s="394">
        <f>IF(B124&lt;&gt;"",IFERROR(IF(LEFT($B124,3)=$Z$2,VLOOKUP($C124,Outbound!$B:$AAZ,6,FALSE),VLOOKUP($B124,Outbound!$B:$AAZ,6,FALSE)),"NON TROVATO"),"")</f>
        <v>0.1875</v>
      </c>
      <c r="I124" s="394">
        <f>IF(B124&lt;&gt;"",IFERROR(IF(LEFT($B124,3)=$Z$2,VLOOKUP($C124,Outbound!$B:$AAZ,52,FALSE),VLOOKUP($B124,Outbound!$B:$AAZ,52,FALSE)),"NON TROVATO"),"")</f>
        <v>0</v>
      </c>
      <c r="J124" s="396"/>
      <c r="K124" s="387" t="str">
        <f>IF(B124&lt;&gt;"",IF($D124&lt;&gt;"ON ROCS/NOT ON FILE",IFERROR(_xlfn.XLOOKUP(LEFT($D124,3),'STAT 77 Table'!$B:$B,'STAT 77 Table'!$A:$A),"ZZ"&amp;RIGHT($B124,4)),""),"")</f>
        <v>ZZ2365</v>
      </c>
      <c r="L124" s="396"/>
      <c r="O124" s="388"/>
      <c r="P124" s="388"/>
      <c r="AA124" s="421" t="str">
        <f t="shared" si="1"/>
        <v>ITD32365</v>
      </c>
    </row>
    <row r="125" spans="1:27" ht="16.5">
      <c r="A125" s="387" t="str">
        <f>'STAT 77 Table'!$I$261</f>
        <v/>
      </c>
      <c r="B125" t="s">
        <v>1693</v>
      </c>
      <c r="C125" t="s">
        <v>865</v>
      </c>
      <c r="D125" s="387" t="str">
        <f>IF($B125&lt;&gt;"",IFERROR(IF(LEFT($B125,3)=$Z$2,VLOOKUP($C125,Outbound!$B:$Z,4,FALSE),VLOOKUP($B125,Outbound!$B:$Z,4,FALSE)),"ON ROCS/NOT ON FILE"),"")</f>
        <v>ICM</v>
      </c>
      <c r="E125" s="387" t="str">
        <f>IF($B125&lt;&gt;"",IFERROR(IF(LEFT($B125,4)=$Z$2,VLOOKUP($C125,Outbound!$B:$Z,5,FALSE),VLOOKUP($B125,Outbound!$B:$Z,5,FALSE)),"ON ROCS/NOT ON FILE"),"")</f>
        <v>ON ROCS/NOT ON FILE</v>
      </c>
      <c r="F125" s="387" t="str">
        <f>IF(B125&lt;&gt;"",IFERROR(IF(LEFT($B125,3)=$Z$2,VLOOKUP($C125,Outbound!$B:$Z,11,FALSE),VLOOKUP($B125,Outbound!$B:$Z,11,FALSE)),"NON TROVATO"),"")</f>
        <v>Trans Speedy S.R.L</v>
      </c>
      <c r="G125" s="394" t="str">
        <f>IF(B125&lt;&gt;"",IFERROR(IF(LEFT($B125,3)=$Z$2,VLOOKUP($C125,Outbound!$B:$AAZ,16,FALSE),VLOOKUP($B125,Outbound!$B:$AAZ,16,FALSE)),"NON TROVATO"),"")</f>
        <v>XA196XH</v>
      </c>
      <c r="H125" s="394">
        <f>IF(B125&lt;&gt;"",IFERROR(IF(LEFT($B125,3)=$Z$2,VLOOKUP($C125,Outbound!$B:$AAZ,6,FALSE),VLOOKUP($B125,Outbound!$B:$AAZ,6,FALSE)),"NON TROVATO"),"")</f>
        <v>0.1875</v>
      </c>
      <c r="I125" s="394">
        <f>IF(B125&lt;&gt;"",IFERROR(IF(LEFT($B125,3)=$Z$2,VLOOKUP($C125,Outbound!$B:$AAZ,52,FALSE),VLOOKUP($B125,Outbound!$B:$AAZ,52,FALSE)),"NON TROVATO"),"")</f>
        <v>0.14374999999999999</v>
      </c>
      <c r="J125" s="396"/>
      <c r="K125" s="387" t="str">
        <f>IF(B125&lt;&gt;"",IF($D125&lt;&gt;"ON ROCS/NOT ON FILE",IFERROR(_xlfn.XLOOKUP(LEFT($D125,3),'STAT 77 Table'!$B:$B,'STAT 77 Table'!$A:$A),"ZZ"&amp;RIGHT($B125,4)),""),"")</f>
        <v>ZZ1540</v>
      </c>
      <c r="L125" s="396"/>
      <c r="O125" s="388"/>
      <c r="P125" s="388"/>
      <c r="AA125" s="421" t="str">
        <f t="shared" si="1"/>
        <v>ITD31540</v>
      </c>
    </row>
    <row r="126" spans="1:27" ht="16.5">
      <c r="A126" s="387" t="str">
        <f>'STAT 77 Table'!$I$266</f>
        <v/>
      </c>
      <c r="B126" t="s">
        <v>1694</v>
      </c>
      <c r="C126" t="s">
        <v>861</v>
      </c>
      <c r="D126" s="387" t="str">
        <f>IF($B126&lt;&gt;"",IFERROR(IF(LEFT($B126,3)=$Z$2,VLOOKUP($C126,Outbound!$B:$Z,4,FALSE),VLOOKUP($B126,Outbound!$B:$Z,4,FALSE)),"ON ROCS/NOT ON FILE"),"")</f>
        <v>IBU</v>
      </c>
      <c r="E126" s="387" t="str">
        <f>IF($B126&lt;&gt;"",IFERROR(IF(LEFT($B126,4)=$Z$2,VLOOKUP($C126,Outbound!$B:$Z,5,FALSE),VLOOKUP($B126,Outbound!$B:$Z,5,FALSE)),"ON ROCS/NOT ON FILE"),"")</f>
        <v>ON ROCS/NOT ON FILE</v>
      </c>
      <c r="F126" s="387" t="str">
        <f>IF(B126&lt;&gt;"",IFERROR(IF(LEFT($B126,3)=$Z$2,VLOOKUP($C126,Outbound!$B:$Z,11,FALSE),VLOOKUP($B126,Outbound!$B:$Z,11,FALSE)),"NON TROVATO"),"")</f>
        <v>Zampieri Holding S.R.L.</v>
      </c>
      <c r="G126" s="394" t="str">
        <f>IF(B126&lt;&gt;"",IFERROR(IF(LEFT($B126,3)=$Z$2,VLOOKUP($C126,Outbound!$B:$AAZ,16,FALSE),VLOOKUP($B126,Outbound!$B:$AAZ,16,FALSE)),"NON TROVATO"),"")</f>
        <v>XA257YG</v>
      </c>
      <c r="H126" s="394">
        <f>IF(B126&lt;&gt;"",IFERROR(IF(LEFT($B126,3)=$Z$2,VLOOKUP($C126,Outbound!$B:$AAZ,6,FALSE),VLOOKUP($B126,Outbound!$B:$AAZ,6,FALSE)),"NON TROVATO"),"")</f>
        <v>0.1875</v>
      </c>
      <c r="I126" s="394">
        <f>IF(B126&lt;&gt;"",IFERROR(IF(LEFT($B126,3)=$Z$2,VLOOKUP($C126,Outbound!$B:$AAZ,52,FALSE),VLOOKUP($B126,Outbound!$B:$AAZ,52,FALSE)),"NON TROVATO"),"")</f>
        <v>0</v>
      </c>
      <c r="J126" s="396"/>
      <c r="K126" s="387" t="str">
        <f>IF(B126&lt;&gt;"",IF($D126&lt;&gt;"ON ROCS/NOT ON FILE",IFERROR(_xlfn.XLOOKUP(LEFT($D126,3),'STAT 77 Table'!$B:$B,'STAT 77 Table'!$A:$A),"ZZ"&amp;RIGHT($B126,4)),""),"")</f>
        <v>ZZ1336</v>
      </c>
      <c r="L126" s="396"/>
      <c r="O126" s="388"/>
      <c r="P126" s="388"/>
      <c r="AA126" s="421" t="str">
        <f t="shared" si="1"/>
        <v>ITD31336</v>
      </c>
    </row>
    <row r="127" spans="1:27" ht="16.5">
      <c r="A127" s="387" t="str">
        <f>'STAT 77 Table'!$I$178</f>
        <v>ERN16731</v>
      </c>
      <c r="B127" t="s">
        <v>1695</v>
      </c>
      <c r="C127" t="s">
        <v>463</v>
      </c>
      <c r="D127" s="387" t="str">
        <f>IF($B127&lt;&gt;"",IFERROR(IF(LEFT($B127,3)=$Z$2,VLOOKUP($C127,Outbound!$B:$Z,4,FALSE),VLOOKUP($B127,Outbound!$B:$Z,4,FALSE)),"ON ROCS/NOT ON FILE"),"")</f>
        <v>MM1</v>
      </c>
      <c r="E127" s="387" t="str">
        <f>IF($B127&lt;&gt;"",IFERROR(IF(LEFT($B127,4)=$Z$2,VLOOKUP($C127,Outbound!$B:$Z,5,FALSE),VLOOKUP($B127,Outbound!$B:$Z,5,FALSE)),"ON ROCS/NOT ON FILE"),"")</f>
        <v>ON ROCS/NOT ON FILE</v>
      </c>
      <c r="F127" s="387" t="str">
        <f>IF(B127&lt;&gt;"",IFERROR(IF(LEFT($B127,3)=$Z$2,VLOOKUP($C127,Outbound!$B:$Z,11,FALSE),VLOOKUP($B127,Outbound!$B:$Z,11,FALSE)),"NON TROVATO"),"")</f>
        <v>Trans Speedy S.R.L</v>
      </c>
      <c r="G127" s="394" t="str">
        <f>IF(B127&lt;&gt;"",IFERROR(IF(LEFT($B127,3)=$Z$2,VLOOKUP($C127,Outbound!$B:$AAZ,16,FALSE),VLOOKUP($B127,Outbound!$B:$AAZ,16,FALSE)),"NON TROVATO"),"")</f>
        <v>XA494ZR</v>
      </c>
      <c r="H127" s="394">
        <f>IF(B127&lt;&gt;"",IFERROR(IF(LEFT($B127,3)=$Z$2,VLOOKUP($C127,Outbound!$B:$AAZ,6,FALSE),VLOOKUP($B127,Outbound!$B:$AAZ,6,FALSE)),"NON TROVATO"),"")</f>
        <v>0.1875</v>
      </c>
      <c r="I127" s="394">
        <f>IF(B127&lt;&gt;"",IFERROR(IF(LEFT($B127,3)=$Z$2,VLOOKUP($C127,Outbound!$B:$AAZ,52,FALSE),VLOOKUP($B127,Outbound!$B:$AAZ,52,FALSE)),"NON TROVATO"),"")</f>
        <v>0</v>
      </c>
      <c r="J127" s="396"/>
      <c r="K127" s="387" t="str">
        <f>IF(B127&lt;&gt;"",IF($D127&lt;&gt;"ON ROCS/NOT ON FILE",IFERROR(_xlfn.XLOOKUP(LEFT($D127,3),'STAT 77 Table'!$B:$B,'STAT 77 Table'!$A:$A),"ZZ"&amp;RIGHT($B127,4)),""),"")</f>
        <v>IM697</v>
      </c>
      <c r="L127" s="396"/>
      <c r="O127" s="388"/>
      <c r="P127" s="388"/>
      <c r="AA127" s="421" t="str">
        <f t="shared" si="1"/>
        <v>ITD31472</v>
      </c>
    </row>
    <row r="128" spans="1:27" ht="16.5">
      <c r="A128" s="387">
        <f>'STAT 77 Table'!$I$293</f>
        <v>0</v>
      </c>
      <c r="B128" t="s">
        <v>1696</v>
      </c>
      <c r="C128" t="s">
        <v>604</v>
      </c>
      <c r="D128" s="387" t="str">
        <f>IF($B128&lt;&gt;"",IFERROR(IF(LEFT($B128,3)=$Z$2,VLOOKUP($C128,Outbound!$B:$Z,4,FALSE),VLOOKUP($B128,Outbound!$B:$Z,4,FALSE)),"ON ROCS/NOT ON FILE"),"")</f>
        <v>MZ1</v>
      </c>
      <c r="E128" s="387" t="str">
        <f>IF($B128&lt;&gt;"",IFERROR(IF(LEFT($B128,4)=$Z$2,VLOOKUP($C128,Outbound!$B:$Z,5,FALSE),VLOOKUP($B128,Outbound!$B:$Z,5,FALSE)),"ON ROCS/NOT ON FILE"),"")</f>
        <v>ON ROCS/NOT ON FILE</v>
      </c>
      <c r="F128" s="387" t="str">
        <f>IF(B128&lt;&gt;"",IFERROR(IF(LEFT($B128,3)=$Z$2,VLOOKUP($C128,Outbound!$B:$Z,11,FALSE),VLOOKUP($B128,Outbound!$B:$Z,11,FALSE)),"NON TROVATO"),"")</f>
        <v>Tonia Trasporti S.r.l.</v>
      </c>
      <c r="G128" s="394" t="str">
        <f>IF(B128&lt;&gt;"",IFERROR(IF(LEFT($B128,3)=$Z$2,VLOOKUP($C128,Outbound!$B:$AAZ,16,FALSE),VLOOKUP($B128,Outbound!$B:$AAZ,16,FALSE)),"NON TROVATO"),"")</f>
        <v>XA717NN</v>
      </c>
      <c r="H128" s="394">
        <f>IF(B128&lt;&gt;"",IFERROR(IF(LEFT($B128,3)=$Z$2,VLOOKUP($C128,Outbound!$B:$AAZ,6,FALSE),VLOOKUP($B128,Outbound!$B:$AAZ,6,FALSE)),"NON TROVATO"),"")</f>
        <v>0.1875</v>
      </c>
      <c r="I128" s="394">
        <f>IF(B128&lt;&gt;"",IFERROR(IF(LEFT($B128,3)=$Z$2,VLOOKUP($C128,Outbound!$B:$AAZ,52,FALSE),VLOOKUP($B128,Outbound!$B:$AAZ,52,FALSE)),"NON TROVATO"),"")</f>
        <v>0</v>
      </c>
      <c r="J128" s="396"/>
      <c r="K128" s="387" t="str">
        <f>IF(B128&lt;&gt;"",IF($D128&lt;&gt;"ON ROCS/NOT ON FILE",IFERROR(_xlfn.XLOOKUP(LEFT($D128,3),'STAT 77 Table'!$B:$B,'STAT 77 Table'!$A:$A),"ZZ"&amp;RIGHT($B128,4)),""),"")</f>
        <v>IM697</v>
      </c>
      <c r="L128" s="396"/>
      <c r="O128" s="388"/>
      <c r="P128" s="388"/>
      <c r="AA128" s="421" t="str">
        <f t="shared" si="1"/>
        <v>ITD31165</v>
      </c>
    </row>
    <row r="129" spans="1:27" ht="16.5">
      <c r="A129" s="387" t="str">
        <f>'STAT 77 Table'!$I$157</f>
        <v>ERN18726</v>
      </c>
      <c r="B129" t="s">
        <v>1697</v>
      </c>
      <c r="C129" t="s">
        <v>1053</v>
      </c>
      <c r="D129" s="387" t="str">
        <f>IF($B129&lt;&gt;"",IFERROR(IF(LEFT($B129,3)=$Z$2,VLOOKUP($C129,Outbound!$B:$Z,4,FALSE),VLOOKUP($B129,Outbound!$B:$Z,4,FALSE)),"ON ROCS/NOT ON FILE"),"")</f>
        <v>MZ1</v>
      </c>
      <c r="E129" s="387" t="str">
        <f>IF($B129&lt;&gt;"",IFERROR(IF(LEFT($B129,4)=$Z$2,VLOOKUP($C129,Outbound!$B:$Z,5,FALSE),VLOOKUP($B129,Outbound!$B:$Z,5,FALSE)),"ON ROCS/NOT ON FILE"),"")</f>
        <v>ON ROCS/NOT ON FILE</v>
      </c>
      <c r="F129" s="387" t="str">
        <f>IF(B129&lt;&gt;"",IFERROR(IF(LEFT($B129,3)=$Z$2,VLOOKUP($C129,Outbound!$B:$Z,11,FALSE),VLOOKUP($B129,Outbound!$B:$Z,11,FALSE)),"NON TROVATO"),"")</f>
        <v>F.M. Trasporti S.R.L.</v>
      </c>
      <c r="G129" s="394" t="str">
        <f>IF(B129&lt;&gt;"",IFERROR(IF(LEFT($B129,3)=$Z$2,VLOOKUP($C129,Outbound!$B:$AAZ,16,FALSE),VLOOKUP($B129,Outbound!$B:$AAZ,16,FALSE)),"NON TROVATO"),"")</f>
        <v>XB171AG</v>
      </c>
      <c r="H129" s="394">
        <f>IF(B129&lt;&gt;"",IFERROR(IF(LEFT($B129,3)=$Z$2,VLOOKUP($C129,Outbound!$B:$AAZ,6,FALSE),VLOOKUP($B129,Outbound!$B:$AAZ,6,FALSE)),"NON TROVATO"),"")</f>
        <v>0.1875</v>
      </c>
      <c r="I129" s="394">
        <f>IF(B129&lt;&gt;"",IFERROR(IF(LEFT($B129,3)=$Z$2,VLOOKUP($C129,Outbound!$B:$AAZ,52,FALSE),VLOOKUP($B129,Outbound!$B:$AAZ,52,FALSE)),"NON TROVATO"),"")</f>
        <v>0</v>
      </c>
      <c r="J129" s="396"/>
      <c r="K129" s="387" t="str">
        <f>IF(B129&lt;&gt;"",IF($D129&lt;&gt;"ON ROCS/NOT ON FILE",IFERROR(_xlfn.XLOOKUP(LEFT($D129,3),'STAT 77 Table'!$B:$B,'STAT 77 Table'!$A:$A),"ZZ"&amp;RIGHT($B129,4)),""),"")</f>
        <v>IM697</v>
      </c>
      <c r="L129" s="396"/>
      <c r="O129" s="388"/>
      <c r="P129" s="388"/>
      <c r="AA129" s="421" t="str">
        <f t="shared" si="1"/>
        <v>ITD32554</v>
      </c>
    </row>
    <row r="130" spans="1:27" ht="16.5" hidden="1">
      <c r="A130" s="387" t="str">
        <f>'STAT 77 Table'!$I$171</f>
        <v>ITD12170</v>
      </c>
      <c r="B130" t="s">
        <v>1698</v>
      </c>
      <c r="C130" t="s">
        <v>934</v>
      </c>
      <c r="D130" s="387" t="str">
        <f>IF($B130&lt;&gt;"",IFERROR(IF(LEFT($B130,3)=$Z$2,VLOOKUP($C130,Outbound!$B:$Z,4,FALSE),VLOOKUP($B130,Outbound!$B:$Z,4,FALSE)),"ON ROCS/NOT ON FILE"),"")</f>
        <v>MM1</v>
      </c>
      <c r="E130" s="387" t="str">
        <f>IF($B130&lt;&gt;"",IFERROR(IF(LEFT($B130,4)=$Z$2,VLOOKUP($C130,Outbound!$B:$Z,5,FALSE),VLOOKUP($B130,Outbound!$B:$Z,5,FALSE)),"ON ROCS/NOT ON FILE"),"")</f>
        <v>ON ROCS/NOT ON FILE</v>
      </c>
      <c r="F130" s="387" t="str">
        <f>IF(B130&lt;&gt;"",IFERROR(IF(LEFT($B130,3)=$Z$2,VLOOKUP($C130,Outbound!$B:$Z,11,FALSE),VLOOKUP($B130,Outbound!$B:$Z,11,FALSE)),"NON TROVATO"),"")</f>
        <v>Trans Speedy S.R.L</v>
      </c>
      <c r="G130" s="394" t="str">
        <f>IF(B130&lt;&gt;"",IFERROR(IF(LEFT($B130,3)=$Z$2,VLOOKUP($C130,Outbound!$B:$AAZ,16,FALSE),VLOOKUP($B130,Outbound!$B:$AAZ,16,FALSE)),"NON TROVATO"),"")</f>
        <v>XA755VH</v>
      </c>
      <c r="H130" s="394">
        <f>IF(B130&lt;&gt;"",IFERROR(IF(LEFT($B130,3)=$Z$2,VLOOKUP($C130,Outbound!$B:$AAZ,6,FALSE),VLOOKUP($B130,Outbound!$B:$AAZ,6,FALSE)),"NON TROVATO"),"")</f>
        <v>0.1875</v>
      </c>
      <c r="I130" s="394">
        <v>0.94374999999999998</v>
      </c>
      <c r="J130" s="440">
        <v>546758559359</v>
      </c>
      <c r="K130" s="387" t="str">
        <f>IF(B130&lt;&gt;"",IF($D130&lt;&gt;"ON ROCS/NOT ON FILE",IFERROR(_xlfn.XLOOKUP(LEFT($D130,3),'STAT 77 Table'!$B:$B,'STAT 77 Table'!$A:$A),"ZZ"&amp;RIGHT($B130,4)),""),"")</f>
        <v>IM697</v>
      </c>
      <c r="L130" s="396" t="s">
        <v>1605</v>
      </c>
      <c r="O130" s="388"/>
      <c r="P130" s="388"/>
      <c r="AA130" s="421" t="str">
        <f t="shared" si="1"/>
        <v>ITD12359</v>
      </c>
    </row>
    <row r="131" spans="1:27" ht="16.5">
      <c r="A131" s="387" t="str">
        <f>'STAT 77 Table'!$I$173</f>
        <v>ITD12217</v>
      </c>
      <c r="B131" t="s">
        <v>1699</v>
      </c>
      <c r="C131" t="s">
        <v>535</v>
      </c>
      <c r="D131" s="387" t="s">
        <v>663</v>
      </c>
      <c r="E131" s="387" t="str">
        <f>IF($B131&lt;&gt;"",IFERROR(IF(LEFT($B131,4)=$Z$2,VLOOKUP($C131,Outbound!$B:$Z,5,FALSE),VLOOKUP($B131,Outbound!$B:$Z,5,FALSE)),"ON ROCS/NOT ON FILE"),"")</f>
        <v>ON ROCS/NOT ON FILE</v>
      </c>
      <c r="F131" s="387" t="str">
        <f>IF(B131&lt;&gt;"",IFERROR(IF(LEFT($B131,3)=$Z$2,VLOOKUP($C131,Outbound!$B:$Z,11,FALSE),VLOOKUP($B131,Outbound!$B:$Z,11,FALSE)),"NON TROVATO"),"")</f>
        <v>Trans Speedy S.R.L</v>
      </c>
      <c r="G131" s="394" t="s">
        <v>665</v>
      </c>
      <c r="H131" s="394">
        <v>0.1875</v>
      </c>
      <c r="I131" s="394"/>
      <c r="J131" s="396"/>
      <c r="K131" s="387" t="str">
        <f>IF(B131&lt;&gt;"",IF($D131&lt;&gt;"ON ROCS/NOT ON FILE",IFERROR(_xlfn.XLOOKUP(LEFT($D131,3),'STAT 77 Table'!$B:$B,'STAT 77 Table'!$A:$A),"ZZ"&amp;RIGHT($B131,4)),""),"")</f>
        <v>ZZ2662</v>
      </c>
      <c r="L131" s="396"/>
      <c r="O131" s="388"/>
      <c r="P131" s="388"/>
      <c r="AA131" s="421" t="str">
        <f t="shared" si="1"/>
        <v>ITD12362</v>
      </c>
    </row>
    <row r="132" spans="1:27" ht="16.5">
      <c r="A132" s="387" t="str">
        <f>'STAT 77 Table'!$I$209</f>
        <v>ITD12420</v>
      </c>
      <c r="B132" t="s">
        <v>192</v>
      </c>
      <c r="C132" t="s">
        <v>1448</v>
      </c>
      <c r="D132" s="387" t="str">
        <f>IF($B132&lt;&gt;"",IFERROR(IF(LEFT($B132,3)=$Z$2,VLOOKUP($C132,Outbound!$B:$Z,4,FALSE),VLOOKUP($B132,Outbound!$B:$Z,4,FALSE)),"ON ROCS/NOT ON FILE"),"")</f>
        <v>LUG</v>
      </c>
      <c r="E132" s="387" t="str">
        <f>IF($B132&lt;&gt;"",IFERROR(IF(LEFT($B132,4)=$Z$2,VLOOKUP($C132,Outbound!$B:$Z,5,FALSE),VLOOKUP($B132,Outbound!$B:$Z,5,FALSE)),"ON ROCS/NOT ON FILE"),"")</f>
        <v>LUGT8</v>
      </c>
      <c r="F132" s="387" t="str">
        <f>IF(B132&lt;&gt;"",IFERROR(IF(LEFT($B132,3)=$Z$2,VLOOKUP($C132,Outbound!$B:$Z,11,FALSE),VLOOKUP($B132,Outbound!$B:$Z,11,FALSE)),"NON TROVATO"),"")</f>
        <v>Mlk Trans&amp;logistic Srl</v>
      </c>
      <c r="G132" s="394" t="str">
        <f>IF(B132&lt;&gt;"",IFERROR(IF(LEFT($B132,3)=$Z$2,VLOOKUP($C132,Outbound!$B:$AAZ,16,FALSE),VLOOKUP($B132,Outbound!$B:$AAZ,16,FALSE)),"NON TROVATO"),"")</f>
        <v>ENBR26445</v>
      </c>
      <c r="H132" s="394">
        <f>IF(B132&lt;&gt;"",IFERROR(IF(LEFT($B132,3)=$Z$2,VLOOKUP($C132,Outbound!$B:$AAZ,6,FALSE),VLOOKUP($B132,Outbound!$B:$AAZ,6,FALSE)),"NON TROVATO"),"")</f>
        <v>0.1875</v>
      </c>
      <c r="I132" s="394">
        <f>IF(B132&lt;&gt;"",IFERROR(IF(LEFT($B132,3)=$Z$2,VLOOKUP($C132,Outbound!$B:$AAZ,52,FALSE),VLOOKUP($B132,Outbound!$B:$AAZ,52,FALSE)),"NON TROVATO"),"")</f>
        <v>0</v>
      </c>
      <c r="J132" s="396"/>
      <c r="K132" s="387" t="str">
        <f>IF(B132&lt;&gt;"",IF($D132&lt;&gt;"ON ROCS/NOT ON FILE",IFERROR(_xlfn.XLOOKUP(LEFT($D132,3),'STAT 77 Table'!$B:$B,'STAT 77 Table'!$A:$A),"ZZ"&amp;RIGHT($B132,4)),""),"")</f>
        <v>IM584</v>
      </c>
      <c r="L132" s="396"/>
      <c r="O132" s="388"/>
      <c r="P132" s="388"/>
      <c r="AA132" s="421" t="str">
        <f t="shared" ref="AA132:AA195" si="2">IF(LEFT(A132,3)=$X$2,C132,B132)</f>
        <v>ERN02108</v>
      </c>
    </row>
    <row r="133" spans="1:27" ht="16.5">
      <c r="A133" s="387" t="str">
        <f>'STAT 77 Table'!$I$252</f>
        <v/>
      </c>
      <c r="B133" t="s">
        <v>1700</v>
      </c>
      <c r="C133" t="s">
        <v>698</v>
      </c>
      <c r="D133" s="387" t="str">
        <f>IF($B133&lt;&gt;"",IFERROR(IF(LEFT($B133,3)=$Z$2,VLOOKUP($C133,Outbound!$B:$Z,4,FALSE),VLOOKUP($B133,Outbound!$B:$Z,4,FALSE)),"ON ROCS/NOT ON FILE"),"")</f>
        <v>IIM</v>
      </c>
      <c r="E133" s="387" t="str">
        <f>IF($B133&lt;&gt;"",IFERROR(IF(LEFT($B133,4)=$Z$2,VLOOKUP($C133,Outbound!$B:$Z,5,FALSE),VLOOKUP($B133,Outbound!$B:$Z,5,FALSE)),"ON ROCS/NOT ON FILE"),"")</f>
        <v>ON ROCS/NOT ON FILE</v>
      </c>
      <c r="F133" s="387" t="str">
        <f>IF(B133&lt;&gt;"",IFERROR(IF(LEFT($B133,3)=$Z$2,VLOOKUP($C133,Outbound!$B:$Z,11,FALSE),VLOOKUP($B133,Outbound!$B:$Z,11,FALSE)),"NON TROVATO"),"")</f>
        <v>Transeuropa S.r.l.</v>
      </c>
      <c r="G133" s="394" t="str">
        <f>IF(B133&lt;&gt;"",IFERROR(IF(LEFT($B133,3)=$Z$2,VLOOKUP($C133,Outbound!$B:$AAZ,16,FALSE),VLOOKUP($B133,Outbound!$B:$AAZ,16,FALSE)),"NON TROVATO"),"")</f>
        <v>XA465LJ</v>
      </c>
      <c r="H133" s="394">
        <f>IF(B133&lt;&gt;"",IFERROR(IF(LEFT($B133,3)=$Z$2,VLOOKUP($C133,Outbound!$B:$AAZ,6,FALSE),VLOOKUP($B133,Outbound!$B:$AAZ,6,FALSE)),"NON TROVATO"),"")</f>
        <v>0.19097222222222221</v>
      </c>
      <c r="I133" s="394">
        <f>IF(B133&lt;&gt;"",IFERROR(IF(LEFT($B133,3)=$Z$2,VLOOKUP($C133,Outbound!$B:$AAZ,52,FALSE),VLOOKUP($B133,Outbound!$B:$AAZ,52,FALSE)),"NON TROVATO"),"")</f>
        <v>0</v>
      </c>
      <c r="J133" s="396"/>
      <c r="K133" s="387" t="str">
        <f>IF(B133&lt;&gt;"",IF($D133&lt;&gt;"ON ROCS/NOT ON FILE",IFERROR(_xlfn.XLOOKUP(LEFT($D133,3),'STAT 77 Table'!$B:$B,'STAT 77 Table'!$A:$A),"ZZ"&amp;RIGHT($B133,4)),""),"")</f>
        <v>ZZ2146</v>
      </c>
      <c r="L133" s="396"/>
      <c r="O133" s="388"/>
      <c r="P133" s="388"/>
      <c r="AA133" s="421" t="str">
        <f t="shared" si="2"/>
        <v>ITD32146</v>
      </c>
    </row>
    <row r="134" spans="1:27" ht="16.5">
      <c r="A134" s="387" t="str">
        <f>'STAT 77 Table'!$I$253</f>
        <v/>
      </c>
      <c r="B134" t="s">
        <v>1701</v>
      </c>
      <c r="C134" t="s">
        <v>684</v>
      </c>
      <c r="D134" s="387" t="str">
        <f>IF($B134&lt;&gt;"",IFERROR(IF(LEFT($B134,3)=$Z$2,VLOOKUP($C134,Outbound!$B:$Z,4,FALSE),VLOOKUP($B134,Outbound!$B:$Z,4,FALSE)),"ON ROCS/NOT ON FILE"),"")</f>
        <v>PMF</v>
      </c>
      <c r="E134" s="387" t="str">
        <f>IF($B134&lt;&gt;"",IFERROR(IF(LEFT($B134,4)=$Z$2,VLOOKUP($C134,Outbound!$B:$Z,5,FALSE),VLOOKUP($B134,Outbound!$B:$Z,5,FALSE)),"ON ROCS/NOT ON FILE"),"")</f>
        <v>ON ROCS/NOT ON FILE</v>
      </c>
      <c r="F134" s="387" t="str">
        <f>IF(B134&lt;&gt;"",IFERROR(IF(LEFT($B134,3)=$Z$2,VLOOKUP($C134,Outbound!$B:$Z,11,FALSE),VLOOKUP($B134,Outbound!$B:$Z,11,FALSE)),"NON TROVATO"),"")</f>
        <v>Zampieri Holding S.R.L.</v>
      </c>
      <c r="G134" s="394" t="str">
        <f>IF(B134&lt;&gt;"",IFERROR(IF(LEFT($B134,3)=$Z$2,VLOOKUP($C134,Outbound!$B:$AAZ,16,FALSE),VLOOKUP($B134,Outbound!$B:$AAZ,16,FALSE)),"NON TROVATO"),"")</f>
        <v>XA557PG</v>
      </c>
      <c r="H134" s="394">
        <f>IF(B134&lt;&gt;"",IFERROR(IF(LEFT($B134,3)=$Z$2,VLOOKUP($C134,Outbound!$B:$AAZ,6,FALSE),VLOOKUP($B134,Outbound!$B:$AAZ,6,FALSE)),"NON TROVATO"),"")</f>
        <v>0.19097222222222221</v>
      </c>
      <c r="I134" s="394">
        <f>IF(B134&lt;&gt;"",IFERROR(IF(LEFT($B134,3)=$Z$2,VLOOKUP($C134,Outbound!$B:$AAZ,52,FALSE),VLOOKUP($B134,Outbound!$B:$AAZ,52,FALSE)),"NON TROVATO"),"")</f>
        <v>0</v>
      </c>
      <c r="J134" s="396"/>
      <c r="K134" s="387" t="str">
        <f>IF(B134&lt;&gt;"",IF($D134&lt;&gt;"ON ROCS/NOT ON FILE",IFERROR(_xlfn.XLOOKUP(LEFT($D134,3),'STAT 77 Table'!$B:$B,'STAT 77 Table'!$A:$A),"ZZ"&amp;RIGHT($B134,4)),""),"")</f>
        <v>IM257</v>
      </c>
      <c r="L134" s="396"/>
      <c r="O134" s="388"/>
      <c r="P134" s="388"/>
      <c r="AA134" s="421" t="str">
        <f t="shared" si="2"/>
        <v>ITD31530</v>
      </c>
    </row>
    <row r="135" spans="1:27" ht="16.5">
      <c r="A135" s="387" t="str">
        <f>'STAT 77 Table'!$I$235</f>
        <v/>
      </c>
      <c r="B135" t="s">
        <v>1702</v>
      </c>
      <c r="C135" t="s">
        <v>898</v>
      </c>
      <c r="D135" s="387" t="str">
        <f>IF($B135&lt;&gt;"",IFERROR(IF(LEFT($B135,3)=$Z$2,VLOOKUP($C135,Outbound!$B:$Z,4,FALSE),VLOOKUP($B135,Outbound!$B:$Z,4,FALSE)),"ON ROCS/NOT ON FILE"),"")</f>
        <v>MDA</v>
      </c>
      <c r="E135" s="387" t="str">
        <f>IF($B135&lt;&gt;"",IFERROR(IF(LEFT($B135,4)=$Z$2,VLOOKUP($C135,Outbound!$B:$Z,5,FALSE),VLOOKUP($B135,Outbound!$B:$Z,5,FALSE)),"ON ROCS/NOT ON FILE"),"")</f>
        <v>ON ROCS/NOT ON FILE</v>
      </c>
      <c r="F135" s="387" t="str">
        <f>IF(B135&lt;&gt;"",IFERROR(IF(LEFT($B135,3)=$Z$2,VLOOKUP($C135,Outbound!$B:$Z,11,FALSE),VLOOKUP($B135,Outbound!$B:$Z,11,FALSE)),"NON TROVATO"),"")</f>
        <v>Matelda Srl</v>
      </c>
      <c r="G135" s="394" t="str">
        <f>IF(B135&lt;&gt;"",IFERROR(IF(LEFT($B135,3)=$Z$2,VLOOKUP($C135,Outbound!$B:$AAZ,16,FALSE),VLOOKUP($B135,Outbound!$B:$AAZ,16,FALSE)),"NON TROVATO"),"")</f>
        <v>XB806AP</v>
      </c>
      <c r="H135" s="394">
        <f>IF(B135&lt;&gt;"",IFERROR(IF(LEFT($B135,3)=$Z$2,VLOOKUP($C135,Outbound!$B:$AAZ,6,FALSE),VLOOKUP($B135,Outbound!$B:$AAZ,6,FALSE)),"NON TROVATO"),"")</f>
        <v>0.19097222222222221</v>
      </c>
      <c r="I135" s="394">
        <f>IF(B135&lt;&gt;"",IFERROR(IF(LEFT($B135,3)=$Z$2,VLOOKUP($C135,Outbound!$B:$AAZ,52,FALSE),VLOOKUP($B135,Outbound!$B:$AAZ,52,FALSE)),"NON TROVATO"),"")</f>
        <v>0</v>
      </c>
      <c r="J135" s="396"/>
      <c r="K135" s="387" t="str">
        <f>IF(B135&lt;&gt;"",IF($D135&lt;&gt;"ON ROCS/NOT ON FILE",IFERROR(_xlfn.XLOOKUP(LEFT($D135,3),'STAT 77 Table'!$B:$B,'STAT 77 Table'!$A:$A),"ZZ"&amp;RIGHT($B135,4)),""),"")</f>
        <v>IM257</v>
      </c>
      <c r="L135" s="396"/>
      <c r="O135" s="388"/>
      <c r="P135" s="388"/>
      <c r="AA135" s="421" t="str">
        <f t="shared" si="2"/>
        <v>ITD31296</v>
      </c>
    </row>
    <row r="136" spans="1:27" ht="16.5">
      <c r="A136" s="387" t="str">
        <f>'STAT 77 Table'!$I$236</f>
        <v/>
      </c>
      <c r="B136" t="s">
        <v>1703</v>
      </c>
      <c r="C136" t="s">
        <v>566</v>
      </c>
      <c r="D136" s="387" t="str">
        <f>IF($B136&lt;&gt;"",IFERROR(IF(LEFT($B136,3)=$Z$2,VLOOKUP($C136,Outbound!$B:$Z,4,FALSE),VLOOKUP($B136,Outbound!$B:$Z,4,FALSE)),"ON ROCS/NOT ON FILE"),"")</f>
        <v>REM</v>
      </c>
      <c r="E136" s="387" t="str">
        <f>IF($B136&lt;&gt;"",IFERROR(IF(LEFT($B136,4)=$Z$2,VLOOKUP($C136,Outbound!$B:$Z,5,FALSE),VLOOKUP($B136,Outbound!$B:$Z,5,FALSE)),"ON ROCS/NOT ON FILE"),"")</f>
        <v>ON ROCS/NOT ON FILE</v>
      </c>
      <c r="F136" s="387" t="str">
        <f>IF(B136&lt;&gt;"",IFERROR(IF(LEFT($B136,3)=$Z$2,VLOOKUP($C136,Outbound!$B:$Z,11,FALSE),VLOOKUP($B136,Outbound!$B:$Z,11,FALSE)),"NON TROVATO"),"")</f>
        <v>Transeuropa S.r.l.</v>
      </c>
      <c r="G136" s="394" t="str">
        <f>IF(B136&lt;&gt;"",IFERROR(IF(LEFT($B136,3)=$Z$2,VLOOKUP($C136,Outbound!$B:$AAZ,16,FALSE),VLOOKUP($B136,Outbound!$B:$AAZ,16,FALSE)),"NON TROVATO"),"")</f>
        <v>XA519LJ</v>
      </c>
      <c r="H136" s="394">
        <f>IF(B136&lt;&gt;"",IFERROR(IF(LEFT($B136,3)=$Z$2,VLOOKUP($C136,Outbound!$B:$AAZ,6,FALSE),VLOOKUP($B136,Outbound!$B:$AAZ,6,FALSE)),"NON TROVATO"),"")</f>
        <v>0.19097222222222221</v>
      </c>
      <c r="I136" s="394">
        <f>IF(B136&lt;&gt;"",IFERROR(IF(LEFT($B136,3)=$Z$2,VLOOKUP($C136,Outbound!$B:$AAZ,52,FALSE),VLOOKUP($B136,Outbound!$B:$AAZ,52,FALSE)),"NON TROVATO"),"")</f>
        <v>0</v>
      </c>
      <c r="J136" s="396"/>
      <c r="K136" s="387" t="str">
        <f>IF(B136&lt;&gt;"",IF($D136&lt;&gt;"ON ROCS/NOT ON FILE",IFERROR(_xlfn.XLOOKUP(LEFT($D136,3),'STAT 77 Table'!$B:$B,'STAT 77 Table'!$A:$A),"ZZ"&amp;RIGHT($B136,4)),""),"")</f>
        <v>IM257</v>
      </c>
      <c r="L136" s="396"/>
      <c r="O136" s="388"/>
      <c r="P136" s="388"/>
      <c r="AA136" s="421" t="str">
        <f t="shared" si="2"/>
        <v>ITD31298</v>
      </c>
    </row>
    <row r="137" spans="1:27" ht="16.5">
      <c r="A137" s="387" t="str">
        <f>'STAT 77 Table'!$I$255</f>
        <v/>
      </c>
      <c r="B137" t="s">
        <v>1704</v>
      </c>
      <c r="C137" t="s">
        <v>1100</v>
      </c>
      <c r="D137" s="387" t="str">
        <f>IF($B137&lt;&gt;"",IFERROR(IF(LEFT($B137,3)=$Z$2,VLOOKUP($C137,Outbound!$B:$Z,4,FALSE),VLOOKUP($B137,Outbound!$B:$Z,4,FALSE)),"ON ROCS/NOT ON FILE"),"")</f>
        <v>VRN</v>
      </c>
      <c r="E137" s="387" t="str">
        <f>IF($B137&lt;&gt;"",IFERROR(IF(LEFT($B137,4)=$Z$2,VLOOKUP($C137,Outbound!$B:$Z,5,FALSE),VLOOKUP($B137,Outbound!$B:$Z,5,FALSE)),"ON ROCS/NOT ON FILE"),"")</f>
        <v>ON ROCS/NOT ON FILE</v>
      </c>
      <c r="F137" s="387" t="str">
        <f>IF(B137&lt;&gt;"",IFERROR(IF(LEFT($B137,3)=$Z$2,VLOOKUP($C137,Outbound!$B:$Z,11,FALSE),VLOOKUP($B137,Outbound!$B:$Z,11,FALSE)),"NON TROVATO"),"")</f>
        <v>S.T.I. Società Trasporti Internazionali S.r.L.</v>
      </c>
      <c r="G137" s="394" t="str">
        <f>IF(B137&lt;&gt;"",IFERROR(IF(LEFT($B137,3)=$Z$2,VLOOKUP($C137,Outbound!$B:$AAZ,16,FALSE),VLOOKUP($B137,Outbound!$B:$AAZ,16,FALSE)),"NON TROVATO"),"")</f>
        <v>XA021TN</v>
      </c>
      <c r="H137" s="394">
        <f>IF(B137&lt;&gt;"",IFERROR(IF(LEFT($B137,3)=$Z$2,VLOOKUP($C137,Outbound!$B:$AAZ,6,FALSE),VLOOKUP($B137,Outbound!$B:$AAZ,6,FALSE)),"NON TROVATO"),"")</f>
        <v>0.19097222222222221</v>
      </c>
      <c r="I137" s="394">
        <f>IF(B137&lt;&gt;"",IFERROR(IF(LEFT($B137,3)=$Z$2,VLOOKUP($C137,Outbound!$B:$AAZ,52,FALSE),VLOOKUP($B137,Outbound!$B:$AAZ,52,FALSE)),"NON TROVATO"),"")</f>
        <v>0</v>
      </c>
      <c r="J137" s="396"/>
      <c r="K137" s="387" t="str">
        <f>IF(B137&lt;&gt;"",IF($D137&lt;&gt;"ON ROCS/NOT ON FILE",IFERROR(_xlfn.XLOOKUP(LEFT($D137,3),'STAT 77 Table'!$B:$B,'STAT 77 Table'!$A:$A),"ZZ"&amp;RIGHT($B137,4)),""),"")</f>
        <v>ZZ1424</v>
      </c>
      <c r="L137" s="396"/>
      <c r="O137" s="388"/>
      <c r="P137" s="388"/>
      <c r="AA137" s="421" t="str">
        <f t="shared" si="2"/>
        <v>ITD31424</v>
      </c>
    </row>
    <row r="138" spans="1:27" ht="16.5">
      <c r="A138" s="387" t="str">
        <f>'STAT 77 Table'!$I$256</f>
        <v/>
      </c>
      <c r="B138" t="s">
        <v>1705</v>
      </c>
      <c r="C138" t="s">
        <v>1218</v>
      </c>
      <c r="D138" s="387" t="str">
        <f>IF($B138&lt;&gt;"",IFERROR(IF(LEFT($B138,3)=$Z$2,VLOOKUP($C138,Outbound!$B:$Z,4,FALSE),VLOOKUP($B138,Outbound!$B:$Z,4,FALSE)),"ON ROCS/NOT ON FILE"),"")</f>
        <v>VRN</v>
      </c>
      <c r="E138" s="387" t="str">
        <f>IF($B138&lt;&gt;"",IFERROR(IF(LEFT($B138,4)=$Z$2,VLOOKUP($C138,Outbound!$B:$Z,5,FALSE),VLOOKUP($B138,Outbound!$B:$Z,5,FALSE)),"ON ROCS/NOT ON FILE"),"")</f>
        <v>ON ROCS/NOT ON FILE</v>
      </c>
      <c r="F138" s="387" t="str">
        <f>IF(B138&lt;&gt;"",IFERROR(IF(LEFT($B138,3)=$Z$2,VLOOKUP($C138,Outbound!$B:$Z,11,FALSE),VLOOKUP($B138,Outbound!$B:$Z,11,FALSE)),"NON TROVATO"),"")</f>
        <v>Fenix Srl</v>
      </c>
      <c r="G138" s="394">
        <f>IF(B138&lt;&gt;"",IFERROR(IF(LEFT($B138,3)=$Z$2,VLOOKUP($C138,Outbound!$B:$AAZ,16,FALSE),VLOOKUP($B138,Outbound!$B:$AAZ,16,FALSE)),"NON TROVATO"),"")</f>
        <v>0</v>
      </c>
      <c r="H138" s="394">
        <f>IF(B138&lt;&gt;"",IFERROR(IF(LEFT($B138,3)=$Z$2,VLOOKUP($C138,Outbound!$B:$AAZ,6,FALSE),VLOOKUP($B138,Outbound!$B:$AAZ,6,FALSE)),"NON TROVATO"),"")</f>
        <v>0.19097222222222221</v>
      </c>
      <c r="I138" s="394">
        <f>IF(B138&lt;&gt;"",IFERROR(IF(LEFT($B138,3)=$Z$2,VLOOKUP($C138,Outbound!$B:$AAZ,52,FALSE),VLOOKUP($B138,Outbound!$B:$AAZ,52,FALSE)),"NON TROVATO"),"")</f>
        <v>0</v>
      </c>
      <c r="J138" s="396"/>
      <c r="K138" s="387" t="str">
        <f>IF(B138&lt;&gt;"",IF($D138&lt;&gt;"ON ROCS/NOT ON FILE",IFERROR(_xlfn.XLOOKUP(LEFT($D138,3),'STAT 77 Table'!$B:$B,'STAT 77 Table'!$A:$A),"ZZ"&amp;RIGHT($B138,4)),""),"")</f>
        <v>ZZ1432</v>
      </c>
      <c r="L138" s="396"/>
      <c r="O138" s="388"/>
      <c r="P138" s="388"/>
      <c r="AA138" s="421" t="str">
        <f t="shared" si="2"/>
        <v>ITD31432</v>
      </c>
    </row>
    <row r="139" spans="1:27" ht="16.5">
      <c r="A139" s="387" t="str">
        <f>'STAT 77 Table'!$I$226</f>
        <v/>
      </c>
      <c r="B139" t="s">
        <v>1706</v>
      </c>
      <c r="C139" t="s">
        <v>614</v>
      </c>
      <c r="D139" s="387" t="str">
        <f>IF($B139&lt;&gt;"",IFERROR(IF(LEFT($B139,3)=$Z$2,VLOOKUP($C139,Outbound!$B:$Z,4,FALSE),VLOOKUP($B139,Outbound!$B:$Z,4,FALSE)),"ON ROCS/NOT ON FILE"),"")</f>
        <v>IBD</v>
      </c>
      <c r="E139" s="387" t="str">
        <f>IF($B139&lt;&gt;"",IFERROR(IF(LEFT($B139,4)=$Z$2,VLOOKUP($C139,Outbound!$B:$Z,5,FALSE),VLOOKUP($B139,Outbound!$B:$Z,5,FALSE)),"ON ROCS/NOT ON FILE"),"")</f>
        <v>ON ROCS/NOT ON FILE</v>
      </c>
      <c r="F139" s="387" t="str">
        <f>IF(B139&lt;&gt;"",IFERROR(IF(LEFT($B139,3)=$Z$2,VLOOKUP($C139,Outbound!$B:$Z,11,FALSE),VLOOKUP($B139,Outbound!$B:$Z,11,FALSE)),"NON TROVATO"),"")</f>
        <v>Transeuropa S.r.l.</v>
      </c>
      <c r="G139" s="394" t="str">
        <f>IF(B139&lt;&gt;"",IFERROR(IF(LEFT($B139,3)=$Z$2,VLOOKUP($C139,Outbound!$B:$AAZ,16,FALSE),VLOOKUP($B139,Outbound!$B:$AAZ,16,FALSE)),"NON TROVATO"),"")</f>
        <v>XA713GY</v>
      </c>
      <c r="H139" s="394">
        <f>IF(B139&lt;&gt;"",IFERROR(IF(LEFT($B139,3)=$Z$2,VLOOKUP($C139,Outbound!$B:$AAZ,6,FALSE),VLOOKUP($B139,Outbound!$B:$AAZ,6,FALSE)),"NON TROVATO"),"")</f>
        <v>0.19097222222222221</v>
      </c>
      <c r="I139" s="394">
        <f>IF(B139&lt;&gt;"",IFERROR(IF(LEFT($B139,3)=$Z$2,VLOOKUP($C139,Outbound!$B:$AAZ,52,FALSE),VLOOKUP($B139,Outbound!$B:$AAZ,52,FALSE)),"NON TROVATO"),"")</f>
        <v>0</v>
      </c>
      <c r="J139" s="396"/>
      <c r="K139" s="387" t="str">
        <f>IF(B139&lt;&gt;"",IF($D139&lt;&gt;"ON ROCS/NOT ON FILE",IFERROR(_xlfn.XLOOKUP(LEFT($D139,3),'STAT 77 Table'!$B:$B,'STAT 77 Table'!$A:$A),"ZZ"&amp;RIGHT($B139,4)),""),"")</f>
        <v>IM823</v>
      </c>
      <c r="L139" s="396"/>
      <c r="O139" s="388"/>
      <c r="P139" s="388"/>
      <c r="AA139" s="421" t="str">
        <f t="shared" si="2"/>
        <v>ITD30969</v>
      </c>
    </row>
    <row r="140" spans="1:27" ht="16.5">
      <c r="A140" s="387" t="str">
        <f>'STAT 77 Table'!$I$267</f>
        <v/>
      </c>
      <c r="B140" t="s">
        <v>1707</v>
      </c>
      <c r="C140" t="s">
        <v>1190</v>
      </c>
      <c r="D140" s="387" t="str">
        <f>IF($B140&lt;&gt;"",IFERROR(IF(LEFT($B140,3)=$Z$2,VLOOKUP($C140,Outbound!$B:$Z,4,FALSE),VLOOKUP($B140,Outbound!$B:$Z,4,FALSE)),"ON ROCS/NOT ON FILE"),"")</f>
        <v>VNZ</v>
      </c>
      <c r="E140" s="387" t="str">
        <f>IF($B140&lt;&gt;"",IFERROR(IF(LEFT($B140,4)=$Z$2,VLOOKUP($C140,Outbound!$B:$Z,5,FALSE),VLOOKUP($B140,Outbound!$B:$Z,5,FALSE)),"ON ROCS/NOT ON FILE"),"")</f>
        <v>ON ROCS/NOT ON FILE</v>
      </c>
      <c r="F140" s="387" t="str">
        <f>IF(B140&lt;&gt;"",IFERROR(IF(LEFT($B140,3)=$Z$2,VLOOKUP($C140,Outbound!$B:$Z,11,FALSE),VLOOKUP($B140,Outbound!$B:$Z,11,FALSE)),"NON TROVATO"),"")</f>
        <v>Autotrasporti Bertoldo Srl</v>
      </c>
      <c r="G140" s="394" t="str">
        <f>IF(B140&lt;&gt;"",IFERROR(IF(LEFT($B140,3)=$Z$2,VLOOKUP($C140,Outbound!$B:$AAZ,16,FALSE),VLOOKUP($B140,Outbound!$B:$AAZ,16,FALSE)),"NON TROVATO"),"")</f>
        <v>XA268CR</v>
      </c>
      <c r="H140" s="394">
        <f>IF(B140&lt;&gt;"",IFERROR(IF(LEFT($B140,3)=$Z$2,VLOOKUP($C140,Outbound!$B:$AAZ,6,FALSE),VLOOKUP($B140,Outbound!$B:$AAZ,6,FALSE)),"NON TROVATO"),"")</f>
        <v>0.19097222222222221</v>
      </c>
      <c r="I140" s="394">
        <f>IF(B140&lt;&gt;"",IFERROR(IF(LEFT($B140,3)=$Z$2,VLOOKUP($C140,Outbound!$B:$AAZ,52,FALSE),VLOOKUP($B140,Outbound!$B:$AAZ,52,FALSE)),"NON TROVATO"),"")</f>
        <v>0</v>
      </c>
      <c r="J140" s="396"/>
      <c r="K140" s="387" t="str">
        <f>IF(B140&lt;&gt;"",IF($D140&lt;&gt;"ON ROCS/NOT ON FILE",IFERROR(_xlfn.XLOOKUP(LEFT($D140,3),'STAT 77 Table'!$B:$B,'STAT 77 Table'!$A:$A),"ZZ"&amp;RIGHT($B140,4)),""),"")</f>
        <v>IM823</v>
      </c>
      <c r="L140" s="396"/>
      <c r="O140" s="388"/>
      <c r="P140" s="388"/>
      <c r="AA140" s="421" t="str">
        <f t="shared" si="2"/>
        <v>ITD30993</v>
      </c>
    </row>
    <row r="141" spans="1:27" ht="16.5">
      <c r="A141" s="387" t="str">
        <f>'STAT 77 Table'!$I$150</f>
        <v>ITD12412</v>
      </c>
      <c r="B141" t="s">
        <v>1708</v>
      </c>
      <c r="C141" t="s">
        <v>469</v>
      </c>
      <c r="D141" s="387" t="str">
        <f>IF($B141&lt;&gt;"",IFERROR(IF(LEFT($B141,3)=$Z$2,VLOOKUP($C141,Outbound!$B:$Z,4,FALSE),VLOOKUP($B141,Outbound!$B:$Z,4,FALSE)),"ON ROCS/NOT ON FILE"),"")</f>
        <v>VRN</v>
      </c>
      <c r="E141" s="387" t="str">
        <f>IF($B141&lt;&gt;"",IFERROR(IF(LEFT($B141,4)=$Z$2,VLOOKUP($C141,Outbound!$B:$Z,5,FALSE),VLOOKUP($B141,Outbound!$B:$Z,5,FALSE)),"ON ROCS/NOT ON FILE"),"")</f>
        <v>ON ROCS/NOT ON FILE</v>
      </c>
      <c r="F141" s="387" t="str">
        <f>IF(B141&lt;&gt;"",IFERROR(IF(LEFT($B141,3)=$Z$2,VLOOKUP($C141,Outbound!$B:$Z,11,FALSE),VLOOKUP($B141,Outbound!$B:$Z,11,FALSE)),"NON TROVATO"),"")</f>
        <v>Autotrasporti Bertoldo Srl</v>
      </c>
      <c r="G141" s="394" t="str">
        <f>IF(B141&lt;&gt;"",IFERROR(IF(LEFT($B141,3)=$Z$2,VLOOKUP($C141,Outbound!$B:$AAZ,16,FALSE),VLOOKUP($B141,Outbound!$B:$AAZ,16,FALSE)),"NON TROVATO"),"")</f>
        <v>XA269CR</v>
      </c>
      <c r="H141" s="394">
        <f>IF(B141&lt;&gt;"",IFERROR(IF(LEFT($B141,3)=$Z$2,VLOOKUP($C141,Outbound!$B:$AAZ,6,FALSE),VLOOKUP($B141,Outbound!$B:$AAZ,6,FALSE)),"NON TROVATO"),"")</f>
        <v>0.19097222222222221</v>
      </c>
      <c r="I141" s="394">
        <f>IF(B141&lt;&gt;"",IFERROR(IF(LEFT($B141,3)=$Z$2,VLOOKUP($C141,Outbound!$B:$AAZ,52,FALSE),VLOOKUP($B141,Outbound!$B:$AAZ,52,FALSE)),"NON TROVATO"),"")</f>
        <v>0</v>
      </c>
      <c r="J141" s="396"/>
      <c r="K141" s="387" t="str">
        <f>IF(B141&lt;&gt;"",IF($D141&lt;&gt;"ON ROCS/NOT ON FILE",IFERROR(_xlfn.XLOOKUP(LEFT($D141,3),'STAT 77 Table'!$B:$B,'STAT 77 Table'!$A:$A),"ZZ"&amp;RIGHT($B141,4)),""),"")</f>
        <v>ZZ2207</v>
      </c>
      <c r="L141" s="396"/>
      <c r="O141" s="388"/>
      <c r="P141" s="388"/>
      <c r="AA141" s="421" t="str">
        <f t="shared" si="2"/>
        <v>ITD12747</v>
      </c>
    </row>
    <row r="142" spans="1:27" ht="16.5">
      <c r="A142" s="387">
        <f>'STAT 77 Table'!$I$296</f>
        <v>0</v>
      </c>
      <c r="B142" t="s">
        <v>1709</v>
      </c>
      <c r="C142" t="s">
        <v>485</v>
      </c>
      <c r="D142" s="387" t="str">
        <f>IF($B142&lt;&gt;"",IFERROR(IF(LEFT($B142,3)=$Z$2,VLOOKUP($C142,Outbound!$B:$Z,4,FALSE),VLOOKUP($B142,Outbound!$B:$Z,4,FALSE)),"ON ROCS/NOT ON FILE"),"")</f>
        <v>MDA</v>
      </c>
      <c r="E142" s="387" t="str">
        <f>IF($B142&lt;&gt;"",IFERROR(IF(LEFT($B142,4)=$Z$2,VLOOKUP($C142,Outbound!$B:$Z,5,FALSE),VLOOKUP($B142,Outbound!$B:$Z,5,FALSE)),"ON ROCS/NOT ON FILE"),"")</f>
        <v>ON ROCS/NOT ON FILE</v>
      </c>
      <c r="F142" s="387" t="str">
        <f>IF(B142&lt;&gt;"",IFERROR(IF(LEFT($B142,3)=$Z$2,VLOOKUP($C142,Outbound!$B:$Z,11,FALSE),VLOOKUP($B142,Outbound!$B:$Z,11,FALSE)),"NON TROVATO"),"")</f>
        <v>Transeuropa S.r.l.</v>
      </c>
      <c r="G142" s="394" t="str">
        <f>IF(B142&lt;&gt;"",IFERROR(IF(LEFT($B142,3)=$Z$2,VLOOKUP($C142,Outbound!$B:$AAZ,16,FALSE),VLOOKUP($B142,Outbound!$B:$AAZ,16,FALSE)),"NON TROVATO"),"")</f>
        <v>XA531LT</v>
      </c>
      <c r="H142" s="394">
        <f>IF(B142&lt;&gt;"",IFERROR(IF(LEFT($B142,3)=$Z$2,VLOOKUP($C142,Outbound!$B:$AAZ,6,FALSE),VLOOKUP($B142,Outbound!$B:$AAZ,6,FALSE)),"NON TROVATO"),"")</f>
        <v>0.19097222222222221</v>
      </c>
      <c r="I142" s="394">
        <f>IF(B142&lt;&gt;"",IFERROR(IF(LEFT($B142,3)=$Z$2,VLOOKUP($C142,Outbound!$B:$AAZ,52,FALSE),VLOOKUP($B142,Outbound!$B:$AAZ,52,FALSE)),"NON TROVATO"),"")</f>
        <v>0</v>
      </c>
      <c r="J142" s="396"/>
      <c r="K142" s="387" t="str">
        <f>IF(B142&lt;&gt;"",IF($D142&lt;&gt;"ON ROCS/NOT ON FILE",IFERROR(_xlfn.XLOOKUP(LEFT($D142,3),'STAT 77 Table'!$B:$B,'STAT 77 Table'!$A:$A),"ZZ"&amp;RIGHT($B142,4)),""),"")</f>
        <v>IM257</v>
      </c>
      <c r="L142" s="396"/>
      <c r="O142" s="388"/>
      <c r="P142" s="388"/>
      <c r="AA142" s="421" t="str">
        <f t="shared" si="2"/>
        <v>ITD31294</v>
      </c>
    </row>
    <row r="143" spans="1:27" ht="16.5">
      <c r="A143" s="387" t="str">
        <f>'STAT 77 Table'!$I$136</f>
        <v>ITD12242</v>
      </c>
      <c r="B143" t="s">
        <v>1710</v>
      </c>
      <c r="C143" t="s">
        <v>679</v>
      </c>
      <c r="D143" s="387" t="str">
        <f>IF($B143&lt;&gt;"",IFERROR(IF(LEFT($B143,3)=$Z$2,VLOOKUP($C143,Outbound!$B:$Z,4,FALSE),VLOOKUP($B143,Outbound!$B:$Z,4,FALSE)),"ON ROCS/NOT ON FILE"),"")</f>
        <v>VNZ</v>
      </c>
      <c r="E143" s="387" t="str">
        <f>IF($B143&lt;&gt;"",IFERROR(IF(LEFT($B143,4)=$Z$2,VLOOKUP($C143,Outbound!$B:$Z,5,FALSE),VLOOKUP($B143,Outbound!$B:$Z,5,FALSE)),"ON ROCS/NOT ON FILE"),"")</f>
        <v>ON ROCS/NOT ON FILE</v>
      </c>
      <c r="F143" s="387" t="str">
        <f>IF(B143&lt;&gt;"",IFERROR(IF(LEFT($B143,3)=$Z$2,VLOOKUP($C143,Outbound!$B:$Z,11,FALSE),VLOOKUP($B143,Outbound!$B:$Z,11,FALSE)),"NON TROVATO"),"")</f>
        <v>F.M. Trasporti S.R.L.</v>
      </c>
      <c r="G143" s="394" t="str">
        <f>IF(B143&lt;&gt;"",IFERROR(IF(LEFT($B143,3)=$Z$2,VLOOKUP($C143,Outbound!$B:$AAZ,16,FALSE),VLOOKUP($B143,Outbound!$B:$AAZ,16,FALSE)),"NON TROVATO"),"")</f>
        <v>XA642PM</v>
      </c>
      <c r="H143" s="394">
        <f>IF(B143&lt;&gt;"",IFERROR(IF(LEFT($B143,3)=$Z$2,VLOOKUP($C143,Outbound!$B:$AAZ,6,FALSE),VLOOKUP($B143,Outbound!$B:$AAZ,6,FALSE)),"NON TROVATO"),"")</f>
        <v>0.19097222222222221</v>
      </c>
      <c r="I143" s="394">
        <f>IF(B143&lt;&gt;"",IFERROR(IF(LEFT($B143,3)=$Z$2,VLOOKUP($C143,Outbound!$B:$AAZ,52,FALSE),VLOOKUP($B143,Outbound!$B:$AAZ,52,FALSE)),"NON TROVATO"),"")</f>
        <v>0</v>
      </c>
      <c r="J143" s="396"/>
      <c r="K143" s="387" t="str">
        <f>IF(B143&lt;&gt;"",IF($D143&lt;&gt;"ON ROCS/NOT ON FILE",IFERROR(_xlfn.XLOOKUP(LEFT($D143,3),'STAT 77 Table'!$B:$B,'STAT 77 Table'!$A:$A),"ZZ"&amp;RIGHT($B143,4)),""),"")</f>
        <v>IM823</v>
      </c>
      <c r="L143" s="396"/>
      <c r="O143" s="388"/>
      <c r="P143" s="388"/>
      <c r="AA143" s="421" t="str">
        <f t="shared" si="2"/>
        <v>ITD12176</v>
      </c>
    </row>
    <row r="144" spans="1:27" ht="16.5">
      <c r="A144" s="387" t="str">
        <f>'STAT 77 Table'!$I$265</f>
        <v/>
      </c>
      <c r="B144" t="s">
        <v>1711</v>
      </c>
      <c r="C144" t="s">
        <v>1130</v>
      </c>
      <c r="D144" s="387" t="str">
        <f>IF($B144&lt;&gt;"",IFERROR(IF(LEFT($B144,3)=$Z$2,VLOOKUP($C144,Outbound!$B:$Z,4,FALSE),VLOOKUP($B144,Outbound!$B:$Z,4,FALSE)),"ON ROCS/NOT ON FILE"),"")</f>
        <v>BO1</v>
      </c>
      <c r="E144" s="387" t="str">
        <f>IF($B144&lt;&gt;"",IFERROR(IF(LEFT($B144,4)=$Z$2,VLOOKUP($C144,Outbound!$B:$Z,5,FALSE),VLOOKUP($B144,Outbound!$B:$Z,5,FALSE)),"ON ROCS/NOT ON FILE"),"")</f>
        <v>ON ROCS/NOT ON FILE</v>
      </c>
      <c r="F144" s="387" t="str">
        <f>IF(B144&lt;&gt;"",IFERROR(IF(LEFT($B144,3)=$Z$2,VLOOKUP($C144,Outbound!$B:$Z,11,FALSE),VLOOKUP($B144,Outbound!$B:$Z,11,FALSE)),"NON TROVATO"),"")</f>
        <v>Canguro Spa</v>
      </c>
      <c r="G144" s="394" t="str">
        <f>IF(B144&lt;&gt;"",IFERROR(IF(LEFT($B144,3)=$Z$2,VLOOKUP($C144,Outbound!$B:$AAZ,16,FALSE),VLOOKUP($B144,Outbound!$B:$AAZ,16,FALSE)),"NON TROVATO"),"")</f>
        <v>AD85877</v>
      </c>
      <c r="H144" s="394">
        <f>IF(B144&lt;&gt;"",IFERROR(IF(LEFT($B144,3)=$Z$2,VLOOKUP($C144,Outbound!$B:$AAZ,6,FALSE),VLOOKUP($B144,Outbound!$B:$AAZ,6,FALSE)),"NON TROVATO"),"")</f>
        <v>0.19097222222222221</v>
      </c>
      <c r="I144" s="394">
        <f>IF(B144&lt;&gt;"",IFERROR(IF(LEFT($B144,3)=$Z$2,VLOOKUP($C144,Outbound!$B:$AAZ,52,FALSE),VLOOKUP($B144,Outbound!$B:$AAZ,52,FALSE)),"NON TROVATO"),"")</f>
        <v>0</v>
      </c>
      <c r="J144" s="396"/>
      <c r="K144" s="387" t="str">
        <f>IF(B144&lt;&gt;"",IF($D144&lt;&gt;"ON ROCS/NOT ON FILE",IFERROR(_xlfn.XLOOKUP(LEFT($D144,3),'STAT 77 Table'!$B:$B,'STAT 77 Table'!$A:$A),"ZZ"&amp;RIGHT($B144,4)),""),"")</f>
        <v>IM257</v>
      </c>
      <c r="L144" s="396"/>
      <c r="O144" s="388"/>
      <c r="P144" s="388"/>
      <c r="AA144" s="421" t="str">
        <f t="shared" si="2"/>
        <v>ITD30987</v>
      </c>
    </row>
    <row r="145" spans="1:27" ht="16.5">
      <c r="A145" s="387" t="str">
        <f>'STAT 77 Table'!$I$139</f>
        <v>ITD12239</v>
      </c>
      <c r="B145" t="s">
        <v>1712</v>
      </c>
      <c r="C145" t="s">
        <v>843</v>
      </c>
      <c r="D145" s="387" t="str">
        <f>IF($B145&lt;&gt;"",IFERROR(IF(LEFT($B145,3)=$Z$2,VLOOKUP($C145,Outbound!$B:$Z,4,FALSE),VLOOKUP($B145,Outbound!$B:$Z,4,FALSE)),"ON ROCS/NOT ON FILE"),"")</f>
        <v>QPA</v>
      </c>
      <c r="E145" s="387" t="str">
        <f>IF($B145&lt;&gt;"",IFERROR(IF(LEFT($B145,4)=$Z$2,VLOOKUP($C145,Outbound!$B:$Z,5,FALSE),VLOOKUP($B145,Outbound!$B:$Z,5,FALSE)),"ON ROCS/NOT ON FILE"),"")</f>
        <v>ON ROCS/NOT ON FILE</v>
      </c>
      <c r="F145" s="387" t="str">
        <f>IF(B145&lt;&gt;"",IFERROR(IF(LEFT($B145,3)=$Z$2,VLOOKUP($C145,Outbound!$B:$Z,11,FALSE),VLOOKUP($B145,Outbound!$B:$Z,11,FALSE)),"NON TROVATO"),"")</f>
        <v>Transeuropa S.r.l.</v>
      </c>
      <c r="G145" s="394" t="str">
        <f>IF(B145&lt;&gt;"",IFERROR(IF(LEFT($B145,3)=$Z$2,VLOOKUP($C145,Outbound!$B:$AAZ,16,FALSE),VLOOKUP($B145,Outbound!$B:$AAZ,16,FALSE)),"NON TROVATO"),"")</f>
        <v>XA788XX</v>
      </c>
      <c r="H145" s="394">
        <f>IF(B145&lt;&gt;"",IFERROR(IF(LEFT($B145,3)=$Z$2,VLOOKUP($C145,Outbound!$B:$AAZ,6,FALSE),VLOOKUP($B145,Outbound!$B:$AAZ,6,FALSE)),"NON TROVATO"),"")</f>
        <v>0.19097222222222221</v>
      </c>
      <c r="I145" s="394">
        <f>IF(B145&lt;&gt;"",IFERROR(IF(LEFT($B145,3)=$Z$2,VLOOKUP($C145,Outbound!$B:$AAZ,52,FALSE),VLOOKUP($B145,Outbound!$B:$AAZ,52,FALSE)),"NON TROVATO"),"")</f>
        <v>0</v>
      </c>
      <c r="J145" s="396"/>
      <c r="K145" s="387" t="str">
        <f>IF(B145&lt;&gt;"",IF($D145&lt;&gt;"ON ROCS/NOT ON FILE",IFERROR(_xlfn.XLOOKUP(LEFT($D145,3),'STAT 77 Table'!$B:$B,'STAT 77 Table'!$A:$A),"ZZ"&amp;RIGHT($B145,4)),""),"")</f>
        <v>IM823</v>
      </c>
      <c r="L145" s="396"/>
      <c r="O145" s="388"/>
      <c r="P145" s="388"/>
      <c r="AA145" s="421" t="str">
        <f t="shared" si="2"/>
        <v>ITD12164</v>
      </c>
    </row>
    <row r="146" spans="1:27" ht="16.5">
      <c r="A146" s="387" t="str">
        <f>'STAT 77 Table'!$I$159</f>
        <v>ERN12476</v>
      </c>
      <c r="B146" t="s">
        <v>1713</v>
      </c>
      <c r="C146" t="s">
        <v>674</v>
      </c>
      <c r="D146" s="387" t="str">
        <f>IF($B146&lt;&gt;"",IFERROR(IF(LEFT($B146,3)=$Z$2,VLOOKUP($C146,Outbound!$B:$Z,4,FALSE),VLOOKUP($B146,Outbound!$B:$Z,4,FALSE)),"ON ROCS/NOT ON FILE"),"")</f>
        <v>VE1</v>
      </c>
      <c r="E146" s="387" t="str">
        <f>IF($B146&lt;&gt;"",IFERROR(IF(LEFT($B146,4)=$Z$2,VLOOKUP($C146,Outbound!$B:$Z,5,FALSE),VLOOKUP($B146,Outbound!$B:$Z,5,FALSE)),"ON ROCS/NOT ON FILE"),"")</f>
        <v>ON ROCS/NOT ON FILE</v>
      </c>
      <c r="F146" s="387" t="str">
        <f>IF(B146&lt;&gt;"",IFERROR(IF(LEFT($B146,3)=$Z$2,VLOOKUP($C146,Outbound!$B:$Z,11,FALSE),VLOOKUP($B146,Outbound!$B:$Z,11,FALSE)),"NON TROVATO"),"")</f>
        <v>Matelda Srl</v>
      </c>
      <c r="G146" s="394" t="str">
        <f>IF(B146&lt;&gt;"",IFERROR(IF(LEFT($B146,3)=$Z$2,VLOOKUP($C146,Outbound!$B:$AAZ,16,FALSE),VLOOKUP($B146,Outbound!$B:$AAZ,16,FALSE)),"NON TROVATO"),"")</f>
        <v>XA632MR</v>
      </c>
      <c r="H146" s="394">
        <f>IF(B146&lt;&gt;"",IFERROR(IF(LEFT($B146,3)=$Z$2,VLOOKUP($C146,Outbound!$B:$AAZ,6,FALSE),VLOOKUP($B146,Outbound!$B:$AAZ,6,FALSE)),"NON TROVATO"),"")</f>
        <v>0.19097222222222221</v>
      </c>
      <c r="I146" s="394">
        <f>IF(B146&lt;&gt;"",IFERROR(IF(LEFT($B146,3)=$Z$2,VLOOKUP($C146,Outbound!$B:$AAZ,52,FALSE),VLOOKUP($B146,Outbound!$B:$AAZ,52,FALSE)),"NON TROVATO"),"")</f>
        <v>0</v>
      </c>
      <c r="J146" s="396"/>
      <c r="K146" s="387" t="str">
        <f>IF(B146&lt;&gt;"",IF($D146&lt;&gt;"ON ROCS/NOT ON FILE",IFERROR(_xlfn.XLOOKUP(LEFT($D146,3),'STAT 77 Table'!$B:$B,'STAT 77 Table'!$A:$A),"ZZ"&amp;RIGHT($B146,4)),""),"")</f>
        <v>ZZ1290</v>
      </c>
      <c r="L146" s="396"/>
      <c r="O146" s="388"/>
      <c r="P146" s="388"/>
      <c r="AA146" s="421" t="str">
        <f t="shared" si="2"/>
        <v>ITD31290</v>
      </c>
    </row>
    <row r="147" spans="1:27" ht="16.5">
      <c r="A147" s="387">
        <f>'STAT 77 Table'!$I$275</f>
        <v>0</v>
      </c>
      <c r="B147" t="s">
        <v>1714</v>
      </c>
      <c r="C147" t="s">
        <v>703</v>
      </c>
      <c r="D147" s="387" t="str">
        <f>IF($B147&lt;&gt;"",IFERROR(IF(LEFT($B147,3)=$Z$2,VLOOKUP($C147,Outbound!$B:$Z,4,FALSE),VLOOKUP($B147,Outbound!$B:$Z,4,FALSE)),"ON ROCS/NOT ON FILE"),"")</f>
        <v>BO1</v>
      </c>
      <c r="E147" s="387" t="str">
        <f>IF($B147&lt;&gt;"",IFERROR(IF(LEFT($B147,4)=$Z$2,VLOOKUP($C147,Outbound!$B:$Z,5,FALSE),VLOOKUP($B147,Outbound!$B:$Z,5,FALSE)),"ON ROCS/NOT ON FILE"),"")</f>
        <v>ON ROCS/NOT ON FILE</v>
      </c>
      <c r="F147" s="387" t="str">
        <f>IF(B147&lt;&gt;"",IFERROR(IF(LEFT($B147,3)=$Z$2,VLOOKUP($C147,Outbound!$B:$Z,11,FALSE),VLOOKUP($B147,Outbound!$B:$Z,11,FALSE)),"NON TROVATO"),"")</f>
        <v>Transeuropa S.r.l.</v>
      </c>
      <c r="G147" s="394" t="str">
        <f>IF(B147&lt;&gt;"",IFERROR(IF(LEFT($B147,3)=$Z$2,VLOOKUP($C147,Outbound!$B:$AAZ,16,FALSE),VLOOKUP($B147,Outbound!$B:$AAZ,16,FALSE)),"NON TROVATO"),"")</f>
        <v>XA544LT</v>
      </c>
      <c r="H147" s="394">
        <f>IF(B147&lt;&gt;"",IFERROR(IF(LEFT($B147,3)=$Z$2,VLOOKUP($C147,Outbound!$B:$AAZ,6,FALSE),VLOOKUP($B147,Outbound!$B:$AAZ,6,FALSE)),"NON TROVATO"),"")</f>
        <v>0.19097222222222221</v>
      </c>
      <c r="I147" s="394">
        <f>IF(B147&lt;&gt;"",IFERROR(IF(LEFT($B147,3)=$Z$2,VLOOKUP($C147,Outbound!$B:$AAZ,52,FALSE),VLOOKUP($B147,Outbound!$B:$AAZ,52,FALSE)),"NON TROVATO"),"")</f>
        <v>0</v>
      </c>
      <c r="J147" s="396"/>
      <c r="K147" s="387" t="str">
        <f>IF(B147&lt;&gt;"",IF($D147&lt;&gt;"ON ROCS/NOT ON FILE",IFERROR(_xlfn.XLOOKUP(LEFT($D147,3),'STAT 77 Table'!$B:$B,'STAT 77 Table'!$A:$A),"ZZ"&amp;RIGHT($B147,4)),""),"")</f>
        <v>IM257</v>
      </c>
      <c r="L147" s="396"/>
      <c r="O147" s="388"/>
      <c r="P147" s="388"/>
      <c r="AA147" s="421" t="str">
        <f t="shared" si="2"/>
        <v>ITD32210</v>
      </c>
    </row>
    <row r="148" spans="1:27" ht="16.5">
      <c r="A148" s="387" t="str">
        <f>'STAT 77 Table'!$I$219</f>
        <v>ERN20363</v>
      </c>
      <c r="B148" t="s">
        <v>1715</v>
      </c>
      <c r="C148" t="s">
        <v>627</v>
      </c>
      <c r="D148" s="387" t="str">
        <f>IF($B148&lt;&gt;"",IFERROR(IF(LEFT($B148,3)=$Z$2,VLOOKUP($C148,Outbound!$B:$Z,4,FALSE),VLOOKUP($B148,Outbound!$B:$Z,4,FALSE)),"ON ROCS/NOT ON FILE"),"")</f>
        <v>TO1</v>
      </c>
      <c r="E148" s="387" t="str">
        <f>IF($B148&lt;&gt;"",IFERROR(IF(LEFT($B148,4)=$Z$2,VLOOKUP($C148,Outbound!$B:$Z,5,FALSE),VLOOKUP($B148,Outbound!$B:$Z,5,FALSE)),"ON ROCS/NOT ON FILE"),"")</f>
        <v>ON ROCS/NOT ON FILE</v>
      </c>
      <c r="F148" s="387" t="str">
        <f>IF(B148&lt;&gt;"",IFERROR(IF(LEFT($B148,3)=$Z$2,VLOOKUP($C148,Outbound!$B:$Z,11,FALSE),VLOOKUP($B148,Outbound!$B:$Z,11,FALSE)),"NON TROVATO"),"")</f>
        <v>Trans Speedy S.R.L</v>
      </c>
      <c r="G148" s="394" t="str">
        <f>IF(B148&lt;&gt;"",IFERROR(IF(LEFT($B148,3)=$Z$2,VLOOKUP($C148,Outbound!$B:$AAZ,16,FALSE),VLOOKUP($B148,Outbound!$B:$AAZ,16,FALSE)),"NON TROVATO"),"")</f>
        <v>XA738RS</v>
      </c>
      <c r="H148" s="394">
        <f>IF(B148&lt;&gt;"",IFERROR(IF(LEFT($B148,3)=$Z$2,VLOOKUP($C148,Outbound!$B:$AAZ,6,FALSE),VLOOKUP($B148,Outbound!$B:$AAZ,6,FALSE)),"NON TROVATO"),"")</f>
        <v>0.19791666666666666</v>
      </c>
      <c r="I148" s="394">
        <f>IF(B148&lt;&gt;"",IFERROR(IF(LEFT($B148,3)=$Z$2,VLOOKUP($C148,Outbound!$B:$AAZ,52,FALSE),VLOOKUP($B148,Outbound!$B:$AAZ,52,FALSE)),"NON TROVATO"),"")</f>
        <v>0</v>
      </c>
      <c r="J148" s="396"/>
      <c r="K148" s="387" t="str">
        <f>IF(B148&lt;&gt;"",IF($D148&lt;&gt;"ON ROCS/NOT ON FILE",IFERROR(_xlfn.XLOOKUP(LEFT($D148,3),'STAT 77 Table'!$B:$B,'STAT 77 Table'!$A:$A),"ZZ"&amp;RIGHT($B148,4)),""),"")</f>
        <v>ZZ1490</v>
      </c>
      <c r="L148" s="396"/>
      <c r="O148" s="388"/>
      <c r="P148" s="388"/>
      <c r="AA148" s="421" t="str">
        <f t="shared" si="2"/>
        <v>ITD31490</v>
      </c>
    </row>
    <row r="149" spans="1:27" ht="16.5" hidden="1">
      <c r="A149" s="387" t="str">
        <f>'STAT 77 Table'!$I$140</f>
        <v>ITD90226</v>
      </c>
      <c r="B149" t="s">
        <v>1716</v>
      </c>
      <c r="C149" t="s">
        <v>1058</v>
      </c>
      <c r="D149" s="387" t="str">
        <f>IF($B149&lt;&gt;"",IFERROR(IF(LEFT($B149,3)=$Z$2,VLOOKUP($C149,Outbound!$B:$Z,4,FALSE),VLOOKUP($B149,Outbound!$B:$Z,4,FALSE)),"ON ROCS/NOT ON FILE"),"")</f>
        <v>IPO</v>
      </c>
      <c r="E149" s="387" t="str">
        <f>IF($B149&lt;&gt;"",IFERROR(IF(LEFT($B149,4)=$Z$2,VLOOKUP($C149,Outbound!$B:$Z,5,FALSE),VLOOKUP($B149,Outbound!$B:$Z,5,FALSE)),"ON ROCS/NOT ON FILE"),"")</f>
        <v>ON ROCS/NOT ON FILE</v>
      </c>
      <c r="F149" s="387" t="str">
        <f>IF(B149&lt;&gt;"",IFERROR(IF(LEFT($B149,3)=$Z$2,VLOOKUP($C149,Outbound!$B:$Z,11,FALSE),VLOOKUP($B149,Outbound!$B:$Z,11,FALSE)),"NON TROVATO"),"")</f>
        <v>Tonia Trasporti S.r.l.</v>
      </c>
      <c r="G149" s="394" t="str">
        <f>IF(B149&lt;&gt;"",IFERROR(IF(LEFT($B149,3)=$Z$2,VLOOKUP($C149,Outbound!$B:$AAZ,16,FALSE),VLOOKUP($B149,Outbound!$B:$AAZ,16,FALSE)),"NON TROVATO"),"")</f>
        <v>XA522XS</v>
      </c>
      <c r="H149" s="394">
        <f>IF(B149&lt;&gt;"",IFERROR(IF(LEFT($B149,3)=$Z$2,VLOOKUP($C149,Outbound!$B:$AAZ,6,FALSE),VLOOKUP($B149,Outbound!$B:$AAZ,6,FALSE)),"NON TROVATO"),"")</f>
        <v>0.19791666666666666</v>
      </c>
      <c r="I149" s="394">
        <f>IF(B149&lt;&gt;"",IFERROR(IF(LEFT($B149,3)=$Z$2,VLOOKUP($C149,Outbound!$B:$AAZ,52,FALSE),VLOOKUP($B149,Outbound!$B:$AAZ,52,FALSE)),"NON TROVATO"),"")</f>
        <v>0.12569444444444444</v>
      </c>
      <c r="J149" s="396">
        <v>546758563384</v>
      </c>
      <c r="K149" s="387" t="str">
        <f>IF(B149&lt;&gt;"",IF($D149&lt;&gt;"ON ROCS/NOT ON FILE",IFERROR(_xlfn.XLOOKUP(LEFT($D149,3),'STAT 77 Table'!$B:$B,'STAT 77 Table'!$A:$A),"ZZ"&amp;RIGHT($B149,4)),""),"")</f>
        <v>ZZ2557</v>
      </c>
      <c r="L149" s="396" t="s">
        <v>1605</v>
      </c>
      <c r="O149" s="388"/>
      <c r="P149" s="388"/>
      <c r="AA149" s="421" t="str">
        <f t="shared" si="2"/>
        <v>ITD12217</v>
      </c>
    </row>
    <row r="150" spans="1:27" ht="16.5">
      <c r="A150" s="387">
        <f>'STAT 77 Table'!$I$277</f>
        <v>0</v>
      </c>
      <c r="B150" t="s">
        <v>1717</v>
      </c>
      <c r="C150" t="s">
        <v>647</v>
      </c>
      <c r="D150" s="387" t="str">
        <f>IF($B150&lt;&gt;"",IFERROR(IF(LEFT($B150,3)=$Z$2,VLOOKUP($C150,Outbound!$B:$Z,4,FALSE),VLOOKUP($B150,Outbound!$B:$Z,4,FALSE)),"ON ROCS/NOT ON FILE"),"")</f>
        <v>IPO</v>
      </c>
      <c r="E150" s="387" t="str">
        <f>IF($B150&lt;&gt;"",IFERROR(IF(LEFT($B150,4)=$Z$2,VLOOKUP($C150,Outbound!$B:$Z,5,FALSE),VLOOKUP($B150,Outbound!$B:$Z,5,FALSE)),"ON ROCS/NOT ON FILE"),"")</f>
        <v>ON ROCS/NOT ON FILE</v>
      </c>
      <c r="F150" s="387" t="str">
        <f>IF(B150&lt;&gt;"",IFERROR(IF(LEFT($B150,3)=$Z$2,VLOOKUP($C150,Outbound!$B:$Z,11,FALSE),VLOOKUP($B150,Outbound!$B:$Z,11,FALSE)),"NON TROVATO"),"")</f>
        <v>Zampieri Holding S.R.L.</v>
      </c>
      <c r="G150" s="394" t="str">
        <f>IF(B150&lt;&gt;"",IFERROR(IF(LEFT($B150,3)=$Z$2,VLOOKUP($C150,Outbound!$B:$AAZ,16,FALSE),VLOOKUP($B150,Outbound!$B:$AAZ,16,FALSE)),"NON TROVATO"),"")</f>
        <v>XA092KG</v>
      </c>
      <c r="H150" s="394">
        <f>IF(B150&lt;&gt;"",IFERROR(IF(LEFT($B150,3)=$Z$2,VLOOKUP($C150,Outbound!$B:$AAZ,6,FALSE),VLOOKUP($B150,Outbound!$B:$AAZ,6,FALSE)),"NON TROVATO"),"")</f>
        <v>0.19791666666666666</v>
      </c>
      <c r="I150" s="394">
        <f>IF(B150&lt;&gt;"",IFERROR(IF(LEFT($B150,3)=$Z$2,VLOOKUP($C150,Outbound!$B:$AAZ,52,FALSE),VLOOKUP($B150,Outbound!$B:$AAZ,52,FALSE)),"NON TROVATO"),"")</f>
        <v>0</v>
      </c>
      <c r="J150" s="396"/>
      <c r="K150" s="387" t="str">
        <f>IF(B150&lt;&gt;"",IF($D150&lt;&gt;"ON ROCS/NOT ON FILE",IFERROR(_xlfn.XLOOKUP(LEFT($D150,3),'STAT 77 Table'!$B:$B,'STAT 77 Table'!$A:$A),"ZZ"&amp;RIGHT($B150,4)),""),"")</f>
        <v>ZZ1232</v>
      </c>
      <c r="L150" s="396"/>
      <c r="O150" s="388"/>
      <c r="P150" s="388"/>
      <c r="AA150" s="421" t="str">
        <f t="shared" si="2"/>
        <v>ITD31232</v>
      </c>
    </row>
    <row r="151" spans="1:27" ht="16.5">
      <c r="A151" s="387" t="str">
        <f>'STAT 77 Table'!$I$137</f>
        <v>ITD12310</v>
      </c>
      <c r="B151" t="s">
        <v>1718</v>
      </c>
      <c r="C151" t="s">
        <v>414</v>
      </c>
      <c r="D151" s="387" t="str">
        <f>IF($B151&lt;&gt;"",IFERROR(IF(LEFT($B151,3)=$Z$2,VLOOKUP($C151,Outbound!$B:$Z,4,FALSE),VLOOKUP($B151,Outbound!$B:$Z,4,FALSE)),"ON ROCS/NOT ON FILE"),"")</f>
        <v>OS3</v>
      </c>
      <c r="E151" s="387" t="str">
        <f>IF($B151&lt;&gt;"",IFERROR(IF(LEFT($B151,4)=$Z$2,VLOOKUP($C151,Outbound!$B:$Z,5,FALSE),VLOOKUP($B151,Outbound!$B:$Z,5,FALSE)),"ON ROCS/NOT ON FILE"),"")</f>
        <v>ON ROCS/NOT ON FILE</v>
      </c>
      <c r="F151" s="387" t="str">
        <f>IF(B151&lt;&gt;"",IFERROR(IF(LEFT($B151,3)=$Z$2,VLOOKUP($C151,Outbound!$B:$Z,11,FALSE),VLOOKUP($B151,Outbound!$B:$Z,11,FALSE)),"NON TROVATO"),"")</f>
        <v>Fenix Srl</v>
      </c>
      <c r="G151" s="394" t="str">
        <f>IF(B151&lt;&gt;"",IFERROR(IF(LEFT($B151,3)=$Z$2,VLOOKUP($C151,Outbound!$B:$AAZ,16,FALSE),VLOOKUP($B151,Outbound!$B:$AAZ,16,FALSE)),"NON TROVATO"),"")</f>
        <v>XA329SR</v>
      </c>
      <c r="H151" s="394">
        <f>IF(B151&lt;&gt;"",IFERROR(IF(LEFT($B151,3)=$Z$2,VLOOKUP($C151,Outbound!$B:$AAZ,6,FALSE),VLOOKUP($B151,Outbound!$B:$AAZ,6,FALSE)),"NON TROVATO"),"")</f>
        <v>0.20486111111111113</v>
      </c>
      <c r="I151" s="394">
        <f>IF(B151&lt;&gt;"",IFERROR(IF(LEFT($B151,3)=$Z$2,VLOOKUP($C151,Outbound!$B:$AAZ,52,FALSE),VLOOKUP($B151,Outbound!$B:$AAZ,52,FALSE)),"NON TROVATO"),"")</f>
        <v>0.14374999999999999</v>
      </c>
      <c r="J151" s="396"/>
      <c r="K151" s="387" t="str">
        <f>IF(B151&lt;&gt;"",IF($D151&lt;&gt;"ON ROCS/NOT ON FILE",IFERROR(_xlfn.XLOOKUP(LEFT($D151,3),'STAT 77 Table'!$B:$B,'STAT 77 Table'!$A:$A),"ZZ"&amp;RIGHT($B151,4)),""),"")</f>
        <v>ZZ0974</v>
      </c>
      <c r="L151" s="396"/>
      <c r="O151" s="388"/>
      <c r="P151" s="388"/>
      <c r="AA151" s="421" t="str">
        <f t="shared" si="2"/>
        <v>ITD12165</v>
      </c>
    </row>
    <row r="152" spans="1:27" ht="16.5">
      <c r="A152" s="387">
        <f>'STAT 77 Table'!$I$274</f>
        <v>0</v>
      </c>
      <c r="B152" t="s">
        <v>1719</v>
      </c>
      <c r="C152" t="s">
        <v>1011</v>
      </c>
      <c r="D152" s="387" t="str">
        <f>IF($B152&lt;&gt;"",IFERROR(IF(LEFT($B152,3)=$Z$2,VLOOKUP($C152,Outbound!$B:$Z,4,FALSE),VLOOKUP($B152,Outbound!$B:$Z,4,FALSE)),"ON ROCS/NOT ON FILE"),"")</f>
        <v>OS3</v>
      </c>
      <c r="E152" s="387" t="str">
        <f>IF($B152&lt;&gt;"",IFERROR(IF(LEFT($B152,4)=$Z$2,VLOOKUP($C152,Outbound!$B:$Z,5,FALSE),VLOOKUP($B152,Outbound!$B:$Z,5,FALSE)),"ON ROCS/NOT ON FILE"),"")</f>
        <v>ON ROCS/NOT ON FILE</v>
      </c>
      <c r="F152" s="387" t="str">
        <f>IF(B152&lt;&gt;"",IFERROR(IF(LEFT($B152,3)=$Z$2,VLOOKUP($C152,Outbound!$B:$Z,11,FALSE),VLOOKUP($B152,Outbound!$B:$Z,11,FALSE)),"NON TROVATO"),"")</f>
        <v>Zampieri Holding S.R.L.</v>
      </c>
      <c r="G152" s="394" t="str">
        <f>IF(B152&lt;&gt;"",IFERROR(IF(LEFT($B152,3)=$Z$2,VLOOKUP($C152,Outbound!$B:$AAZ,16,FALSE),VLOOKUP($B152,Outbound!$B:$AAZ,16,FALSE)),"NON TROVATO"),"")</f>
        <v>xa551ej</v>
      </c>
      <c r="H152" s="394">
        <f>IF(B152&lt;&gt;"",IFERROR(IF(LEFT($B152,3)=$Z$2,VLOOKUP($C152,Outbound!$B:$AAZ,6,FALSE),VLOOKUP($B152,Outbound!$B:$AAZ,6,FALSE)),"NON TROVATO"),"")</f>
        <v>0.20486111111111113</v>
      </c>
      <c r="I152" s="394">
        <f>IF(B152&lt;&gt;"",IFERROR(IF(LEFT($B152,3)=$Z$2,VLOOKUP($C152,Outbound!$B:$AAZ,52,FALSE),VLOOKUP($B152,Outbound!$B:$AAZ,52,FALSE)),"NON TROVATO"),"")</f>
        <v>0</v>
      </c>
      <c r="J152" s="396"/>
      <c r="K152" s="387" t="str">
        <f>IF(B152&lt;&gt;"",IF($D152&lt;&gt;"ON ROCS/NOT ON FILE",IFERROR(_xlfn.XLOOKUP(LEFT($D152,3),'STAT 77 Table'!$B:$B,'STAT 77 Table'!$A:$A),"ZZ"&amp;RIGHT($B152,4)),""),"")</f>
        <v>ZZ1574</v>
      </c>
      <c r="L152" s="396"/>
      <c r="O152" s="388"/>
      <c r="P152" s="388"/>
      <c r="AA152" s="421" t="str">
        <f t="shared" si="2"/>
        <v>ITD31574</v>
      </c>
    </row>
    <row r="153" spans="1:27" ht="16.5">
      <c r="A153" s="387" t="str">
        <f>'STAT 77 Table'!$I$172</f>
        <v>ITD12240</v>
      </c>
      <c r="B153" t="s">
        <v>1720</v>
      </c>
      <c r="C153" t="s">
        <v>1721</v>
      </c>
      <c r="D153" s="387" t="str">
        <f>IF($B153&lt;&gt;"",IFERROR(IF(LEFT($B153,3)=$Z$2,VLOOKUP($C153,Outbound!$B:$Z,4,FALSE),VLOOKUP($B153,Outbound!$B:$Z,4,FALSE)),"ON ROCS/NOT ON FILE"),"")</f>
        <v>ON ROCS/NOT ON FILE</v>
      </c>
      <c r="E153" s="387" t="str">
        <f>IF($B153&lt;&gt;"",IFERROR(IF(LEFT($B153,4)=$Z$2,VLOOKUP($C153,Outbound!$B:$Z,5,FALSE),VLOOKUP($B153,Outbound!$B:$Z,5,FALSE)),"ON ROCS/NOT ON FILE"),"")</f>
        <v>ON ROCS/NOT ON FILE</v>
      </c>
      <c r="F153" s="387" t="str">
        <f>IF(B153&lt;&gt;"",IFERROR(IF(LEFT($B153,3)=$Z$2,VLOOKUP($C153,Outbound!$B:$Z,11,FALSE),VLOOKUP($B153,Outbound!$B:$Z,11,FALSE)),"NON TROVATO"),"")</f>
        <v>NON TROVATO</v>
      </c>
      <c r="G153" s="394" t="str">
        <f>IF(B153&lt;&gt;"",IFERROR(IF(LEFT($B153,3)=$Z$2,VLOOKUP($C153,Outbound!$B:$AAZ,16,FALSE),VLOOKUP($B153,Outbound!$B:$AAZ,16,FALSE)),"NON TROVATO"),"")</f>
        <v>NON TROVATO</v>
      </c>
      <c r="H153" s="394" t="str">
        <f>IF(B153&lt;&gt;"",IFERROR(IF(LEFT($B153,3)=$Z$2,VLOOKUP($C153,Outbound!$B:$AAZ,6,FALSE),VLOOKUP($B153,Outbound!$B:$AAZ,6,FALSE)),"NON TROVATO"),"")</f>
        <v>NON TROVATO</v>
      </c>
      <c r="I153" s="394" t="str">
        <f>IF(B153&lt;&gt;"",IFERROR(IF(LEFT($B153,3)=$Z$2,VLOOKUP($C153,Outbound!$B:$AAZ,52,FALSE),VLOOKUP($B153,Outbound!$B:$AAZ,52,FALSE)),"NON TROVATO"),"")</f>
        <v>NON TROVATO</v>
      </c>
      <c r="J153" s="396"/>
      <c r="K153" s="387" t="str">
        <f>IF(B153&lt;&gt;"",IF($D153&lt;&gt;"ON ROCS/NOT ON FILE",IFERROR(_xlfn.XLOOKUP(LEFT($D153,3),'STAT 77 Table'!$B:$B,'STAT 77 Table'!$A:$A),"ZZ"&amp;RIGHT($B153,4)),""),"")</f>
        <v/>
      </c>
      <c r="L153" s="396"/>
      <c r="O153" s="388"/>
      <c r="P153" s="388"/>
      <c r="AA153" s="421" t="str">
        <f t="shared" si="2"/>
        <v>ITD90229</v>
      </c>
    </row>
    <row r="154" spans="1:27" ht="16.5">
      <c r="A154" s="387" t="str">
        <f>'STAT 77 Table'!$I$174</f>
        <v>ITD12737</v>
      </c>
      <c r="B154" t="s">
        <v>1722</v>
      </c>
      <c r="C154" t="s">
        <v>1246</v>
      </c>
      <c r="D154" s="387" t="str">
        <f>IF($B154&lt;&gt;"",IFERROR(IF(LEFT($B154,3)=$Z$2,VLOOKUP($C154,Outbound!$B:$Z,4,FALSE),VLOOKUP($B154,Outbound!$B:$Z,4,FALSE)),"ON ROCS/NOT ON FILE"),"")</f>
        <v>MXP EXTRA</v>
      </c>
      <c r="E154" s="387" t="str">
        <f>IF($B154&lt;&gt;"",IFERROR(IF(LEFT($B154,4)=$Z$2,VLOOKUP($C154,Outbound!$B:$Z,5,FALSE),VLOOKUP($B154,Outbound!$B:$Z,5,FALSE)),"ON ROCS/NOT ON FILE"),"")</f>
        <v>ON ROCS/NOT ON FILE</v>
      </c>
      <c r="F154" s="387">
        <f>IF(B154&lt;&gt;"",IFERROR(IF(LEFT($B154,3)=$Z$2,VLOOKUP($C154,Outbound!$B:$Z,11,FALSE),VLOOKUP($B154,Outbound!$B:$Z,11,FALSE)),"NON TROVATO"),"")</f>
        <v>0</v>
      </c>
      <c r="G154" s="394" t="str">
        <f>IF(B154&lt;&gt;"",IFERROR(IF(LEFT($B154,3)=$Z$2,VLOOKUP($C154,Outbound!$B:$AAZ,16,FALSE),VLOOKUP($B154,Outbound!$B:$AAZ,16,FALSE)),"NON TROVATO"),"")</f>
        <v>XA578SB</v>
      </c>
      <c r="H154" s="394">
        <f>IF(B154&lt;&gt;"",IFERROR(IF(LEFT($B154,3)=$Z$2,VLOOKUP($C154,Outbound!$B:$AAZ,6,FALSE),VLOOKUP($B154,Outbound!$B:$AAZ,6,FALSE)),"NON TROVATO"),"")</f>
        <v>0.3576388888888889</v>
      </c>
      <c r="I154" s="394">
        <f>IF(B154&lt;&gt;"",IFERROR(IF(LEFT($B154,3)=$Z$2,VLOOKUP($C154,Outbound!$B:$AAZ,52,FALSE),VLOOKUP($B154,Outbound!$B:$AAZ,52,FALSE)),"NON TROVATO"),"")</f>
        <v>0</v>
      </c>
      <c r="J154" s="396"/>
      <c r="K154" s="387" t="str">
        <f>IF(B154&lt;&gt;"",IF($D154&lt;&gt;"ON ROCS/NOT ON FILE",IFERROR(_xlfn.XLOOKUP(LEFT($D154,3),'STAT 77 Table'!$B:$B,'STAT 77 Table'!$A:$A),"ZZ"&amp;RIGHT($B154,4)),""),"")</f>
        <v>IM697</v>
      </c>
      <c r="L154" s="396"/>
      <c r="O154" s="388"/>
      <c r="P154" s="388"/>
      <c r="AA154" s="421" t="str">
        <f t="shared" si="2"/>
        <v>ITD90230</v>
      </c>
    </row>
    <row r="155" spans="1:27" ht="16.5">
      <c r="A155" s="387" t="str">
        <f>'STAT 77 Table'!$I$183</f>
        <v>ITD12072</v>
      </c>
      <c r="B155" t="s">
        <v>1723</v>
      </c>
      <c r="C155" t="s">
        <v>1724</v>
      </c>
      <c r="D155" s="387" t="str">
        <f>IF($B155&lt;&gt;"",IFERROR(IF(LEFT($B155,3)=$Z$2,VLOOKUP($C155,Outbound!$B:$Z,4,FALSE),VLOOKUP($B155,Outbound!$B:$Z,4,FALSE)),"ON ROCS/NOT ON FILE"),"")</f>
        <v>ON ROCS/NOT ON FILE</v>
      </c>
      <c r="E155" s="387" t="str">
        <f>IF($B155&lt;&gt;"",IFERROR(IF(LEFT($B155,4)=$Z$2,VLOOKUP($C155,Outbound!$B:$Z,5,FALSE),VLOOKUP($B155,Outbound!$B:$Z,5,FALSE)),"ON ROCS/NOT ON FILE"),"")</f>
        <v>ON ROCS/NOT ON FILE</v>
      </c>
      <c r="F155" s="387" t="str">
        <f>IF(B155&lt;&gt;"",IFERROR(IF(LEFT($B155,3)=$Z$2,VLOOKUP($C155,Outbound!$B:$Z,11,FALSE),VLOOKUP($B155,Outbound!$B:$Z,11,FALSE)),"NON TROVATO"),"")</f>
        <v>NON TROVATO</v>
      </c>
      <c r="G155" s="394" t="str">
        <f>IF(B155&lt;&gt;"",IFERROR(IF(LEFT($B155,3)=$Z$2,VLOOKUP($C155,Outbound!$B:$AAZ,16,FALSE),VLOOKUP($B155,Outbound!$B:$AAZ,16,FALSE)),"NON TROVATO"),"")</f>
        <v>NON TROVATO</v>
      </c>
      <c r="H155" s="394" t="str">
        <f>IF(B155&lt;&gt;"",IFERROR(IF(LEFT($B155,3)=$Z$2,VLOOKUP($C155,Outbound!$B:$AAZ,6,FALSE),VLOOKUP($B155,Outbound!$B:$AAZ,6,FALSE)),"NON TROVATO"),"")</f>
        <v>NON TROVATO</v>
      </c>
      <c r="I155" s="394" t="str">
        <f>IF(B155&lt;&gt;"",IFERROR(IF(LEFT($B155,3)=$Z$2,VLOOKUP($C155,Outbound!$B:$AAZ,52,FALSE),VLOOKUP($B155,Outbound!$B:$AAZ,52,FALSE)),"NON TROVATO"),"")</f>
        <v>NON TROVATO</v>
      </c>
      <c r="J155" s="396"/>
      <c r="K155" s="387" t="str">
        <f>IF(B155&lt;&gt;"",IF($D155&lt;&gt;"ON ROCS/NOT ON FILE",IFERROR(_xlfn.XLOOKUP(LEFT($D155,3),'STAT 77 Table'!$B:$B,'STAT 77 Table'!$A:$A),"ZZ"&amp;RIGHT($B155,4)),""),"")</f>
        <v/>
      </c>
      <c r="L155" s="396"/>
      <c r="O155" s="388"/>
      <c r="P155" s="388"/>
      <c r="AA155" s="421" t="str">
        <f t="shared" si="2"/>
        <v>ITD90232</v>
      </c>
    </row>
    <row r="156" spans="1:27" ht="16.5">
      <c r="A156" s="387">
        <f>'STAT 77 Table'!$I$279</f>
        <v>0</v>
      </c>
      <c r="B156" t="s">
        <v>1725</v>
      </c>
      <c r="C156" t="s">
        <v>1726</v>
      </c>
      <c r="D156" s="387" t="str">
        <f>IF($B156&lt;&gt;"",IFERROR(IF(LEFT($B156,3)=$Z$2,VLOOKUP($C156,Outbound!$B:$Z,4,FALSE),VLOOKUP($B156,Outbound!$B:$Z,4,FALSE)),"ON ROCS/NOT ON FILE"),"")</f>
        <v>ON ROCS/NOT ON FILE</v>
      </c>
      <c r="E156" s="387" t="str">
        <f>IF($B156&lt;&gt;"",IFERROR(IF(LEFT($B156,4)=$Z$2,VLOOKUP($C156,Outbound!$B:$Z,5,FALSE),VLOOKUP($B156,Outbound!$B:$Z,5,FALSE)),"ON ROCS/NOT ON FILE"),"")</f>
        <v>ON ROCS/NOT ON FILE</v>
      </c>
      <c r="F156" s="387" t="str">
        <f>IF(B156&lt;&gt;"",IFERROR(IF(LEFT($B156,3)=$Z$2,VLOOKUP($C156,Outbound!$B:$Z,11,FALSE),VLOOKUP($B156,Outbound!$B:$Z,11,FALSE)),"NON TROVATO"),"")</f>
        <v>NON TROVATO</v>
      </c>
      <c r="G156" s="394" t="str">
        <f>IF(B156&lt;&gt;"",IFERROR(IF(LEFT($B156,3)=$Z$2,VLOOKUP($C156,Outbound!$B:$AAZ,16,FALSE),VLOOKUP($B156,Outbound!$B:$AAZ,16,FALSE)),"NON TROVATO"),"")</f>
        <v>NON TROVATO</v>
      </c>
      <c r="H156" s="394" t="str">
        <f>IF(B156&lt;&gt;"",IFERROR(IF(LEFT($B156,3)=$Z$2,VLOOKUP($C156,Outbound!$B:$AAZ,6,FALSE),VLOOKUP($B156,Outbound!$B:$AAZ,6,FALSE)),"NON TROVATO"),"")</f>
        <v>NON TROVATO</v>
      </c>
      <c r="I156" s="394" t="str">
        <f>IF(B156&lt;&gt;"",IFERROR(IF(LEFT($B156,3)=$Z$2,VLOOKUP($C156,Outbound!$B:$AAZ,52,FALSE),VLOOKUP($B156,Outbound!$B:$AAZ,52,FALSE)),"NON TROVATO"),"")</f>
        <v>NON TROVATO</v>
      </c>
      <c r="J156" s="396"/>
      <c r="K156" s="387" t="str">
        <f>IF(B156&lt;&gt;"",IF($D156&lt;&gt;"ON ROCS/NOT ON FILE",IFERROR(_xlfn.XLOOKUP(LEFT($D156,3),'STAT 77 Table'!$B:$B,'STAT 77 Table'!$A:$A),"ZZ"&amp;RIGHT($B156,4)),""),"")</f>
        <v/>
      </c>
      <c r="L156" s="396"/>
      <c r="O156" s="388"/>
      <c r="P156" s="388"/>
      <c r="AA156" s="421" t="str">
        <f t="shared" si="2"/>
        <v>ITD90289</v>
      </c>
    </row>
    <row r="157" spans="1:27" ht="16.5">
      <c r="A157" s="387" t="str">
        <f>'STAT 77 Table'!$I$148</f>
        <v>ITD12218</v>
      </c>
      <c r="B157" t="s">
        <v>1727</v>
      </c>
      <c r="C157" t="s">
        <v>655</v>
      </c>
      <c r="D157" s="387" t="str">
        <f>IF($B157&lt;&gt;"",IFERROR(IF(LEFT($B157,3)=$Z$2,VLOOKUP($C157,Outbound!$B:$Z,4,FALSE),VLOOKUP($B157,Outbound!$B:$Z,4,FALSE)),"ON ROCS/NOT ON FILE"),"")</f>
        <v>CUF</v>
      </c>
      <c r="E157" s="387" t="str">
        <f>IF($B157&lt;&gt;"",IFERROR(IF(LEFT($B157,4)=$Z$2,VLOOKUP($C157,Outbound!$B:$Z,5,FALSE),VLOOKUP($B157,Outbound!$B:$Z,5,FALSE)),"ON ROCS/NOT ON FILE"),"")</f>
        <v>ON ROCS/NOT ON FILE</v>
      </c>
      <c r="F157" s="387" t="str">
        <f>IF(B157&lt;&gt;"",IFERROR(IF(LEFT($B157,3)=$Z$2,VLOOKUP($C157,Outbound!$B:$Z,11,FALSE),VLOOKUP($B157,Outbound!$B:$Z,11,FALSE)),"NON TROVATO"),"")</f>
        <v>FORLANI TRASPORTI SRL</v>
      </c>
      <c r="G157" s="394" t="str">
        <f>IF(B157&lt;&gt;"",IFERROR(IF(LEFT($B157,3)=$Z$2,VLOOKUP($C157,Outbound!$B:$AAZ,16,FALSE),VLOOKUP($B157,Outbound!$B:$AAZ,16,FALSE)),"NON TROVATO"),"")</f>
        <v>XA437MR</v>
      </c>
      <c r="H157" s="394">
        <f>IF(B157&lt;&gt;"",IFERROR(IF(LEFT($B157,3)=$Z$2,VLOOKUP($C157,Outbound!$B:$AAZ,6,FALSE),VLOOKUP($B157,Outbound!$B:$AAZ,6,FALSE)),"NON TROVATO"),"")</f>
        <v>0.20833333333333334</v>
      </c>
      <c r="I157" s="394">
        <f>IF(B157&lt;&gt;"",IFERROR(IF(LEFT($B157,3)=$Z$2,VLOOKUP($C157,Outbound!$B:$AAZ,52,FALSE),VLOOKUP($B157,Outbound!$B:$AAZ,52,FALSE)),"NON TROVATO"),"")</f>
        <v>0</v>
      </c>
      <c r="J157" s="396"/>
      <c r="K157" s="387" t="str">
        <f>IF(B157&lt;&gt;"",IF($D157&lt;&gt;"ON ROCS/NOT ON FILE",IFERROR(_xlfn.XLOOKUP(LEFT($D157,3),'STAT 77 Table'!$B:$B,'STAT 77 Table'!$A:$A),"ZZ"&amp;RIGHT($B157,4)),""),"")</f>
        <v>ZZ1526</v>
      </c>
      <c r="L157" s="396"/>
      <c r="O157" s="388"/>
      <c r="P157" s="388"/>
      <c r="AA157" s="421" t="str">
        <f t="shared" si="2"/>
        <v>ITD12385</v>
      </c>
    </row>
    <row r="158" spans="1:27" ht="16.5">
      <c r="A158" s="387" t="str">
        <f>'STAT 77 Table'!$I$198</f>
        <v>ITD12173</v>
      </c>
      <c r="B158" t="s">
        <v>1728</v>
      </c>
      <c r="C158" t="s">
        <v>454</v>
      </c>
      <c r="D158" s="387" t="str">
        <f>IF($B158&lt;&gt;"",IFERROR(IF(LEFT($B158,3)=$Z$2,VLOOKUP($C158,Outbound!$B:$Z,4,FALSE),VLOOKUP($B158,Outbound!$B:$Z,4,FALSE)),"ON ROCS/NOT ON FILE"),"")</f>
        <v>MM1</v>
      </c>
      <c r="E158" s="387" t="str">
        <f>IF($B158&lt;&gt;"",IFERROR(IF(LEFT($B158,4)=$Z$2,VLOOKUP($C158,Outbound!$B:$Z,5,FALSE),VLOOKUP($B158,Outbound!$B:$Z,5,FALSE)),"ON ROCS/NOT ON FILE"),"")</f>
        <v>ON ROCS/NOT ON FILE</v>
      </c>
      <c r="F158" s="387" t="str">
        <f>IF(B158&lt;&gt;"",IFERROR(IF(LEFT($B158,3)=$Z$2,VLOOKUP($C158,Outbound!$B:$Z,11,FALSE),VLOOKUP($B158,Outbound!$B:$Z,11,FALSE)),"NON TROVATO"),"")</f>
        <v>Trans Speedy S.R.L</v>
      </c>
      <c r="G158" s="394" t="str">
        <f>IF(B158&lt;&gt;"",IFERROR(IF(LEFT($B158,3)=$Z$2,VLOOKUP($C158,Outbound!$B:$AAZ,16,FALSE),VLOOKUP($B158,Outbound!$B:$AAZ,16,FALSE)),"NON TROVATO"),"")</f>
        <v>XA436TW</v>
      </c>
      <c r="H158" s="394">
        <f>IF(B158&lt;&gt;"",IFERROR(IF(LEFT($B158,3)=$Z$2,VLOOKUP($C158,Outbound!$B:$AAZ,6,FALSE),VLOOKUP($B158,Outbound!$B:$AAZ,6,FALSE)),"NON TROVATO"),"")</f>
        <v>0.20833333333333334</v>
      </c>
      <c r="I158" s="394">
        <f>IF(B158&lt;&gt;"",IFERROR(IF(LEFT($B158,3)=$Z$2,VLOOKUP($C158,Outbound!$B:$AAZ,52,FALSE),VLOOKUP($B158,Outbound!$B:$AAZ,52,FALSE)),"NON TROVATO"),"")</f>
        <v>0</v>
      </c>
      <c r="J158" s="396"/>
      <c r="K158" s="387" t="str">
        <f>IF(B158&lt;&gt;"",IF($D158&lt;&gt;"ON ROCS/NOT ON FILE",IFERROR(_xlfn.XLOOKUP(LEFT($D158,3),'STAT 77 Table'!$B:$B,'STAT 77 Table'!$A:$A),"ZZ"&amp;RIGHT($B158,4)),""),"")</f>
        <v>IM697</v>
      </c>
      <c r="L158" s="396"/>
      <c r="O158" s="388"/>
      <c r="P158" s="388"/>
      <c r="AA158" s="421" t="str">
        <f t="shared" si="2"/>
        <v>ITD12668</v>
      </c>
    </row>
    <row r="159" spans="1:27" ht="16.5">
      <c r="A159" s="387" t="str">
        <f>'STAT 77 Table'!$I$141</f>
        <v>ITD12743</v>
      </c>
      <c r="B159" t="s">
        <v>1729</v>
      </c>
      <c r="C159" t="s">
        <v>902</v>
      </c>
      <c r="D159" s="387" t="str">
        <f>IF($B159&lt;&gt;"",IFERROR(IF(LEFT($B159,3)=$Z$2,VLOOKUP($C159,Outbound!$B:$Z,4,FALSE),VLOOKUP($B159,Outbound!$B:$Z,4,FALSE)),"ON ROCS/NOT ON FILE"),"")</f>
        <v>BRG</v>
      </c>
      <c r="E159" s="387" t="str">
        <f>IF($B159&lt;&gt;"",IFERROR(IF(LEFT($B159,4)=$Z$2,VLOOKUP($C159,Outbound!$B:$Z,5,FALSE),VLOOKUP($B159,Outbound!$B:$Z,5,FALSE)),"ON ROCS/NOT ON FILE"),"")</f>
        <v>ON ROCS/NOT ON FILE</v>
      </c>
      <c r="F159" s="387" t="str">
        <f>IF(B159&lt;&gt;"",IFERROR(IF(LEFT($B159,3)=$Z$2,VLOOKUP($C159,Outbound!$B:$Z,11,FALSE),VLOOKUP($B159,Outbound!$B:$Z,11,FALSE)),"NON TROVATO"),"")</f>
        <v>CORNALI AUTOTRASPORTI SRL</v>
      </c>
      <c r="G159" s="394" t="str">
        <f>IF(B159&lt;&gt;"",IFERROR(IF(LEFT($B159,3)=$Z$2,VLOOKUP($C159,Outbound!$B:$AAZ,16,FALSE),VLOOKUP($B159,Outbound!$B:$AAZ,16,FALSE)),"NON TROVATO"),"")</f>
        <v>XA688KS</v>
      </c>
      <c r="H159" s="394">
        <f>IF(B159&lt;&gt;"",IFERROR(IF(LEFT($B159,3)=$Z$2,VLOOKUP($C159,Outbound!$B:$AAZ,6,FALSE),VLOOKUP($B159,Outbound!$B:$AAZ,6,FALSE)),"NON TROVATO"),"")</f>
        <v>0.20833333333333334</v>
      </c>
      <c r="I159" s="394">
        <f>IF(B159&lt;&gt;"",IFERROR(IF(LEFT($B159,3)=$Z$2,VLOOKUP($C159,Outbound!$B:$AAZ,52,FALSE),VLOOKUP($B159,Outbound!$B:$AAZ,52,FALSE)),"NON TROVATO"),"")</f>
        <v>0</v>
      </c>
      <c r="J159" s="396"/>
      <c r="K159" s="387" t="str">
        <f>IF(B159&lt;&gt;"",IF($D159&lt;&gt;"ON ROCS/NOT ON FILE",IFERROR(_xlfn.XLOOKUP(LEFT($D159,3),'STAT 77 Table'!$B:$B,'STAT 77 Table'!$A:$A),"ZZ"&amp;RIGHT($B159,4)),""),"")</f>
        <v>ZZ2563</v>
      </c>
      <c r="L159" s="396"/>
      <c r="O159" s="388"/>
      <c r="P159" s="388"/>
      <c r="AA159" s="421" t="str">
        <f t="shared" si="2"/>
        <v>ITD12252</v>
      </c>
    </row>
    <row r="160" spans="1:27" ht="16.5">
      <c r="A160" s="387" t="str">
        <f>'STAT 77 Table'!$I$142</f>
        <v>ITD12078</v>
      </c>
      <c r="B160" t="s">
        <v>1730</v>
      </c>
      <c r="C160" t="s">
        <v>597</v>
      </c>
      <c r="D160" s="387" t="str">
        <f>IF($B160&lt;&gt;"",IFERROR(IF(LEFT($B160,3)=$Z$2,VLOOKUP($C160,Outbound!$B:$Z,4,FALSE),VLOOKUP($B160,Outbound!$B:$Z,4,FALSE)),"ON ROCS/NOT ON FILE"),"")</f>
        <v>GOA</v>
      </c>
      <c r="E160" s="387" t="str">
        <f>IF($B160&lt;&gt;"",IFERROR(IF(LEFT($B160,4)=$Z$2,VLOOKUP($C160,Outbound!$B:$Z,5,FALSE),VLOOKUP($B160,Outbound!$B:$Z,5,FALSE)),"ON ROCS/NOT ON FILE"),"")</f>
        <v>ON ROCS/NOT ON FILE</v>
      </c>
      <c r="F160" s="387" t="str">
        <f>IF(B160&lt;&gt;"",IFERROR(IF(LEFT($B160,3)=$Z$2,VLOOKUP($C160,Outbound!$B:$Z,11,FALSE),VLOOKUP($B160,Outbound!$B:$Z,11,FALSE)),"NON TROVATO"),"")</f>
        <v>Matelda Srl</v>
      </c>
      <c r="G160" s="394" t="str">
        <f>IF(B160&lt;&gt;"",IFERROR(IF(LEFT($B160,3)=$Z$2,VLOOKUP($C160,Outbound!$B:$AAZ,16,FALSE),VLOOKUP($B160,Outbound!$B:$AAZ,16,FALSE)),"NON TROVATO"),"")</f>
        <v>XA279JN</v>
      </c>
      <c r="H160" s="394">
        <f>IF(B160&lt;&gt;"",IFERROR(IF(LEFT($B160,3)=$Z$2,VLOOKUP($C160,Outbound!$B:$AAZ,6,FALSE),VLOOKUP($B160,Outbound!$B:$AAZ,6,FALSE)),"NON TROVATO"),"")</f>
        <v>0.20833333333333334</v>
      </c>
      <c r="I160" s="394">
        <f>IF(B160&lt;&gt;"",IFERROR(IF(LEFT($B160,3)=$Z$2,VLOOKUP($C160,Outbound!$B:$AAZ,52,FALSE),VLOOKUP($B160,Outbound!$B:$AAZ,52,FALSE)),"NON TROVATO"),"")</f>
        <v>0</v>
      </c>
      <c r="J160" s="396"/>
      <c r="K160" s="387" t="str">
        <f>IF(B160&lt;&gt;"",IF($D160&lt;&gt;"ON ROCS/NOT ON FILE",IFERROR(_xlfn.XLOOKUP(LEFT($D160,3),'STAT 77 Table'!$B:$B,'STAT 77 Table'!$A:$A),"ZZ"&amp;RIGHT($B160,4)),""),"")</f>
        <v>ZZ1558</v>
      </c>
      <c r="L160" s="396"/>
      <c r="O160" s="388"/>
      <c r="P160" s="388"/>
      <c r="AA160" s="421" t="str">
        <f t="shared" si="2"/>
        <v>ITD12402</v>
      </c>
    </row>
    <row r="161" spans="1:27" ht="16.5">
      <c r="A161" s="387" t="str">
        <f>'STAT 77 Table'!$I$153</f>
        <v>ITD12408</v>
      </c>
      <c r="B161" t="s">
        <v>1731</v>
      </c>
      <c r="C161" t="s">
        <v>996</v>
      </c>
      <c r="D161" s="387" t="str">
        <f>IF($B161&lt;&gt;"",IFERROR(IF(LEFT($B161,3)=$Z$2,VLOOKUP($C161,Outbound!$B:$Z,4,FALSE),VLOOKUP($B161,Outbound!$B:$Z,4,FALSE)),"ON ROCS/NOT ON FILE"),"")</f>
        <v>MIL</v>
      </c>
      <c r="E161" s="387" t="str">
        <f>IF($B161&lt;&gt;"",IFERROR(IF(LEFT($B161,4)=$Z$2,VLOOKUP($C161,Outbound!$B:$Z,5,FALSE),VLOOKUP($B161,Outbound!$B:$Z,5,FALSE)),"ON ROCS/NOT ON FILE"),"")</f>
        <v>ON ROCS/NOT ON FILE</v>
      </c>
      <c r="F161" s="387" t="str">
        <f>IF(B161&lt;&gt;"",IFERROR(IF(LEFT($B161,3)=$Z$2,VLOOKUP($C161,Outbound!$B:$Z,11,FALSE),VLOOKUP($B161,Outbound!$B:$Z,11,FALSE)),"NON TROVATO"),"")</f>
        <v>Fenix Srl</v>
      </c>
      <c r="G161" s="394" t="str">
        <f>IF(B161&lt;&gt;"",IFERROR(IF(LEFT($B161,3)=$Z$2,VLOOKUP($C161,Outbound!$B:$AAZ,16,FALSE),VLOOKUP($B161,Outbound!$B:$AAZ,16,FALSE)),"NON TROVATO"),"")</f>
        <v>XA528HT</v>
      </c>
      <c r="H161" s="394">
        <f>IF(B161&lt;&gt;"",IFERROR(IF(LEFT($B161,3)=$Z$2,VLOOKUP($C161,Outbound!$B:$AAZ,6,FALSE),VLOOKUP($B161,Outbound!$B:$AAZ,6,FALSE)),"NON TROVATO"),"")</f>
        <v>0.20833333333333334</v>
      </c>
      <c r="I161" s="394">
        <f>IF(B161&lt;&gt;"",IFERROR(IF(LEFT($B161,3)=$Z$2,VLOOKUP($C161,Outbound!$B:$AAZ,52,FALSE),VLOOKUP($B161,Outbound!$B:$AAZ,52,FALSE)),"NON TROVATO"),"")</f>
        <v>0</v>
      </c>
      <c r="J161" s="396"/>
      <c r="K161" s="387" t="str">
        <f>IF(B161&lt;&gt;"",IF($D161&lt;&gt;"ON ROCS/NOT ON FILE",IFERROR(_xlfn.XLOOKUP(LEFT($D161,3),'STAT 77 Table'!$B:$B,'STAT 77 Table'!$A:$A),"ZZ"&amp;RIGHT($B161,4)),""),"")</f>
        <v>ZZ2640</v>
      </c>
      <c r="L161" s="396"/>
      <c r="O161" s="388"/>
      <c r="P161" s="388"/>
      <c r="AA161" s="421" t="str">
        <f t="shared" si="2"/>
        <v>ITD12667</v>
      </c>
    </row>
    <row r="162" spans="1:27" ht="16.5">
      <c r="A162" s="387" t="str">
        <f>'STAT 77 Table'!$I$164</f>
        <v>ERN15398</v>
      </c>
      <c r="B162" t="s">
        <v>1732</v>
      </c>
      <c r="C162" t="s">
        <v>772</v>
      </c>
      <c r="D162" s="387" t="str">
        <f>IF($B162&lt;&gt;"",IFERROR(IF(LEFT($B162,3)=$Z$2,VLOOKUP($C162,Outbound!$B:$Z,4,FALSE),VLOOKUP($B162,Outbound!$B:$Z,4,FALSE)),"ON ROCS/NOT ON FILE"),"")</f>
        <v>QPZ</v>
      </c>
      <c r="E162" s="387" t="str">
        <f>IF($B162&lt;&gt;"",IFERROR(IF(LEFT($B162,4)=$Z$2,VLOOKUP($C162,Outbound!$B:$Z,5,FALSE),VLOOKUP($B162,Outbound!$B:$Z,5,FALSE)),"ON ROCS/NOT ON FILE"),"")</f>
        <v>ON ROCS/NOT ON FILE</v>
      </c>
      <c r="F162" s="387" t="str">
        <f>IF(B162&lt;&gt;"",IFERROR(IF(LEFT($B162,3)=$Z$2,VLOOKUP($C162,Outbound!$B:$Z,11,FALSE),VLOOKUP($B162,Outbound!$B:$Z,11,FALSE)),"NON TROVATO"),"")</f>
        <v>Trans Speedy S.R.L</v>
      </c>
      <c r="G162" s="394" t="str">
        <f>IF(B162&lt;&gt;"",IFERROR(IF(LEFT($B162,3)=$Z$2,VLOOKUP($C162,Outbound!$B:$AAZ,16,FALSE),VLOOKUP($B162,Outbound!$B:$AAZ,16,FALSE)),"NON TROVATO"),"")</f>
        <v>XA432ZJ</v>
      </c>
      <c r="H162" s="394">
        <f>IF(B162&lt;&gt;"",IFERROR(IF(LEFT($B162,3)=$Z$2,VLOOKUP($C162,Outbound!$B:$AAZ,6,FALSE),VLOOKUP($B162,Outbound!$B:$AAZ,6,FALSE)),"NON TROVATO"),"")</f>
        <v>0.20833333333333334</v>
      </c>
      <c r="I162" s="394">
        <f>IF(B162&lt;&gt;"",IFERROR(IF(LEFT($B162,3)=$Z$2,VLOOKUP($C162,Outbound!$B:$AAZ,52,FALSE),VLOOKUP($B162,Outbound!$B:$AAZ,52,FALSE)),"NON TROVATO"),"")</f>
        <v>0</v>
      </c>
      <c r="J162" s="396"/>
      <c r="K162" s="387" t="str">
        <f>IF(B162&lt;&gt;"",IF($D162&lt;&gt;"ON ROCS/NOT ON FILE",IFERROR(_xlfn.XLOOKUP(LEFT($D162,3),'STAT 77 Table'!$B:$B,'STAT 77 Table'!$A:$A),"ZZ"&amp;RIGHT($B162,4)),""),"")</f>
        <v>ZZ2316</v>
      </c>
      <c r="L162" s="396"/>
      <c r="O162" s="388"/>
      <c r="P162" s="388"/>
      <c r="AA162" s="421" t="str">
        <f t="shared" si="2"/>
        <v>ITD32316</v>
      </c>
    </row>
    <row r="163" spans="1:27" ht="16.5">
      <c r="A163" s="387" t="str">
        <f>'STAT 77 Table'!$I$217</f>
        <v>ITD12749</v>
      </c>
      <c r="B163" t="s">
        <v>1733</v>
      </c>
      <c r="C163" t="s">
        <v>444</v>
      </c>
      <c r="D163" s="387" t="str">
        <f>IF($B163&lt;&gt;"",IFERROR(IF(LEFT($B163,3)=$Z$2,VLOOKUP($C163,Outbound!$B:$Z,4,FALSE),VLOOKUP($B163,Outbound!$B:$Z,4,FALSE)),"ON ROCS/NOT ON FILE"),"")</f>
        <v>BRG</v>
      </c>
      <c r="E163" s="387" t="str">
        <f>IF($B163&lt;&gt;"",IFERROR(IF(LEFT($B163,4)=$Z$2,VLOOKUP($C163,Outbound!$B:$Z,5,FALSE),VLOOKUP($B163,Outbound!$B:$Z,5,FALSE)),"ON ROCS/NOT ON FILE"),"")</f>
        <v>ON ROCS/NOT ON FILE</v>
      </c>
      <c r="F163" s="387" t="str">
        <f>IF(B163&lt;&gt;"",IFERROR(IF(LEFT($B163,3)=$Z$2,VLOOKUP($C163,Outbound!$B:$Z,11,FALSE),VLOOKUP($B163,Outbound!$B:$Z,11,FALSE)),"NON TROVATO"),"")</f>
        <v>Transeuropa S.r.l.</v>
      </c>
      <c r="G163" s="394" t="str">
        <f>IF(B163&lt;&gt;"",IFERROR(IF(LEFT($B163,3)=$Z$2,VLOOKUP($C163,Outbound!$B:$AAZ,16,FALSE),VLOOKUP($B163,Outbound!$B:$AAZ,16,FALSE)),"NON TROVATO"),"")</f>
        <v>XA532LT</v>
      </c>
      <c r="H163" s="394">
        <f>IF(B163&lt;&gt;"",IFERROR(IF(LEFT($B163,3)=$Z$2,VLOOKUP($C163,Outbound!$B:$AAZ,6,FALSE),VLOOKUP($B163,Outbound!$B:$AAZ,6,FALSE)),"NON TROVATO"),"")</f>
        <v>0.20833333333333334</v>
      </c>
      <c r="I163" s="394">
        <f>IF(B163&lt;&gt;"",IFERROR(IF(LEFT($B163,3)=$Z$2,VLOOKUP($C163,Outbound!$B:$AAZ,52,FALSE),VLOOKUP($B163,Outbound!$B:$AAZ,52,FALSE)),"NON TROVATO"),"")</f>
        <v>0</v>
      </c>
      <c r="J163" s="396"/>
      <c r="K163" s="387" t="str">
        <f>IF(B163&lt;&gt;"",IF($D163&lt;&gt;"ON ROCS/NOT ON FILE",IFERROR(_xlfn.XLOOKUP(LEFT($D163,3),'STAT 77 Table'!$B:$B,'STAT 77 Table'!$A:$A),"ZZ"&amp;RIGHT($B163,4)),""),"")</f>
        <v>ZZ1199</v>
      </c>
      <c r="L163" s="396"/>
      <c r="O163" s="388"/>
      <c r="P163" s="388"/>
      <c r="AA163" s="421" t="str">
        <f t="shared" si="2"/>
        <v>ITD12250</v>
      </c>
    </row>
    <row r="164" spans="1:27" ht="16.5">
      <c r="A164" s="387" t="str">
        <f>'STAT 77 Table'!$I$218</f>
        <v>ITD12280</v>
      </c>
      <c r="B164" t="s">
        <v>1734</v>
      </c>
      <c r="C164" t="s">
        <v>466</v>
      </c>
      <c r="D164" s="387" t="str">
        <f>IF($B164&lt;&gt;"",IFERROR(IF(LEFT($B164,3)=$Z$2,VLOOKUP($C164,Outbound!$B:$Z,4,FALSE),VLOOKUP($B164,Outbound!$B:$Z,4,FALSE)),"ON ROCS/NOT ON FILE"),"")</f>
        <v>MM1</v>
      </c>
      <c r="E164" s="387" t="str">
        <f>IF($B164&lt;&gt;"",IFERROR(IF(LEFT($B164,4)=$Z$2,VLOOKUP($C164,Outbound!$B:$Z,5,FALSE),VLOOKUP($B164,Outbound!$B:$Z,5,FALSE)),"ON ROCS/NOT ON FILE"),"")</f>
        <v>ON ROCS/NOT ON FILE</v>
      </c>
      <c r="F164" s="387" t="str">
        <f>IF(B164&lt;&gt;"",IFERROR(IF(LEFT($B164,3)=$Z$2,VLOOKUP($C164,Outbound!$B:$Z,11,FALSE),VLOOKUP($B164,Outbound!$B:$Z,11,FALSE)),"NON TROVATO"),"")</f>
        <v>F.M. Trasporti S.R.L.</v>
      </c>
      <c r="G164" s="394" t="str">
        <f>IF(B164&lt;&gt;"",IFERROR(IF(LEFT($B164,3)=$Z$2,VLOOKUP($C164,Outbound!$B:$AAZ,16,FALSE),VLOOKUP($B164,Outbound!$B:$AAZ,16,FALSE)),"NON TROVATO"),"")</f>
        <v>XB174AG</v>
      </c>
      <c r="H164" s="394">
        <f>IF(B164&lt;&gt;"",IFERROR(IF(LEFT($B164,3)=$Z$2,VLOOKUP($C164,Outbound!$B:$AAZ,6,FALSE),VLOOKUP($B164,Outbound!$B:$AAZ,6,FALSE)),"NON TROVATO"),"")</f>
        <v>0.21875</v>
      </c>
      <c r="I164" s="394">
        <f>IF(B164&lt;&gt;"",IFERROR(IF(LEFT($B164,3)=$Z$2,VLOOKUP($C164,Outbound!$B:$AAZ,52,FALSE),VLOOKUP($B164,Outbound!$B:$AAZ,52,FALSE)),"NON TROVATO"),"")</f>
        <v>0</v>
      </c>
      <c r="J164" s="396"/>
      <c r="K164" s="387" t="str">
        <f>IF(B164&lt;&gt;"",IF($D164&lt;&gt;"ON ROCS/NOT ON FILE",IFERROR(_xlfn.XLOOKUP(LEFT($D164,3),'STAT 77 Table'!$B:$B,'STAT 77 Table'!$A:$A),"ZZ"&amp;RIGHT($B164,4)),""),"")</f>
        <v>IM697</v>
      </c>
      <c r="L164" s="396"/>
      <c r="O164" s="388"/>
      <c r="P164" s="388"/>
      <c r="AA164" s="421" t="str">
        <f t="shared" si="2"/>
        <v>ITD12317</v>
      </c>
    </row>
    <row r="165" spans="1:27" ht="16.5">
      <c r="A165" s="387" t="str">
        <f>'STAT 77 Table'!$I$151</f>
        <v>ITD12720</v>
      </c>
      <c r="B165" t="s">
        <v>1735</v>
      </c>
      <c r="C165" t="s">
        <v>661</v>
      </c>
      <c r="D165" s="387" t="str">
        <f>IF($B165&lt;&gt;"",IFERROR(IF(LEFT($B165,3)=$Z$2,VLOOKUP($C165,Outbound!$B:$Z,4,FALSE),VLOOKUP($B165,Outbound!$B:$Z,4,FALSE)),"ON ROCS/NOT ON FILE"),"")</f>
        <v>ZD1</v>
      </c>
      <c r="E165" s="387" t="str">
        <f>IF($B165&lt;&gt;"",IFERROR(IF(LEFT($B165,4)=$Z$2,VLOOKUP($C165,Outbound!$B:$Z,5,FALSE),VLOOKUP($B165,Outbound!$B:$Z,5,FALSE)),"ON ROCS/NOT ON FILE"),"")</f>
        <v>ON ROCS/NOT ON FILE</v>
      </c>
      <c r="F165" s="387" t="str">
        <f>IF(B165&lt;&gt;"",IFERROR(IF(LEFT($B165,3)=$Z$2,VLOOKUP($C165,Outbound!$B:$Z,11,FALSE),VLOOKUP($B165,Outbound!$B:$Z,11,FALSE)),"NON TROVATO"),"")</f>
        <v>S.T.I. Società Trasporti Internazionali S.r.L.</v>
      </c>
      <c r="G165" s="394" t="str">
        <f>IF(B165&lt;&gt;"",IFERROR(IF(LEFT($B165,3)=$Z$2,VLOOKUP($C165,Outbound!$B:$AAZ,16,FALSE),VLOOKUP($B165,Outbound!$B:$AAZ,16,FALSE)),"NON TROVATO"),"")</f>
        <v>XA622YR</v>
      </c>
      <c r="H165" s="394">
        <f>IF(B165&lt;&gt;"",IFERROR(IF(LEFT($B165,3)=$Z$2,VLOOKUP($C165,Outbound!$B:$AAZ,6,FALSE),VLOOKUP($B165,Outbound!$B:$AAZ,6,FALSE)),"NON TROVATO"),"")</f>
        <v>0.21875</v>
      </c>
      <c r="I165" s="394">
        <f>IF(B165&lt;&gt;"",IFERROR(IF(LEFT($B165,3)=$Z$2,VLOOKUP($C165,Outbound!$B:$AAZ,52,FALSE),VLOOKUP($B165,Outbound!$B:$AAZ,52,FALSE)),"NON TROVATO"),"")</f>
        <v>0</v>
      </c>
      <c r="J165" s="396"/>
      <c r="K165" s="387" t="str">
        <f>IF(B165&lt;&gt;"",IF($D165&lt;&gt;"ON ROCS/NOT ON FILE",IFERROR(_xlfn.XLOOKUP(LEFT($D165,3),'STAT 77 Table'!$B:$B,'STAT 77 Table'!$A:$A),"ZZ"&amp;RIGHT($B165,4)),""),"")</f>
        <v>ZZ2362</v>
      </c>
      <c r="L165" s="396"/>
      <c r="O165" s="388"/>
      <c r="P165" s="388"/>
      <c r="AA165" s="421" t="str">
        <f t="shared" si="2"/>
        <v>ITD12802</v>
      </c>
    </row>
    <row r="166" spans="1:27" ht="16.5">
      <c r="A166" s="387" t="str">
        <f>'STAT 77 Table'!$I$152</f>
        <v>ERN06793</v>
      </c>
      <c r="B166" t="s">
        <v>1736</v>
      </c>
      <c r="C166" t="s">
        <v>1175</v>
      </c>
      <c r="D166" s="387" t="str">
        <f>IF($B166&lt;&gt;"",IFERROR(IF(LEFT($B166,3)=$Z$2,VLOOKUP($C166,Outbound!$B:$Z,4,FALSE),VLOOKUP($B166,Outbound!$B:$Z,4,FALSE)),"ON ROCS/NOT ON FILE"),"")</f>
        <v>ZD1</v>
      </c>
      <c r="E166" s="387" t="str">
        <f>IF($B166&lt;&gt;"",IFERROR(IF(LEFT($B166,4)=$Z$2,VLOOKUP($C166,Outbound!$B:$Z,5,FALSE),VLOOKUP($B166,Outbound!$B:$Z,5,FALSE)),"ON ROCS/NOT ON FILE"),"")</f>
        <v>ON ROCS/NOT ON FILE</v>
      </c>
      <c r="F166" s="387" t="str">
        <f>IF(B166&lt;&gt;"",IFERROR(IF(LEFT($B166,3)=$Z$2,VLOOKUP($C166,Outbound!$B:$Z,11,FALSE),VLOOKUP($B166,Outbound!$B:$Z,11,FALSE)),"NON TROVATO"),"")</f>
        <v>Trans Speedy S.R.L</v>
      </c>
      <c r="G166" s="394" t="str">
        <f>IF(B166&lt;&gt;"",IFERROR(IF(LEFT($B166,3)=$Z$2,VLOOKUP($C166,Outbound!$B:$AAZ,16,FALSE),VLOOKUP($B166,Outbound!$B:$AAZ,16,FALSE)),"NON TROVATO"),"")</f>
        <v>XA435TW</v>
      </c>
      <c r="H166" s="394">
        <f>IF(B166&lt;&gt;"",IFERROR(IF(LEFT($B166,3)=$Z$2,VLOOKUP($C166,Outbound!$B:$AAZ,6,FALSE),VLOOKUP($B166,Outbound!$B:$AAZ,6,FALSE)),"NON TROVATO"),"")</f>
        <v>0.21875</v>
      </c>
      <c r="I166" s="394">
        <f>IF(B166&lt;&gt;"",IFERROR(IF(LEFT($B166,3)=$Z$2,VLOOKUP($C166,Outbound!$B:$AAZ,52,FALSE),VLOOKUP($B166,Outbound!$B:$AAZ,52,FALSE)),"NON TROVATO"),"")</f>
        <v>0</v>
      </c>
      <c r="J166" s="396"/>
      <c r="K166" s="387" t="str">
        <f>IF(B166&lt;&gt;"",IF($D166&lt;&gt;"ON ROCS/NOT ON FILE",IFERROR(_xlfn.XLOOKUP(LEFT($D166,3),'STAT 77 Table'!$B:$B,'STAT 77 Table'!$A:$A),"ZZ"&amp;RIGHT($B166,4)),""),"")</f>
        <v>ZZ1520</v>
      </c>
      <c r="L166" s="396"/>
      <c r="O166" s="388"/>
      <c r="P166" s="388"/>
      <c r="AA166" s="421" t="str">
        <f t="shared" si="2"/>
        <v>ITD31520</v>
      </c>
    </row>
    <row r="167" spans="1:27" ht="16.5">
      <c r="A167" s="387" t="str">
        <f>'STAT 77 Table'!$I$175</f>
        <v>ERN14458</v>
      </c>
      <c r="B167" t="s">
        <v>1737</v>
      </c>
      <c r="C167" t="s">
        <v>1164</v>
      </c>
      <c r="D167" s="387" t="str">
        <f>IF($B167&lt;&gt;"",IFERROR(IF(LEFT($B167,3)=$Z$2,VLOOKUP($C167,Outbound!$B:$Z,4,FALSE),VLOOKUP($B167,Outbound!$B:$Z,4,FALSE)),"ON ROCS/NOT ON FILE"),"")</f>
        <v>QAL</v>
      </c>
      <c r="E167" s="387" t="str">
        <f>IF($B167&lt;&gt;"",IFERROR(IF(LEFT($B167,4)=$Z$2,VLOOKUP($C167,Outbound!$B:$Z,5,FALSE),VLOOKUP($B167,Outbound!$B:$Z,5,FALSE)),"ON ROCS/NOT ON FILE"),"")</f>
        <v>ON ROCS/NOT ON FILE</v>
      </c>
      <c r="F167" s="387" t="str">
        <f>IF(B167&lt;&gt;"",IFERROR(IF(LEFT($B167,3)=$Z$2,VLOOKUP($C167,Outbound!$B:$Z,11,FALSE),VLOOKUP($B167,Outbound!$B:$Z,11,FALSE)),"NON TROVATO"),"")</f>
        <v>Trans Speedy S.R.L</v>
      </c>
      <c r="G167" s="394" t="str">
        <f>IF(B167&lt;&gt;"",IFERROR(IF(LEFT($B167,3)=$Z$2,VLOOKUP($C167,Outbound!$B:$AAZ,16,FALSE),VLOOKUP($B167,Outbound!$B:$AAZ,16,FALSE)),"NON TROVATO"),"")</f>
        <v>xa874ys</v>
      </c>
      <c r="H167" s="394">
        <f>IF(B167&lt;&gt;"",IFERROR(IF(LEFT($B167,3)=$Z$2,VLOOKUP($C167,Outbound!$B:$AAZ,6,FALSE),VLOOKUP($B167,Outbound!$B:$AAZ,6,FALSE)),"NON TROVATO"),"")</f>
        <v>0.21875</v>
      </c>
      <c r="I167" s="394">
        <f>IF(B167&lt;&gt;"",IFERROR(IF(LEFT($B167,3)=$Z$2,VLOOKUP($C167,Outbound!$B:$AAZ,52,FALSE),VLOOKUP($B167,Outbound!$B:$AAZ,52,FALSE)),"NON TROVATO"),"")</f>
        <v>0</v>
      </c>
      <c r="J167" s="396"/>
      <c r="K167" s="387" t="str">
        <f>IF(B167&lt;&gt;"",IF($D167&lt;&gt;"ON ROCS/NOT ON FILE",IFERROR(_xlfn.XLOOKUP(LEFT($D167,3),'STAT 77 Table'!$B:$B,'STAT 77 Table'!$A:$A),"ZZ"&amp;RIGHT($B167,4)),""),"")</f>
        <v>IM697</v>
      </c>
      <c r="L167" s="396"/>
      <c r="O167" s="388"/>
      <c r="P167" s="388"/>
      <c r="AA167" s="421" t="str">
        <f t="shared" si="2"/>
        <v>ITD32514</v>
      </c>
    </row>
    <row r="168" spans="1:27" ht="16.5" hidden="1">
      <c r="A168" s="387" t="str">
        <f>'STAT 77 Table'!$I$195</f>
        <v>ITD12384</v>
      </c>
      <c r="B168" t="s">
        <v>1738</v>
      </c>
      <c r="C168" t="s">
        <v>929</v>
      </c>
      <c r="D168" s="387" t="str">
        <f>IF($B168&lt;&gt;"",IFERROR(IF(LEFT($B168,3)=$Z$2,VLOOKUP($C168,Outbound!$B:$Z,4,FALSE),VLOOKUP($B168,Outbound!$B:$Z,4,FALSE)),"ON ROCS/NOT ON FILE"),"")</f>
        <v>MM1</v>
      </c>
      <c r="E168" s="387" t="str">
        <f>IF($B168&lt;&gt;"",IFERROR(IF(LEFT($B168,4)=$Z$2,VLOOKUP($C168,Outbound!$B:$Z,5,FALSE),VLOOKUP($B168,Outbound!$B:$Z,5,FALSE)),"ON ROCS/NOT ON FILE"),"")</f>
        <v>ON ROCS/NOT ON FILE</v>
      </c>
      <c r="F168" s="387" t="str">
        <f>IF(B168&lt;&gt;"",IFERROR(IF(LEFT($B168,3)=$Z$2,VLOOKUP($C168,Outbound!$B:$Z,11,FALSE),VLOOKUP($B168,Outbound!$B:$Z,11,FALSE)),"NON TROVATO"),"")</f>
        <v>Transeuropa S.r.l.</v>
      </c>
      <c r="G168" s="394" t="str">
        <f>IF(B168&lt;&gt;"",IFERROR(IF(LEFT($B168,3)=$Z$2,VLOOKUP($C168,Outbound!$B:$AAZ,16,FALSE),VLOOKUP($B168,Outbound!$B:$AAZ,16,FALSE)),"NON TROVATO"),"")</f>
        <v>XA857MS</v>
      </c>
      <c r="H168" s="394">
        <f>IF(B168&lt;&gt;"",IFERROR(IF(LEFT($B168,3)=$Z$2,VLOOKUP($C168,Outbound!$B:$AAZ,6,FALSE),VLOOKUP($B168,Outbound!$B:$AAZ,6,FALSE)),"NON TROVATO"),"")</f>
        <v>0.21875</v>
      </c>
      <c r="I168" s="394">
        <f>IF(B168&lt;&gt;"",IFERROR(IF(LEFT($B168,3)=$Z$2,VLOOKUP($C168,Outbound!$B:$AAZ,52,FALSE),VLOOKUP($B168,Outbound!$B:$AAZ,52,FALSE)),"NON TROVATO"),"")</f>
        <v>0.94097222222222221</v>
      </c>
      <c r="J168" s="440">
        <v>546804702255</v>
      </c>
      <c r="K168" s="387" t="str">
        <f>IF(B168&lt;&gt;"",IF($D168&lt;&gt;"ON ROCS/NOT ON FILE",IFERROR(_xlfn.XLOOKUP(LEFT($D168,3),'STAT 77 Table'!$B:$B,'STAT 77 Table'!$A:$A),"ZZ"&amp;RIGHT($B168,4)),""),"")</f>
        <v>IM697</v>
      </c>
      <c r="L168" s="396" t="s">
        <v>1605</v>
      </c>
      <c r="O168" s="388"/>
      <c r="P168" s="388"/>
      <c r="AA168" s="421" t="str">
        <f t="shared" si="2"/>
        <v>ITD12854</v>
      </c>
    </row>
    <row r="169" spans="1:27" ht="16.5">
      <c r="A169" s="387" t="str">
        <f>'STAT 77 Table'!$I$197</f>
        <v>ITD12251</v>
      </c>
      <c r="B169" t="s">
        <v>1739</v>
      </c>
      <c r="C169" t="s">
        <v>1193</v>
      </c>
      <c r="D169" s="387" t="str">
        <f>IF($B169&lt;&gt;"",IFERROR(IF(LEFT($B169,3)=$Z$2,VLOOKUP($C169,Outbound!$B:$Z,4,FALSE),VLOOKUP($B169,Outbound!$B:$Z,4,FALSE)),"ON ROCS/NOT ON FILE"),"")</f>
        <v>IBU</v>
      </c>
      <c r="E169" s="387" t="str">
        <f>IF($B169&lt;&gt;"",IFERROR(IF(LEFT($B169,4)=$Z$2,VLOOKUP($C169,Outbound!$B:$Z,5,FALSE),VLOOKUP($B169,Outbound!$B:$Z,5,FALSE)),"ON ROCS/NOT ON FILE"),"")</f>
        <v>ON ROCS/NOT ON FILE</v>
      </c>
      <c r="F169" s="387" t="str">
        <f>IF(B169&lt;&gt;"",IFERROR(IF(LEFT($B169,3)=$Z$2,VLOOKUP($C169,Outbound!$B:$Z,11,FALSE),VLOOKUP($B169,Outbound!$B:$Z,11,FALSE)),"NON TROVATO"),"")</f>
        <v>Trans Speedy S.R.L</v>
      </c>
      <c r="G169" s="394" t="str">
        <f>IF(B169&lt;&gt;"",IFERROR(IF(LEFT($B169,3)=$Z$2,VLOOKUP($C169,Outbound!$B:$AAZ,16,FALSE),VLOOKUP($B169,Outbound!$B:$AAZ,16,FALSE)),"NON TROVATO"),"")</f>
        <v>XA723ZV</v>
      </c>
      <c r="H169" s="394">
        <f>IF(B169&lt;&gt;"",IFERROR(IF(LEFT($B169,3)=$Z$2,VLOOKUP($C169,Outbound!$B:$AAZ,6,FALSE),VLOOKUP($B169,Outbound!$B:$AAZ,6,FALSE)),"NON TROVATO"),"")</f>
        <v>0.22916666666666666</v>
      </c>
      <c r="I169" s="394">
        <f>IF(B169&lt;&gt;"",IFERROR(IF(LEFT($B169,3)=$Z$2,VLOOKUP($C169,Outbound!$B:$AAZ,52,FALSE),VLOOKUP($B169,Outbound!$B:$AAZ,52,FALSE)),"NON TROVATO"),"")</f>
        <v>0</v>
      </c>
      <c r="J169" s="396"/>
      <c r="K169" s="387" t="str">
        <f>IF(B169&lt;&gt;"",IF($D169&lt;&gt;"ON ROCS/NOT ON FILE",IFERROR(_xlfn.XLOOKUP(LEFT($D169,3),'STAT 77 Table'!$B:$B,'STAT 77 Table'!$A:$A),"ZZ"&amp;RIGHT($B169,4)),""),"")</f>
        <v>ZZ2212</v>
      </c>
      <c r="L169" s="396"/>
      <c r="O169" s="388"/>
      <c r="P169" s="388"/>
      <c r="AA169" s="421" t="str">
        <f t="shared" si="2"/>
        <v>ITD12749</v>
      </c>
    </row>
    <row r="170" spans="1:27" ht="16.5">
      <c r="A170" s="387" t="str">
        <f>'STAT 77 Table'!$I$138</f>
        <v>ITD12245</v>
      </c>
      <c r="B170" t="s">
        <v>1740</v>
      </c>
      <c r="C170" t="s">
        <v>1168</v>
      </c>
      <c r="D170" s="387" t="str">
        <f>IF($B170&lt;&gt;"",IFERROR(IF(LEFT($B170,3)=$Z$2,VLOOKUP($C170,Outbound!$B:$Z,4,FALSE),VLOOKUP($B170,Outbound!$B:$Z,4,FALSE)),"ON ROCS/NOT ON FILE"),"")</f>
        <v>VBS</v>
      </c>
      <c r="E170" s="387" t="str">
        <f>IF($B170&lt;&gt;"",IFERROR(IF(LEFT($B170,4)=$Z$2,VLOOKUP($C170,Outbound!$B:$Z,5,FALSE),VLOOKUP($B170,Outbound!$B:$Z,5,FALSE)),"ON ROCS/NOT ON FILE"),"")</f>
        <v>ON ROCS/NOT ON FILE</v>
      </c>
      <c r="F170" s="387" t="str">
        <f>IF(B170&lt;&gt;"",IFERROR(IF(LEFT($B170,3)=$Z$2,VLOOKUP($C170,Outbound!$B:$Z,11,FALSE),VLOOKUP($B170,Outbound!$B:$Z,11,FALSE)),"NON TROVATO"),"")</f>
        <v>Matelda Srl</v>
      </c>
      <c r="G170" s="394" t="str">
        <f>IF(B170&lt;&gt;"",IFERROR(IF(LEFT($B170,3)=$Z$2,VLOOKUP($C170,Outbound!$B:$AAZ,16,FALSE),VLOOKUP($B170,Outbound!$B:$AAZ,16,FALSE)),"NON TROVATO"),"")</f>
        <v>XB083AD</v>
      </c>
      <c r="H170" s="394">
        <f>IF(B170&lt;&gt;"",IFERROR(IF(LEFT($B170,3)=$Z$2,VLOOKUP($C170,Outbound!$B:$AAZ,6,FALSE),VLOOKUP($B170,Outbound!$B:$AAZ,6,FALSE)),"NON TROVATO"),"")</f>
        <v>0.22916666666666666</v>
      </c>
      <c r="I170" s="394">
        <f>IF(B170&lt;&gt;"",IFERROR(IF(LEFT($B170,3)=$Z$2,VLOOKUP($C170,Outbound!$B:$AAZ,52,FALSE),VLOOKUP($B170,Outbound!$B:$AAZ,52,FALSE)),"NON TROVATO"),"")</f>
        <v>0</v>
      </c>
      <c r="J170" s="396"/>
      <c r="K170" s="387" t="str">
        <f>IF(B170&lt;&gt;"",IF($D170&lt;&gt;"ON ROCS/NOT ON FILE",IFERROR(_xlfn.XLOOKUP(LEFT($D170,3),'STAT 77 Table'!$B:$B,'STAT 77 Table'!$A:$A),"ZZ"&amp;RIGHT($B170,4)),""),"")</f>
        <v>ZZ1247</v>
      </c>
      <c r="L170" s="396"/>
      <c r="O170" s="388"/>
      <c r="P170" s="388"/>
      <c r="AA170" s="421" t="str">
        <f t="shared" si="2"/>
        <v>ITD12266</v>
      </c>
    </row>
    <row r="171" spans="1:27" ht="16.5">
      <c r="A171" s="387" t="str">
        <f>'STAT 77 Table'!$I$143</f>
        <v>ITD12089</v>
      </c>
      <c r="B171" t="s">
        <v>1741</v>
      </c>
      <c r="C171" t="s">
        <v>884</v>
      </c>
      <c r="D171" s="387" t="str">
        <f>IF($B171&lt;&gt;"",IFERROR(IF(LEFT($B171,3)=$Z$2,VLOOKUP($C171,Outbound!$B:$Z,4,FALSE),VLOOKUP($B171,Outbound!$B:$Z,4,FALSE)),"ON ROCS/NOT ON FILE"),"")</f>
        <v>AOT</v>
      </c>
      <c r="E171" s="387" t="str">
        <f>IF($B171&lt;&gt;"",IFERROR(IF(LEFT($B171,4)=$Z$2,VLOOKUP($C171,Outbound!$B:$Z,5,FALSE),VLOOKUP($B171,Outbound!$B:$Z,5,FALSE)),"ON ROCS/NOT ON FILE"),"")</f>
        <v>ON ROCS/NOT ON FILE</v>
      </c>
      <c r="F171" s="387" t="str">
        <f>IF(B171&lt;&gt;"",IFERROR(IF(LEFT($B171,3)=$Z$2,VLOOKUP($C171,Outbound!$B:$Z,11,FALSE),VLOOKUP($B171,Outbound!$B:$Z,11,FALSE)),"NON TROVATO"),"")</f>
        <v>Zampieri Holding S.R.L.</v>
      </c>
      <c r="G171" s="394" t="str">
        <f>IF(B171&lt;&gt;"",IFERROR(IF(LEFT($B171,3)=$Z$2,VLOOKUP($C171,Outbound!$B:$AAZ,16,FALSE),VLOOKUP($B171,Outbound!$B:$AAZ,16,FALSE)),"NON TROVATO"),"")</f>
        <v>AF09659</v>
      </c>
      <c r="H171" s="394">
        <f>IF(B171&lt;&gt;"",IFERROR(IF(LEFT($B171,3)=$Z$2,VLOOKUP($C171,Outbound!$B:$AAZ,6,FALSE),VLOOKUP($B171,Outbound!$B:$AAZ,6,FALSE)),"NON TROVATO"),"")</f>
        <v>0.22916666666666666</v>
      </c>
      <c r="I171" s="394">
        <f>IF(B171&lt;&gt;"",IFERROR(IF(LEFT($B171,3)=$Z$2,VLOOKUP($C171,Outbound!$B:$AAZ,52,FALSE),VLOOKUP($B171,Outbound!$B:$AAZ,52,FALSE)),"NON TROVATO"),"")</f>
        <v>0</v>
      </c>
      <c r="J171" s="396"/>
      <c r="K171" s="387" t="str">
        <f>IF(B171&lt;&gt;"",IF($D171&lt;&gt;"ON ROCS/NOT ON FILE",IFERROR(_xlfn.XLOOKUP(LEFT($D171,3),'STAT 77 Table'!$B:$B,'STAT 77 Table'!$A:$A),"ZZ"&amp;RIGHT($B171,4)),""),"")</f>
        <v>ZZ2151</v>
      </c>
      <c r="L171" s="396"/>
      <c r="O171" s="388"/>
      <c r="P171" s="388"/>
      <c r="AA171" s="421" t="str">
        <f t="shared" si="2"/>
        <v>ITD12719</v>
      </c>
    </row>
    <row r="172" spans="1:27" ht="16.5">
      <c r="A172" s="387" t="str">
        <f>'STAT 77 Table'!$I$144</f>
        <v>ITD12099</v>
      </c>
      <c r="B172" t="s">
        <v>1742</v>
      </c>
      <c r="C172" t="s">
        <v>571</v>
      </c>
      <c r="D172" s="387" t="str">
        <f>IF($B172&lt;&gt;"",IFERROR(IF(LEFT($B172,3)=$Z$2,VLOOKUP($C172,Outbound!$B:$Z,4,FALSE),VLOOKUP($B172,Outbound!$B:$Z,4,FALSE)),"ON ROCS/NOT ON FILE"),"")</f>
        <v>VBS</v>
      </c>
      <c r="E172" s="387" t="str">
        <f>IF($B172&lt;&gt;"",IFERROR(IF(LEFT($B172,4)=$Z$2,VLOOKUP($C172,Outbound!$B:$Z,5,FALSE),VLOOKUP($B172,Outbound!$B:$Z,5,FALSE)),"ON ROCS/NOT ON FILE"),"")</f>
        <v>ON ROCS/NOT ON FILE</v>
      </c>
      <c r="F172" s="387" t="str">
        <f>IF(B172&lt;&gt;"",IFERROR(IF(LEFT($B172,3)=$Z$2,VLOOKUP($C172,Outbound!$B:$Z,11,FALSE),VLOOKUP($B172,Outbound!$B:$Z,11,FALSE)),"NON TROVATO"),"")</f>
        <v>Zampieri Holding S.R.L.</v>
      </c>
      <c r="G172" s="394" t="str">
        <f>IF(B172&lt;&gt;"",IFERROR(IF(LEFT($B172,3)=$Z$2,VLOOKUP($C172,Outbound!$B:$AAZ,16,FALSE),VLOOKUP($B172,Outbound!$B:$AAZ,16,FALSE)),"NON TROVATO"),"")</f>
        <v>XA159GF</v>
      </c>
      <c r="H172" s="394">
        <f>IF(B172&lt;&gt;"",IFERROR(IF(LEFT($B172,3)=$Z$2,VLOOKUP($C172,Outbound!$B:$AAZ,6,FALSE),VLOOKUP($B172,Outbound!$B:$AAZ,6,FALSE)),"NON TROVATO"),"")</f>
        <v>0.22916666666666666</v>
      </c>
      <c r="I172" s="394">
        <f>IF(B172&lt;&gt;"",IFERROR(IF(LEFT($B172,3)=$Z$2,VLOOKUP($C172,Outbound!$B:$AAZ,52,FALSE),VLOOKUP($B172,Outbound!$B:$AAZ,52,FALSE)),"NON TROVATO"),"")</f>
        <v>0</v>
      </c>
      <c r="J172" s="396"/>
      <c r="K172" s="387" t="str">
        <f>IF(B172&lt;&gt;"",IF($D172&lt;&gt;"ON ROCS/NOT ON FILE",IFERROR(_xlfn.XLOOKUP(LEFT($D172,3),'STAT 77 Table'!$B:$B,'STAT 77 Table'!$A:$A),"ZZ"&amp;RIGHT($B172,4)),""),"")</f>
        <v>ZZ1238</v>
      </c>
      <c r="L172" s="396"/>
      <c r="O172" s="388"/>
      <c r="P172" s="388"/>
      <c r="AA172" s="421" t="str">
        <f t="shared" si="2"/>
        <v>ITD12263</v>
      </c>
    </row>
    <row r="173" spans="1:27" ht="16.5">
      <c r="A173" s="387" t="str">
        <f>'STAT 77 Table'!$I$145</f>
        <v>ITD12762</v>
      </c>
      <c r="B173" t="s">
        <v>1743</v>
      </c>
      <c r="C173" t="s">
        <v>632</v>
      </c>
      <c r="D173" s="387" t="str">
        <f>IF($B173&lt;&gt;"",IFERROR(IF(LEFT($B173,3)=$Z$2,VLOOKUP($C173,Outbound!$B:$Z,4,FALSE),VLOOKUP($B173,Outbound!$B:$Z,4,FALSE)),"ON ROCS/NOT ON FILE"),"")</f>
        <v>TO1</v>
      </c>
      <c r="E173" s="387" t="str">
        <f>IF($B173&lt;&gt;"",IFERROR(IF(LEFT($B173,4)=$Z$2,VLOOKUP($C173,Outbound!$B:$Z,5,FALSE),VLOOKUP($B173,Outbound!$B:$Z,5,FALSE)),"ON ROCS/NOT ON FILE"),"")</f>
        <v>ON ROCS/NOT ON FILE</v>
      </c>
      <c r="F173" s="387" t="str">
        <f>IF(B173&lt;&gt;"",IFERROR(IF(LEFT($B173,3)=$Z$2,VLOOKUP($C173,Outbound!$B:$Z,11,FALSE),VLOOKUP($B173,Outbound!$B:$Z,11,FALSE)),"NON TROVATO"),"")</f>
        <v>Trans Speedy S.R.L</v>
      </c>
      <c r="G173" s="394" t="str">
        <f>IF(B173&lt;&gt;"",IFERROR(IF(LEFT($B173,3)=$Z$2,VLOOKUP($C173,Outbound!$B:$AAZ,16,FALSE),VLOOKUP($B173,Outbound!$B:$AAZ,16,FALSE)),"NON TROVATO"),"")</f>
        <v>XA837RN</v>
      </c>
      <c r="H173" s="394">
        <f>IF(B173&lt;&gt;"",IFERROR(IF(LEFT($B173,3)=$Z$2,VLOOKUP($C173,Outbound!$B:$AAZ,6,FALSE),VLOOKUP($B173,Outbound!$B:$AAZ,6,FALSE)),"NON TROVATO"),"")</f>
        <v>0.25</v>
      </c>
      <c r="I173" s="394">
        <f>IF(B173&lt;&gt;"",IFERROR(IF(LEFT($B173,3)=$Z$2,VLOOKUP($C173,Outbound!$B:$AAZ,52,FALSE),VLOOKUP($B173,Outbound!$B:$AAZ,52,FALSE)),"NON TROVATO"),"")</f>
        <v>0</v>
      </c>
      <c r="J173" s="396"/>
      <c r="K173" s="387" t="str">
        <f>IF(B173&lt;&gt;"",IF($D173&lt;&gt;"ON ROCS/NOT ON FILE",IFERROR(_xlfn.XLOOKUP(LEFT($D173,3),'STAT 77 Table'!$B:$B,'STAT 77 Table'!$A:$A),"ZZ"&amp;RIGHT($B173,4)),""),"")</f>
        <v>ZZ1492</v>
      </c>
      <c r="L173" s="396"/>
      <c r="O173" s="388"/>
      <c r="P173" s="388"/>
      <c r="AA173" s="421" t="str">
        <f t="shared" si="2"/>
        <v>ITD12368</v>
      </c>
    </row>
    <row r="174" spans="1:27" ht="16.5">
      <c r="A174" s="387" t="str">
        <f>'STAT 77 Table'!$I$154</f>
        <v>ITD12410</v>
      </c>
      <c r="B174" t="s">
        <v>1744</v>
      </c>
      <c r="C174" t="s">
        <v>1046</v>
      </c>
      <c r="D174" s="387" t="str">
        <f>IF($B174&lt;&gt;"",IFERROR(IF(LEFT($B174,3)=$Z$2,VLOOKUP($C174,Outbound!$B:$Z,4,FALSE),VLOOKUP($B174,Outbound!$B:$Z,4,FALSE)),"ON ROCS/NOT ON FILE"),"")</f>
        <v>MZ1</v>
      </c>
      <c r="E174" s="387" t="str">
        <f>IF($B174&lt;&gt;"",IFERROR(IF(LEFT($B174,4)=$Z$2,VLOOKUP($C174,Outbound!$B:$Z,5,FALSE),VLOOKUP($B174,Outbound!$B:$Z,5,FALSE)),"ON ROCS/NOT ON FILE"),"")</f>
        <v>ON ROCS/NOT ON FILE</v>
      </c>
      <c r="F174" s="387" t="str">
        <f>IF(B174&lt;&gt;"",IFERROR(IF(LEFT($B174,3)=$Z$2,VLOOKUP($C174,Outbound!$B:$Z,11,FALSE),VLOOKUP($B174,Outbound!$B:$Z,11,FALSE)),"NON TROVATO"),"")</f>
        <v>F.M. Trasporti S.R.L.</v>
      </c>
      <c r="G174" s="394" t="str">
        <f>IF(B174&lt;&gt;"",IFERROR(IF(LEFT($B174,3)=$Z$2,VLOOKUP($C174,Outbound!$B:$AAZ,16,FALSE),VLOOKUP($B174,Outbound!$B:$AAZ,16,FALSE)),"NON TROVATO"),"")</f>
        <v>XA045WL</v>
      </c>
      <c r="H174" s="394">
        <f>IF(B174&lt;&gt;"",IFERROR(IF(LEFT($B174,3)=$Z$2,VLOOKUP($C174,Outbound!$B:$AAZ,6,FALSE),VLOOKUP($B174,Outbound!$B:$AAZ,6,FALSE)),"NON TROVATO"),"")</f>
        <v>0.25</v>
      </c>
      <c r="I174" s="394">
        <f>IF(B174&lt;&gt;"",IFERROR(IF(LEFT($B174,3)=$Z$2,VLOOKUP($C174,Outbound!$B:$AAZ,52,FALSE),VLOOKUP($B174,Outbound!$B:$AAZ,52,FALSE)),"NON TROVATO"),"")</f>
        <v>0</v>
      </c>
      <c r="J174" s="396"/>
      <c r="K174" s="387" t="str">
        <f>IF(B174&lt;&gt;"",IF($D174&lt;&gt;"ON ROCS/NOT ON FILE",IFERROR(_xlfn.XLOOKUP(LEFT($D174,3),'STAT 77 Table'!$B:$B,'STAT 77 Table'!$A:$A),"ZZ"&amp;RIGHT($B174,4)),""),"")</f>
        <v>IM697</v>
      </c>
      <c r="L174" s="396"/>
      <c r="O174" s="388"/>
      <c r="P174" s="388"/>
      <c r="AA174" s="421" t="str">
        <f t="shared" si="2"/>
        <v>ITD12246</v>
      </c>
    </row>
    <row r="175" spans="1:27" ht="16.5">
      <c r="A175" s="387" t="str">
        <f>'STAT 77 Table'!$I$156</f>
        <v>ERN15952</v>
      </c>
      <c r="B175" t="s">
        <v>1745</v>
      </c>
      <c r="C175" t="s">
        <v>872</v>
      </c>
      <c r="D175" s="387" t="str">
        <f>IF($B175&lt;&gt;"",IFERROR(IF(LEFT($B175,3)=$Z$2,VLOOKUP($C175,Outbound!$B:$Z,4,FALSE),VLOOKUP($B175,Outbound!$B:$Z,4,FALSE)),"ON ROCS/NOT ON FILE"),"")</f>
        <v>RNV</v>
      </c>
      <c r="E175" s="387" t="str">
        <f>IF($B175&lt;&gt;"",IFERROR(IF(LEFT($B175,4)=$Z$2,VLOOKUP($C175,Outbound!$B:$Z,5,FALSE),VLOOKUP($B175,Outbound!$B:$Z,5,FALSE)),"ON ROCS/NOT ON FILE"),"")</f>
        <v>ON ROCS/NOT ON FILE</v>
      </c>
      <c r="F175" s="387" t="str">
        <f>IF(B175&lt;&gt;"",IFERROR(IF(LEFT($B175,3)=$Z$2,VLOOKUP($C175,Outbound!$B:$Z,11,FALSE),VLOOKUP($B175,Outbound!$B:$Z,11,FALSE)),"NON TROVATO"),"")</f>
        <v>T&amp;ti Cargo Line Srl</v>
      </c>
      <c r="G175" s="394" t="str">
        <f>IF(B175&lt;&gt;"",IFERROR(IF(LEFT($B175,3)=$Z$2,VLOOKUP($C175,Outbound!$B:$AAZ,16,FALSE),VLOOKUP($B175,Outbound!$B:$AAZ,16,FALSE)),"NON TROVATO"),"")</f>
        <v>XA161NT</v>
      </c>
      <c r="H175" s="394">
        <f>IF(B175&lt;&gt;"",IFERROR(IF(LEFT($B175,3)=$Z$2,VLOOKUP($C175,Outbound!$B:$AAZ,6,FALSE),VLOOKUP($B175,Outbound!$B:$AAZ,6,FALSE)),"NON TROVATO"),"")</f>
        <v>0.25</v>
      </c>
      <c r="I175" s="394">
        <f>IF(B175&lt;&gt;"",IFERROR(IF(LEFT($B175,3)=$Z$2,VLOOKUP($C175,Outbound!$B:$AAZ,52,FALSE),VLOOKUP($B175,Outbound!$B:$AAZ,52,FALSE)),"NON TROVATO"),"")</f>
        <v>0</v>
      </c>
      <c r="J175" s="396"/>
      <c r="K175" s="387" t="str">
        <f>IF(B175&lt;&gt;"",IF($D175&lt;&gt;"ON ROCS/NOT ON FILE",IFERROR(_xlfn.XLOOKUP(LEFT($D175,3),'STAT 77 Table'!$B:$B,'STAT 77 Table'!$A:$A),"ZZ"&amp;RIGHT($B175,4)),""),"")</f>
        <v>IM697</v>
      </c>
      <c r="L175" s="396"/>
      <c r="O175" s="388"/>
      <c r="P175" s="388"/>
      <c r="AA175" s="421" t="str">
        <f t="shared" si="2"/>
        <v>ITD32262</v>
      </c>
    </row>
    <row r="176" spans="1:27" ht="16.5">
      <c r="A176" s="387" t="str">
        <f>'STAT 77 Table'!$I$158</f>
        <v>ERN90414</v>
      </c>
      <c r="B176" t="s">
        <v>1746</v>
      </c>
      <c r="C176" t="s">
        <v>857</v>
      </c>
      <c r="D176" s="387" t="str">
        <f>IF($B176&lt;&gt;"",IFERROR(IF(LEFT($B176,3)=$Z$2,VLOOKUP($C176,Outbound!$B:$Z,4,FALSE),VLOOKUP($B176,Outbound!$B:$Z,4,FALSE)),"ON ROCS/NOT ON FILE"),"")</f>
        <v>IBU</v>
      </c>
      <c r="E176" s="387" t="str">
        <f>IF($B176&lt;&gt;"",IFERROR(IF(LEFT($B176,4)=$Z$2,VLOOKUP($C176,Outbound!$B:$Z,5,FALSE),VLOOKUP($B176,Outbound!$B:$Z,5,FALSE)),"ON ROCS/NOT ON FILE"),"")</f>
        <v>ON ROCS/NOT ON FILE</v>
      </c>
      <c r="F176" s="387" t="str">
        <f>IF(B176&lt;&gt;"",IFERROR(IF(LEFT($B176,3)=$Z$2,VLOOKUP($C176,Outbound!$B:$Z,11,FALSE),VLOOKUP($B176,Outbound!$B:$Z,11,FALSE)),"NON TROVATO"),"")</f>
        <v>Matelda Srl</v>
      </c>
      <c r="G176" s="394" t="str">
        <f>IF(B176&lt;&gt;"",IFERROR(IF(LEFT($B176,3)=$Z$2,VLOOKUP($C176,Outbound!$B:$AAZ,16,FALSE),VLOOKUP($B176,Outbound!$B:$AAZ,16,FALSE)),"NON TROVATO"),"")</f>
        <v>XA940GJ</v>
      </c>
      <c r="H176" s="394">
        <f>IF(B176&lt;&gt;"",IFERROR(IF(LEFT($B176,3)=$Z$2,VLOOKUP($C176,Outbound!$B:$AAZ,6,FALSE),VLOOKUP($B176,Outbound!$B:$AAZ,6,FALSE)),"NON TROVATO"),"")</f>
        <v>0.25</v>
      </c>
      <c r="I176" s="394">
        <f>IF(B176&lt;&gt;"",IFERROR(IF(LEFT($B176,3)=$Z$2,VLOOKUP($C176,Outbound!$B:$AAZ,52,FALSE),VLOOKUP($B176,Outbound!$B:$AAZ,52,FALSE)),"NON TROVATO"),"")</f>
        <v>0</v>
      </c>
      <c r="J176" s="396"/>
      <c r="K176" s="387" t="str">
        <f>IF(B176&lt;&gt;"",IF($D176&lt;&gt;"ON ROCS/NOT ON FILE",IFERROR(_xlfn.XLOOKUP(LEFT($D176,3),'STAT 77 Table'!$B:$B,'STAT 77 Table'!$A:$A),"ZZ"&amp;RIGHT($B176,4)),""),"")</f>
        <v>ZZ2646</v>
      </c>
      <c r="L176" s="396"/>
      <c r="O176" s="388"/>
      <c r="P176" s="388"/>
      <c r="AA176" s="421" t="str">
        <f t="shared" si="2"/>
        <v>ITD32646</v>
      </c>
    </row>
    <row r="177" spans="1:27" ht="16.5">
      <c r="A177" s="387" t="str">
        <f>'STAT 77 Table'!$I$231</f>
        <v/>
      </c>
      <c r="B177" t="s">
        <v>1747</v>
      </c>
      <c r="C177" t="s">
        <v>433</v>
      </c>
      <c r="D177" s="387" t="str">
        <f>IF($B177&lt;&gt;"",IFERROR(IF(LEFT($B177,3)=$Z$2,VLOOKUP($C177,Outbound!$B:$Z,4,FALSE),VLOOKUP($B177,Outbound!$B:$Z,4,FALSE)),"ON ROCS/NOT ON FILE"),"")</f>
        <v>BRG</v>
      </c>
      <c r="E177" s="387" t="str">
        <f>IF($B177&lt;&gt;"",IFERROR(IF(LEFT($B177,4)=$Z$2,VLOOKUP($C177,Outbound!$B:$Z,5,FALSE),VLOOKUP($B177,Outbound!$B:$Z,5,FALSE)),"ON ROCS/NOT ON FILE"),"")</f>
        <v>ON ROCS/NOT ON FILE</v>
      </c>
      <c r="F177" s="387" t="str">
        <f>IF(B177&lt;&gt;"",IFERROR(IF(LEFT($B177,3)=$Z$2,VLOOKUP($C177,Outbound!$B:$Z,11,FALSE),VLOOKUP($B177,Outbound!$B:$Z,11,FALSE)),"NON TROVATO"),"")</f>
        <v>CORNALI AUTOTRASPORTI SRL</v>
      </c>
      <c r="G177" s="394" t="str">
        <f>IF(B177&lt;&gt;"",IFERROR(IF(LEFT($B177,3)=$Z$2,VLOOKUP($C177,Outbound!$B:$AAZ,16,FALSE),VLOOKUP($B177,Outbound!$B:$AAZ,16,FALSE)),"NON TROVATO"),"")</f>
        <v>XA714JN</v>
      </c>
      <c r="H177" s="394">
        <f>IF(B177&lt;&gt;"",IFERROR(IF(LEFT($B177,3)=$Z$2,VLOOKUP($C177,Outbound!$B:$AAZ,6,FALSE),VLOOKUP($B177,Outbound!$B:$AAZ,6,FALSE)),"NON TROVATO"),"")</f>
        <v>0.25</v>
      </c>
      <c r="I177" s="394">
        <f>IF(B177&lt;&gt;"",IFERROR(IF(LEFT($B177,3)=$Z$2,VLOOKUP($C177,Outbound!$B:$AAZ,52,FALSE),VLOOKUP($B177,Outbound!$B:$AAZ,52,FALSE)),"NON TROVATO"),"")</f>
        <v>0</v>
      </c>
      <c r="J177" s="396"/>
      <c r="K177" s="387" t="str">
        <f>IF(B177&lt;&gt;"",IF($D177&lt;&gt;"ON ROCS/NOT ON FILE",IFERROR(_xlfn.XLOOKUP(LEFT($D177,3),'STAT 77 Table'!$B:$B,'STAT 77 Table'!$A:$A),"ZZ"&amp;RIGHT($B177,4)),""),"")</f>
        <v>ZZ2566</v>
      </c>
      <c r="L177" s="396"/>
      <c r="O177" s="388"/>
      <c r="P177" s="388"/>
      <c r="AA177" s="421" t="str">
        <f t="shared" si="2"/>
        <v>ITD32566</v>
      </c>
    </row>
    <row r="178" spans="1:27" ht="16.5">
      <c r="A178" s="387" t="str">
        <f>'STAT 77 Table'!$I$232</f>
        <v/>
      </c>
      <c r="B178" t="s">
        <v>1748</v>
      </c>
      <c r="C178" t="s">
        <v>1219</v>
      </c>
      <c r="D178" s="387" t="str">
        <f>IF($B178&lt;&gt;"",IFERROR(IF(LEFT($B178,3)=$Z$2,VLOOKUP($C178,Outbound!$B:$Z,4,FALSE),VLOOKUP($B178,Outbound!$B:$Z,4,FALSE)),"ON ROCS/NOT ON FILE"),"")</f>
        <v>MM1</v>
      </c>
      <c r="E178" s="387" t="str">
        <f>IF($B178&lt;&gt;"",IFERROR(IF(LEFT($B178,4)=$Z$2,VLOOKUP($C178,Outbound!$B:$Z,5,FALSE),VLOOKUP($B178,Outbound!$B:$Z,5,FALSE)),"ON ROCS/NOT ON FILE"),"")</f>
        <v>ON ROCS/NOT ON FILE</v>
      </c>
      <c r="F178" s="387" t="str">
        <f>IF(B178&lt;&gt;"",IFERROR(IF(LEFT($B178,3)=$Z$2,VLOOKUP($C178,Outbound!$B:$Z,11,FALSE),VLOOKUP($B178,Outbound!$B:$Z,11,FALSE)),"NON TROVATO"),"")</f>
        <v>Trans Speedy S.R.L</v>
      </c>
      <c r="G178" s="394">
        <f>IF(B178&lt;&gt;"",IFERROR(IF(LEFT($B178,3)=$Z$2,VLOOKUP($C178,Outbound!$B:$AAZ,16,FALSE),VLOOKUP($B178,Outbound!$B:$AAZ,16,FALSE)),"NON TROVATO"),"")</f>
        <v>0</v>
      </c>
      <c r="H178" s="394">
        <f>IF(B178&lt;&gt;"",IFERROR(IF(LEFT($B178,3)=$Z$2,VLOOKUP($C178,Outbound!$B:$AAZ,6,FALSE),VLOOKUP($B178,Outbound!$B:$AAZ,6,FALSE)),"NON TROVATO"),"")</f>
        <v>0.25</v>
      </c>
      <c r="I178" s="394">
        <f>IF(B178&lt;&gt;"",IFERROR(IF(LEFT($B178,3)=$Z$2,VLOOKUP($C178,Outbound!$B:$AAZ,52,FALSE),VLOOKUP($B178,Outbound!$B:$AAZ,52,FALSE)),"NON TROVATO"),"")</f>
        <v>0</v>
      </c>
      <c r="J178" s="396"/>
      <c r="K178" s="387" t="str">
        <f>IF(B178&lt;&gt;"",IF($D178&lt;&gt;"ON ROCS/NOT ON FILE",IFERROR(_xlfn.XLOOKUP(LEFT($D178,3),'STAT 77 Table'!$B:$B,'STAT 77 Table'!$A:$A),"ZZ"&amp;RIGHT($B178,4)),""),"")</f>
        <v>IM697</v>
      </c>
      <c r="L178" s="396"/>
      <c r="O178" s="388"/>
      <c r="P178" s="388"/>
      <c r="AA178" s="421" t="str">
        <f t="shared" si="2"/>
        <v>ITD31476</v>
      </c>
    </row>
    <row r="179" spans="1:27" ht="16.5">
      <c r="A179" s="387" t="str">
        <f>'STAT 77 Table'!$I$177</f>
        <v>ERN18810</v>
      </c>
      <c r="B179" t="s">
        <v>1749</v>
      </c>
      <c r="C179" t="s">
        <v>1102</v>
      </c>
      <c r="D179" s="387" t="str">
        <f>IF($B179&lt;&gt;"",IFERROR(IF(LEFT($B179,3)=$Z$2,VLOOKUP($C179,Outbound!$B:$Z,4,FALSE),VLOOKUP($B179,Outbound!$B:$Z,4,FALSE)),"ON ROCS/NOT ON FILE"),"")</f>
        <v>GOA</v>
      </c>
      <c r="E179" s="387" t="str">
        <f>IF($B179&lt;&gt;"",IFERROR(IF(LEFT($B179,4)=$Z$2,VLOOKUP($C179,Outbound!$B:$Z,5,FALSE),VLOOKUP($B179,Outbound!$B:$Z,5,FALSE)),"ON ROCS/NOT ON FILE"),"")</f>
        <v>ON ROCS/NOT ON FILE</v>
      </c>
      <c r="F179" s="387" t="str">
        <f>IF(B179&lt;&gt;"",IFERROR(IF(LEFT($B179,3)=$Z$2,VLOOKUP($C179,Outbound!$B:$Z,11,FALSE),VLOOKUP($B179,Outbound!$B:$Z,11,FALSE)),"NON TROVATO"),"")</f>
        <v>T&amp;ti Cargo Line Srl</v>
      </c>
      <c r="G179" s="394" t="str">
        <f>IF(B179&lt;&gt;"",IFERROR(IF(LEFT($B179,3)=$Z$2,VLOOKUP($C179,Outbound!$B:$AAZ,16,FALSE),VLOOKUP($B179,Outbound!$B:$AAZ,16,FALSE)),"NON TROVATO"),"")</f>
        <v>AD19661</v>
      </c>
      <c r="H179" s="394">
        <f>IF(B179&lt;&gt;"",IFERROR(IF(LEFT($B179,3)=$Z$2,VLOOKUP($C179,Outbound!$B:$AAZ,6,FALSE),VLOOKUP($B179,Outbound!$B:$AAZ,6,FALSE)),"NON TROVATO"),"")</f>
        <v>0.25</v>
      </c>
      <c r="I179" s="394">
        <f>IF(B179&lt;&gt;"",IFERROR(IF(LEFT($B179,3)=$Z$2,VLOOKUP($C179,Outbound!$B:$AAZ,52,FALSE),VLOOKUP($B179,Outbound!$B:$AAZ,52,FALSE)),"NON TROVATO"),"")</f>
        <v>0</v>
      </c>
      <c r="J179" s="396"/>
      <c r="K179" s="387" t="str">
        <f>IF(B179&lt;&gt;"",IF($D179&lt;&gt;"ON ROCS/NOT ON FILE",IFERROR(_xlfn.XLOOKUP(LEFT($D179,3),'STAT 77 Table'!$B:$B,'STAT 77 Table'!$A:$A),"ZZ"&amp;RIGHT($B179,4)),""),"")</f>
        <v>ZZ0997</v>
      </c>
      <c r="L179" s="396"/>
      <c r="O179" s="388"/>
      <c r="P179" s="388"/>
      <c r="AA179" s="421" t="str">
        <f t="shared" si="2"/>
        <v>ITD30997</v>
      </c>
    </row>
    <row r="180" spans="1:27" ht="16.5">
      <c r="A180" s="387" t="str">
        <f>'STAT 77 Table'!$I$179</f>
        <v>ITD12416</v>
      </c>
      <c r="B180" t="s">
        <v>1750</v>
      </c>
      <c r="C180" t="s">
        <v>1227</v>
      </c>
      <c r="D180" s="387" t="str">
        <f>IF($B180&lt;&gt;"",IFERROR(IF(LEFT($B180,3)=$Z$2,VLOOKUP($C180,Outbound!$B:$Z,4,FALSE),VLOOKUP($B180,Outbound!$B:$Z,4,FALSE)),"ON ROCS/NOT ON FILE"),"")</f>
        <v>MIL</v>
      </c>
      <c r="E180" s="387" t="str">
        <f>IF($B180&lt;&gt;"",IFERROR(IF(LEFT($B180,4)=$Z$2,VLOOKUP($C180,Outbound!$B:$Z,5,FALSE),VLOOKUP($B180,Outbound!$B:$Z,5,FALSE)),"ON ROCS/NOT ON FILE"),"")</f>
        <v>ON ROCS/NOT ON FILE</v>
      </c>
      <c r="F180" s="387" t="str">
        <f>IF(B180&lt;&gt;"",IFERROR(IF(LEFT($B180,3)=$Z$2,VLOOKUP($C180,Outbound!$B:$Z,11,FALSE),VLOOKUP($B180,Outbound!$B:$Z,11,FALSE)),"NON TROVATO"),"")</f>
        <v>CORNALI AUTOTRASPORTI SRL</v>
      </c>
      <c r="G180" s="394">
        <f>IF(B180&lt;&gt;"",IFERROR(IF(LEFT($B180,3)=$Z$2,VLOOKUP($C180,Outbound!$B:$AAZ,16,FALSE),VLOOKUP($B180,Outbound!$B:$AAZ,16,FALSE)),"NON TROVATO"),"")</f>
        <v>0</v>
      </c>
      <c r="H180" s="394">
        <f>IF(B180&lt;&gt;"",IFERROR(IF(LEFT($B180,3)=$Z$2,VLOOKUP($C180,Outbound!$B:$AAZ,6,FALSE),VLOOKUP($B180,Outbound!$B:$AAZ,6,FALSE)),"NON TROVATO"),"")</f>
        <v>0.25</v>
      </c>
      <c r="I180" s="394">
        <f>IF(B180&lt;&gt;"",IFERROR(IF(LEFT($B180,3)=$Z$2,VLOOKUP($C180,Outbound!$B:$AAZ,52,FALSE),VLOOKUP($B180,Outbound!$B:$AAZ,52,FALSE)),"NON TROVATO"),"")</f>
        <v>0</v>
      </c>
      <c r="J180" s="396"/>
      <c r="K180" s="387" t="str">
        <f>IF(B180&lt;&gt;"",IF($D180&lt;&gt;"ON ROCS/NOT ON FILE",IFERROR(_xlfn.XLOOKUP(LEFT($D180,3),'STAT 77 Table'!$B:$B,'STAT 77 Table'!$A:$A),"ZZ"&amp;RIGHT($B180,4)),""),"")</f>
        <v>ZZ2079</v>
      </c>
      <c r="L180" s="396"/>
      <c r="O180" s="388"/>
      <c r="P180" s="388"/>
      <c r="AA180" s="421" t="str">
        <f t="shared" si="2"/>
        <v>ITD12665</v>
      </c>
    </row>
    <row r="181" spans="1:27" ht="16.5">
      <c r="A181" s="387" t="str">
        <f>'STAT 77 Table'!$I$187</f>
        <v>ITD12177</v>
      </c>
      <c r="B181" t="s">
        <v>1751</v>
      </c>
      <c r="C181" t="s">
        <v>888</v>
      </c>
      <c r="D181" s="387" t="str">
        <f>IF($B181&lt;&gt;"",IFERROR(IF(LEFT($B181,3)=$Z$2,VLOOKUP($C181,Outbound!$B:$Z,4,FALSE),VLOOKUP($B181,Outbound!$B:$Z,4,FALSE)),"ON ROCS/NOT ON FILE"),"")</f>
        <v>OSO</v>
      </c>
      <c r="E181" s="387" t="str">
        <f>IF($B181&lt;&gt;"",IFERROR(IF(LEFT($B181,4)=$Z$2,VLOOKUP($C181,Outbound!$B:$Z,5,FALSE),VLOOKUP($B181,Outbound!$B:$Z,5,FALSE)),"ON ROCS/NOT ON FILE"),"")</f>
        <v>ON ROCS/NOT ON FILE</v>
      </c>
      <c r="F181" s="387" t="str">
        <f>IF(B181&lt;&gt;"",IFERROR(IF(LEFT($B181,3)=$Z$2,VLOOKUP($C181,Outbound!$B:$Z,11,FALSE),VLOOKUP($B181,Outbound!$B:$Z,11,FALSE)),"NON TROVATO"),"")</f>
        <v>Trans Speedy S.R.L</v>
      </c>
      <c r="G181" s="394" t="str">
        <f>IF(B181&lt;&gt;"",IFERROR(IF(LEFT($B181,3)=$Z$2,VLOOKUP($C181,Outbound!$B:$AAZ,16,FALSE),VLOOKUP($B181,Outbound!$B:$AAZ,16,FALSE)),"NON TROVATO"),"")</f>
        <v>XA962VY</v>
      </c>
      <c r="H181" s="394">
        <f>IF(B181&lt;&gt;"",IFERROR(IF(LEFT($B181,3)=$Z$2,VLOOKUP($C181,Outbound!$B:$AAZ,6,FALSE),VLOOKUP($B181,Outbound!$B:$AAZ,6,FALSE)),"NON TROVATO"),"")</f>
        <v>0.25</v>
      </c>
      <c r="I181" s="394">
        <f>IF(B181&lt;&gt;"",IFERROR(IF(LEFT($B181,3)=$Z$2,VLOOKUP($C181,Outbound!$B:$AAZ,52,FALSE),VLOOKUP($B181,Outbound!$B:$AAZ,52,FALSE)),"NON TROVATO"),"")</f>
        <v>0</v>
      </c>
      <c r="J181" s="396"/>
      <c r="K181" s="387" t="str">
        <f>IF(B181&lt;&gt;"",IF($D181&lt;&gt;"ON ROCS/NOT ON FILE",IFERROR(_xlfn.XLOOKUP(LEFT($D181,3),'STAT 77 Table'!$B:$B,'STAT 77 Table'!$A:$A),"ZZ"&amp;RIGHT($B181,4)),""),"")</f>
        <v>ZZ1534</v>
      </c>
      <c r="L181" s="396"/>
      <c r="O181" s="388"/>
      <c r="P181" s="388"/>
      <c r="AA181" s="421" t="str">
        <f t="shared" si="2"/>
        <v>ITD12389</v>
      </c>
    </row>
    <row r="182" spans="1:27" ht="16.5">
      <c r="A182" s="387" t="str">
        <f>'STAT 77 Table'!$I$199</f>
        <v>ITD12010</v>
      </c>
      <c r="B182" t="s">
        <v>1752</v>
      </c>
      <c r="C182" t="s">
        <v>1179</v>
      </c>
      <c r="D182" s="387" t="str">
        <f>IF($B182&lt;&gt;"",IFERROR(IF(LEFT($B182,3)=$Z$2,VLOOKUP($C182,Outbound!$B:$Z,4,FALSE),VLOOKUP($B182,Outbound!$B:$Z,4,FALSE)),"ON ROCS/NOT ON FILE"),"")</f>
        <v>ICM</v>
      </c>
      <c r="E182" s="387" t="str">
        <f>IF($B182&lt;&gt;"",IFERROR(IF(LEFT($B182,4)=$Z$2,VLOOKUP($C182,Outbound!$B:$Z,5,FALSE),VLOOKUP($B182,Outbound!$B:$Z,5,FALSE)),"ON ROCS/NOT ON FILE"),"")</f>
        <v>ON ROCS/NOT ON FILE</v>
      </c>
      <c r="F182" s="387" t="str">
        <f>IF(B182&lt;&gt;"",IFERROR(IF(LEFT($B182,3)=$Z$2,VLOOKUP($C182,Outbound!$B:$Z,11,FALSE),VLOOKUP($B182,Outbound!$B:$Z,11,FALSE)),"NON TROVATO"),"")</f>
        <v>Matelda Srl</v>
      </c>
      <c r="G182" s="394" t="str">
        <f>IF(B182&lt;&gt;"",IFERROR(IF(LEFT($B182,3)=$Z$2,VLOOKUP($C182,Outbound!$B:$AAZ,16,FALSE),VLOOKUP($B182,Outbound!$B:$AAZ,16,FALSE)),"NON TROVATO"),"")</f>
        <v>XB825AP</v>
      </c>
      <c r="H182" s="394">
        <f>IF(B182&lt;&gt;"",IFERROR(IF(LEFT($B182,3)=$Z$2,VLOOKUP($C182,Outbound!$B:$AAZ,6,FALSE),VLOOKUP($B182,Outbound!$B:$AAZ,6,FALSE)),"NON TROVATO"),"")</f>
        <v>0.25</v>
      </c>
      <c r="I182" s="394">
        <f>IF(B182&lt;&gt;"",IFERROR(IF(LEFT($B182,3)=$Z$2,VLOOKUP($C182,Outbound!$B:$AAZ,52,FALSE),VLOOKUP($B182,Outbound!$B:$AAZ,52,FALSE)),"NON TROVATO"),"")</f>
        <v>0</v>
      </c>
      <c r="J182" s="396"/>
      <c r="K182" s="387" t="str">
        <f>IF(B182&lt;&gt;"",IF($D182&lt;&gt;"ON ROCS/NOT ON FILE",IFERROR(_xlfn.XLOOKUP(LEFT($D182,3),'STAT 77 Table'!$B:$B,'STAT 77 Table'!$A:$A),"ZZ"&amp;RIGHT($B182,4)),""),"")</f>
        <v>ZZ2354</v>
      </c>
      <c r="L182" s="396"/>
      <c r="O182" s="388"/>
      <c r="P182" s="388"/>
      <c r="AA182" s="421" t="str">
        <f t="shared" si="2"/>
        <v>ITD12798</v>
      </c>
    </row>
    <row r="183" spans="1:27" ht="16.5">
      <c r="A183" s="387" t="str">
        <f>'STAT 77 Table'!$I$181</f>
        <v>ITD12024</v>
      </c>
      <c r="B183" t="s">
        <v>1753</v>
      </c>
      <c r="C183" t="s">
        <v>669</v>
      </c>
      <c r="D183" s="387" t="str">
        <f>IF($B183&lt;&gt;"",IFERROR(IF(LEFT($B183,3)=$Z$2,VLOOKUP($C183,Outbound!$B:$Z,4,FALSE),VLOOKUP($B183,Outbound!$B:$Z,4,FALSE)),"ON ROCS/NOT ON FILE"),"")</f>
        <v>MIL</v>
      </c>
      <c r="E183" s="387" t="str">
        <f>IF($B183&lt;&gt;"",IFERROR(IF(LEFT($B183,4)=$Z$2,VLOOKUP($C183,Outbound!$B:$Z,5,FALSE),VLOOKUP($B183,Outbound!$B:$Z,5,FALSE)),"ON ROCS/NOT ON FILE"),"")</f>
        <v>ON ROCS/NOT ON FILE</v>
      </c>
      <c r="F183" s="387" t="str">
        <f>IF(B183&lt;&gt;"",IFERROR(IF(LEFT($B183,3)=$Z$2,VLOOKUP($C183,Outbound!$B:$Z,11,FALSE),VLOOKUP($B183,Outbound!$B:$Z,11,FALSE)),"NON TROVATO"),"")</f>
        <v>Trans Speedy S.R.L</v>
      </c>
      <c r="G183" s="394" t="str">
        <f>IF(B183&lt;&gt;"",IFERROR(IF(LEFT($B183,3)=$Z$2,VLOOKUP($C183,Outbound!$B:$AAZ,16,FALSE),VLOOKUP($B183,Outbound!$B:$AAZ,16,FALSE)),"NON TROVATO"),"")</f>
        <v>XA350RX</v>
      </c>
      <c r="H183" s="394">
        <f>IF(B183&lt;&gt;"",IFERROR(IF(LEFT($B183,3)=$Z$2,VLOOKUP($C183,Outbound!$B:$AAZ,6,FALSE),VLOOKUP($B183,Outbound!$B:$AAZ,6,FALSE)),"NON TROVATO"),"")</f>
        <v>0.25</v>
      </c>
      <c r="I183" s="394">
        <f>IF(B183&lt;&gt;"",IFERROR(IF(LEFT($B183,3)=$Z$2,VLOOKUP($C183,Outbound!$B:$AAZ,52,FALSE),VLOOKUP($B183,Outbound!$B:$AAZ,52,FALSE)),"NON TROVATO"),"")</f>
        <v>0</v>
      </c>
      <c r="J183" s="396"/>
      <c r="K183" s="387" t="str">
        <f>IF(B183&lt;&gt;"",IF($D183&lt;&gt;"ON ROCS/NOT ON FILE",IFERROR(_xlfn.XLOOKUP(LEFT($D183,3),'STAT 77 Table'!$B:$B,'STAT 77 Table'!$A:$A),"ZZ"&amp;RIGHT($B183,4)),""),"")</f>
        <v>ZZ2086</v>
      </c>
      <c r="L183" s="396"/>
      <c r="O183" s="388"/>
      <c r="P183" s="388"/>
      <c r="AA183" s="421" t="str">
        <f t="shared" si="2"/>
        <v>ITD12669</v>
      </c>
    </row>
    <row r="184" spans="1:27" ht="16.5">
      <c r="A184" s="387" t="str">
        <f>'STAT 77 Table'!$I$146</f>
        <v>ITD12210</v>
      </c>
      <c r="B184" t="s">
        <v>1754</v>
      </c>
      <c r="C184" t="s">
        <v>1196</v>
      </c>
      <c r="D184" s="387" t="str">
        <f>IF($B184&lt;&gt;"",IFERROR(IF(LEFT($B184,3)=$Z$2,VLOOKUP($C184,Outbound!$B:$Z,4,FALSE),VLOOKUP($B184,Outbound!$B:$Z,4,FALSE)),"ON ROCS/NOT ON FILE"),"")</f>
        <v>IBU</v>
      </c>
      <c r="E184" s="387" t="str">
        <f>IF($B184&lt;&gt;"",IFERROR(IF(LEFT($B184,4)=$Z$2,VLOOKUP($C184,Outbound!$B:$Z,5,FALSE),VLOOKUP($B184,Outbound!$B:$Z,5,FALSE)),"ON ROCS/NOT ON FILE"),"")</f>
        <v>ON ROCS/NOT ON FILE</v>
      </c>
      <c r="F184" s="387" t="str">
        <f>IF(B184&lt;&gt;"",IFERROR(IF(LEFT($B184,3)=$Z$2,VLOOKUP($C184,Outbound!$B:$Z,11,FALSE),VLOOKUP($B184,Outbound!$B:$Z,11,FALSE)),"NON TROVATO"),"")</f>
        <v>Matelda Srl</v>
      </c>
      <c r="G184" s="394" t="str">
        <f>IF(B184&lt;&gt;"",IFERROR(IF(LEFT($B184,3)=$Z$2,VLOOKUP($C184,Outbound!$B:$AAZ,16,FALSE),VLOOKUP($B184,Outbound!$B:$AAZ,16,FALSE)),"NON TROVATO"),"")</f>
        <v>XB479BJ</v>
      </c>
      <c r="H184" s="394">
        <f>IF(B184&lt;&gt;"",IFERROR(IF(LEFT($B184,3)=$Z$2,VLOOKUP($C184,Outbound!$B:$AAZ,6,FALSE),VLOOKUP($B184,Outbound!$B:$AAZ,6,FALSE)),"NON TROVATO"),"")</f>
        <v>0.25</v>
      </c>
      <c r="I184" s="394">
        <f>IF(B184&lt;&gt;"",IFERROR(IF(LEFT($B184,3)=$Z$2,VLOOKUP($C184,Outbound!$B:$AAZ,52,FALSE),VLOOKUP($B184,Outbound!$B:$AAZ,52,FALSE)),"NON TROVATO"),"")</f>
        <v>0</v>
      </c>
      <c r="J184" s="396"/>
      <c r="K184" s="387" t="str">
        <f>IF(B184&lt;&gt;"",IF($D184&lt;&gt;"ON ROCS/NOT ON FILE",IFERROR(_xlfn.XLOOKUP(LEFT($D184,3),'STAT 77 Table'!$B:$B,'STAT 77 Table'!$A:$A),"ZZ"&amp;RIGHT($B184,4)),""),"")</f>
        <v>ZZ1284</v>
      </c>
      <c r="L184" s="396"/>
      <c r="O184" s="388"/>
      <c r="P184" s="388"/>
      <c r="AA184" s="421" t="str">
        <f t="shared" si="2"/>
        <v>ITD12280</v>
      </c>
    </row>
    <row r="185" spans="1:27" ht="16.5">
      <c r="A185" s="387" t="str">
        <f>'STAT 77 Table'!$I$201</f>
        <v>ITD12260</v>
      </c>
      <c r="B185" t="s">
        <v>1755</v>
      </c>
      <c r="C185" t="s">
        <v>429</v>
      </c>
      <c r="D185" s="387" t="str">
        <f>IF($B185&lt;&gt;"",IFERROR(IF(LEFT($B185,3)=$Z$2,VLOOKUP($C185,Outbound!$B:$Z,4,FALSE),VLOOKUP($B185,Outbound!$B:$Z,4,FALSE)),"ON ROCS/NOT ON FILE"),"")</f>
        <v>OS3</v>
      </c>
      <c r="E185" s="387" t="str">
        <f>IF($B185&lt;&gt;"",IFERROR(IF(LEFT($B185,4)=$Z$2,VLOOKUP($C185,Outbound!$B:$Z,5,FALSE),VLOOKUP($B185,Outbound!$B:$Z,5,FALSE)),"ON ROCS/NOT ON FILE"),"")</f>
        <v>ON ROCS/NOT ON FILE</v>
      </c>
      <c r="F185" s="387" t="str">
        <f>IF(B185&lt;&gt;"",IFERROR(IF(LEFT($B185,3)=$Z$2,VLOOKUP($C185,Outbound!$B:$Z,11,FALSE),VLOOKUP($B185,Outbound!$B:$Z,11,FALSE)),"NON TROVATO"),"")</f>
        <v>Trans Speedy S.R.L</v>
      </c>
      <c r="G185" s="394" t="str">
        <f>IF(B185&lt;&gt;"",IFERROR(IF(LEFT($B185,3)=$Z$2,VLOOKUP($C185,Outbound!$B:$AAZ,16,FALSE),VLOOKUP($B185,Outbound!$B:$AAZ,16,FALSE)),"NON TROVATO"),"")</f>
        <v>xa803ys</v>
      </c>
      <c r="H185" s="394">
        <f>IF(B185&lt;&gt;"",IFERROR(IF(LEFT($B185,3)=$Z$2,VLOOKUP($C185,Outbound!$B:$AAZ,6,FALSE),VLOOKUP($B185,Outbound!$B:$AAZ,6,FALSE)),"NON TROVATO"),"")</f>
        <v>0.25</v>
      </c>
      <c r="I185" s="394">
        <f>IF(B185&lt;&gt;"",IFERROR(IF(LEFT($B185,3)=$Z$2,VLOOKUP($C185,Outbound!$B:$AAZ,52,FALSE),VLOOKUP($B185,Outbound!$B:$AAZ,52,FALSE)),"NON TROVATO"),"")</f>
        <v>0</v>
      </c>
      <c r="J185" s="396"/>
      <c r="K185" s="387" t="str">
        <f>IF(B185&lt;&gt;"",IF($D185&lt;&gt;"ON ROCS/NOT ON FILE",IFERROR(_xlfn.XLOOKUP(LEFT($D185,3),'STAT 77 Table'!$B:$B,'STAT 77 Table'!$A:$A),"ZZ"&amp;RIGHT($B185,4)),""),"")</f>
        <v>ZZ0236</v>
      </c>
      <c r="L185" s="396"/>
      <c r="O185" s="388"/>
      <c r="P185" s="388"/>
      <c r="AA185" s="421" t="str">
        <f t="shared" si="2"/>
        <v>ITD11811</v>
      </c>
    </row>
    <row r="186" spans="1:27" ht="16.5">
      <c r="A186" s="387" t="str">
        <f>'STAT 77 Table'!$I$240</f>
        <v/>
      </c>
      <c r="B186" t="s">
        <v>1756</v>
      </c>
      <c r="C186" t="s">
        <v>1002</v>
      </c>
      <c r="D186" s="387" t="str">
        <f>IF($B186&lt;&gt;"",IFERROR(IF(LEFT($B186,3)=$Z$2,VLOOKUP($C186,Outbound!$B:$Z,4,FALSE),VLOOKUP($B186,Outbound!$B:$Z,4,FALSE)),"ON ROCS/NOT ON FILE"),"")</f>
        <v>AOT</v>
      </c>
      <c r="E186" s="387" t="str">
        <f>IF($B186&lt;&gt;"",IFERROR(IF(LEFT($B186,4)=$Z$2,VLOOKUP($C186,Outbound!$B:$Z,5,FALSE),VLOOKUP($B186,Outbound!$B:$Z,5,FALSE)),"ON ROCS/NOT ON FILE"),"")</f>
        <v>ON ROCS/NOT ON FILE</v>
      </c>
      <c r="F186" s="387" t="str">
        <f>IF(B186&lt;&gt;"",IFERROR(IF(LEFT($B186,3)=$Z$2,VLOOKUP($C186,Outbound!$B:$Z,11,FALSE),VLOOKUP($B186,Outbound!$B:$Z,11,FALSE)),"NON TROVATO"),"")</f>
        <v>Zampieri Holding S.R.L.</v>
      </c>
      <c r="G186" s="394" t="str">
        <f>IF(B186&lt;&gt;"",IFERROR(IF(LEFT($B186,3)=$Z$2,VLOOKUP($C186,Outbound!$B:$AAZ,16,FALSE),VLOOKUP($B186,Outbound!$B:$AAZ,16,FALSE)),"NON TROVATO"),"")</f>
        <v>XA533EJ</v>
      </c>
      <c r="H186" s="394">
        <f>IF(B186&lt;&gt;"",IFERROR(IF(LEFT($B186,3)=$Z$2,VLOOKUP($C186,Outbound!$B:$AAZ,6,FALSE),VLOOKUP($B186,Outbound!$B:$AAZ,6,FALSE)),"NON TROVATO"),"")</f>
        <v>0.25</v>
      </c>
      <c r="I186" s="394">
        <f>IF(B186&lt;&gt;"",IFERROR(IF(LEFT($B186,3)=$Z$2,VLOOKUP($C186,Outbound!$B:$AAZ,52,FALSE),VLOOKUP($B186,Outbound!$B:$AAZ,52,FALSE)),"NON TROVATO"),"")</f>
        <v>0</v>
      </c>
      <c r="J186" s="396"/>
      <c r="K186" s="387" t="str">
        <f>IF(B186&lt;&gt;"",IF($D186&lt;&gt;"ON ROCS/NOT ON FILE",IFERROR(_xlfn.XLOOKUP(LEFT($D186,3),'STAT 77 Table'!$B:$B,'STAT 77 Table'!$A:$A),"ZZ"&amp;RIGHT($B186,4)),""),"")</f>
        <v>ZZ2153</v>
      </c>
      <c r="L186" s="396"/>
      <c r="O186" s="388"/>
      <c r="P186" s="388"/>
      <c r="AA186" s="421" t="str">
        <f t="shared" si="2"/>
        <v>ITD32153</v>
      </c>
    </row>
    <row r="187" spans="1:27" ht="16.5">
      <c r="A187" s="387" t="str">
        <f>'STAT 77 Table'!$I$2</f>
        <v>ITD12165</v>
      </c>
      <c r="B187" t="s">
        <v>1757</v>
      </c>
      <c r="C187" t="s">
        <v>1056</v>
      </c>
      <c r="D187" s="387" t="str">
        <f>IF($B187&lt;&gt;"",IFERROR(IF(LEFT($B187,3)=$Z$2,VLOOKUP($C187,Outbound!$B:$Z,4,FALSE),VLOOKUP($B187,Outbound!$B:$Z,4,FALSE)),"ON ROCS/NOT ON FILE"),"")</f>
        <v>MZ1</v>
      </c>
      <c r="E187" s="387" t="str">
        <f>IF($B187&lt;&gt;"",IFERROR(IF(LEFT($B187,4)=$Z$2,VLOOKUP($C187,Outbound!$B:$Z,5,FALSE),VLOOKUP($B187,Outbound!$B:$Z,5,FALSE)),"ON ROCS/NOT ON FILE"),"")</f>
        <v>ON ROCS/NOT ON FILE</v>
      </c>
      <c r="F187" s="387" t="str">
        <f>IF(B187&lt;&gt;"",IFERROR(IF(LEFT($B187,3)=$Z$2,VLOOKUP($C187,Outbound!$B:$Z,11,FALSE),VLOOKUP($B187,Outbound!$B:$Z,11,FALSE)),"NON TROVATO"),"")</f>
        <v>F.M. Trasporti S.R.L.</v>
      </c>
      <c r="G187" s="394" t="str">
        <f>IF(B187&lt;&gt;"",IFERROR(IF(LEFT($B187,3)=$Z$2,VLOOKUP($C187,Outbound!$B:$AAZ,16,FALSE),VLOOKUP($B187,Outbound!$B:$AAZ,16,FALSE)),"NON TROVATO"),"")</f>
        <v>XA082WL</v>
      </c>
      <c r="H187" s="394">
        <f>IF(B187&lt;&gt;"",IFERROR(IF(LEFT($B187,3)=$Z$2,VLOOKUP($C187,Outbound!$B:$AAZ,6,FALSE),VLOOKUP($B187,Outbound!$B:$AAZ,6,FALSE)),"NON TROVATO"),"")</f>
        <v>0.25</v>
      </c>
      <c r="I187" s="394">
        <f>IF(B187&lt;&gt;"",IFERROR(IF(LEFT($B187,3)=$Z$2,VLOOKUP($C187,Outbound!$B:$AAZ,52,FALSE),VLOOKUP($B187,Outbound!$B:$AAZ,52,FALSE)),"NON TROVATO"),"")</f>
        <v>0</v>
      </c>
      <c r="J187" s="396"/>
      <c r="K187" s="387" t="str">
        <f>IF(B187&lt;&gt;"",IF($D187&lt;&gt;"ON ROCS/NOT ON FILE",IFERROR(_xlfn.XLOOKUP(LEFT($D187,3),'STAT 77 Table'!$B:$B,'STAT 77 Table'!$A:$A),"ZZ"&amp;RIGHT($B187,4)),""),"")</f>
        <v>IM697</v>
      </c>
      <c r="L187" s="396"/>
      <c r="O187" s="388"/>
      <c r="P187" s="388"/>
      <c r="AA187" s="421" t="str">
        <f t="shared" si="2"/>
        <v>ITD12240</v>
      </c>
    </row>
    <row r="188" spans="1:27" ht="16.5">
      <c r="A188" s="387" t="str">
        <f>'STAT 77 Table'!$I$3</f>
        <v>ITD12409</v>
      </c>
      <c r="B188" t="s">
        <v>1758</v>
      </c>
      <c r="C188" t="s">
        <v>1224</v>
      </c>
      <c r="D188" s="387" t="str">
        <f>IF($B188&lt;&gt;"",IFERROR(IF(LEFT($B188,3)=$Z$2,VLOOKUP($C188,Outbound!$B:$Z,4,FALSE),VLOOKUP($B188,Outbound!$B:$Z,4,FALSE)),"ON ROCS/NOT ON FILE"),"")</f>
        <v>ICM</v>
      </c>
      <c r="E188" s="387" t="str">
        <f>IF($B188&lt;&gt;"",IFERROR(IF(LEFT($B188,4)=$Z$2,VLOOKUP($C188,Outbound!$B:$Z,5,FALSE),VLOOKUP($B188,Outbound!$B:$Z,5,FALSE)),"ON ROCS/NOT ON FILE"),"")</f>
        <v>ON ROCS/NOT ON FILE</v>
      </c>
      <c r="F188" s="387" t="str">
        <f>IF(B188&lt;&gt;"",IFERROR(IF(LEFT($B188,3)=$Z$2,VLOOKUP($C188,Outbound!$B:$Z,11,FALSE),VLOOKUP($B188,Outbound!$B:$Z,11,FALSE)),"NON TROVATO"),"")</f>
        <v>Canguro Spa</v>
      </c>
      <c r="G188" s="394" t="str">
        <f>IF(B188&lt;&gt;"",IFERROR(IF(LEFT($B188,3)=$Z$2,VLOOKUP($C188,Outbound!$B:$AAZ,16,FALSE),VLOOKUP($B188,Outbound!$B:$AAZ,16,FALSE)),"NON TROVATO"),"")</f>
        <v>XB039AH</v>
      </c>
      <c r="H188" s="394">
        <f>IF(B188&lt;&gt;"",IFERROR(IF(LEFT($B188,3)=$Z$2,VLOOKUP($C188,Outbound!$B:$AAZ,6,FALSE),VLOOKUP($B188,Outbound!$B:$AAZ,6,FALSE)),"NON TROVATO"),"")</f>
        <v>0.25</v>
      </c>
      <c r="I188" s="394">
        <f>IF(B188&lt;&gt;"",IFERROR(IF(LEFT($B188,3)=$Z$2,VLOOKUP($C188,Outbound!$B:$AAZ,52,FALSE),VLOOKUP($B188,Outbound!$B:$AAZ,52,FALSE)),"NON TROVATO"),"")</f>
        <v>0</v>
      </c>
      <c r="J188" s="396"/>
      <c r="K188" s="387" t="str">
        <f>IF(B188&lt;&gt;"",IF($D188&lt;&gt;"ON ROCS/NOT ON FILE",IFERROR(_xlfn.XLOOKUP(LEFT($D188,3),'STAT 77 Table'!$B:$B,'STAT 77 Table'!$A:$A),"ZZ"&amp;RIGHT($B188,4)),""),"")</f>
        <v>ZZ0854</v>
      </c>
      <c r="L188" s="396"/>
      <c r="O188" s="388"/>
      <c r="P188" s="388"/>
      <c r="AA188" s="421" t="str">
        <f t="shared" si="2"/>
        <v>ITD12096</v>
      </c>
    </row>
    <row r="189" spans="1:27" ht="16.5">
      <c r="A189" s="387" t="str">
        <f>'STAT 77 Table'!$I$4</f>
        <v>ITD11811</v>
      </c>
      <c r="B189" t="s">
        <v>1759</v>
      </c>
      <c r="C189" t="s">
        <v>1121</v>
      </c>
      <c r="D189" s="387" t="str">
        <f>IF($B189&lt;&gt;"",IFERROR(IF(LEFT($B189,3)=$Z$2,VLOOKUP($C189,Outbound!$B:$Z,4,FALSE),VLOOKUP($B189,Outbound!$B:$Z,4,FALSE)),"ON ROCS/NOT ON FILE"),"")</f>
        <v>CUF</v>
      </c>
      <c r="E189" s="387" t="str">
        <f>IF($B189&lt;&gt;"",IFERROR(IF(LEFT($B189,4)=$Z$2,VLOOKUP($C189,Outbound!$B:$Z,5,FALSE),VLOOKUP($B189,Outbound!$B:$Z,5,FALSE)),"ON ROCS/NOT ON FILE"),"")</f>
        <v>ON ROCS/NOT ON FILE</v>
      </c>
      <c r="F189" s="387" t="str">
        <f>IF(B189&lt;&gt;"",IFERROR(IF(LEFT($B189,3)=$Z$2,VLOOKUP($C189,Outbound!$B:$Z,11,FALSE),VLOOKUP($B189,Outbound!$B:$Z,11,FALSE)),"NON TROVATO"),"")</f>
        <v>S.T.I. Società Trasporti Internazionali S.r.L.</v>
      </c>
      <c r="G189" s="394" t="str">
        <f>IF(B189&lt;&gt;"",IFERROR(IF(LEFT($B189,3)=$Z$2,VLOOKUP($C189,Outbound!$B:$AAZ,16,FALSE),VLOOKUP($B189,Outbound!$B:$AAZ,16,FALSE)),"NON TROVATO"),"")</f>
        <v>XA198VR</v>
      </c>
      <c r="H189" s="394">
        <f>IF(B189&lt;&gt;"",IFERROR(IF(LEFT($B189,3)=$Z$2,VLOOKUP($C189,Outbound!$B:$AAZ,6,FALSE),VLOOKUP($B189,Outbound!$B:$AAZ,6,FALSE)),"NON TROVATO"),"")</f>
        <v>0.25</v>
      </c>
      <c r="I189" s="394">
        <f>IF(B189&lt;&gt;"",IFERROR(IF(LEFT($B189,3)=$Z$2,VLOOKUP($C189,Outbound!$B:$AAZ,52,FALSE),VLOOKUP($B189,Outbound!$B:$AAZ,52,FALSE)),"NON TROVATO"),"")</f>
        <v>0</v>
      </c>
      <c r="J189" s="396"/>
      <c r="K189" s="387" t="str">
        <f>IF(B189&lt;&gt;"",IF($D189&lt;&gt;"ON ROCS/NOT ON FILE",IFERROR(_xlfn.XLOOKUP(LEFT($D189,3),'STAT 77 Table'!$B:$B,'STAT 77 Table'!$A:$A),"ZZ"&amp;RIGHT($B189,4)),""),"")</f>
        <v>ZZ1528</v>
      </c>
      <c r="L189" s="396"/>
      <c r="O189" s="388"/>
      <c r="P189" s="388"/>
      <c r="AA189" s="421" t="str">
        <f t="shared" si="2"/>
        <v>ITD12386</v>
      </c>
    </row>
    <row r="190" spans="1:27" ht="16.5">
      <c r="A190" s="387" t="str">
        <f>'STAT 77 Table'!$I$5</f>
        <v>ITD12256</v>
      </c>
      <c r="B190" t="s">
        <v>1760</v>
      </c>
      <c r="C190" t="s">
        <v>938</v>
      </c>
      <c r="D190" s="387" t="str">
        <f>IF($B190&lt;&gt;"",IFERROR(IF(LEFT($B190,3)=$Z$2,VLOOKUP($C190,Outbound!$B:$Z,4,FALSE),VLOOKUP($B190,Outbound!$B:$Z,4,FALSE)),"ON ROCS/NOT ON FILE"),"")</f>
        <v>MM1</v>
      </c>
      <c r="E190" s="387" t="str">
        <f>IF($B190&lt;&gt;"",IFERROR(IF(LEFT($B190,4)=$Z$2,VLOOKUP($C190,Outbound!$B:$Z,5,FALSE),VLOOKUP($B190,Outbound!$B:$Z,5,FALSE)),"ON ROCS/NOT ON FILE"),"")</f>
        <v>ON ROCS/NOT ON FILE</v>
      </c>
      <c r="F190" s="387" t="str">
        <f>IF(B190&lt;&gt;"",IFERROR(IF(LEFT($B190,3)=$Z$2,VLOOKUP($C190,Outbound!$B:$Z,11,FALSE),VLOOKUP($B190,Outbound!$B:$Z,11,FALSE)),"NON TROVATO"),"")</f>
        <v>Trans Speedy S.R.L</v>
      </c>
      <c r="G190" s="394" t="str">
        <f>IF(B190&lt;&gt;"",IFERROR(IF(LEFT($B190,3)=$Z$2,VLOOKUP($C190,Outbound!$B:$AAZ,16,FALSE),VLOOKUP($B190,Outbound!$B:$AAZ,16,FALSE)),"NON TROVATO"),"")</f>
        <v>XA337VN</v>
      </c>
      <c r="H190" s="394">
        <f>IF(B190&lt;&gt;"",IFERROR(IF(LEFT($B190,3)=$Z$2,VLOOKUP($C190,Outbound!$B:$AAZ,6,FALSE),VLOOKUP($B190,Outbound!$B:$AAZ,6,FALSE)),"NON TROVATO"),"")</f>
        <v>0.25</v>
      </c>
      <c r="I190" s="394">
        <f>IF(B190&lt;&gt;"",IFERROR(IF(LEFT($B190,3)=$Z$2,VLOOKUP($C190,Outbound!$B:$AAZ,52,FALSE),VLOOKUP($B190,Outbound!$B:$AAZ,52,FALSE)),"NON TROVATO"),"")</f>
        <v>0</v>
      </c>
      <c r="J190" s="396"/>
      <c r="K190" s="387" t="str">
        <f>IF(B190&lt;&gt;"",IF($D190&lt;&gt;"ON ROCS/NOT ON FILE",IFERROR(_xlfn.XLOOKUP(LEFT($D190,3),'STAT 77 Table'!$B:$B,'STAT 77 Table'!$A:$A),"ZZ"&amp;RIGHT($B190,4)),""),"")</f>
        <v>IM697</v>
      </c>
      <c r="L190" s="396"/>
      <c r="O190" s="388"/>
      <c r="P190" s="388"/>
      <c r="AA190" s="421" t="str">
        <f t="shared" si="2"/>
        <v>ITD12361</v>
      </c>
    </row>
    <row r="191" spans="1:27" ht="16.5">
      <c r="A191" s="387" t="str">
        <f>'STAT 77 Table'!$I$6</f>
        <v>ITD12254</v>
      </c>
      <c r="B191" t="s">
        <v>1761</v>
      </c>
      <c r="C191" t="s">
        <v>1220</v>
      </c>
      <c r="D191" s="387" t="str">
        <f>IF($B191&lt;&gt;"",IFERROR(IF(LEFT($B191,3)=$Z$2,VLOOKUP($C191,Outbound!$B:$Z,4,FALSE),VLOOKUP($B191,Outbound!$B:$Z,4,FALSE)),"ON ROCS/NOT ON FILE"),"")</f>
        <v>BRG</v>
      </c>
      <c r="E191" s="387" t="str">
        <f>IF($B191&lt;&gt;"",IFERROR(IF(LEFT($B191,4)=$Z$2,VLOOKUP($C191,Outbound!$B:$Z,5,FALSE),VLOOKUP($B191,Outbound!$B:$Z,5,FALSE)),"ON ROCS/NOT ON FILE"),"")</f>
        <v>ON ROCS/NOT ON FILE</v>
      </c>
      <c r="F191" s="387" t="str">
        <f>IF(B191&lt;&gt;"",IFERROR(IF(LEFT($B191,3)=$Z$2,VLOOKUP($C191,Outbound!$B:$Z,11,FALSE),VLOOKUP($B191,Outbound!$B:$Z,11,FALSE)),"NON TROVATO"),"")</f>
        <v>CORNALI AUTOTRASPORTI SRL</v>
      </c>
      <c r="G191" s="394" t="str">
        <f>IF(B191&lt;&gt;"",IFERROR(IF(LEFT($B191,3)=$Z$2,VLOOKUP($C191,Outbound!$B:$AAZ,16,FALSE),VLOOKUP($B191,Outbound!$B:$AAZ,16,FALSE)),"NON TROVATO"),"")</f>
        <v>AE14015</v>
      </c>
      <c r="H191" s="394">
        <f>IF(B191&lt;&gt;"",IFERROR(IF(LEFT($B191,3)=$Z$2,VLOOKUP($C191,Outbound!$B:$AAZ,6,FALSE),VLOOKUP($B191,Outbound!$B:$AAZ,6,FALSE)),"NON TROVATO"),"")</f>
        <v>0.25</v>
      </c>
      <c r="I191" s="394">
        <f>IF(B191&lt;&gt;"",IFERROR(IF(LEFT($B191,3)=$Z$2,VLOOKUP($C191,Outbound!$B:$AAZ,52,FALSE),VLOOKUP($B191,Outbound!$B:$AAZ,52,FALSE)),"NON TROVATO"),"")</f>
        <v>0</v>
      </c>
      <c r="J191" s="396"/>
      <c r="K191" s="387" t="str">
        <f>IF(B191&lt;&gt;"",IF($D191&lt;&gt;"ON ROCS/NOT ON FILE",IFERROR(_xlfn.XLOOKUP(LEFT($D191,3),'STAT 77 Table'!$B:$B,'STAT 77 Table'!$A:$A),"ZZ"&amp;RIGHT($B191,4)),""),"")</f>
        <v>ZZ1280</v>
      </c>
      <c r="L191" s="396"/>
      <c r="O191" s="388"/>
      <c r="P191" s="388"/>
      <c r="AA191" s="421" t="str">
        <f t="shared" si="2"/>
        <v>ITD12278</v>
      </c>
    </row>
    <row r="192" spans="1:27" ht="16.5">
      <c r="A192" s="387" t="str">
        <f>'STAT 77 Table'!$I$7</f>
        <v>ITD12250</v>
      </c>
      <c r="B192" t="s">
        <v>1762</v>
      </c>
      <c r="C192" t="s">
        <v>589</v>
      </c>
      <c r="D192" s="387" t="str">
        <f>IF($B192&lt;&gt;"",IFERROR(IF(LEFT($B192,3)=$Z$2,VLOOKUP($C192,Outbound!$B:$Z,4,FALSE),VLOOKUP($B192,Outbound!$B:$Z,4,FALSE)),"ON ROCS/NOT ON FILE"),"")</f>
        <v>GOA</v>
      </c>
      <c r="E192" s="387" t="str">
        <f>IF($B192&lt;&gt;"",IFERROR(IF(LEFT($B192,4)=$Z$2,VLOOKUP($C192,Outbound!$B:$Z,5,FALSE),VLOOKUP($B192,Outbound!$B:$Z,5,FALSE)),"ON ROCS/NOT ON FILE"),"")</f>
        <v>ON ROCS/NOT ON FILE</v>
      </c>
      <c r="F192" s="387" t="str">
        <f>IF(B192&lt;&gt;"",IFERROR(IF(LEFT($B192,3)=$Z$2,VLOOKUP($C192,Outbound!$B:$Z,11,FALSE),VLOOKUP($B192,Outbound!$B:$Z,11,FALSE)),"NON TROVATO"),"")</f>
        <v>S.T.I. Società Trasporti Internazionali S.r.L.</v>
      </c>
      <c r="G192" s="394" t="str">
        <f>IF(B192&lt;&gt;"",IFERROR(IF(LEFT($B192,3)=$Z$2,VLOOKUP($C192,Outbound!$B:$AAZ,16,FALSE),VLOOKUP($B192,Outbound!$B:$AAZ,16,FALSE)),"NON TROVATO"),"")</f>
        <v>XA617YR</v>
      </c>
      <c r="H192" s="394">
        <f>IF(B192&lt;&gt;"",IFERROR(IF(LEFT($B192,3)=$Z$2,VLOOKUP($C192,Outbound!$B:$AAZ,6,FALSE),VLOOKUP($B192,Outbound!$B:$AAZ,6,FALSE)),"NON TROVATO"),"")</f>
        <v>0.25</v>
      </c>
      <c r="I192" s="394">
        <f>IF(B192&lt;&gt;"",IFERROR(IF(LEFT($B192,3)=$Z$2,VLOOKUP($C192,Outbound!$B:$AAZ,52,FALSE),VLOOKUP($B192,Outbound!$B:$AAZ,52,FALSE)),"NON TROVATO"),"")</f>
        <v>0</v>
      </c>
      <c r="J192" s="396"/>
      <c r="K192" s="387" t="str">
        <f>IF(B192&lt;&gt;"",IF($D192&lt;&gt;"ON ROCS/NOT ON FILE",IFERROR(_xlfn.XLOOKUP(LEFT($D192,3),'STAT 77 Table'!$B:$B,'STAT 77 Table'!$A:$A),"ZZ"&amp;RIGHT($B192,4)),""),"")</f>
        <v>ZZ1580</v>
      </c>
      <c r="L192" s="396"/>
      <c r="O192" s="388"/>
      <c r="P192" s="388"/>
      <c r="AA192" s="421" t="str">
        <f t="shared" si="2"/>
        <v>ITD12413</v>
      </c>
    </row>
    <row r="193" spans="1:27" ht="16.5">
      <c r="A193" s="387" t="str">
        <f>'STAT 77 Table'!$I$8</f>
        <v>ITD12243</v>
      </c>
      <c r="B193" t="s">
        <v>1491</v>
      </c>
      <c r="C193" t="s">
        <v>1492</v>
      </c>
      <c r="D193" s="387" t="str">
        <f>IF($B193&lt;&gt;"",IFERROR(IF(LEFT($B193,3)=$Z$2,VLOOKUP($C193,Outbound!$B:$Z,4,FALSE),VLOOKUP($B193,Outbound!$B:$Z,4,FALSE)),"ON ROCS/NOT ON FILE"),"")</f>
        <v>MXP 1</v>
      </c>
      <c r="E193" s="387" t="str">
        <f>IF($B193&lt;&gt;"",IFERROR(IF(LEFT($B193,4)=$Z$2,VLOOKUP($C193,Outbound!$B:$Z,5,FALSE),VLOOKUP($B193,Outbound!$B:$Z,5,FALSE)),"ON ROCS/NOT ON FILE"),"")</f>
        <v/>
      </c>
      <c r="F193" s="387" t="str">
        <f>IF(B193&lt;&gt;"",IFERROR(IF(LEFT($B193,3)=$Z$2,VLOOKUP($C193,Outbound!$B:$Z,11,FALSE),VLOOKUP($B193,Outbound!$B:$Z,11,FALSE)),"NON TROVATO"),"")</f>
        <v>Fedex Express Romania Transportation Srl</v>
      </c>
      <c r="G193" s="394" t="str">
        <f>IF(B193&lt;&gt;"",IFERROR(IF(LEFT($B193,3)=$Z$2,VLOOKUP($C193,Outbound!$B:$AAZ,16,FALSE),VLOOKUP($B193,Outbound!$B:$AAZ,16,FALSE)),"NON TROVATO"),"")</f>
        <v>enbd20101</v>
      </c>
      <c r="H193" s="394">
        <f>IF(B193&lt;&gt;"",IFERROR(IF(LEFT($B193,3)=$Z$2,VLOOKUP($C193,Outbound!$B:$AAZ,6,FALSE),VLOOKUP($B193,Outbound!$B:$AAZ,6,FALSE)),"NON TROVATO"),"")</f>
        <v>0.25</v>
      </c>
      <c r="I193" s="394">
        <f>IF(B193&lt;&gt;"",IFERROR(IF(LEFT($B193,3)=$Z$2,VLOOKUP($C193,Outbound!$B:$AAZ,52,FALSE),VLOOKUP($B193,Outbound!$B:$AAZ,52,FALSE)),"NON TROVATO"),"")</f>
        <v>0</v>
      </c>
      <c r="J193" s="396"/>
      <c r="K193" s="387" t="str">
        <f>IF(B193&lt;&gt;"",IF($D193&lt;&gt;"ON ROCS/NOT ON FILE",IFERROR(_xlfn.XLOOKUP(LEFT($D193,3),'STAT 77 Table'!$B:$B,'STAT 77 Table'!$A:$A),"ZZ"&amp;RIGHT($B193,4)),""),"")</f>
        <v>IM697</v>
      </c>
      <c r="L193" s="396"/>
      <c r="O193" s="388"/>
      <c r="P193" s="388"/>
      <c r="AA193" s="421" t="str">
        <f t="shared" si="2"/>
        <v>ERN09981</v>
      </c>
    </row>
    <row r="194" spans="1:27" ht="16.5">
      <c r="A194" s="387" t="str">
        <f>'STAT 77 Table'!$I$9</f>
        <v>ITD12668</v>
      </c>
      <c r="B194" t="s">
        <v>1763</v>
      </c>
      <c r="C194" t="s">
        <v>448</v>
      </c>
      <c r="D194" s="387" t="str">
        <f>IF($B194&lt;&gt;"",IFERROR(IF(LEFT($B194,3)=$Z$2,VLOOKUP($C194,Outbound!$B:$Z,4,FALSE),VLOOKUP($B194,Outbound!$B:$Z,4,FALSE)),"ON ROCS/NOT ON FILE"),"")</f>
        <v>QAL</v>
      </c>
      <c r="E194" s="387" t="str">
        <f>IF($B194&lt;&gt;"",IFERROR(IF(LEFT($B194,4)=$Z$2,VLOOKUP($C194,Outbound!$B:$Z,5,FALSE),VLOOKUP($B194,Outbound!$B:$Z,5,FALSE)),"ON ROCS/NOT ON FILE"),"")</f>
        <v>ON ROCS/NOT ON FILE</v>
      </c>
      <c r="F194" s="387" t="str">
        <f>IF(B194&lt;&gt;"",IFERROR(IF(LEFT($B194,3)=$Z$2,VLOOKUP($C194,Outbound!$B:$Z,11,FALSE),VLOOKUP($B194,Outbound!$B:$Z,11,FALSE)),"NON TROVATO"),"")</f>
        <v>F.M. Trasporti S.R.L.</v>
      </c>
      <c r="G194" s="394" t="str">
        <f>IF(B194&lt;&gt;"",IFERROR(IF(LEFT($B194,3)=$Z$2,VLOOKUP($C194,Outbound!$B:$AAZ,16,FALSE),VLOOKUP($B194,Outbound!$B:$AAZ,16,FALSE)),"NON TROVATO"),"")</f>
        <v>XB904AL</v>
      </c>
      <c r="H194" s="394">
        <f>IF(B194&lt;&gt;"",IFERROR(IF(LEFT($B194,3)=$Z$2,VLOOKUP($C194,Outbound!$B:$AAZ,6,FALSE),VLOOKUP($B194,Outbound!$B:$AAZ,6,FALSE)),"NON TROVATO"),"")</f>
        <v>0.26041666666666669</v>
      </c>
      <c r="I194" s="394">
        <f>IF(B194&lt;&gt;"",IFERROR(IF(LEFT($B194,3)=$Z$2,VLOOKUP($C194,Outbound!$B:$AAZ,52,FALSE),VLOOKUP($B194,Outbound!$B:$AAZ,52,FALSE)),"NON TROVATO"),"")</f>
        <v>0</v>
      </c>
      <c r="J194" s="396"/>
      <c r="K194" s="387" t="str">
        <f>IF(B194&lt;&gt;"",IF($D194&lt;&gt;"ON ROCS/NOT ON FILE",IFERROR(_xlfn.XLOOKUP(LEFT($D194,3),'STAT 77 Table'!$B:$B,'STAT 77 Table'!$A:$A),"ZZ"&amp;RIGHT($B194,4)),""),"")</f>
        <v>IM697</v>
      </c>
      <c r="L194" s="396"/>
      <c r="O194" s="388"/>
      <c r="P194" s="388"/>
      <c r="AA194" s="421" t="str">
        <f t="shared" si="2"/>
        <v>ITD12243</v>
      </c>
    </row>
    <row r="195" spans="1:27" ht="16.5">
      <c r="A195" s="387" t="str">
        <f>'STAT 77 Table'!$I$10</f>
        <v>ITD12746</v>
      </c>
      <c r="B195" t="s">
        <v>1764</v>
      </c>
      <c r="C195" t="s">
        <v>651</v>
      </c>
      <c r="D195" s="387" t="str">
        <f>IF($B195&lt;&gt;"",IFERROR(IF(LEFT($B195,3)=$Z$2,VLOOKUP($C195,Outbound!$B:$Z,4,FALSE),VLOOKUP($B195,Outbound!$B:$Z,4,FALSE)),"ON ROCS/NOT ON FILE"),"")</f>
        <v>IPO</v>
      </c>
      <c r="E195" s="387" t="str">
        <f>IF($B195&lt;&gt;"",IFERROR(IF(LEFT($B195,4)=$Z$2,VLOOKUP($C195,Outbound!$B:$Z,5,FALSE),VLOOKUP($B195,Outbound!$B:$Z,5,FALSE)),"ON ROCS/NOT ON FILE"),"")</f>
        <v>ON ROCS/NOT ON FILE</v>
      </c>
      <c r="F195" s="387" t="str">
        <f>IF(B195&lt;&gt;"",IFERROR(IF(LEFT($B195,3)=$Z$2,VLOOKUP($C195,Outbound!$B:$Z,11,FALSE),VLOOKUP($B195,Outbound!$B:$Z,11,FALSE)),"NON TROVATO"),"")</f>
        <v>F.M. Trasporti S.R.L.</v>
      </c>
      <c r="G195" s="394" t="str">
        <f>IF(B195&lt;&gt;"",IFERROR(IF(LEFT($B195,3)=$Z$2,VLOOKUP($C195,Outbound!$B:$AAZ,16,FALSE),VLOOKUP($B195,Outbound!$B:$AAZ,16,FALSE)),"NON TROVATO"),"")</f>
        <v>XB170AG</v>
      </c>
      <c r="H195" s="394">
        <f>IF(B195&lt;&gt;"",IFERROR(IF(LEFT($B195,3)=$Z$2,VLOOKUP($C195,Outbound!$B:$AAZ,6,FALSE),VLOOKUP($B195,Outbound!$B:$AAZ,6,FALSE)),"NON TROVATO"),"")</f>
        <v>0.26041666666666669</v>
      </c>
      <c r="I195" s="394">
        <f>IF(B195&lt;&gt;"",IFERROR(IF(LEFT($B195,3)=$Z$2,VLOOKUP($C195,Outbound!$B:$AAZ,52,FALSE),VLOOKUP($B195,Outbound!$B:$AAZ,52,FALSE)),"NON TROVATO"),"")</f>
        <v>0</v>
      </c>
      <c r="J195" s="396"/>
      <c r="K195" s="387" t="str">
        <f>IF(B195&lt;&gt;"",IF($D195&lt;&gt;"ON ROCS/NOT ON FILE",IFERROR(_xlfn.XLOOKUP(LEFT($D195,3),'STAT 77 Table'!$B:$B,'STAT 77 Table'!$A:$A),"ZZ"&amp;RIGHT($B195,4)),""),"")</f>
        <v>ZZ2256</v>
      </c>
      <c r="L195" s="396"/>
      <c r="O195" s="388"/>
      <c r="P195" s="388"/>
      <c r="AA195" s="421" t="str">
        <f t="shared" si="2"/>
        <v>ITD12761</v>
      </c>
    </row>
    <row r="196" spans="1:27" ht="16.5">
      <c r="A196" s="387" t="str">
        <f>'STAT 77 Table'!$I$11</f>
        <v>ITD12358</v>
      </c>
      <c r="B196" t="s">
        <v>1765</v>
      </c>
      <c r="C196" t="s">
        <v>853</v>
      </c>
      <c r="D196" s="387" t="str">
        <f>IF($B196&lt;&gt;"",IFERROR(IF(LEFT($B196,3)=$Z$2,VLOOKUP($C196,Outbound!$B:$Z,4,FALSE),VLOOKUP($B196,Outbound!$B:$Z,4,FALSE)),"ON ROCS/NOT ON FILE"),"")</f>
        <v>ILJ</v>
      </c>
      <c r="E196" s="387" t="str">
        <f>IF($B196&lt;&gt;"",IFERROR(IF(LEFT($B196,4)=$Z$2,VLOOKUP($C196,Outbound!$B:$Z,5,FALSE),VLOOKUP($B196,Outbound!$B:$Z,5,FALSE)),"ON ROCS/NOT ON FILE"),"")</f>
        <v>ON ROCS/NOT ON FILE</v>
      </c>
      <c r="F196" s="387" t="str">
        <f>IF(B196&lt;&gt;"",IFERROR(IF(LEFT($B196,3)=$Z$2,VLOOKUP($C196,Outbound!$B:$Z,11,FALSE),VLOOKUP($B196,Outbound!$B:$Z,11,FALSE)),"NON TROVATO"),"")</f>
        <v>T&amp;ti Cargo Line Srl</v>
      </c>
      <c r="G196" s="394" t="str">
        <f>IF(B196&lt;&gt;"",IFERROR(IF(LEFT($B196,3)=$Z$2,VLOOKUP($C196,Outbound!$B:$AAZ,16,FALSE),VLOOKUP($B196,Outbound!$B:$AAZ,16,FALSE)),"NON TROVATO"),"")</f>
        <v>XA152NT</v>
      </c>
      <c r="H196" s="394">
        <f>IF(B196&lt;&gt;"",IFERROR(IF(LEFT($B196,3)=$Z$2,VLOOKUP($C196,Outbound!$B:$AAZ,6,FALSE),VLOOKUP($B196,Outbound!$B:$AAZ,6,FALSE)),"NON TROVATO"),"")</f>
        <v>0.26041666666666669</v>
      </c>
      <c r="I196" s="394">
        <f>IF(B196&lt;&gt;"",IFERROR(IF(LEFT($B196,3)=$Z$2,VLOOKUP($C196,Outbound!$B:$AAZ,52,FALSE),VLOOKUP($B196,Outbound!$B:$AAZ,52,FALSE)),"NON TROVATO"),"")</f>
        <v>0</v>
      </c>
      <c r="J196" s="396"/>
      <c r="K196" s="387" t="str">
        <f>IF(B196&lt;&gt;"",IF($D196&lt;&gt;"ON ROCS/NOT ON FILE",IFERROR(_xlfn.XLOOKUP(LEFT($D196,3),'STAT 77 Table'!$B:$B,'STAT 77 Table'!$A:$A),"ZZ"&amp;RIGHT($B196,4)),""),"")</f>
        <v>IM697</v>
      </c>
      <c r="L196" s="396"/>
      <c r="O196" s="388"/>
      <c r="P196" s="388"/>
      <c r="AA196" s="421" t="str">
        <f t="shared" ref="AA196:AA259" si="3">IF(LEFT(A196,3)=$X$2,C196,B196)</f>
        <v>ITD12244</v>
      </c>
    </row>
    <row r="197" spans="1:27" ht="16.5">
      <c r="A197" s="387" t="str">
        <f>'STAT 77 Table'!$I$12</f>
        <v>ITD12317</v>
      </c>
      <c r="B197" t="s">
        <v>1766</v>
      </c>
      <c r="C197" t="s">
        <v>1228</v>
      </c>
      <c r="D197" s="387" t="str">
        <f>IF($B197&lt;&gt;"",IFERROR(IF(LEFT($B197,3)=$Z$2,VLOOKUP($C197,Outbound!$B:$Z,4,FALSE),VLOOKUP($B197,Outbound!$B:$Z,4,FALSE)),"ON ROCS/NOT ON FILE"),"")</f>
        <v>QAL</v>
      </c>
      <c r="E197" s="387" t="str">
        <f>IF($B197&lt;&gt;"",IFERROR(IF(LEFT($B197,4)=$Z$2,VLOOKUP($C197,Outbound!$B:$Z,5,FALSE),VLOOKUP($B197,Outbound!$B:$Z,5,FALSE)),"ON ROCS/NOT ON FILE"),"")</f>
        <v>ON ROCS/NOT ON FILE</v>
      </c>
      <c r="F197" s="387" t="str">
        <f>IF(B197&lt;&gt;"",IFERROR(IF(LEFT($B197,3)=$Z$2,VLOOKUP($C197,Outbound!$B:$Z,11,FALSE),VLOOKUP($B197,Outbound!$B:$Z,11,FALSE)),"NON TROVATO"),"")</f>
        <v>Fenix Srl</v>
      </c>
      <c r="G197" s="394" t="str">
        <f>IF(B197&lt;&gt;"",IFERROR(IF(LEFT($B197,3)=$Z$2,VLOOKUP($C197,Outbound!$B:$AAZ,16,FALSE),VLOOKUP($B197,Outbound!$B:$AAZ,16,FALSE)),"NON TROVATO"),"")</f>
        <v>XA139TB</v>
      </c>
      <c r="H197" s="394">
        <f>IF(B197&lt;&gt;"",IFERROR(IF(LEFT($B197,3)=$Z$2,VLOOKUP($C197,Outbound!$B:$AAZ,6,FALSE),VLOOKUP($B197,Outbound!$B:$AAZ,6,FALSE)),"NON TROVATO"),"")</f>
        <v>0.26041666666666669</v>
      </c>
      <c r="I197" s="394">
        <f>IF(B197&lt;&gt;"",IFERROR(IF(LEFT($B197,3)=$Z$2,VLOOKUP($C197,Outbound!$B:$AAZ,52,FALSE),VLOOKUP($B197,Outbound!$B:$AAZ,52,FALSE)),"NON TROVATO"),"")</f>
        <v>0</v>
      </c>
      <c r="J197" s="396"/>
      <c r="K197" s="387" t="str">
        <f>IF(B197&lt;&gt;"",IF($D197&lt;&gt;"ON ROCS/NOT ON FILE",IFERROR(_xlfn.XLOOKUP(LEFT($D197,3),'STAT 77 Table'!$B:$B,'STAT 77 Table'!$A:$A),"ZZ"&amp;RIGHT($B197,4)),""),"")</f>
        <v>IM697</v>
      </c>
      <c r="L197" s="396"/>
      <c r="O197" s="388"/>
      <c r="P197" s="388"/>
      <c r="AA197" s="421" t="str">
        <f t="shared" si="3"/>
        <v>ITD12752</v>
      </c>
    </row>
    <row r="198" spans="1:27" ht="16.5">
      <c r="A198" s="387" t="str">
        <f>'STAT 77 Table'!$I$13</f>
        <v>ITD12747</v>
      </c>
      <c r="B198" t="s">
        <v>1767</v>
      </c>
      <c r="C198" t="s">
        <v>1073</v>
      </c>
      <c r="D198" s="387" t="str">
        <f>IF($B198&lt;&gt;"",IFERROR(IF(LEFT($B198,3)=$Z$2,VLOOKUP($C198,Outbound!$B:$Z,4,FALSE),VLOOKUP($B198,Outbound!$B:$Z,4,FALSE)),"ON ROCS/NOT ON FILE"),"")</f>
        <v>ILJ</v>
      </c>
      <c r="E198" s="387" t="str">
        <f>IF($B198&lt;&gt;"",IFERROR(IF(LEFT($B198,4)=$Z$2,VLOOKUP($C198,Outbound!$B:$Z,5,FALSE),VLOOKUP($B198,Outbound!$B:$Z,5,FALSE)),"ON ROCS/NOT ON FILE"),"")</f>
        <v>ON ROCS/NOT ON FILE</v>
      </c>
      <c r="F198" s="387" t="str">
        <f>IF(B198&lt;&gt;"",IFERROR(IF(LEFT($B198,3)=$Z$2,VLOOKUP($C198,Outbound!$B:$Z,11,FALSE),VLOOKUP($B198,Outbound!$B:$Z,11,FALSE)),"NON TROVATO"),"")</f>
        <v>Trans Speedy S.R.L</v>
      </c>
      <c r="G198" s="429" t="str">
        <f>IF(B198&lt;&gt;"",IFERROR(IF(LEFT($B198,3)=$Z$2,VLOOKUP($C198,Outbound!$B:$AAZ,16,FALSE),VLOOKUP($B198,Outbound!$B:$AAZ,16,FALSE)),"NON TROVATO"),"")</f>
        <v>XA200SL</v>
      </c>
      <c r="H198" s="394">
        <f>IF(B198&lt;&gt;"",IFERROR(IF(LEFT($B198,3)=$Z$2,VLOOKUP($C198,Outbound!$B:$AAZ,6,FALSE),VLOOKUP($B198,Outbound!$B:$AAZ,6,FALSE)),"NON TROVATO"),"")</f>
        <v>0.26041666666666669</v>
      </c>
      <c r="I198" s="394">
        <f>IF(B198&lt;&gt;"",IFERROR(IF(LEFT($B198,3)=$Z$2,VLOOKUP($C198,Outbound!$B:$AAZ,52,FALSE),VLOOKUP($B198,Outbound!$B:$AAZ,52,FALSE)),"NON TROVATO"),"")</f>
        <v>0</v>
      </c>
      <c r="J198" s="387"/>
      <c r="K198" s="387" t="str">
        <f>IF(B198&lt;&gt;"",IF($D198&lt;&gt;"ON ROCS/NOT ON FILE",IFERROR(_xlfn.XLOOKUP(LEFT($D198,3),'STAT 77 Table'!$B:$B,'STAT 77 Table'!$A:$A),"ZZ"&amp;RIGHT($B198,4)),""),"")</f>
        <v>IM697</v>
      </c>
      <c r="L198" s="396"/>
      <c r="O198" s="388"/>
      <c r="P198" s="388"/>
      <c r="AA198" s="421" t="str">
        <f t="shared" si="3"/>
        <v>ITD12416</v>
      </c>
    </row>
    <row r="199" spans="1:27" ht="16.5">
      <c r="A199" s="387" t="str">
        <f>'STAT 77 Table'!$I$14</f>
        <v>ITD12753</v>
      </c>
      <c r="B199" t="s">
        <v>1768</v>
      </c>
      <c r="C199" t="s">
        <v>1062</v>
      </c>
      <c r="D199" s="387" t="str">
        <f>IF($B199&lt;&gt;"",IFERROR(IF(LEFT($B199,3)=$Z$2,VLOOKUP($C199,Outbound!$B:$Z,4,FALSE),VLOOKUP($B199,Outbound!$B:$Z,4,FALSE)),"ON ROCS/NOT ON FILE"),"")</f>
        <v>IPO</v>
      </c>
      <c r="E199" s="387" t="str">
        <f>IF($B199&lt;&gt;"",IFERROR(IF(LEFT($B199,4)=$Z$2,VLOOKUP($C199,Outbound!$B:$Z,5,FALSE),VLOOKUP($B199,Outbound!$B:$Z,5,FALSE)),"ON ROCS/NOT ON FILE"),"")</f>
        <v>ON ROCS/NOT ON FILE</v>
      </c>
      <c r="F199" s="387" t="str">
        <f>IF(B199&lt;&gt;"",IFERROR(IF(LEFT($B199,3)=$Z$2,VLOOKUP($C199,Outbound!$B:$Z,11,FALSE),VLOOKUP($B199,Outbound!$B:$Z,11,FALSE)),"NON TROVATO"),"")</f>
        <v>Eurologistica Spa</v>
      </c>
      <c r="G199" s="394" t="str">
        <f>IF(B199&lt;&gt;"",IFERROR(IF(LEFT($B199,3)=$Z$2,VLOOKUP($C199,Outbound!$B:$AAZ,16,FALSE),VLOOKUP($B199,Outbound!$B:$AAZ,16,FALSE)),"NON TROVATO"),"")</f>
        <v>XA115BS</v>
      </c>
      <c r="H199" s="394">
        <f>IF(B199&lt;&gt;"",IFERROR(IF(LEFT($B199,3)=$Z$2,VLOOKUP($C199,Outbound!$B:$AAZ,6,FALSE),VLOOKUP($B199,Outbound!$B:$AAZ,6,FALSE)),"NON TROVATO"),"")</f>
        <v>0.21875</v>
      </c>
      <c r="I199" s="394">
        <f>IF(B199&lt;&gt;"",IFERROR(IF(LEFT($B199,3)=$Z$2,VLOOKUP($C199,Outbound!$B:$AAZ,52,FALSE),VLOOKUP($B199,Outbound!$B:$AAZ,52,FALSE)),"NON TROVATO"),"")</f>
        <v>0</v>
      </c>
      <c r="J199" s="396"/>
      <c r="K199" s="387" t="str">
        <f>IF(B199&lt;&gt;"",IF($D199&lt;&gt;"ON ROCS/NOT ON FILE",IFERROR(_xlfn.XLOOKUP(LEFT($D199,3),'STAT 77 Table'!$B:$B,'STAT 77 Table'!$A:$A),"ZZ"&amp;RIGHT($B199,4)),""),"")</f>
        <v>ZZ2190</v>
      </c>
      <c r="L199" s="396"/>
      <c r="O199" s="388"/>
      <c r="P199" s="388"/>
      <c r="AA199" s="421" t="str">
        <f t="shared" si="3"/>
        <v>ITD12737</v>
      </c>
    </row>
    <row r="200" spans="1:27" ht="16.5">
      <c r="A200" s="387" t="str">
        <f>'STAT 77 Table'!$I$15</f>
        <v>ITD12284</v>
      </c>
      <c r="B200" t="s">
        <v>1769</v>
      </c>
      <c r="C200" t="s">
        <v>667</v>
      </c>
      <c r="D200" s="387" t="str">
        <f>IF($B200&lt;&gt;"",IFERROR(IF(LEFT($B200,3)=$Z$2,VLOOKUP($C200,Outbound!$B:$Z,4,FALSE),VLOOKUP($B200,Outbound!$B:$Z,4,FALSE)),"ON ROCS/NOT ON FILE"),"")</f>
        <v>ZD1</v>
      </c>
      <c r="E200" s="387" t="str">
        <f>IF($B200&lt;&gt;"",IFERROR(IF(LEFT($B200,4)=$Z$2,VLOOKUP($C200,Outbound!$B:$Z,5,FALSE),VLOOKUP($B200,Outbound!$B:$Z,5,FALSE)),"ON ROCS/NOT ON FILE"),"")</f>
        <v>ON ROCS/NOT ON FILE</v>
      </c>
      <c r="F200" s="387" t="str">
        <f>IF(B200&lt;&gt;"",IFERROR(IF(LEFT($B200,3)=$Z$2,VLOOKUP($C200,Outbound!$B:$Z,11,FALSE),VLOOKUP($B200,Outbound!$B:$Z,11,FALSE)),"NON TROVATO"),"")</f>
        <v>Trans Speedy S.R.L</v>
      </c>
      <c r="G200" s="394" t="str">
        <f>IF(B200&lt;&gt;"",IFERROR(IF(LEFT($B200,3)=$Z$2,VLOOKUP($C200,Outbound!$B:$AAZ,16,FALSE),VLOOKUP($B200,Outbound!$B:$AAZ,16,FALSE)),"NON TROVATO"),"")</f>
        <v>XA748VH</v>
      </c>
      <c r="H200" s="394">
        <f>IF(B200&lt;&gt;"",IFERROR(IF(LEFT($B200,3)=$Z$2,VLOOKUP($C200,Outbound!$B:$AAZ,6,FALSE),VLOOKUP($B200,Outbound!$B:$AAZ,6,FALSE)),"NON TROVATO"),"")</f>
        <v>0.26041666666666669</v>
      </c>
      <c r="I200" s="394">
        <f>IF(B200&lt;&gt;"",IFERROR(IF(LEFT($B200,3)=$Z$2,VLOOKUP($C200,Outbound!$B:$AAZ,52,FALSE),VLOOKUP($B200,Outbound!$B:$AAZ,52,FALSE)),"NON TROVATO"),"")</f>
        <v>0</v>
      </c>
      <c r="J200" s="396"/>
      <c r="K200" s="387" t="str">
        <f>IF(B200&lt;&gt;"",IF($D200&lt;&gt;"ON ROCS/NOT ON FILE",IFERROR(_xlfn.XLOOKUP(LEFT($D200,3),'STAT 77 Table'!$B:$B,'STAT 77 Table'!$A:$A),"ZZ"&amp;RIGHT($B200,4)),""),"")</f>
        <v>ZZ1484</v>
      </c>
      <c r="L200" s="396"/>
      <c r="O200" s="388"/>
      <c r="P200" s="388"/>
      <c r="AA200" s="421" t="str">
        <f t="shared" si="3"/>
        <v>ITD12364</v>
      </c>
    </row>
    <row r="201" spans="1:27" ht="16.5">
      <c r="A201" s="387" t="str">
        <f>'STAT 77 Table'!$I$16</f>
        <v>ITD12285</v>
      </c>
      <c r="B201" t="s">
        <v>1349</v>
      </c>
      <c r="C201" t="s">
        <v>1350</v>
      </c>
      <c r="D201" s="387" t="str">
        <f>IF($B201&lt;&gt;"",IFERROR(IF(LEFT($B201,3)=$Z$2,VLOOKUP($C201,Outbound!$B:$Z,4,FALSE),VLOOKUP($B201,Outbound!$B:$Z,4,FALSE)),"ON ROCS/NOT ON FILE"),"")</f>
        <v>ATH 5</v>
      </c>
      <c r="E201" s="387" t="str">
        <f>IF($B201&lt;&gt;"",IFERROR(IF(LEFT($B201,4)=$Z$2,VLOOKUP($C201,Outbound!$B:$Z,5,FALSE),VLOOKUP($B201,Outbound!$B:$Z,5,FALSE)),"ON ROCS/NOT ON FILE"),"")</f>
        <v/>
      </c>
      <c r="F201" s="387" t="str">
        <f>IF(B201&lt;&gt;"",IFERROR(IF(LEFT($B201,3)=$Z$2,VLOOKUP($C201,Outbound!$B:$Z,11,FALSE),VLOOKUP($B201,Outbound!$B:$Z,11,FALSE)),"NON TROVATO"),"")</f>
        <v>Eurofast International Transports Srl</v>
      </c>
      <c r="G201" s="394">
        <f>IF(B201&lt;&gt;"",IFERROR(IF(LEFT($B201,3)=$Z$2,VLOOKUP($C201,Outbound!$B:$AAZ,16,FALSE),VLOOKUP($B201,Outbound!$B:$AAZ,16,FALSE)),"NON TROVATO"),"")</f>
        <v>0</v>
      </c>
      <c r="H201" s="394">
        <f>IF(B201&lt;&gt;"",IFERROR(IF(LEFT($B201,3)=$Z$2,VLOOKUP($C201,Outbound!$B:$AAZ,6,FALSE),VLOOKUP($B201,Outbound!$B:$AAZ,6,FALSE)),"NON TROVATO"),"")</f>
        <v>0.26388888889050577</v>
      </c>
      <c r="I201" s="394">
        <f>IF(B201&lt;&gt;"",IFERROR(IF(LEFT($B201,3)=$Z$2,VLOOKUP($C201,Outbound!$B:$AAZ,52,FALSE),VLOOKUP($B201,Outbound!$B:$AAZ,52,FALSE)),"NON TROVATO"),"")</f>
        <v>0</v>
      </c>
      <c r="J201" s="396"/>
      <c r="K201" s="387" t="str">
        <f>IF(B201&lt;&gt;"",IF($D201&lt;&gt;"ON ROCS/NOT ON FILE",IFERROR(_xlfn.XLOOKUP(LEFT($D201,3),'STAT 77 Table'!$B:$B,'STAT 77 Table'!$A:$A),"ZZ"&amp;RIGHT($B201,4)),""),"")</f>
        <v>IM284</v>
      </c>
      <c r="L201" s="396"/>
      <c r="O201" s="388"/>
      <c r="P201" s="388"/>
      <c r="AA201" s="421" t="str">
        <f t="shared" si="3"/>
        <v>ERN91159</v>
      </c>
    </row>
    <row r="202" spans="1:27" ht="16.5">
      <c r="A202" s="387" t="str">
        <f>'STAT 77 Table'!$I$17</f>
        <v>ERN04125</v>
      </c>
      <c r="B202" t="s">
        <v>1352</v>
      </c>
      <c r="C202" t="s">
        <v>1353</v>
      </c>
      <c r="D202" s="387" t="str">
        <f>IF($B202&lt;&gt;"",IFERROR(IF(LEFT($B202,3)=$Z$2,VLOOKUP($C202,Outbound!$B:$Z,4,FALSE),VLOOKUP($B202,Outbound!$B:$Z,4,FALSE)),"ON ROCS/NOT ON FILE"),"")</f>
        <v>ATH 1</v>
      </c>
      <c r="E202" s="387" t="str">
        <f>IF($B202&lt;&gt;"",IFERROR(IF(LEFT($B202,4)=$Z$2,VLOOKUP($C202,Outbound!$B:$Z,5,FALSE),VLOOKUP($B202,Outbound!$B:$Z,5,FALSE)),"ON ROCS/NOT ON FILE"),"")</f>
        <v/>
      </c>
      <c r="F202" s="387" t="str">
        <f>IF(B202&lt;&gt;"",IFERROR(IF(LEFT($B202,3)=$Z$2,VLOOKUP($C202,Outbound!$B:$Z,11,FALSE),VLOOKUP($B202,Outbound!$B:$Z,11,FALSE)),"NON TROVATO"),"")</f>
        <v>Eurofast International Transports Srl</v>
      </c>
      <c r="G202" s="394" t="str">
        <f>IF(B202&lt;&gt;"",IFERROR(IF(LEFT($B202,3)=$Z$2,VLOOKUP($C202,Outbound!$B:$AAZ,16,FALSE),VLOOKUP($B202,Outbound!$B:$AAZ,16,FALSE)),"NON TROVATO"),"")</f>
        <v>ENBR21018</v>
      </c>
      <c r="H202" s="394">
        <f>IF(B202&lt;&gt;"",IFERROR(IF(LEFT($B202,3)=$Z$2,VLOOKUP($C202,Outbound!$B:$AAZ,6,FALSE),VLOOKUP($B202,Outbound!$B:$AAZ,6,FALSE)),"NON TROVATO"),"")</f>
        <v>0.26388888889050577</v>
      </c>
      <c r="I202" s="394">
        <f>IF(B202&lt;&gt;"",IFERROR(IF(LEFT($B202,3)=$Z$2,VLOOKUP($C202,Outbound!$B:$AAZ,52,FALSE),VLOOKUP($B202,Outbound!$B:$AAZ,52,FALSE)),"NON TROVATO"),"")</f>
        <v>0</v>
      </c>
      <c r="J202" s="387"/>
      <c r="K202" s="387" t="str">
        <f>IF(B202&lt;&gt;"",IF($D202&lt;&gt;"ON ROCS/NOT ON FILE",IFERROR(_xlfn.XLOOKUP(LEFT($D202,3),'STAT 77 Table'!$B:$B,'STAT 77 Table'!$A:$A),"ZZ"&amp;RIGHT($B202,4)),""),"")</f>
        <v>IM284</v>
      </c>
      <c r="L202" s="396"/>
      <c r="O202" s="388"/>
      <c r="P202" s="388"/>
      <c r="AA202" s="421" t="str">
        <f t="shared" si="3"/>
        <v>ERN20363</v>
      </c>
    </row>
    <row r="203" spans="1:27" ht="16.5">
      <c r="A203" s="387" t="str">
        <f>'STAT 77 Table'!$I$18</f>
        <v>ERN07482</v>
      </c>
      <c r="B203" t="s">
        <v>75</v>
      </c>
      <c r="C203" t="s">
        <v>1354</v>
      </c>
      <c r="D203" s="387" t="str">
        <f>IF($B203&lt;&gt;"",IFERROR(IF(LEFT($B203,3)=$Z$2,VLOOKUP($C203,Outbound!$B:$Z,4,FALSE),VLOOKUP($B203,Outbound!$B:$Z,4,FALSE)),"ON ROCS/NOT ON FILE"),"")</f>
        <v>ATH 2</v>
      </c>
      <c r="E203" s="387" t="str">
        <f>IF($B203&lt;&gt;"",IFERROR(IF(LEFT($B203,4)=$Z$2,VLOOKUP($C203,Outbound!$B:$Z,5,FALSE),VLOOKUP($B203,Outbound!$B:$Z,5,FALSE)),"ON ROCS/NOT ON FILE"),"")</f>
        <v/>
      </c>
      <c r="F203" s="387" t="str">
        <f>IF(B203&lt;&gt;"",IFERROR(IF(LEFT($B203,3)=$Z$2,VLOOKUP($C203,Outbound!$B:$Z,11,FALSE),VLOOKUP($B203,Outbound!$B:$Z,11,FALSE)),"NON TROVATO"),"")</f>
        <v>Eurofast International Transports Srl</v>
      </c>
      <c r="G203" s="394" t="str">
        <f>IF(B203&lt;&gt;"",IFERROR(IF(LEFT($B203,3)=$Z$2,VLOOKUP($C203,Outbound!$B:$AAZ,16,FALSE),VLOOKUP($B203,Outbound!$B:$AAZ,16,FALSE)),"NON TROVATO"),"")</f>
        <v>p56755</v>
      </c>
      <c r="H203" s="394">
        <f>IF(B203&lt;&gt;"",IFERROR(IF(LEFT($B203,3)=$Z$2,VLOOKUP($C203,Outbound!$B:$AAZ,6,FALSE),VLOOKUP($B203,Outbound!$B:$AAZ,6,FALSE)),"NON TROVATO"),"")</f>
        <v>0.26388888889050577</v>
      </c>
      <c r="I203" s="394">
        <f>IF(B203&lt;&gt;"",IFERROR(IF(LEFT($B203,3)=$Z$2,VLOOKUP($C203,Outbound!$B:$AAZ,52,FALSE),VLOOKUP($B203,Outbound!$B:$AAZ,52,FALSE)),"NON TROVATO"),"")</f>
        <v>0</v>
      </c>
      <c r="J203" s="387"/>
      <c r="K203" s="387" t="str">
        <f>IF(B203&lt;&gt;"",IF($D203&lt;&gt;"ON ROCS/NOT ON FILE",IFERROR(_xlfn.XLOOKUP(LEFT($D203,3),'STAT 77 Table'!$B:$B,'STAT 77 Table'!$A:$A),"ZZ"&amp;RIGHT($B203,4)),""),"")</f>
        <v>IM284</v>
      </c>
      <c r="L203" s="396"/>
      <c r="O203" s="388"/>
      <c r="P203" s="388"/>
      <c r="AA203" s="421" t="str">
        <f t="shared" si="3"/>
        <v>ERN02218</v>
      </c>
    </row>
    <row r="204" spans="1:27" ht="16.5">
      <c r="A204" s="387" t="str">
        <f>'STAT 77 Table'!$I$19</f>
        <v>ERN18882</v>
      </c>
      <c r="B204" t="s">
        <v>1356</v>
      </c>
      <c r="C204" t="s">
        <v>1357</v>
      </c>
      <c r="D204" s="387" t="str">
        <f>IF($B204&lt;&gt;"",IFERROR(IF(LEFT($B204,3)=$Z$2,VLOOKUP($C204,Outbound!$B:$Z,4,FALSE),VLOOKUP($B204,Outbound!$B:$Z,4,FALSE)),"ON ROCS/NOT ON FILE"),"")</f>
        <v>ATH 3</v>
      </c>
      <c r="E204" s="387" t="str">
        <f>IF($B204&lt;&gt;"",IFERROR(IF(LEFT($B204,4)=$Z$2,VLOOKUP($C204,Outbound!$B:$Z,5,FALSE),VLOOKUP($B204,Outbound!$B:$Z,5,FALSE)),"ON ROCS/NOT ON FILE"),"")</f>
        <v/>
      </c>
      <c r="F204" s="387" t="str">
        <f>IF(B204&lt;&gt;"",IFERROR(IF(LEFT($B204,3)=$Z$2,VLOOKUP($C204,Outbound!$B:$Z,11,FALSE),VLOOKUP($B204,Outbound!$B:$Z,11,FALSE)),"NON TROVATO"),"")</f>
        <v>Eurofast International Transports Srl</v>
      </c>
      <c r="G204" s="394" t="str">
        <f>IF(B204&lt;&gt;"",IFERROR(IF(LEFT($B204,3)=$Z$2,VLOOKUP($C204,Outbound!$B:$AAZ,16,FALSE),VLOOKUP($B204,Outbound!$B:$AAZ,16,FALSE)),"NON TROVATO"),"")</f>
        <v>P58812</v>
      </c>
      <c r="H204" s="394">
        <f>IF(B204&lt;&gt;"",IFERROR(IF(LEFT($B204,3)=$Z$2,VLOOKUP($C204,Outbound!$B:$AAZ,6,FALSE),VLOOKUP($B204,Outbound!$B:$AAZ,6,FALSE)),"NON TROVATO"),"")</f>
        <v>0.26388888889050577</v>
      </c>
      <c r="I204" s="394">
        <f>IF(B204&lt;&gt;"",IFERROR(IF(LEFT($B204,3)=$Z$2,VLOOKUP($C204,Outbound!$B:$AAZ,52,FALSE),VLOOKUP($B204,Outbound!$B:$AAZ,52,FALSE)),"NON TROVATO"),"")</f>
        <v>0</v>
      </c>
      <c r="J204" s="387"/>
      <c r="K204" s="387" t="str">
        <f>IF(B204&lt;&gt;"",IF($D204&lt;&gt;"ON ROCS/NOT ON FILE",IFERROR(_xlfn.XLOOKUP(LEFT($D204,3),'STAT 77 Table'!$B:$B,'STAT 77 Table'!$A:$A),"ZZ"&amp;RIGHT($B204,4)),""),"")</f>
        <v>IM284</v>
      </c>
      <c r="L204" s="396"/>
      <c r="O204" s="388"/>
      <c r="P204" s="388"/>
      <c r="AA204" s="421" t="str">
        <f t="shared" si="3"/>
        <v>ERN19361</v>
      </c>
    </row>
    <row r="205" spans="1:27" ht="16.5">
      <c r="A205" s="387" t="str">
        <f>'STAT 77 Table'!$I$20</f>
        <v>ERN19613</v>
      </c>
      <c r="B205" t="s">
        <v>1362</v>
      </c>
      <c r="C205" t="s">
        <v>1363</v>
      </c>
      <c r="D205" s="387" t="str">
        <f>IF($B205&lt;&gt;"",IFERROR(IF(LEFT($B205,3)=$Z$2,VLOOKUP($C205,Outbound!$B:$Z,4,FALSE),VLOOKUP($B205,Outbound!$B:$Z,4,FALSE)),"ON ROCS/NOT ON FILE"),"")</f>
        <v>ATH 4</v>
      </c>
      <c r="E205" s="387" t="str">
        <f>IF($B205&lt;&gt;"",IFERROR(IF(LEFT($B205,4)=$Z$2,VLOOKUP($C205,Outbound!$B:$Z,5,FALSE),VLOOKUP($B205,Outbound!$B:$Z,5,FALSE)),"ON ROCS/NOT ON FILE"),"")</f>
        <v/>
      </c>
      <c r="F205" s="387" t="str">
        <f>IF(B205&lt;&gt;"",IFERROR(IF(LEFT($B205,3)=$Z$2,VLOOKUP($C205,Outbound!$B:$Z,11,FALSE),VLOOKUP($B205,Outbound!$B:$Z,11,FALSE)),"NON TROVATO"),"")</f>
        <v>Eurofast International Transports Srl</v>
      </c>
      <c r="G205" s="394" t="str">
        <f>IF(B205&lt;&gt;"",IFERROR(IF(LEFT($B205,3)=$Z$2,VLOOKUP($C205,Outbound!$B:$AAZ,16,FALSE),VLOOKUP($B205,Outbound!$B:$AAZ,16,FALSE)),"NON TROVATO"),"")</f>
        <v>P56762</v>
      </c>
      <c r="H205" s="394">
        <f>IF(B205&lt;&gt;"",IFERROR(IF(LEFT($B205,3)=$Z$2,VLOOKUP($C205,Outbound!$B:$AAZ,6,FALSE),VLOOKUP($B205,Outbound!$B:$AAZ,6,FALSE)),"NON TROVATO"),"")</f>
        <v>0.26388888889050577</v>
      </c>
      <c r="I205" s="394">
        <f>IF(B205&lt;&gt;"",IFERROR(IF(LEFT($B205,3)=$Z$2,VLOOKUP($C205,Outbound!$B:$AAZ,52,FALSE),VLOOKUP($B205,Outbound!$B:$AAZ,52,FALSE)),"NON TROVATO"),"")</f>
        <v>0</v>
      </c>
      <c r="J205" s="396"/>
      <c r="K205" s="387" t="str">
        <f>IF(B205&lt;&gt;"",IF($D205&lt;&gt;"ON ROCS/NOT ON FILE",IFERROR(_xlfn.XLOOKUP(LEFT($D205,3),'STAT 77 Table'!$B:$B,'STAT 77 Table'!$A:$A),"ZZ"&amp;RIGHT($B205,4)),""),"")</f>
        <v>IM284</v>
      </c>
      <c r="L205" s="396"/>
      <c r="O205" s="388"/>
      <c r="P205" s="388"/>
      <c r="AA205" s="421" t="str">
        <f t="shared" si="3"/>
        <v>ERN20137</v>
      </c>
    </row>
    <row r="206" spans="1:27" ht="16.5">
      <c r="A206" s="387" t="str">
        <f>'STAT 77 Table'!$I$21</f>
        <v>ERN11076</v>
      </c>
      <c r="B206" t="s">
        <v>188</v>
      </c>
      <c r="C206" t="s">
        <v>1446</v>
      </c>
      <c r="D206" s="387" t="str">
        <f>IF($B206&lt;&gt;"",IFERROR(IF(LEFT($B206,3)=$Z$2,VLOOKUP($C206,Outbound!$B:$Z,4,FALSE),VLOOKUP($B206,Outbound!$B:$Z,4,FALSE)),"ON ROCS/NOT ON FILE"),"")</f>
        <v>KR9</v>
      </c>
      <c r="E206" s="387" t="str">
        <f>IF($B206&lt;&gt;"",IFERROR(IF(LEFT($B206,4)=$Z$2,VLOOKUP($C206,Outbound!$B:$Z,5,FALSE),VLOOKUP($B206,Outbound!$B:$Z,5,FALSE)),"ON ROCS/NOT ON FILE"),"")</f>
        <v>ATHA</v>
      </c>
      <c r="F206" s="387" t="str">
        <f>IF(B206&lt;&gt;"",IFERROR(IF(LEFT($B206,3)=$Z$2,VLOOKUP($C206,Outbound!$B:$Z,11,FALSE),VLOOKUP($B206,Outbound!$B:$Z,11,FALSE)),"NON TROVATO"),"")</f>
        <v>Eurofast International Transports Srl</v>
      </c>
      <c r="G206" s="394" t="str">
        <f>IF(B206&lt;&gt;"",IFERROR(IF(LEFT($B206,3)=$Z$2,VLOOKUP($C206,Outbound!$B:$AAZ,16,FALSE),VLOOKUP($B206,Outbound!$B:$AAZ,16,FALSE)),"NON TROVATO"),"")</f>
        <v>P56793</v>
      </c>
      <c r="H206" s="394">
        <f>IF(B206&lt;&gt;"",IFERROR(IF(LEFT($B206,3)=$Z$2,VLOOKUP($C206,Outbound!$B:$AAZ,6,FALSE),VLOOKUP($B206,Outbound!$B:$AAZ,6,FALSE)),"NON TROVATO"),"")</f>
        <v>0.26388888889050577</v>
      </c>
      <c r="I206" s="394">
        <f>IF(B206&lt;&gt;"",IFERROR(IF(LEFT($B206,3)=$Z$2,VLOOKUP($C206,Outbound!$B:$AAZ,52,FALSE),VLOOKUP($B206,Outbound!$B:$AAZ,52,FALSE)),"NON TROVATO"),"")</f>
        <v>0</v>
      </c>
      <c r="J206" s="396"/>
      <c r="K206" s="387" t="str">
        <f>IF(B206&lt;&gt;"",IF($D206&lt;&gt;"ON ROCS/NOT ON FILE",IFERROR(_xlfn.XLOOKUP(LEFT($D206,3),'STAT 77 Table'!$B:$B,'STAT 77 Table'!$A:$A),"ZZ"&amp;RIGHT($B206,4)),""),"")</f>
        <v>IM284</v>
      </c>
      <c r="L206" s="396"/>
      <c r="O206" s="388"/>
      <c r="P206" s="388"/>
      <c r="AA206" s="421" t="str">
        <f t="shared" si="3"/>
        <v>ERN14393</v>
      </c>
    </row>
    <row r="207" spans="1:27" ht="16.5">
      <c r="A207" s="387" t="str">
        <f>'STAT 77 Table'!$I$22</f>
        <v>ERN16607</v>
      </c>
      <c r="B207" t="s">
        <v>1770</v>
      </c>
      <c r="C207" t="s">
        <v>584</v>
      </c>
      <c r="D207" s="387" t="str">
        <f>IF($B207&lt;&gt;"",IFERROR(IF(LEFT($B207,3)=$Z$2,VLOOKUP($C207,Outbound!$B:$Z,4,FALSE),VLOOKUP($B207,Outbound!$B:$Z,4,FALSE)),"ON ROCS/NOT ON FILE"),"")</f>
        <v>QVA</v>
      </c>
      <c r="E207" s="387" t="str">
        <f>IF($B207&lt;&gt;"",IFERROR(IF(LEFT($B207,4)=$Z$2,VLOOKUP($C207,Outbound!$B:$Z,5,FALSE),VLOOKUP($B207,Outbound!$B:$Z,5,FALSE)),"ON ROCS/NOT ON FILE"),"")</f>
        <v>ON ROCS/NOT ON FILE</v>
      </c>
      <c r="F207" s="387" t="str">
        <f>IF(B207&lt;&gt;"",IFERROR(IF(LEFT($B207,3)=$Z$2,VLOOKUP($C207,Outbound!$B:$Z,11,FALSE),VLOOKUP($B207,Outbound!$B:$Z,11,FALSE)),"NON TROVATO"),"")</f>
        <v>Trans Speedy S.R.L</v>
      </c>
      <c r="G207" s="394" t="str">
        <f>IF(B207&lt;&gt;"",IFERROR(IF(LEFT($B207,3)=$Z$2,VLOOKUP($C207,Outbound!$B:$AAZ,16,FALSE),VLOOKUP($B207,Outbound!$B:$AAZ,16,FALSE)),"NON TROVATO"),"")</f>
        <v>AE82144</v>
      </c>
      <c r="H207" s="394">
        <f>IF(B207&lt;&gt;"",IFERROR(IF(LEFT($B207,3)=$Z$2,VLOOKUP($C207,Outbound!$B:$AAZ,6,FALSE),VLOOKUP($B207,Outbound!$B:$AAZ,6,FALSE)),"NON TROVATO"),"")</f>
        <v>0.27083333333333331</v>
      </c>
      <c r="I207" s="394">
        <f>IF(B207&lt;&gt;"",IFERROR(IF(LEFT($B207,3)=$Z$2,VLOOKUP($C207,Outbound!$B:$AAZ,52,FALSE),VLOOKUP($B207,Outbound!$B:$AAZ,52,FALSE)),"NON TROVATO"),"")</f>
        <v>0</v>
      </c>
      <c r="J207" s="396"/>
      <c r="K207" s="387" t="str">
        <f>IF(B207&lt;&gt;"",IF($D207&lt;&gt;"ON ROCS/NOT ON FILE",IFERROR(_xlfn.XLOOKUP(LEFT($D207,3),'STAT 77 Table'!$B:$B,'STAT 77 Table'!$A:$A),"ZZ"&amp;RIGHT($B207,4)),""),"")</f>
        <v>ZZ1426</v>
      </c>
      <c r="L207" s="396"/>
      <c r="O207" s="388"/>
      <c r="P207" s="388"/>
      <c r="AA207" s="421" t="str">
        <f t="shared" si="3"/>
        <v>ITD31426</v>
      </c>
    </row>
    <row r="208" spans="1:27" ht="16.5">
      <c r="A208" s="387" t="str">
        <f>'STAT 77 Table'!$I$23</f>
        <v>ERN14443</v>
      </c>
      <c r="B208" t="s">
        <v>1771</v>
      </c>
      <c r="C208" t="s">
        <v>1109</v>
      </c>
      <c r="D208" s="387" t="str">
        <f>IF($B208&lt;&gt;"",IFERROR(IF(LEFT($B208,3)=$Z$2,VLOOKUP($C208,Outbound!$B:$Z,4,FALSE),VLOOKUP($B208,Outbound!$B:$Z,4,FALSE)),"ON ROCS/NOT ON FILE"),"")</f>
        <v>QVA</v>
      </c>
      <c r="E208" s="387" t="str">
        <f>IF($B208&lt;&gt;"",IFERROR(IF(LEFT($B208,4)=$Z$2,VLOOKUP($C208,Outbound!$B:$Z,5,FALSE),VLOOKUP($B208,Outbound!$B:$Z,5,FALSE)),"ON ROCS/NOT ON FILE"),"")</f>
        <v>ON ROCS/NOT ON FILE</v>
      </c>
      <c r="F208" s="387" t="str">
        <f>IF(B208&lt;&gt;"",IFERROR(IF(LEFT($B208,3)=$Z$2,VLOOKUP($C208,Outbound!$B:$Z,11,FALSE),VLOOKUP($B208,Outbound!$B:$Z,11,FALSE)),"NON TROVATO"),"")</f>
        <v>S.T.I. Società Trasporti Internazionali S.r.L.</v>
      </c>
      <c r="G208" s="394" t="str">
        <f>IF(B208&lt;&gt;"",IFERROR(IF(LEFT($B208,3)=$Z$2,VLOOKUP($C208,Outbound!$B:$AAZ,16,FALSE),VLOOKUP($B208,Outbound!$B:$AAZ,16,FALSE)),"NON TROVATO"),"")</f>
        <v>XA364FP</v>
      </c>
      <c r="H208" s="394">
        <f>IF(B208&lt;&gt;"",IFERROR(IF(LEFT($B208,3)=$Z$2,VLOOKUP($C208,Outbound!$B:$AAZ,6,FALSE),VLOOKUP($B208,Outbound!$B:$AAZ,6,FALSE)),"NON TROVATO"),"")</f>
        <v>0.27083333333333331</v>
      </c>
      <c r="I208" s="394">
        <f>IF(B208&lt;&gt;"",IFERROR(IF(LEFT($B208,3)=$Z$2,VLOOKUP($C208,Outbound!$B:$AAZ,52,FALSE),VLOOKUP($B208,Outbound!$B:$AAZ,52,FALSE)),"NON TROVATO"),"")</f>
        <v>0</v>
      </c>
      <c r="J208" s="387"/>
      <c r="K208" s="387" t="str">
        <f>IF(B208&lt;&gt;"",IF($D208&lt;&gt;"ON ROCS/NOT ON FILE",IFERROR(_xlfn.XLOOKUP(LEFT($D208,3),'STAT 77 Table'!$B:$B,'STAT 77 Table'!$A:$A),"ZZ"&amp;RIGHT($B208,4)),""),"")</f>
        <v>ZZ1588</v>
      </c>
      <c r="L208" s="396"/>
      <c r="O208" s="388"/>
      <c r="P208" s="388"/>
      <c r="AA208" s="421" t="str">
        <f t="shared" si="3"/>
        <v>ITD31588</v>
      </c>
    </row>
    <row r="209" spans="1:27" ht="16.5">
      <c r="A209" s="387" t="str">
        <f>'STAT 77 Table'!$I$24</f>
        <v>ERN20137</v>
      </c>
      <c r="B209" t="s">
        <v>1772</v>
      </c>
      <c r="C209" t="s">
        <v>541</v>
      </c>
      <c r="D209" s="387" t="str">
        <f>IF($B209&lt;&gt;"",IFERROR(IF(LEFT($B209,3)=$Z$2,VLOOKUP($C209,Outbound!$B:$Z,4,FALSE),VLOOKUP($B209,Outbound!$B:$Z,4,FALSE)),"ON ROCS/NOT ON FILE"),"")</f>
        <v>MXP</v>
      </c>
      <c r="E209" s="387" t="str">
        <f>IF($B209&lt;&gt;"",IFERROR(IF(LEFT($B209,4)=$Z$2,VLOOKUP($C209,Outbound!$B:$Z,5,FALSE),VLOOKUP($B209,Outbound!$B:$Z,5,FALSE)),"ON ROCS/NOT ON FILE"),"")</f>
        <v>ON ROCS/NOT ON FILE</v>
      </c>
      <c r="F209" s="387" t="str">
        <f>IF(B209&lt;&gt;"",IFERROR(IF(LEFT($B209,3)=$Z$2,VLOOKUP($C209,Outbound!$B:$Z,11,FALSE),VLOOKUP($B209,Outbound!$B:$Z,11,FALSE)),"NON TROVATO"),"")</f>
        <v>CORNALI AUTOTRASPORTI SRL</v>
      </c>
      <c r="G209" s="394" t="str">
        <f>IF(B209&lt;&gt;"",IFERROR(IF(LEFT($B209,3)=$Z$2,VLOOKUP($C209,Outbound!$B:$AAZ,16,FALSE),VLOOKUP($B209,Outbound!$B:$AAZ,16,FALSE)),"NON TROVATO"),"")</f>
        <v>XA241WH</v>
      </c>
      <c r="H209" s="394">
        <f>IF(B209&lt;&gt;"",IFERROR(IF(LEFT($B209,3)=$Z$2,VLOOKUP($C209,Outbound!$B:$AAZ,6,FALSE),VLOOKUP($B209,Outbound!$B:$AAZ,6,FALSE)),"NON TROVATO"),"")</f>
        <v>0.27083333333333331</v>
      </c>
      <c r="I209" s="394">
        <f>IF(B209&lt;&gt;"",IFERROR(IF(LEFT($B209,3)=$Z$2,VLOOKUP($C209,Outbound!$B:$AAZ,52,FALSE),VLOOKUP($B209,Outbound!$B:$AAZ,52,FALSE)),"NON TROVATO"),"")</f>
        <v>0</v>
      </c>
      <c r="J209" s="387"/>
      <c r="K209" s="387" t="str">
        <f>IF(B209&lt;&gt;"",IF($D209&lt;&gt;"ON ROCS/NOT ON FILE",IFERROR(_xlfn.XLOOKUP(LEFT($D209,3),'STAT 77 Table'!$B:$B,'STAT 77 Table'!$A:$A),"ZZ"&amp;RIGHT($B209,4)),""),"")</f>
        <v>IM697</v>
      </c>
      <c r="L209" s="396"/>
      <c r="O209" s="388"/>
      <c r="P209" s="388"/>
      <c r="AA209" s="421" t="str">
        <f t="shared" si="3"/>
        <v>ITD32007</v>
      </c>
    </row>
    <row r="210" spans="1:27" ht="16.5">
      <c r="A210" s="387" t="str">
        <f>'STAT 77 Table'!$I$25</f>
        <v>ERN02218</v>
      </c>
      <c r="B210" t="s">
        <v>1773</v>
      </c>
      <c r="C210" t="s">
        <v>880</v>
      </c>
      <c r="D210" s="387" t="str">
        <f>IF($B210&lt;&gt;"",IFERROR(IF(LEFT($B210,3)=$Z$2,VLOOKUP($C210,Outbound!$B:$Z,4,FALSE),VLOOKUP($B210,Outbound!$B:$Z,4,FALSE)),"ON ROCS/NOT ON FILE"),"")</f>
        <v>ISV</v>
      </c>
      <c r="E210" s="387" t="str">
        <f>IF($B210&lt;&gt;"",IFERROR(IF(LEFT($B210,4)=$Z$2,VLOOKUP($C210,Outbound!$B:$Z,5,FALSE),VLOOKUP($B210,Outbound!$B:$Z,5,FALSE)),"ON ROCS/NOT ON FILE"),"")</f>
        <v>ON ROCS/NOT ON FILE</v>
      </c>
      <c r="F210" s="387" t="str">
        <f>IF(B210&lt;&gt;"",IFERROR(IF(LEFT($B210,3)=$Z$2,VLOOKUP($C210,Outbound!$B:$Z,11,FALSE),VLOOKUP($B210,Outbound!$B:$Z,11,FALSE)),"NON TROVATO"),"")</f>
        <v>Trans Speedy S.R.L</v>
      </c>
      <c r="G210" s="394" t="str">
        <f>IF(B210&lt;&gt;"",IFERROR(IF(LEFT($B210,3)=$Z$2,VLOOKUP($C210,Outbound!$B:$AAZ,16,FALSE),VLOOKUP($B210,Outbound!$B:$AAZ,16,FALSE)),"NON TROVATO"),"")</f>
        <v>XA750VH</v>
      </c>
      <c r="H210" s="394">
        <f>IF(B210&lt;&gt;"",IFERROR(IF(LEFT($B210,3)=$Z$2,VLOOKUP($C210,Outbound!$B:$AAZ,6,FALSE),VLOOKUP($B210,Outbound!$B:$AAZ,6,FALSE)),"NON TROVATO"),"")</f>
        <v>0.27083333333333331</v>
      </c>
      <c r="I210" s="394">
        <f>IF(B210&lt;&gt;"",IFERROR(IF(LEFT($B210,3)=$Z$2,VLOOKUP($C210,Outbound!$B:$AAZ,52,FALSE),VLOOKUP($B210,Outbound!$B:$AAZ,52,FALSE)),"NON TROVATO"),"")</f>
        <v>0</v>
      </c>
      <c r="J210" s="396"/>
      <c r="K210" s="387" t="str">
        <f>IF(B210&lt;&gt;"",IF($D210&lt;&gt;"ON ROCS/NOT ON FILE",IFERROR(_xlfn.XLOOKUP(LEFT($D210,3),'STAT 77 Table'!$B:$B,'STAT 77 Table'!$A:$A),"ZZ"&amp;RIGHT($B210,4)),""),"")</f>
        <v>ZZ1532</v>
      </c>
      <c r="L210" s="396"/>
      <c r="O210" s="388"/>
      <c r="P210" s="388"/>
      <c r="AA210" s="421" t="str">
        <f t="shared" si="3"/>
        <v>ITD31532</v>
      </c>
    </row>
    <row r="211" spans="1:27" ht="16.5">
      <c r="A211" s="387" t="str">
        <f>'STAT 77 Table'!$I$26</f>
        <v>ERN19161</v>
      </c>
      <c r="B211" t="s">
        <v>263</v>
      </c>
      <c r="C211" t="s">
        <v>1543</v>
      </c>
      <c r="D211" s="387" t="str">
        <f>IF($B211&lt;&gt;"",IFERROR(IF(LEFT($B211,3)=$Z$2,VLOOKUP($C211,Outbound!$B:$Z,4,FALSE),VLOOKUP($B211,Outbound!$B:$Z,4,FALSE)),"ON ROCS/NOT ON FILE"),"")</f>
        <v>SKG 1</v>
      </c>
      <c r="E211" s="387" t="str">
        <f>IF($B211&lt;&gt;"",IFERROR(IF(LEFT($B211,4)=$Z$2,VLOOKUP($C211,Outbound!$B:$Z,5,FALSE),VLOOKUP($B211,Outbound!$B:$Z,5,FALSE)),"ON ROCS/NOT ON FILE"),"")</f>
        <v/>
      </c>
      <c r="F211" s="387" t="str">
        <f>IF(B211&lt;&gt;"",IFERROR(IF(LEFT($B211,3)=$Z$2,VLOOKUP($C211,Outbound!$B:$Z,11,FALSE),VLOOKUP($B211,Outbound!$B:$Z,11,FALSE)),"NON TROVATO"),"")</f>
        <v>Eurofast International Transports Srl</v>
      </c>
      <c r="G211" s="394" t="str">
        <f>IF(B211&lt;&gt;"",IFERROR(IF(LEFT($B211,3)=$Z$2,VLOOKUP($C211,Outbound!$B:$AAZ,16,FALSE),VLOOKUP($B211,Outbound!$B:$AAZ,16,FALSE)),"NON TROVATO"),"")</f>
        <v>P58844</v>
      </c>
      <c r="H211" s="394">
        <f>IF(B211&lt;&gt;"",IFERROR(IF(LEFT($B211,3)=$Z$2,VLOOKUP($C211,Outbound!$B:$AAZ,6,FALSE),VLOOKUP($B211,Outbound!$B:$AAZ,6,FALSE)),"NON TROVATO"),"")</f>
        <v>0.27083333333575865</v>
      </c>
      <c r="I211" s="394">
        <f>IF(B211&lt;&gt;"",IFERROR(IF(LEFT($B211,3)=$Z$2,VLOOKUP($C211,Outbound!$B:$AAZ,52,FALSE),VLOOKUP($B211,Outbound!$B:$AAZ,52,FALSE)),"NON TROVATO"),"")</f>
        <v>0</v>
      </c>
      <c r="J211" s="387"/>
      <c r="K211" s="387" t="str">
        <f>IF(B211&lt;&gt;"",IF($D211&lt;&gt;"ON ROCS/NOT ON FILE",IFERROR(_xlfn.XLOOKUP(LEFT($D211,3),'STAT 77 Table'!$B:$B,'STAT 77 Table'!$A:$A),"ZZ"&amp;RIGHT($B211,4)),""),"")</f>
        <v>IM754</v>
      </c>
      <c r="L211" s="396"/>
      <c r="O211" s="388"/>
      <c r="P211" s="388"/>
      <c r="AA211" s="421" t="str">
        <f t="shared" si="3"/>
        <v>ERN17420</v>
      </c>
    </row>
    <row r="212" spans="1:27" ht="16.5">
      <c r="A212" s="387" t="str">
        <f>'STAT 77 Table'!$I$27</f>
        <v>ERN14512</v>
      </c>
      <c r="B212" t="s">
        <v>267</v>
      </c>
      <c r="C212" t="s">
        <v>1544</v>
      </c>
      <c r="D212" s="387" t="str">
        <f>IF($B212&lt;&gt;"",IFERROR(IF(LEFT($B212,3)=$Z$2,VLOOKUP($C212,Outbound!$B:$Z,4,FALSE),VLOOKUP($B212,Outbound!$B:$Z,4,FALSE)),"ON ROCS/NOT ON FILE"),"")</f>
        <v>SKG 2</v>
      </c>
      <c r="E212" s="387" t="str">
        <f>IF($B212&lt;&gt;"",IFERROR(IF(LEFT($B212,4)=$Z$2,VLOOKUP($C212,Outbound!$B:$Z,5,FALSE),VLOOKUP($B212,Outbound!$B:$Z,5,FALSE)),"ON ROCS/NOT ON FILE"),"")</f>
        <v/>
      </c>
      <c r="F212" s="387" t="str">
        <f>IF(B212&lt;&gt;"",IFERROR(IF(LEFT($B212,3)=$Z$2,VLOOKUP($C212,Outbound!$B:$Z,11,FALSE),VLOOKUP($B212,Outbound!$B:$Z,11,FALSE)),"NON TROVATO"),"")</f>
        <v>Eurofast International Transports Srl</v>
      </c>
      <c r="G212" s="394" t="str">
        <f>IF(B212&lt;&gt;"",IFERROR(IF(LEFT($B212,3)=$Z$2,VLOOKUP($C212,Outbound!$B:$AAZ,16,FALSE),VLOOKUP($B212,Outbound!$B:$AAZ,16,FALSE)),"NON TROVATO"),"")</f>
        <v>P58807</v>
      </c>
      <c r="H212" s="394">
        <f>IF(B212&lt;&gt;"",IFERROR(IF(LEFT($B212,3)=$Z$2,VLOOKUP($C212,Outbound!$B:$AAZ,6,FALSE),VLOOKUP($B212,Outbound!$B:$AAZ,6,FALSE)),"NON TROVATO"),"")</f>
        <v>0.27083333333575865</v>
      </c>
      <c r="I212" s="394">
        <f>IF(B212&lt;&gt;"",IFERROR(IF(LEFT($B212,3)=$Z$2,VLOOKUP($C212,Outbound!$B:$AAZ,52,FALSE),VLOOKUP($B212,Outbound!$B:$AAZ,52,FALSE)),"NON TROVATO"),"")</f>
        <v>0</v>
      </c>
      <c r="J212" s="396"/>
      <c r="K212" s="387" t="str">
        <f>IF(B212&lt;&gt;"",IF($D212&lt;&gt;"ON ROCS/NOT ON FILE",IFERROR(_xlfn.XLOOKUP(LEFT($D212,3),'STAT 77 Table'!$B:$B,'STAT 77 Table'!$A:$A),"ZZ"&amp;RIGHT($B212,4)),""),"")</f>
        <v>IM754</v>
      </c>
      <c r="L212" s="396"/>
      <c r="O212" s="388"/>
      <c r="P212" s="388"/>
      <c r="AA212" s="421" t="str">
        <f t="shared" si="3"/>
        <v>ERN02712</v>
      </c>
    </row>
    <row r="213" spans="1:27" ht="16.5">
      <c r="A213" s="387" t="str">
        <f>'STAT 77 Table'!$I$28</f>
        <v>ERN14441</v>
      </c>
      <c r="B213" t="s">
        <v>1774</v>
      </c>
      <c r="C213" t="s">
        <v>1159</v>
      </c>
      <c r="D213" s="387" t="str">
        <f>IF($B213&lt;&gt;"",IFERROR(IF(LEFT($B213,3)=$Z$2,VLOOKUP($C213,Outbound!$B:$Z,4,FALSE),VLOOKUP($B213,Outbound!$B:$Z,4,FALSE)),"ON ROCS/NOT ON FILE"),"")</f>
        <v>BEA</v>
      </c>
      <c r="E213" s="387" t="str">
        <f>IF($B213&lt;&gt;"",IFERROR(IF(LEFT($B213,4)=$Z$2,VLOOKUP($C213,Outbound!$B:$Z,5,FALSE),VLOOKUP($B213,Outbound!$B:$Z,5,FALSE)),"ON ROCS/NOT ON FILE"),"")</f>
        <v>ON ROCS/NOT ON FILE</v>
      </c>
      <c r="F213" s="387" t="str">
        <f>IF(B213&lt;&gt;"",IFERROR(IF(LEFT($B213,3)=$Z$2,VLOOKUP($C213,Outbound!$B:$Z,11,FALSE),VLOOKUP($B213,Outbound!$B:$Z,11,FALSE)),"NON TROVATO"),"")</f>
        <v>Zampieri Holding S.R.L.</v>
      </c>
      <c r="G213" s="394" t="str">
        <f>IF(B213&lt;&gt;"",IFERROR(IF(LEFT($B213,3)=$Z$2,VLOOKUP($C213,Outbound!$B:$AAZ,16,FALSE),VLOOKUP($B213,Outbound!$B:$AAZ,16,FALSE)),"NON TROVATO"),"")</f>
        <v>XA263YG</v>
      </c>
      <c r="H213" s="394">
        <f>IF(B213&lt;&gt;"",IFERROR(IF(LEFT($B213,3)=$Z$2,VLOOKUP($C213,Outbound!$B:$AAZ,6,FALSE),VLOOKUP($B213,Outbound!$B:$AAZ,6,FALSE)),"NON TROVATO"),"")</f>
        <v>0.28125</v>
      </c>
      <c r="I213" s="394">
        <f>IF(B213&lt;&gt;"",IFERROR(IF(LEFT($B213,3)=$Z$2,VLOOKUP($C213,Outbound!$B:$AAZ,52,FALSE),VLOOKUP($B213,Outbound!$B:$AAZ,52,FALSE)),"NON TROVATO"),"")</f>
        <v>0</v>
      </c>
      <c r="J213" s="396"/>
      <c r="K213" s="387" t="str">
        <f>IF(B213&lt;&gt;"",IF($D213&lt;&gt;"ON ROCS/NOT ON FILE",IFERROR(_xlfn.XLOOKUP(LEFT($D213,3),'STAT 77 Table'!$B:$B,'STAT 77 Table'!$A:$A),"ZZ"&amp;RIGHT($B213,4)),""),"")</f>
        <v>IM697</v>
      </c>
      <c r="L213" s="396"/>
      <c r="O213" s="388"/>
      <c r="P213" s="388"/>
      <c r="AA213" s="421" t="str">
        <f t="shared" si="3"/>
        <v>ITD31114</v>
      </c>
    </row>
    <row r="214" spans="1:27" ht="16.5">
      <c r="A214" s="387" t="str">
        <f>'STAT 77 Table'!$I$29</f>
        <v>ERN00921</v>
      </c>
      <c r="B214" t="s">
        <v>1775</v>
      </c>
      <c r="C214" t="s">
        <v>642</v>
      </c>
      <c r="D214" s="387" t="str">
        <f>IF($B214&lt;&gt;"",IFERROR(IF(LEFT($B214,3)=$Z$2,VLOOKUP($C214,Outbound!$B:$Z,4,FALSE),VLOOKUP($B214,Outbound!$B:$Z,4,FALSE)),"ON ROCS/NOT ON FILE"),"")</f>
        <v>BEA</v>
      </c>
      <c r="E214" s="387" t="str">
        <f>IF($B214&lt;&gt;"",IFERROR(IF(LEFT($B214,4)=$Z$2,VLOOKUP($C214,Outbound!$B:$Z,5,FALSE),VLOOKUP($B214,Outbound!$B:$Z,5,FALSE)),"ON ROCS/NOT ON FILE"),"")</f>
        <v>ON ROCS/NOT ON FILE</v>
      </c>
      <c r="F214" s="387" t="str">
        <f>IF(B214&lt;&gt;"",IFERROR(IF(LEFT($B214,3)=$Z$2,VLOOKUP($C214,Outbound!$B:$Z,11,FALSE),VLOOKUP($B214,Outbound!$B:$Z,11,FALSE)),"NON TROVATO"),"")</f>
        <v>Trans Speedy S.R.L</v>
      </c>
      <c r="G214" s="394" t="str">
        <f>IF(B214&lt;&gt;"",IFERROR(IF(LEFT($B214,3)=$Z$2,VLOOKUP($C214,Outbound!$B:$AAZ,16,FALSE),VLOOKUP($B214,Outbound!$B:$AAZ,16,FALSE)),"NON TROVATO"),"")</f>
        <v>XA452ZJ</v>
      </c>
      <c r="H214" s="394">
        <f>IF(B214&lt;&gt;"",IFERROR(IF(LEFT($B214,3)=$Z$2,VLOOKUP($C214,Outbound!$B:$AAZ,6,FALSE),VLOOKUP($B214,Outbound!$B:$AAZ,6,FALSE)),"NON TROVATO"),"")</f>
        <v>0.28125</v>
      </c>
      <c r="I214" s="394">
        <f>IF(B214&lt;&gt;"",IFERROR(IF(LEFT($B214,3)=$Z$2,VLOOKUP($C214,Outbound!$B:$AAZ,52,FALSE),VLOOKUP($B214,Outbound!$B:$AAZ,52,FALSE)),"NON TROVATO"),"")</f>
        <v>0</v>
      </c>
      <c r="J214" s="396"/>
      <c r="K214" s="387" t="str">
        <f>IF(B214&lt;&gt;"",IF($D214&lt;&gt;"ON ROCS/NOT ON FILE",IFERROR(_xlfn.XLOOKUP(LEFT($D214,3),'STAT 77 Table'!$B:$B,'STAT 77 Table'!$A:$A),"ZZ"&amp;RIGHT($B214,4)),""),"")</f>
        <v>IM697</v>
      </c>
      <c r="L214" s="396"/>
      <c r="O214" s="388"/>
      <c r="P214" s="388"/>
      <c r="AA214" s="421" t="str">
        <f t="shared" si="3"/>
        <v>ITD32358</v>
      </c>
    </row>
    <row r="215" spans="1:27" ht="16.5">
      <c r="A215" s="387" t="str">
        <f>'STAT 77 Table'!$I$30</f>
        <v>ERN14393</v>
      </c>
      <c r="B215" t="s">
        <v>1776</v>
      </c>
      <c r="C215" t="s">
        <v>425</v>
      </c>
      <c r="D215" s="387" t="str">
        <f>IF($B215&lt;&gt;"",IFERROR(IF(LEFT($B215,3)=$Z$2,VLOOKUP($C215,Outbound!$B:$Z,4,FALSE),VLOOKUP($B215,Outbound!$B:$Z,4,FALSE)),"ON ROCS/NOT ON FILE"),"")</f>
        <v>OS3</v>
      </c>
      <c r="E215" s="387" t="str">
        <f>IF($B215&lt;&gt;"",IFERROR(IF(LEFT($B215,4)=$Z$2,VLOOKUP($C215,Outbound!$B:$Z,5,FALSE),VLOOKUP($B215,Outbound!$B:$Z,5,FALSE)),"ON ROCS/NOT ON FILE"),"")</f>
        <v>ON ROCS/NOT ON FILE</v>
      </c>
      <c r="F215" s="387" t="str">
        <f>IF(B215&lt;&gt;"",IFERROR(IF(LEFT($B215,3)=$Z$2,VLOOKUP($C215,Outbound!$B:$Z,11,FALSE),VLOOKUP($B215,Outbound!$B:$Z,11,FALSE)),"NON TROVATO"),"")</f>
        <v>Zampieri Holding S.R.L.</v>
      </c>
      <c r="G215" s="394" t="str">
        <f>IF(B215&lt;&gt;"",IFERROR(IF(LEFT($B215,3)=$Z$2,VLOOKUP($C215,Outbound!$B:$AAZ,16,FALSE),VLOOKUP($B215,Outbound!$B:$AAZ,16,FALSE)),"NON TROVATO"),"")</f>
        <v>XA321YG</v>
      </c>
      <c r="H215" s="394">
        <f>IF(B215&lt;&gt;"",IFERROR(IF(LEFT($B215,3)=$Z$2,VLOOKUP($C215,Outbound!$B:$AAZ,6,FALSE),VLOOKUP($B215,Outbound!$B:$AAZ,6,FALSE)),"NON TROVATO"),"")</f>
        <v>0.29166666666666669</v>
      </c>
      <c r="I215" s="394">
        <f>IF(B215&lt;&gt;"",IFERROR(IF(LEFT($B215,3)=$Z$2,VLOOKUP($C215,Outbound!$B:$AAZ,52,FALSE),VLOOKUP($B215,Outbound!$B:$AAZ,52,FALSE)),"NON TROVATO"),"")</f>
        <v>0</v>
      </c>
      <c r="J215" s="396"/>
      <c r="K215" s="387" t="str">
        <f>IF(B215&lt;&gt;"",IF($D215&lt;&gt;"ON ROCS/NOT ON FILE",IFERROR(_xlfn.XLOOKUP(LEFT($D215,3),'STAT 77 Table'!$B:$B,'STAT 77 Table'!$A:$A),"ZZ"&amp;RIGHT($B215,4)),""),"")</f>
        <v>ZZ1572</v>
      </c>
      <c r="L215" s="396"/>
      <c r="O215" s="388"/>
      <c r="P215" s="388"/>
      <c r="AA215" s="421" t="str">
        <f t="shared" si="3"/>
        <v>ITD31572</v>
      </c>
    </row>
    <row r="216" spans="1:27" ht="16.5">
      <c r="A216" s="387" t="str">
        <f>'STAT 77 Table'!$I$31</f>
        <v>ERN17451</v>
      </c>
      <c r="B216" t="s">
        <v>1777</v>
      </c>
      <c r="C216" t="s">
        <v>600</v>
      </c>
      <c r="D216" s="387" t="str">
        <f>IF($B216&lt;&gt;"",IFERROR(IF(LEFT($B216,3)=$Z$2,VLOOKUP($C216,Outbound!$B:$Z,4,FALSE),VLOOKUP($B216,Outbound!$B:$Z,4,FALSE)),"ON ROCS/NOT ON FILE"),"")</f>
        <v>MZ1</v>
      </c>
      <c r="E216" s="387" t="str">
        <f>IF($B216&lt;&gt;"",IFERROR(IF(LEFT($B216,4)=$Z$2,VLOOKUP($C216,Outbound!$B:$Z,5,FALSE),VLOOKUP($B216,Outbound!$B:$Z,5,FALSE)),"ON ROCS/NOT ON FILE"),"")</f>
        <v>ON ROCS/NOT ON FILE</v>
      </c>
      <c r="F216" s="387" t="str">
        <f>IF(B216&lt;&gt;"",IFERROR(IF(LEFT($B216,3)=$Z$2,VLOOKUP($C216,Outbound!$B:$Z,11,FALSE),VLOOKUP($B216,Outbound!$B:$Z,11,FALSE)),"NON TROVATO"),"")</f>
        <v>Zampieri Holding S.R.L.</v>
      </c>
      <c r="G216" s="394" t="str">
        <f>IF(B216&lt;&gt;"",IFERROR(IF(LEFT($B216,3)=$Z$2,VLOOKUP($C216,Outbound!$B:$AAZ,16,FALSE),VLOOKUP($B216,Outbound!$B:$AAZ,16,FALSE)),"NON TROVATO"),"")</f>
        <v>XA475HW</v>
      </c>
      <c r="H216" s="394">
        <f>IF(B216&lt;&gt;"",IFERROR(IF(LEFT($B216,3)=$Z$2,VLOOKUP($C216,Outbound!$B:$AAZ,6,FALSE),VLOOKUP($B216,Outbound!$B:$AAZ,6,FALSE)),"NON TROVATO"),"")</f>
        <v>0.29166666666666669</v>
      </c>
      <c r="I216" s="394">
        <f>IF(B216&lt;&gt;"",IFERROR(IF(LEFT($B216,3)=$Z$2,VLOOKUP($C216,Outbound!$B:$AAZ,52,FALSE),VLOOKUP($B216,Outbound!$B:$AAZ,52,FALSE)),"NON TROVATO"),"")</f>
        <v>0</v>
      </c>
      <c r="J216" s="396"/>
      <c r="K216" s="387" t="str">
        <f>IF(B216&lt;&gt;"",IF($D216&lt;&gt;"ON ROCS/NOT ON FILE",IFERROR(_xlfn.XLOOKUP(LEFT($D216,3),'STAT 77 Table'!$B:$B,'STAT 77 Table'!$A:$A),"ZZ"&amp;RIGHT($B216,4)),""),"")</f>
        <v>IM697</v>
      </c>
      <c r="L216" s="396"/>
      <c r="O216" s="388"/>
      <c r="P216" s="388"/>
      <c r="AA216" s="421" t="str">
        <f t="shared" si="3"/>
        <v>ITD30860</v>
      </c>
    </row>
    <row r="217" spans="1:27" ht="16.5">
      <c r="A217" s="387" t="str">
        <f>'STAT 77 Table'!$I$32</f>
        <v>ERN18812</v>
      </c>
      <c r="B217" t="s">
        <v>1778</v>
      </c>
      <c r="C217" t="s">
        <v>1008</v>
      </c>
      <c r="D217" s="387" t="str">
        <f>IF($B217&lt;&gt;"",IFERROR(IF(LEFT($B217,3)=$Z$2,VLOOKUP($C217,Outbound!$B:$Z,4,FALSE),VLOOKUP($B217,Outbound!$B:$Z,4,FALSE)),"ON ROCS/NOT ON FILE"),"")</f>
        <v>OS3</v>
      </c>
      <c r="E217" s="387" t="str">
        <f>IF($B217&lt;&gt;"",IFERROR(IF(LEFT($B217,4)=$Z$2,VLOOKUP($C217,Outbound!$B:$Z,5,FALSE),VLOOKUP($B217,Outbound!$B:$Z,5,FALSE)),"ON ROCS/NOT ON FILE"),"")</f>
        <v>ON ROCS/NOT ON FILE</v>
      </c>
      <c r="F217" s="387" t="str">
        <f>IF(B217&lt;&gt;"",IFERROR(IF(LEFT($B217,3)=$Z$2,VLOOKUP($C217,Outbound!$B:$Z,11,FALSE),VLOOKUP($B217,Outbound!$B:$Z,11,FALSE)),"NON TROVATO"),"")</f>
        <v>Zampieri Holding S.R.L.</v>
      </c>
      <c r="G217" s="394" t="str">
        <f>IF(B217&lt;&gt;"",IFERROR(IF(LEFT($B217,3)=$Z$2,VLOOKUP($C217,Outbound!$B:$AAZ,16,FALSE),VLOOKUP($B217,Outbound!$B:$AAZ,16,FALSE)),"NON TROVATO"),"")</f>
        <v>XA026TA</v>
      </c>
      <c r="H217" s="394">
        <f>IF(B217&lt;&gt;"",IFERROR(IF(LEFT($B217,3)=$Z$2,VLOOKUP($C217,Outbound!$B:$AAZ,6,FALSE),VLOOKUP($B217,Outbound!$B:$AAZ,6,FALSE)),"NON TROVATO"),"")</f>
        <v>0.29166666666666669</v>
      </c>
      <c r="I217" s="394">
        <f>IF(B217&lt;&gt;"",IFERROR(IF(LEFT($B217,3)=$Z$2,VLOOKUP($C217,Outbound!$B:$AAZ,52,FALSE),VLOOKUP($B217,Outbound!$B:$AAZ,52,FALSE)),"NON TROVATO"),"")</f>
        <v>0</v>
      </c>
      <c r="J217" s="396"/>
      <c r="K217" s="387" t="str">
        <f>IF(B217&lt;&gt;"",IF($D217&lt;&gt;"ON ROCS/NOT ON FILE",IFERROR(_xlfn.XLOOKUP(LEFT($D217,3),'STAT 77 Table'!$B:$B,'STAT 77 Table'!$A:$A),"ZZ"&amp;RIGHT($B217,4)),""),"")</f>
        <v>ZZ1570</v>
      </c>
      <c r="L217" s="396"/>
      <c r="O217" s="388"/>
      <c r="P217" s="388"/>
      <c r="AA217" s="421" t="str">
        <f t="shared" si="3"/>
        <v>ITD31570</v>
      </c>
    </row>
    <row r="218" spans="1:27" ht="16.5">
      <c r="A218" s="387" t="str">
        <f>'STAT 77 Table'!$I$33</f>
        <v>ERN19145</v>
      </c>
      <c r="B218" t="s">
        <v>1779</v>
      </c>
      <c r="C218" t="s">
        <v>1050</v>
      </c>
      <c r="D218" s="387" t="str">
        <f>IF($B218&lt;&gt;"",IFERROR(IF(LEFT($B218,3)=$Z$2,VLOOKUP($C218,Outbound!$B:$Z,4,FALSE),VLOOKUP($B218,Outbound!$B:$Z,4,FALSE)),"ON ROCS/NOT ON FILE"),"")</f>
        <v>MZ1</v>
      </c>
      <c r="E218" s="387" t="str">
        <f>IF($B218&lt;&gt;"",IFERROR(IF(LEFT($B218,4)=$Z$2,VLOOKUP($C218,Outbound!$B:$Z,5,FALSE),VLOOKUP($B218,Outbound!$B:$Z,5,FALSE)),"ON ROCS/NOT ON FILE"),"")</f>
        <v>ON ROCS/NOT ON FILE</v>
      </c>
      <c r="F218" s="387" t="str">
        <f>IF(B218&lt;&gt;"",IFERROR(IF(LEFT($B218,3)=$Z$2,VLOOKUP($C218,Outbound!$B:$Z,11,FALSE),VLOOKUP($B218,Outbound!$B:$Z,11,FALSE)),"NON TROVATO"),"")</f>
        <v>Matelda Srl</v>
      </c>
      <c r="G218" s="394" t="str">
        <f>IF(B218&lt;&gt;"",IFERROR(IF(LEFT($B218,3)=$Z$2,VLOOKUP($C218,Outbound!$B:$AAZ,16,FALSE),VLOOKUP($B218,Outbound!$B:$AAZ,16,FALSE)),"NON TROVATO"),"")</f>
        <v>XB842BR</v>
      </c>
      <c r="H218" s="394">
        <f>IF(B218&lt;&gt;"",IFERROR(IF(LEFT($B218,3)=$Z$2,VLOOKUP($C218,Outbound!$B:$AAZ,6,FALSE),VLOOKUP($B218,Outbound!$B:$AAZ,6,FALSE)),"NON TROVATO"),"")</f>
        <v>0.29166666666666669</v>
      </c>
      <c r="I218" s="394">
        <f>IF(B218&lt;&gt;"",IFERROR(IF(LEFT($B218,3)=$Z$2,VLOOKUP($C218,Outbound!$B:$AAZ,52,FALSE),VLOOKUP($B218,Outbound!$B:$AAZ,52,FALSE)),"NON TROVATO"),"")</f>
        <v>0</v>
      </c>
      <c r="J218" s="396"/>
      <c r="K218" s="387" t="str">
        <f>IF(B218&lt;&gt;"",IF($D218&lt;&gt;"ON ROCS/NOT ON FILE",IFERROR(_xlfn.XLOOKUP(LEFT($D218,3),'STAT 77 Table'!$B:$B,'STAT 77 Table'!$A:$A),"ZZ"&amp;RIGHT($B218,4)),""),"")</f>
        <v>IM697</v>
      </c>
      <c r="L218" s="396"/>
      <c r="O218" s="388"/>
      <c r="P218" s="388"/>
      <c r="AA218" s="421" t="str">
        <f t="shared" si="3"/>
        <v>ITD31288</v>
      </c>
    </row>
    <row r="219" spans="1:27" ht="16.5">
      <c r="A219" s="387" t="str">
        <f>'STAT 77 Table'!$I$34</f>
        <v>ERN16770</v>
      </c>
      <c r="B219" t="s">
        <v>1780</v>
      </c>
      <c r="C219" t="s">
        <v>877</v>
      </c>
      <c r="D219" s="387" t="str">
        <f>IF($B219&lt;&gt;"",IFERROR(IF(LEFT($B219,3)=$Z$2,VLOOKUP($C219,Outbound!$B:$Z,4,FALSE),VLOOKUP($B219,Outbound!$B:$Z,4,FALSE)),"ON ROCS/NOT ON FILE"),"")</f>
        <v>RNV</v>
      </c>
      <c r="E219" s="387" t="str">
        <f>IF($B219&lt;&gt;"",IFERROR(IF(LEFT($B219,4)=$Z$2,VLOOKUP($C219,Outbound!$B:$Z,5,FALSE),VLOOKUP($B219,Outbound!$B:$Z,5,FALSE)),"ON ROCS/NOT ON FILE"),"")</f>
        <v>ON ROCS/NOT ON FILE</v>
      </c>
      <c r="F219" s="387" t="str">
        <f>IF(B219&lt;&gt;"",IFERROR(IF(LEFT($B219,3)=$Z$2,VLOOKUP($C219,Outbound!$B:$Z,11,FALSE),VLOOKUP($B219,Outbound!$B:$Z,11,FALSE)),"NON TROVATO"),"")</f>
        <v>F.M. Trasporti S.R.L.</v>
      </c>
      <c r="G219" s="394" t="str">
        <f>IF(B219&lt;&gt;"",IFERROR(IF(LEFT($B219,3)=$Z$2,VLOOKUP($C219,Outbound!$B:$AAZ,16,FALSE),VLOOKUP($B219,Outbound!$B:$AAZ,16,FALSE)),"NON TROVATO"),"")</f>
        <v>XA301RW</v>
      </c>
      <c r="H219" s="394">
        <f>IF(B219&lt;&gt;"",IFERROR(IF(LEFT($B219,3)=$Z$2,VLOOKUP($C219,Outbound!$B:$AAZ,6,FALSE),VLOOKUP($B219,Outbound!$B:$AAZ,6,FALSE)),"NON TROVATO"),"")</f>
        <v>0.29166666666666669</v>
      </c>
      <c r="I219" s="394">
        <f>IF(B219&lt;&gt;"",IFERROR(IF(LEFT($B219,3)=$Z$2,VLOOKUP($C219,Outbound!$B:$AAZ,52,FALSE),VLOOKUP($B219,Outbound!$B:$AAZ,52,FALSE)),"NON TROVATO"),"")</f>
        <v>0</v>
      </c>
      <c r="J219" s="396"/>
      <c r="K219" s="387" t="str">
        <f>IF(B219&lt;&gt;"",IF($D219&lt;&gt;"ON ROCS/NOT ON FILE",IFERROR(_xlfn.XLOOKUP(LEFT($D219,3),'STAT 77 Table'!$B:$B,'STAT 77 Table'!$A:$A),"ZZ"&amp;RIGHT($B219,4)),""),"")</f>
        <v>IM697</v>
      </c>
      <c r="L219" s="396"/>
      <c r="O219" s="388"/>
      <c r="P219" s="388"/>
      <c r="AA219" s="421" t="str">
        <f t="shared" si="3"/>
        <v>ITD31080</v>
      </c>
    </row>
    <row r="220" spans="1:27" ht="16.5">
      <c r="A220" s="387" t="str">
        <f>'STAT 77 Table'!$I$35</f>
        <v>ERN18646</v>
      </c>
      <c r="B220" t="s">
        <v>1781</v>
      </c>
      <c r="C220" t="s">
        <v>1162</v>
      </c>
      <c r="D220" s="387" t="str">
        <f>IF($B220&lt;&gt;"",IFERROR(IF(LEFT($B220,3)=$Z$2,VLOOKUP($C220,Outbound!$B:$Z,4,FALSE),VLOOKUP($B220,Outbound!$B:$Z,4,FALSE)),"ON ROCS/NOT ON FILE"),"")</f>
        <v>RNV</v>
      </c>
      <c r="E220" s="387" t="str">
        <f>IF($B220&lt;&gt;"",IFERROR(IF(LEFT($B220,4)=$Z$2,VLOOKUP($C220,Outbound!$B:$Z,5,FALSE),VLOOKUP($B220,Outbound!$B:$Z,5,FALSE)),"ON ROCS/NOT ON FILE"),"")</f>
        <v>ON ROCS/NOT ON FILE</v>
      </c>
      <c r="F220" s="387" t="str">
        <f>IF(B220&lt;&gt;"",IFERROR(IF(LEFT($B220,3)=$Z$2,VLOOKUP($C220,Outbound!$B:$Z,11,FALSE),VLOOKUP($B220,Outbound!$B:$Z,11,FALSE)),"NON TROVATO"),"")</f>
        <v>Tonia Trasporti S.r.l.</v>
      </c>
      <c r="G220" s="394" t="str">
        <f>IF(B220&lt;&gt;"",IFERROR(IF(LEFT($B220,3)=$Z$2,VLOOKUP($C220,Outbound!$B:$AAZ,16,FALSE),VLOOKUP($B220,Outbound!$B:$AAZ,16,FALSE)),"NON TROVATO"),"")</f>
        <v>XA371FZ</v>
      </c>
      <c r="H220" s="394">
        <f>IF(B220&lt;&gt;"",IFERROR(IF(LEFT($B220,3)=$Z$2,VLOOKUP($C220,Outbound!$B:$AAZ,6,FALSE),VLOOKUP($B220,Outbound!$B:$AAZ,6,FALSE)),"NON TROVATO"),"")</f>
        <v>0.29166666666666669</v>
      </c>
      <c r="I220" s="394">
        <f>IF(B220&lt;&gt;"",IFERROR(IF(LEFT($B220,3)=$Z$2,VLOOKUP($C220,Outbound!$B:$AAZ,52,FALSE),VLOOKUP($B220,Outbound!$B:$AAZ,52,FALSE)),"NON TROVATO"),"")</f>
        <v>0</v>
      </c>
      <c r="J220" s="396"/>
      <c r="K220" s="387" t="str">
        <f>IF(B220&lt;&gt;"",IF($D220&lt;&gt;"ON ROCS/NOT ON FILE",IFERROR(_xlfn.XLOOKUP(LEFT($D220,3),'STAT 77 Table'!$B:$B,'STAT 77 Table'!$A:$A),"ZZ"&amp;RIGHT($B220,4)),""),"")</f>
        <v>IM697</v>
      </c>
      <c r="L220" s="396"/>
      <c r="O220" s="388"/>
      <c r="P220" s="388"/>
      <c r="AA220" s="421" t="str">
        <f t="shared" si="3"/>
        <v>ITD31086</v>
      </c>
    </row>
    <row r="221" spans="1:27" ht="16.5">
      <c r="A221" s="387" t="str">
        <f>'STAT 77 Table'!$I$36</f>
        <v>ERN16768</v>
      </c>
      <c r="B221" t="s">
        <v>1488</v>
      </c>
      <c r="C221" t="s">
        <v>1489</v>
      </c>
      <c r="D221" s="387" t="str">
        <f>IF($B221&lt;&gt;"",IFERROR(IF(LEFT($B221,3)=$Z$2,VLOOKUP($C221,Outbound!$B:$Z,4,FALSE),VLOOKUP($B221,Outbound!$B:$Z,4,FALSE)),"ON ROCS/NOT ON FILE"),"")</f>
        <v>MXP 2</v>
      </c>
      <c r="E221" s="387" t="str">
        <f>IF($B221&lt;&gt;"",IFERROR(IF(LEFT($B221,4)=$Z$2,VLOOKUP($C221,Outbound!$B:$Z,5,FALSE),VLOOKUP($B221,Outbound!$B:$Z,5,FALSE)),"ON ROCS/NOT ON FILE"),"")</f>
        <v/>
      </c>
      <c r="F221" s="387" t="str">
        <f>IF(B221&lt;&gt;"",IFERROR(IF(LEFT($B221,3)=$Z$2,VLOOKUP($C221,Outbound!$B:$Z,11,FALSE),VLOOKUP($B221,Outbound!$B:$Z,11,FALSE)),"NON TROVATO"),"")</f>
        <v>Galileo Transport Srl</v>
      </c>
      <c r="G221" s="394" t="str">
        <f>IF(B221&lt;&gt;"",IFERROR(IF(LEFT($B221,3)=$Z$2,VLOOKUP($C221,Outbound!$B:$AAZ,16,FALSE),VLOOKUP($B221,Outbound!$B:$AAZ,16,FALSE)),"NON TROVATO"),"")</f>
        <v>ENBR26621</v>
      </c>
      <c r="H221" s="394">
        <f>IF(B221&lt;&gt;"",IFERROR(IF(LEFT($B221,3)=$Z$2,VLOOKUP($C221,Outbound!$B:$AAZ,6,FALSE),VLOOKUP($B221,Outbound!$B:$AAZ,6,FALSE)),"NON TROVATO"),"")</f>
        <v>0.29166666666424135</v>
      </c>
      <c r="I221" s="394">
        <f>IF(B221&lt;&gt;"",IFERROR(IF(LEFT($B221,3)=$Z$2,VLOOKUP($C221,Outbound!$B:$AAZ,52,FALSE),VLOOKUP($B221,Outbound!$B:$AAZ,52,FALSE)),"NON TROVATO"),"")</f>
        <v>0</v>
      </c>
      <c r="J221" s="396"/>
      <c r="K221" s="387" t="str">
        <f>IF(B221&lt;&gt;"",IF($D221&lt;&gt;"ON ROCS/NOT ON FILE",IFERROR(_xlfn.XLOOKUP(LEFT($D221,3),'STAT 77 Table'!$B:$B,'STAT 77 Table'!$A:$A),"ZZ"&amp;RIGHT($B221,4)),""),"")</f>
        <v>IM697</v>
      </c>
      <c r="L221" s="396"/>
      <c r="O221" s="388"/>
      <c r="P221" s="388"/>
      <c r="AA221" s="421" t="str">
        <f t="shared" si="3"/>
        <v>ERN19820</v>
      </c>
    </row>
    <row r="222" spans="1:27" ht="16.5">
      <c r="A222" s="387" t="str">
        <f>'STAT 77 Table'!$I$37</f>
        <v>ITD12655</v>
      </c>
      <c r="B222" t="s">
        <v>1782</v>
      </c>
      <c r="C222" t="s">
        <v>1231</v>
      </c>
      <c r="D222" s="387" t="str">
        <f>IF($B222&lt;&gt;"",IFERROR(IF(LEFT($B222,3)=$Z$2,VLOOKUP($C222,Outbound!$B:$Z,4,FALSE),VLOOKUP($B222,Outbound!$B:$Z,4,FALSE)),"ON ROCS/NOT ON FILE"),"")</f>
        <v>TO1</v>
      </c>
      <c r="E222" s="387" t="str">
        <f>IF($B222&lt;&gt;"",IFERROR(IF(LEFT($B222,4)=$Z$2,VLOOKUP($C222,Outbound!$B:$Z,5,FALSE),VLOOKUP($B222,Outbound!$B:$Z,5,FALSE)),"ON ROCS/NOT ON FILE"),"")</f>
        <v>ON ROCS/NOT ON FILE</v>
      </c>
      <c r="F222" s="387" t="str">
        <f>IF(B222&lt;&gt;"",IFERROR(IF(LEFT($B222,3)=$Z$2,VLOOKUP($C222,Outbound!$B:$Z,11,FALSE),VLOOKUP($B222,Outbound!$B:$Z,11,FALSE)),"NON TROVATO"),"")</f>
        <v>Trans Speedy S.R.L</v>
      </c>
      <c r="G222" s="394" t="str">
        <f>IF(B222&lt;&gt;"",IFERROR(IF(LEFT($B222,3)=$Z$2,VLOOKUP($C222,Outbound!$B:$AAZ,16,FALSE),VLOOKUP($B222,Outbound!$B:$AAZ,16,FALSE)),"NON TROVATO"),"")</f>
        <v>XA223MK</v>
      </c>
      <c r="H222" s="394">
        <f>IF(B222&lt;&gt;"",IFERROR(IF(LEFT($B222,3)=$Z$2,VLOOKUP($C222,Outbound!$B:$AAZ,6,FALSE),VLOOKUP($B222,Outbound!$B:$AAZ,6,FALSE)),"NON TROVATO"),"")</f>
        <v>0.30208333333333331</v>
      </c>
      <c r="I222" s="394">
        <f>IF(B222&lt;&gt;"",IFERROR(IF(LEFT($B222,3)=$Z$2,VLOOKUP($C222,Outbound!$B:$AAZ,52,FALSE),VLOOKUP($B222,Outbound!$B:$AAZ,52,FALSE)),"NON TROVATO"),"")</f>
        <v>0</v>
      </c>
      <c r="J222" s="396"/>
      <c r="K222" s="387" t="str">
        <f>IF(B222&lt;&gt;"",IF($D222&lt;&gt;"ON ROCS/NOT ON FILE",IFERROR(_xlfn.XLOOKUP(LEFT($D222,3),'STAT 77 Table'!$B:$B,'STAT 77 Table'!$A:$A),"ZZ"&amp;RIGHT($B222,4)),""),"")</f>
        <v>ZZ1486</v>
      </c>
      <c r="L222" s="396"/>
      <c r="O222" s="388"/>
      <c r="P222" s="388"/>
      <c r="AA222" s="421" t="str">
        <f t="shared" si="3"/>
        <v>ITD12365</v>
      </c>
    </row>
    <row r="223" spans="1:27" ht="16.5">
      <c r="A223" s="387" t="str">
        <f>'STAT 77 Table'!$I$38</f>
        <v>ITD12362</v>
      </c>
      <c r="B223" t="s">
        <v>1783</v>
      </c>
      <c r="C223" t="s">
        <v>1123</v>
      </c>
      <c r="D223" s="387" t="str">
        <f>IF($B223&lt;&gt;"",IFERROR(IF(LEFT($B223,3)=$Z$2,VLOOKUP($C223,Outbound!$B:$Z,4,FALSE),VLOOKUP($B223,Outbound!$B:$Z,4,FALSE)),"ON ROCS/NOT ON FILE"),"")</f>
        <v>TO1</v>
      </c>
      <c r="E223" s="387" t="str">
        <f>IF($B223&lt;&gt;"",IFERROR(IF(LEFT($B223,4)=$Z$2,VLOOKUP($C223,Outbound!$B:$Z,5,FALSE),VLOOKUP($B223,Outbound!$B:$Z,5,FALSE)),"ON ROCS/NOT ON FILE"),"")</f>
        <v>ON ROCS/NOT ON FILE</v>
      </c>
      <c r="F223" s="387" t="str">
        <f>IF(B223&lt;&gt;"",IFERROR(IF(LEFT($B223,3)=$Z$2,VLOOKUP($C223,Outbound!$B:$Z,11,FALSE),VLOOKUP($B223,Outbound!$B:$Z,11,FALSE)),"NON TROVATO"),"")</f>
        <v>Trans Speedy S.R.L</v>
      </c>
      <c r="G223" s="394" t="str">
        <f>IF(B223&lt;&gt;"",IFERROR(IF(LEFT($B223,3)=$Z$2,VLOOKUP($C223,Outbound!$B:$AAZ,16,FALSE),VLOOKUP($B223,Outbound!$B:$AAZ,16,FALSE)),"NON TROVATO"),"")</f>
        <v>XA979VY</v>
      </c>
      <c r="H223" s="394">
        <f>IF(B223&lt;&gt;"",IFERROR(IF(LEFT($B223,3)=$Z$2,VLOOKUP($C223,Outbound!$B:$AAZ,6,FALSE),VLOOKUP($B223,Outbound!$B:$AAZ,6,FALSE)),"NON TROVATO"),"")</f>
        <v>0.30208333333333331</v>
      </c>
      <c r="I223" s="394">
        <f>IF(B223&lt;&gt;"",IFERROR(IF(LEFT($B223,3)=$Z$2,VLOOKUP($C223,Outbound!$B:$AAZ,52,FALSE),VLOOKUP($B223,Outbound!$B:$AAZ,52,FALSE)),"NON TROVATO"),"")</f>
        <v>0</v>
      </c>
      <c r="J223" s="396"/>
      <c r="K223" s="387" t="str">
        <f>IF(B223&lt;&gt;"",IF($D223&lt;&gt;"ON ROCS/NOT ON FILE",IFERROR(_xlfn.XLOOKUP(LEFT($D223,3),'STAT 77 Table'!$B:$B,'STAT 77 Table'!$A:$A),"ZZ"&amp;RIGHT($B223,4)),""),"")</f>
        <v>ZZ1488</v>
      </c>
      <c r="L223" s="396"/>
      <c r="O223" s="388"/>
      <c r="P223" s="388"/>
      <c r="AA223" s="421" t="str">
        <f t="shared" si="3"/>
        <v>ITD12366</v>
      </c>
    </row>
    <row r="224" spans="1:27" ht="16.5">
      <c r="A224" s="387" t="str">
        <f>'STAT 77 Table'!$I$39</f>
        <v>ITD12622</v>
      </c>
      <c r="B224" t="s">
        <v>1784</v>
      </c>
      <c r="C224" t="s">
        <v>637</v>
      </c>
      <c r="D224" s="387" t="str">
        <f>IF($B224&lt;&gt;"",IFERROR(IF(LEFT($B224,3)=$Z$2,VLOOKUP($C224,Outbound!$B:$Z,4,FALSE),VLOOKUP($B224,Outbound!$B:$Z,4,FALSE)),"ON ROCS/NOT ON FILE"),"")</f>
        <v>IOE</v>
      </c>
      <c r="E224" s="387" t="str">
        <f>IF($B224&lt;&gt;"",IFERROR(IF(LEFT($B224,4)=$Z$2,VLOOKUP($C224,Outbound!$B:$Z,5,FALSE),VLOOKUP($B224,Outbound!$B:$Z,5,FALSE)),"ON ROCS/NOT ON FILE"),"")</f>
        <v>ON ROCS/NOT ON FILE</v>
      </c>
      <c r="F224" s="387" t="str">
        <f>IF(B224&lt;&gt;"",IFERROR(IF(LEFT($B224,3)=$Z$2,VLOOKUP($C224,Outbound!$B:$Z,11,FALSE),VLOOKUP($B224,Outbound!$B:$Z,11,FALSE)),"NON TROVATO"),"")</f>
        <v>Zampieri Holding S.R.L.</v>
      </c>
      <c r="G224" s="394" t="str">
        <f>IF(B224&lt;&gt;"",IFERROR(IF(LEFT($B224,3)=$Z$2,VLOOKUP($C224,Outbound!$B:$AAZ,16,FALSE),VLOOKUP($B224,Outbound!$B:$AAZ,16,FALSE)),"NON TROVATO"),"")</f>
        <v>XA353YG</v>
      </c>
      <c r="H224" s="394">
        <f>IF(B224&lt;&gt;"",IFERROR(IF(LEFT($B224,3)=$Z$2,VLOOKUP($C224,Outbound!$B:$AAZ,6,FALSE),VLOOKUP($B224,Outbound!$B:$AAZ,6,FALSE)),"NON TROVATO"),"")</f>
        <v>0.3263888888888889</v>
      </c>
      <c r="I224" s="394">
        <f>IF(B224&lt;&gt;"",IFERROR(IF(LEFT($B224,3)=$Z$2,VLOOKUP($C224,Outbound!$B:$AAZ,52,FALSE),VLOOKUP($B224,Outbound!$B:$AAZ,52,FALSE)),"NON TROVATO"),"")</f>
        <v>0</v>
      </c>
      <c r="J224" s="396"/>
      <c r="K224" s="387" t="str">
        <f>IF(B224&lt;&gt;"",IF($D224&lt;&gt;"ON ROCS/NOT ON FILE",IFERROR(_xlfn.XLOOKUP(LEFT($D224,3),'STAT 77 Table'!$B:$B,'STAT 77 Table'!$A:$A),"ZZ"&amp;RIGHT($B224,4)),""),"")</f>
        <v>ZZ1576</v>
      </c>
      <c r="L224" s="396"/>
      <c r="O224" s="388"/>
      <c r="P224" s="388"/>
      <c r="AA224" s="421" t="str">
        <f t="shared" si="3"/>
        <v>ITD12411</v>
      </c>
    </row>
    <row r="225" spans="1:27" ht="16.5">
      <c r="A225" s="387" t="str">
        <f>'STAT 77 Table'!$I$40</f>
        <v>ERN05729</v>
      </c>
      <c r="B225" t="s">
        <v>1785</v>
      </c>
      <c r="C225" t="s">
        <v>1000</v>
      </c>
      <c r="D225" s="387" t="str">
        <f>IF($B225&lt;&gt;"",IFERROR(IF(LEFT($B225,3)=$Z$2,VLOOKUP($C225,Outbound!$B:$Z,4,FALSE),VLOOKUP($B225,Outbound!$B:$Z,4,FALSE)),"ON ROCS/NOT ON FILE"),"")</f>
        <v>IOE</v>
      </c>
      <c r="E225" s="387" t="str">
        <f>IF($B225&lt;&gt;"",IFERROR(IF(LEFT($B225,4)=$Z$2,VLOOKUP($C225,Outbound!$B:$Z,5,FALSE),VLOOKUP($B225,Outbound!$B:$Z,5,FALSE)),"ON ROCS/NOT ON FILE"),"")</f>
        <v>ON ROCS/NOT ON FILE</v>
      </c>
      <c r="F225" s="387" t="str">
        <f>IF(B225&lt;&gt;"",IFERROR(IF(LEFT($B225,3)=$Z$2,VLOOKUP($C225,Outbound!$B:$Z,11,FALSE),VLOOKUP($B225,Outbound!$B:$Z,11,FALSE)),"NON TROVATO"),"")</f>
        <v>Trans Speedy S.R.L</v>
      </c>
      <c r="G225" s="394" t="str">
        <f>IF(B225&lt;&gt;"",IFERROR(IF(LEFT($B225,3)=$Z$2,VLOOKUP($C225,Outbound!$B:$AAZ,16,FALSE),VLOOKUP($B225,Outbound!$B:$AAZ,16,FALSE)),"NON TROVATO"),"")</f>
        <v>XA960VY</v>
      </c>
      <c r="H225" s="394">
        <f>IF(B225&lt;&gt;"",IFERROR(IF(LEFT($B225,3)=$Z$2,VLOOKUP($C225,Outbound!$B:$AAZ,6,FALSE),VLOOKUP($B225,Outbound!$B:$AAZ,6,FALSE)),"NON TROVATO"),"")</f>
        <v>0.3263888888888889</v>
      </c>
      <c r="I225" s="394">
        <f>IF(B225&lt;&gt;"",IFERROR(IF(LEFT($B225,3)=$Z$2,VLOOKUP($C225,Outbound!$B:$AAZ,52,FALSE),VLOOKUP($B225,Outbound!$B:$AAZ,52,FALSE)),"NON TROVATO"),"")</f>
        <v>0</v>
      </c>
      <c r="J225" s="396"/>
      <c r="K225" s="387" t="str">
        <f>IF(B225&lt;&gt;"",IF($D225&lt;&gt;"ON ROCS/NOT ON FILE",IFERROR(_xlfn.XLOOKUP(LEFT($D225,3),'STAT 77 Table'!$B:$B,'STAT 77 Table'!$A:$A),"ZZ"&amp;RIGHT($B225,4)),""),"")</f>
        <v>ZZ1578</v>
      </c>
      <c r="L225" s="396"/>
      <c r="O225" s="388"/>
      <c r="P225" s="388"/>
      <c r="AA225" s="421" t="str">
        <f t="shared" si="3"/>
        <v>ITD31578</v>
      </c>
    </row>
    <row r="226" spans="1:27" ht="16.5">
      <c r="A226" s="387" t="str">
        <f>'STAT 77 Table'!$I$41</f>
        <v>ERN13502</v>
      </c>
      <c r="B226" t="s">
        <v>1786</v>
      </c>
      <c r="C226" t="s">
        <v>1113</v>
      </c>
      <c r="D226" s="387" t="str">
        <f>IF($B226&lt;&gt;"",IFERROR(IF(LEFT($B226,3)=$Z$2,VLOOKUP($C226,Outbound!$B:$Z,4,FALSE),VLOOKUP($B226,Outbound!$B:$Z,4,FALSE)),"ON ROCS/NOT ON FILE"),"")</f>
        <v>MXP</v>
      </c>
      <c r="E226" s="387" t="str">
        <f>IF($B226&lt;&gt;"",IFERROR(IF(LEFT($B226,4)=$Z$2,VLOOKUP($C226,Outbound!$B:$Z,5,FALSE),VLOOKUP($B226,Outbound!$B:$Z,5,FALSE)),"ON ROCS/NOT ON FILE"),"")</f>
        <v>ON ROCS/NOT ON FILE</v>
      </c>
      <c r="F226" s="387" t="str">
        <f>IF(B226&lt;&gt;"",IFERROR(IF(LEFT($B226,3)=$Z$2,VLOOKUP($C226,Outbound!$B:$Z,11,FALSE),VLOOKUP($B226,Outbound!$B:$Z,11,FALSE)),"NON TROVATO"),"")</f>
        <v>MSG SPA</v>
      </c>
      <c r="G226" s="394" t="str">
        <f>IF(B226&lt;&gt;"",IFERROR(IF(LEFT($B226,3)=$Z$2,VLOOKUP($C226,Outbound!$B:$AAZ,16,FALSE),VLOOKUP($B226,Outbound!$B:$AAZ,16,FALSE)),"NON TROVATO"),"")</f>
        <v>xa581sn</v>
      </c>
      <c r="H226" s="394">
        <f>IF(B226&lt;&gt;"",IFERROR(IF(LEFT($B226,3)=$Z$2,VLOOKUP($C226,Outbound!$B:$AAZ,6,FALSE),VLOOKUP($B226,Outbound!$B:$AAZ,6,FALSE)),"NON TROVATO"),"")</f>
        <v>0.3576388888888889</v>
      </c>
      <c r="I226" s="394">
        <f>IF(B226&lt;&gt;"",IFERROR(IF(LEFT($B226,3)=$Z$2,VLOOKUP($C226,Outbound!$B:$AAZ,52,FALSE),VLOOKUP($B226,Outbound!$B:$AAZ,52,FALSE)),"NON TROVATO"),"")</f>
        <v>0</v>
      </c>
      <c r="J226" s="396"/>
      <c r="K226" s="387" t="str">
        <f>IF(B226&lt;&gt;"",IF($D226&lt;&gt;"ON ROCS/NOT ON FILE",IFERROR(_xlfn.XLOOKUP(LEFT($D226,3),'STAT 77 Table'!$B:$B,'STAT 77 Table'!$A:$A),"ZZ"&amp;RIGHT($B226,4)),""),"")</f>
        <v>IM697</v>
      </c>
      <c r="L226" s="396"/>
      <c r="O226" s="388"/>
      <c r="P226" s="388"/>
      <c r="AA226" s="421" t="str">
        <f t="shared" si="3"/>
        <v>ITD32688</v>
      </c>
    </row>
    <row r="227" spans="1:27" ht="16.5">
      <c r="A227" s="387" t="str">
        <f>'STAT 77 Table'!$I$42</f>
        <v>ERN15902</v>
      </c>
      <c r="B227" t="s">
        <v>1787</v>
      </c>
      <c r="C227" t="s">
        <v>531</v>
      </c>
      <c r="D227" s="387" t="str">
        <f>IF($B227&lt;&gt;"",IFERROR(IF(LEFT($B227,3)=$Z$2,VLOOKUP($C227,Outbound!$B:$Z,4,FALSE),VLOOKUP($B227,Outbound!$B:$Z,4,FALSE)),"ON ROCS/NOT ON FILE"),"")</f>
        <v>MXP</v>
      </c>
      <c r="E227" s="387" t="str">
        <f>IF($B227&lt;&gt;"",IFERROR(IF(LEFT($B227,4)=$Z$2,VLOOKUP($C227,Outbound!$B:$Z,5,FALSE),VLOOKUP($B227,Outbound!$B:$Z,5,FALSE)),"ON ROCS/NOT ON FILE"),"")</f>
        <v>ON ROCS/NOT ON FILE</v>
      </c>
      <c r="F227" s="387" t="str">
        <f>IF(B227&lt;&gt;"",IFERROR(IF(LEFT($B227,3)=$Z$2,VLOOKUP($C227,Outbound!$B:$Z,11,FALSE),VLOOKUP($B227,Outbound!$B:$Z,11,FALSE)),"NON TROVATO"),"")</f>
        <v>Trans Speedy S.R.L</v>
      </c>
      <c r="G227" s="394" t="str">
        <f>IF(B227&lt;&gt;"",IFERROR(IF(LEFT($B227,3)=$Z$2,VLOOKUP($C227,Outbound!$B:$AAZ,16,FALSE),VLOOKUP($B227,Outbound!$B:$AAZ,16,FALSE)),"NON TROVATO"),"")</f>
        <v>XA835RN</v>
      </c>
      <c r="H227" s="394">
        <f>IF(B227&lt;&gt;"",IFERROR(IF(LEFT($B227,3)=$Z$2,VLOOKUP($C227,Outbound!$B:$AAZ,6,FALSE),VLOOKUP($B227,Outbound!$B:$AAZ,6,FALSE)),"NON TROVATO"),"")</f>
        <v>0.3576388888888889</v>
      </c>
      <c r="I227" s="394">
        <f>IF(B227&lt;&gt;"",IFERROR(IF(LEFT($B227,3)=$Z$2,VLOOKUP($C227,Outbound!$B:$AAZ,52,FALSE),VLOOKUP($B227,Outbound!$B:$AAZ,52,FALSE)),"NON TROVATO"),"")</f>
        <v>0</v>
      </c>
      <c r="J227" s="396"/>
      <c r="K227" s="387" t="str">
        <f>IF(B227&lt;&gt;"",IF($D227&lt;&gt;"ON ROCS/NOT ON FILE",IFERROR(_xlfn.XLOOKUP(LEFT($D227,3),'STAT 77 Table'!$B:$B,'STAT 77 Table'!$A:$A),"ZZ"&amp;RIGHT($B227,4)),""),"")</f>
        <v>IM697</v>
      </c>
      <c r="L227" s="396"/>
      <c r="O227" s="388"/>
      <c r="P227" s="388"/>
      <c r="AA227" s="421" t="str">
        <f t="shared" si="3"/>
        <v>ITD32065</v>
      </c>
    </row>
    <row r="228" spans="1:27" ht="16.5" hidden="1">
      <c r="A228" s="387" t="str">
        <f>'STAT 77 Table'!$I$43</f>
        <v>ERN92396</v>
      </c>
      <c r="B228" t="s">
        <v>1788</v>
      </c>
      <c r="C228" t="s">
        <v>1207</v>
      </c>
      <c r="D228" s="387" t="str">
        <f>IF($B228&lt;&gt;"",IFERROR(IF(LEFT($B228,3)=$Z$2,VLOOKUP($C228,Outbound!$B:$Z,4,FALSE),VLOOKUP($B228,Outbound!$B:$Z,4,FALSE)),"ON ROCS/NOT ON FILE"),"")</f>
        <v>MM1</v>
      </c>
      <c r="E228" s="387" t="str">
        <f>IF($B228&lt;&gt;"",IFERROR(IF(LEFT($B228,4)=$Z$2,VLOOKUP($C228,Outbound!$B:$Z,5,FALSE),VLOOKUP($B228,Outbound!$B:$Z,5,FALSE)),"ON ROCS/NOT ON FILE"),"")</f>
        <v>ON ROCS/NOT ON FILE</v>
      </c>
      <c r="F228" s="387" t="str">
        <f>IF(B228&lt;&gt;"",IFERROR(IF(LEFT($B228,3)=$Z$2,VLOOKUP($C228,Outbound!$B:$Z,11,FALSE),VLOOKUP($B228,Outbound!$B:$Z,11,FALSE)),"NON TROVATO"),"")</f>
        <v>Cds Trasp. E Logistica Srl</v>
      </c>
      <c r="G228" s="394" t="str">
        <f>IF(B228&lt;&gt;"",IFERROR(IF(LEFT($B228,3)=$Z$2,VLOOKUP($C228,Outbound!$B:$AAZ,16,FALSE),VLOOKUP($B228,Outbound!$B:$AAZ,16,FALSE)),"NON TROVATO"),"")</f>
        <v>XA998AR</v>
      </c>
      <c r="H228" s="394">
        <f>IF(B228&lt;&gt;"",IFERROR(IF(LEFT($B228,3)=$Z$2,VLOOKUP($C228,Outbound!$B:$AAZ,6,FALSE),VLOOKUP($B228,Outbound!$B:$AAZ,6,FALSE)),"NON TROVATO"),"")</f>
        <v>0.375</v>
      </c>
      <c r="I228" s="394">
        <f>IF(B228&lt;&gt;"",IFERROR(IF(LEFT($B228,3)=$Z$2,VLOOKUP($C228,Outbound!$B:$AAZ,52,FALSE),VLOOKUP($B228,Outbound!$B:$AAZ,52,FALSE)),"NON TROVATO"),"")</f>
        <v>0.78888888888888886</v>
      </c>
      <c r="J228" s="440" t="s">
        <v>1212</v>
      </c>
      <c r="K228" s="387" t="str">
        <f>IF(B228&lt;&gt;"",IF($D228&lt;&gt;"ON ROCS/NOT ON FILE",IFERROR(_xlfn.XLOOKUP(LEFT($D228,3),'STAT 77 Table'!$B:$B,'STAT 77 Table'!$A:$A),"ZZ"&amp;RIGHT($B228,4)),""),"")</f>
        <v>IM697</v>
      </c>
      <c r="L228" s="396" t="s">
        <v>1605</v>
      </c>
      <c r="O228" s="388"/>
      <c r="P228" s="388"/>
      <c r="AA228" s="421" t="str">
        <f t="shared" si="3"/>
        <v>ITD32602</v>
      </c>
    </row>
    <row r="229" spans="1:27" ht="16.5">
      <c r="A229" s="387" t="str">
        <f>'STAT 77 Table'!$I$44</f>
        <v>ERN19135</v>
      </c>
      <c r="B229" t="s">
        <v>1411</v>
      </c>
      <c r="C229" t="s">
        <v>1412</v>
      </c>
      <c r="D229" s="387" t="str">
        <f>IF($B229&lt;&gt;"",IFERROR(IF(LEFT($B229,3)=$Z$2,VLOOKUP($C229,Outbound!$B:$Z,4,FALSE),VLOOKUP($B229,Outbound!$B:$Z,4,FALSE)),"ON ROCS/NOT ON FILE"),"")</f>
        <v>DNG 7</v>
      </c>
      <c r="E229" s="387" t="str">
        <f>IF($B229&lt;&gt;"",IFERROR(IF(LEFT($B229,4)=$Z$2,VLOOKUP($C229,Outbound!$B:$Z,5,FALSE),VLOOKUP($B229,Outbound!$B:$Z,5,FALSE)),"ON ROCS/NOT ON FILE"),"")</f>
        <v/>
      </c>
      <c r="F229" s="387" t="str">
        <f>IF(B229&lt;&gt;"",IFERROR(IF(LEFT($B229,3)=$Z$2,VLOOKUP($C229,Outbound!$B:$Z,11,FALSE),VLOOKUP($B229,Outbound!$B:$Z,11,FALSE)),"NON TROVATO"),"")</f>
        <v>Galileo Transport Srl</v>
      </c>
      <c r="G229" s="394" t="str">
        <f>IF(B229&lt;&gt;"",IFERROR(IF(LEFT($B229,3)=$Z$2,VLOOKUP($C229,Outbound!$B:$AAZ,16,FALSE),VLOOKUP($B229,Outbound!$B:$AAZ,16,FALSE)),"NON TROVATO"),"")</f>
        <v>RENT395</v>
      </c>
      <c r="H229" s="394">
        <f>IF(B229&lt;&gt;"",IFERROR(IF(LEFT($B229,3)=$Z$2,VLOOKUP($C229,Outbound!$B:$AAZ,6,FALSE),VLOOKUP($B229,Outbound!$B:$AAZ,6,FALSE)),"NON TROVATO"),"")</f>
        <v>0.375</v>
      </c>
      <c r="I229" s="394">
        <f>IF(B229&lt;&gt;"",IFERROR(IF(LEFT($B229,3)=$Z$2,VLOOKUP($C229,Outbound!$B:$AAZ,52,FALSE),VLOOKUP($B229,Outbound!$B:$AAZ,52,FALSE)),"NON TROVATO"),"")</f>
        <v>0</v>
      </c>
      <c r="J229" s="396"/>
      <c r="K229" s="387" t="str">
        <f>IF(B229&lt;&gt;"",IF($D229&lt;&gt;"ON ROCS/NOT ON FILE",IFERROR(_xlfn.XLOOKUP(LEFT($D229,3),'STAT 77 Table'!$B:$B,'STAT 77 Table'!$A:$A),"ZZ"&amp;RIGHT($B229,4)),""),"")</f>
        <v>IM453</v>
      </c>
      <c r="L229" s="396"/>
      <c r="O229" s="388"/>
      <c r="P229" s="388"/>
      <c r="AA229" s="421" t="str">
        <f t="shared" si="3"/>
        <v>ERN18646</v>
      </c>
    </row>
    <row r="230" spans="1:27" ht="16.5">
      <c r="A230" s="387" t="str">
        <f>'STAT 77 Table'!$I$45</f>
        <v>ERN15904</v>
      </c>
      <c r="B230" t="s">
        <v>261</v>
      </c>
      <c r="C230" t="s">
        <v>1540</v>
      </c>
      <c r="D230" s="387" t="str">
        <f>IF($B230&lt;&gt;"",IFERROR(IF(LEFT($B230,3)=$Z$2,VLOOKUP($C230,Outbound!$B:$Z,4,FALSE),VLOOKUP($B230,Outbound!$B:$Z,4,FALSE)),"ON ROCS/NOT ON FILE"),"")</f>
        <v>DZ5 1</v>
      </c>
      <c r="E230" s="387" t="str">
        <f>IF($B230&lt;&gt;"",IFERROR(IF(LEFT($B230,4)=$Z$2,VLOOKUP($C230,Outbound!$B:$Z,5,FALSE),VLOOKUP($B230,Outbound!$B:$Z,5,FALSE)),"ON ROCS/NOT ON FILE"),"")</f>
        <v/>
      </c>
      <c r="F230" s="387" t="str">
        <f>IF(B230&lt;&gt;"",IFERROR(IF(LEFT($B230,3)=$Z$2,VLOOKUP($C230,Outbound!$B:$Z,11,FALSE),VLOOKUP($B230,Outbound!$B:$Z,11,FALSE)),"NON TROVATO"),"")</f>
        <v>Ravitex Srl</v>
      </c>
      <c r="G230" s="394" t="str">
        <f>IF(B230&lt;&gt;"",IFERROR(IF(LEFT($B230,3)=$Z$2,VLOOKUP($C230,Outbound!$B:$AAZ,16,FALSE),VLOOKUP($B230,Outbound!$B:$AAZ,16,FALSE)),"NON TROVATO"),"")</f>
        <v>ENB15372</v>
      </c>
      <c r="H230" s="394">
        <f>IF(B230&lt;&gt;"",IFERROR(IF(LEFT($B230,3)=$Z$2,VLOOKUP($C230,Outbound!$B:$AAZ,6,FALSE),VLOOKUP($B230,Outbound!$B:$AAZ,6,FALSE)),"NON TROVATO"),"")</f>
        <v>0.40625</v>
      </c>
      <c r="I230" s="394">
        <f>IF(B230&lt;&gt;"",IFERROR(IF(LEFT($B230,3)=$Z$2,VLOOKUP($C230,Outbound!$B:$AAZ,52,FALSE),VLOOKUP($B230,Outbound!$B:$AAZ,52,FALSE)),"NON TROVATO"),"")</f>
        <v>0</v>
      </c>
      <c r="J230" s="396"/>
      <c r="K230" s="387" t="str">
        <f>IF(B230&lt;&gt;"",IF($D230&lt;&gt;"ON ROCS/NOT ON FILE",IFERROR(_xlfn.XLOOKUP(LEFT($D230,3),'STAT 77 Table'!$B:$B,'STAT 77 Table'!$A:$A),"ZZ"&amp;RIGHT($B230,4)),""),"")</f>
        <v>IM727</v>
      </c>
      <c r="L230" s="396"/>
      <c r="O230" s="388"/>
      <c r="P230" s="388"/>
      <c r="AA230" s="421" t="str">
        <f t="shared" si="3"/>
        <v>ERN14443</v>
      </c>
    </row>
    <row r="231" spans="1:27" ht="16.5">
      <c r="A231" s="387" t="str">
        <f>'STAT 77 Table'!$I$46</f>
        <v>ERN92347</v>
      </c>
      <c r="B231" t="s">
        <v>1508</v>
      </c>
      <c r="C231" t="s">
        <v>1509</v>
      </c>
      <c r="D231" s="387" t="str">
        <f>IF($B231&lt;&gt;"",IFERROR(IF(LEFT($B231,3)=$Z$2,VLOOKUP($C231,Outbound!$B:$Z,4,FALSE),VLOOKUP($B231,Outbound!$B:$Z,4,FALSE)),"ON ROCS/NOT ON FILE"),"")</f>
        <v>QAR 6</v>
      </c>
      <c r="E231" s="387" t="str">
        <f>IF($B231&lt;&gt;"",IFERROR(IF(LEFT($B231,4)=$Z$2,VLOOKUP($C231,Outbound!$B:$Z,5,FALSE),VLOOKUP($B231,Outbound!$B:$Z,5,FALSE)),"ON ROCS/NOT ON FILE"),"")</f>
        <v/>
      </c>
      <c r="F231" s="387" t="str">
        <f>IF(B231&lt;&gt;"",IFERROR(IF(LEFT($B231,3)=$Z$2,VLOOKUP($C231,Outbound!$B:$Z,11,FALSE),VLOOKUP($B231,Outbound!$B:$Z,11,FALSE)),"NON TROVATO"),"")</f>
        <v>Etb Freight International Kft.</v>
      </c>
      <c r="G231" s="394">
        <f>IF(B231&lt;&gt;"",IFERROR(IF(LEFT($B231,3)=$Z$2,VLOOKUP($C231,Outbound!$B:$AAZ,16,FALSE),VLOOKUP($B231,Outbound!$B:$AAZ,16,FALSE)),"NON TROVATO"),"")</f>
        <v>0</v>
      </c>
      <c r="H231" s="394">
        <f>IF(B231&lt;&gt;"",IFERROR(IF(LEFT($B231,3)=$Z$2,VLOOKUP($C231,Outbound!$B:$AAZ,6,FALSE),VLOOKUP($B231,Outbound!$B:$AAZ,6,FALSE)),"NON TROVATO"),"")</f>
        <v>0.41666666666424135</v>
      </c>
      <c r="I231" s="394">
        <f>IF(B231&lt;&gt;"",IFERROR(IF(LEFT($B231,3)=$Z$2,VLOOKUP($C231,Outbound!$B:$AAZ,52,FALSE),VLOOKUP($B231,Outbound!$B:$AAZ,52,FALSE)),"NON TROVATO"),"")</f>
        <v>0</v>
      </c>
      <c r="J231" s="396"/>
      <c r="K231" s="387" t="str">
        <f>IF(B231&lt;&gt;"",IF($D231&lt;&gt;"ON ROCS/NOT ON FILE",IFERROR(_xlfn.XLOOKUP(LEFT($D231,3),'STAT 77 Table'!$B:$B,'STAT 77 Table'!$A:$A),"ZZ"&amp;RIGHT($B231,4)),""),"")</f>
        <v>IM727</v>
      </c>
      <c r="L231" s="396"/>
      <c r="O231" s="388"/>
      <c r="P231" s="388"/>
      <c r="AA231" s="421" t="str">
        <f t="shared" si="3"/>
        <v>ERN92354</v>
      </c>
    </row>
    <row r="232" spans="1:27" ht="16.5">
      <c r="A232" s="387" t="str">
        <f>'STAT 77 Table'!$I$47</f>
        <v>ERN9XXX</v>
      </c>
      <c r="B232" t="s">
        <v>1511</v>
      </c>
      <c r="C232" t="s">
        <v>1512</v>
      </c>
      <c r="D232" s="387" t="str">
        <f>IF($B232&lt;&gt;"",IFERROR(IF(LEFT($B232,3)=$Z$2,VLOOKUP($C232,Outbound!$B:$Z,4,FALSE),VLOOKUP($B232,Outbound!$B:$Z,4,FALSE)),"ON ROCS/NOT ON FILE"),"")</f>
        <v>QAR 5</v>
      </c>
      <c r="E232" s="387" t="str">
        <f>IF($B232&lt;&gt;"",IFERROR(IF(LEFT($B232,4)=$Z$2,VLOOKUP($C232,Outbound!$B:$Z,5,FALSE),VLOOKUP($B232,Outbound!$B:$Z,5,FALSE)),"ON ROCS/NOT ON FILE"),"")</f>
        <v/>
      </c>
      <c r="F232" s="387" t="str">
        <f>IF(B232&lt;&gt;"",IFERROR(IF(LEFT($B232,3)=$Z$2,VLOOKUP($C232,Outbound!$B:$Z,11,FALSE),VLOOKUP($B232,Outbound!$B:$Z,11,FALSE)),"NON TROVATO"),"")</f>
        <v>Etb Freight International Kft.</v>
      </c>
      <c r="G232" s="394" t="str">
        <f>IF(B232&lt;&gt;"",IFERROR(IF(LEFT($B232,3)=$Z$2,VLOOKUP($C232,Outbound!$B:$AAZ,16,FALSE),VLOOKUP($B232,Outbound!$B:$AAZ,16,FALSE)),"NON TROVATO"),"")</f>
        <v>AEDX252</v>
      </c>
      <c r="H232" s="394">
        <f>IF(B232&lt;&gt;"",IFERROR(IF(LEFT($B232,3)=$Z$2,VLOOKUP($C232,Outbound!$B:$AAZ,6,FALSE),VLOOKUP($B232,Outbound!$B:$AAZ,6,FALSE)),"NON TROVATO"),"")</f>
        <v>0.41666666666424135</v>
      </c>
      <c r="I232" s="394">
        <f>IF(B232&lt;&gt;"",IFERROR(IF(LEFT($B232,3)=$Z$2,VLOOKUP($C232,Outbound!$B:$AAZ,52,FALSE),VLOOKUP($B232,Outbound!$B:$AAZ,52,FALSE)),"NON TROVATO"),"")</f>
        <v>0</v>
      </c>
      <c r="J232" s="396"/>
      <c r="K232" s="387" t="str">
        <f>IF(B232&lt;&gt;"",IF($D232&lt;&gt;"ON ROCS/NOT ON FILE",IFERROR(_xlfn.XLOOKUP(LEFT($D232,3),'STAT 77 Table'!$B:$B,'STAT 77 Table'!$A:$A),"ZZ"&amp;RIGHT($B232,4)),""),"")</f>
        <v>IM727</v>
      </c>
      <c r="L232" s="396"/>
      <c r="O232" s="388"/>
      <c r="P232" s="388"/>
      <c r="AA232" s="421" t="str">
        <f t="shared" si="3"/>
        <v>ERN92353</v>
      </c>
    </row>
    <row r="233" spans="1:27" ht="16.5">
      <c r="A233" s="387" t="str">
        <f>'STAT 77 Table'!$I$48</f>
        <v>ERN92353</v>
      </c>
      <c r="B233" t="s">
        <v>1578</v>
      </c>
      <c r="C233" t="s">
        <v>1579</v>
      </c>
      <c r="D233" s="387" t="str">
        <f>IF($B233&lt;&gt;"",IFERROR(IF(LEFT($B233,3)=$Z$2,VLOOKUP($C233,Outbound!$B:$Z,4,FALSE),VLOOKUP($B233,Outbound!$B:$Z,4,FALSE)),"ON ROCS/NOT ON FILE"),"")</f>
        <v>ZNF</v>
      </c>
      <c r="E233" s="387" t="str">
        <f>IF($B233&lt;&gt;"",IFERROR(IF(LEFT($B233,4)=$Z$2,VLOOKUP($C233,Outbound!$B:$Z,5,FALSE),VLOOKUP($B233,Outbound!$B:$Z,5,FALSE)),"ON ROCS/NOT ON FILE"),"")</f>
        <v/>
      </c>
      <c r="F233" s="387" t="str">
        <f>IF(B233&lt;&gt;"",IFERROR(IF(LEFT($B233,3)=$Z$2,VLOOKUP($C233,Outbound!$B:$Z,11,FALSE),VLOOKUP($B233,Outbound!$B:$Z,11,FALSE)),"NON TROVATO"),"")</f>
        <v>Transimeksa Uab</v>
      </c>
      <c r="G233" s="394" t="str">
        <f>IF(B233&lt;&gt;"",IFERROR(IF(LEFT($B233,3)=$Z$2,VLOOKUP($C233,Outbound!$B:$AAZ,16,FALSE),VLOOKUP($B233,Outbound!$B:$AAZ,16,FALSE)),"NON TROVATO"),"")</f>
        <v>ENBR26568</v>
      </c>
      <c r="H233" s="394">
        <f>IF(B233&lt;&gt;"",IFERROR(IF(LEFT($B233,3)=$Z$2,VLOOKUP($C233,Outbound!$B:$AAZ,6,FALSE),VLOOKUP($B233,Outbound!$B:$AAZ,6,FALSE)),"NON TROVATO"),"")</f>
        <v>0.41666666666424135</v>
      </c>
      <c r="I233" s="394">
        <f>IF(B233&lt;&gt;"",IFERROR(IF(LEFT($B233,3)=$Z$2,VLOOKUP($C233,Outbound!$B:$AAZ,52,FALSE),VLOOKUP($B233,Outbound!$B:$AAZ,52,FALSE)),"NON TROVATO"),"")</f>
        <v>0</v>
      </c>
      <c r="J233" s="396"/>
      <c r="K233" s="387" t="str">
        <f>IF(B233&lt;&gt;"",IF($D233&lt;&gt;"ON ROCS/NOT ON FILE",IFERROR(_xlfn.XLOOKUP(LEFT($D233,3),'STAT 77 Table'!$B:$B,'STAT 77 Table'!$A:$A),"ZZ"&amp;RIGHT($B233,4)),""),"")</f>
        <v>ZZ0414</v>
      </c>
      <c r="L233" s="396"/>
      <c r="O233" s="388"/>
      <c r="P233" s="388"/>
      <c r="AA233" s="421" t="str">
        <f t="shared" si="3"/>
        <v>ERN90414</v>
      </c>
    </row>
    <row r="234" spans="1:27" ht="16.5">
      <c r="A234" s="387" t="str">
        <f>'STAT 77 Table'!$I$49</f>
        <v>ERN17085</v>
      </c>
      <c r="B234" t="s">
        <v>1517</v>
      </c>
      <c r="C234" t="s">
        <v>1518</v>
      </c>
      <c r="D234" s="387" t="str">
        <f>IF($B234&lt;&gt;"",IFERROR(IF(LEFT($B234,3)=$Z$2,VLOOKUP($C234,Outbound!$B:$Z,4,FALSE),VLOOKUP($B234,Outbound!$B:$Z,4,FALSE)),"ON ROCS/NOT ON FILE"),"")</f>
        <v>QAR 7</v>
      </c>
      <c r="E234" s="387" t="str">
        <f>IF($B234&lt;&gt;"",IFERROR(IF(LEFT($B234,4)=$Z$2,VLOOKUP($C234,Outbound!$B:$Z,5,FALSE),VLOOKUP($B234,Outbound!$B:$Z,5,FALSE)),"ON ROCS/NOT ON FILE"),"")</f>
        <v/>
      </c>
      <c r="F234" s="387" t="str">
        <f>IF(B234&lt;&gt;"",IFERROR(IF(LEFT($B234,3)=$Z$2,VLOOKUP($C234,Outbound!$B:$Z,11,FALSE),VLOOKUP($B234,Outbound!$B:$Z,11,FALSE)),"NON TROVATO"),"")</f>
        <v>T Service Spa</v>
      </c>
      <c r="G234" s="394">
        <f>IF(B234&lt;&gt;"",IFERROR(IF(LEFT($B234,3)=$Z$2,VLOOKUP($C234,Outbound!$B:$AAZ,16,FALSE),VLOOKUP($B234,Outbound!$B:$AAZ,16,FALSE)),"NON TROVATO"),"")</f>
        <v>0</v>
      </c>
      <c r="H234" s="394">
        <f>IF(B234&lt;&gt;"",IFERROR(IF(LEFT($B234,3)=$Z$2,VLOOKUP($C234,Outbound!$B:$AAZ,6,FALSE),VLOOKUP($B234,Outbound!$B:$AAZ,6,FALSE)),"NON TROVATO"),"")</f>
        <v>0.41666666666424135</v>
      </c>
      <c r="I234" s="394">
        <f>IF(B234&lt;&gt;"",IFERROR(IF(LEFT($B234,3)=$Z$2,VLOOKUP($C234,Outbound!$B:$AAZ,52,FALSE),VLOOKUP($B234,Outbound!$B:$AAZ,52,FALSE)),"NON TROVATO"),"")</f>
        <v>0</v>
      </c>
      <c r="J234" s="396"/>
      <c r="K234" s="387" t="str">
        <f>IF(B234&lt;&gt;"",IF($D234&lt;&gt;"ON ROCS/NOT ON FILE",IFERROR(_xlfn.XLOOKUP(LEFT($D234,3),'STAT 77 Table'!$B:$B,'STAT 77 Table'!$A:$A),"ZZ"&amp;RIGHT($B234,4)),""),"")</f>
        <v>IM727</v>
      </c>
      <c r="L234" s="396"/>
      <c r="O234" s="388"/>
      <c r="P234" s="388"/>
      <c r="AA234" s="421" t="str">
        <f t="shared" si="3"/>
        <v>ERN92355</v>
      </c>
    </row>
    <row r="235" spans="1:27" ht="16.5">
      <c r="A235" s="387" t="str">
        <f>'STAT 77 Table'!$I$50</f>
        <v>ERN19361</v>
      </c>
      <c r="B235" t="s">
        <v>1527</v>
      </c>
      <c r="C235" t="s">
        <v>1528</v>
      </c>
      <c r="D235" s="387" t="str">
        <f>IF($B235&lt;&gt;"",IFERROR(IF(LEFT($B235,3)=$Z$2,VLOOKUP($C235,Outbound!$B:$Z,4,FALSE),VLOOKUP($B235,Outbound!$B:$Z,4,FALSE)),"ON ROCS/NOT ON FILE"),"")</f>
        <v>KG4 1</v>
      </c>
      <c r="E235" s="387" t="str">
        <f>IF($B235&lt;&gt;"",IFERROR(IF(LEFT($B235,4)=$Z$2,VLOOKUP($C235,Outbound!$B:$Z,5,FALSE),VLOOKUP($B235,Outbound!$B:$Z,5,FALSE)),"ON ROCS/NOT ON FILE"),"")</f>
        <v/>
      </c>
      <c r="F235" s="387" t="str">
        <f>IF(B235&lt;&gt;"",IFERROR(IF(LEFT($B235,3)=$Z$2,VLOOKUP($C235,Outbound!$B:$Z,11,FALSE),VLOOKUP($B235,Outbound!$B:$Z,11,FALSE)),"NON TROVATO"),"")</f>
        <v>Ravitex Srl</v>
      </c>
      <c r="G235" s="394" t="str">
        <f>IF(B235&lt;&gt;"",IFERROR(IF(LEFT($B235,3)=$Z$2,VLOOKUP($C235,Outbound!$B:$AAZ,16,FALSE),VLOOKUP($B235,Outbound!$B:$AAZ,16,FALSE)),"NON TROVATO"),"")</f>
        <v>ENBR21329</v>
      </c>
      <c r="H235" s="394">
        <f>IF(B235&lt;&gt;"",IFERROR(IF(LEFT($B235,3)=$Z$2,VLOOKUP($C235,Outbound!$B:$AAZ,6,FALSE),VLOOKUP($B235,Outbound!$B:$AAZ,6,FALSE)),"NON TROVATO"),"")</f>
        <v>0.41666666666424135</v>
      </c>
      <c r="I235" s="394">
        <f>IF(B235&lt;&gt;"",IFERROR(IF(LEFT($B235,3)=$Z$2,VLOOKUP($C235,Outbound!$B:$AAZ,52,FALSE),VLOOKUP($B235,Outbound!$B:$AAZ,52,FALSE)),"NON TROVATO"),"")</f>
        <v>0</v>
      </c>
      <c r="J235" s="396"/>
      <c r="K235" s="387" t="str">
        <f>IF(B235&lt;&gt;"",IF($D235&lt;&gt;"ON ROCS/NOT ON FILE",IFERROR(_xlfn.XLOOKUP(LEFT($D235,3),'STAT 77 Table'!$B:$B,'STAT 77 Table'!$A:$A),"ZZ"&amp;RIGHT($B235,4)),""),"")</f>
        <v>IM727</v>
      </c>
      <c r="L235" s="396"/>
      <c r="O235" s="388"/>
      <c r="P235" s="388"/>
      <c r="AA235" s="421" t="str">
        <f t="shared" si="3"/>
        <v>ERN19354</v>
      </c>
    </row>
    <row r="236" spans="1:27" ht="16.5">
      <c r="A236" s="387" t="str">
        <f>'STAT 77 Table'!$I$51</f>
        <v>ITD12287</v>
      </c>
      <c r="B236" t="s">
        <v>1398</v>
      </c>
      <c r="C236" t="s">
        <v>1399</v>
      </c>
      <c r="D236" s="387" t="str">
        <f>IF($B236&lt;&gt;"",IFERROR(IF(LEFT($B236,3)=$Z$2,VLOOKUP($C236,Outbound!$B:$Z,4,FALSE),VLOOKUP($B236,Outbound!$B:$Z,4,FALSE)),"ON ROCS/NOT ON FILE"),"")</f>
        <v>DFT 2</v>
      </c>
      <c r="E236" s="387" t="str">
        <f>IF($B236&lt;&gt;"",IFERROR(IF(LEFT($B236,4)=$Z$2,VLOOKUP($C236,Outbound!$B:$Z,5,FALSE),VLOOKUP($B236,Outbound!$B:$Z,5,FALSE)),"ON ROCS/NOT ON FILE"),"")</f>
        <v/>
      </c>
      <c r="F236" s="387" t="str">
        <f>IF(B236&lt;&gt;"",IFERROR(IF(LEFT($B236,3)=$Z$2,VLOOKUP($C236,Outbound!$B:$Z,11,FALSE),VLOOKUP($B236,Outbound!$B:$Z,11,FALSE)),"NON TROVATO"),"")</f>
        <v>Matelda Srl</v>
      </c>
      <c r="G236" s="394">
        <f>IF(B236&lt;&gt;"",IFERROR(IF(LEFT($B236,3)=$Z$2,VLOOKUP($C236,Outbound!$B:$AAZ,16,FALSE),VLOOKUP($B236,Outbound!$B:$AAZ,16,FALSE)),"NON TROVATO"),"")</f>
        <v>0</v>
      </c>
      <c r="H236" s="394">
        <f>IF(B236&lt;&gt;"",IFERROR(IF(LEFT($B236,3)=$Z$2,VLOOKUP($C236,Outbound!$B:$AAZ,6,FALSE),VLOOKUP($B236,Outbound!$B:$AAZ,6,FALSE)),"NON TROVATO"),"")</f>
        <v>0.41666666666424135</v>
      </c>
      <c r="I236" s="394">
        <f>IF(B236&lt;&gt;"",IFERROR(IF(LEFT($B236,3)=$Z$2,VLOOKUP($C236,Outbound!$B:$AAZ,52,FALSE),VLOOKUP($B236,Outbound!$B:$AAZ,52,FALSE)),"NON TROVATO"),"")</f>
        <v>0</v>
      </c>
      <c r="J236" s="396"/>
      <c r="K236" s="387" t="str">
        <f>IF(B236&lt;&gt;"",IF($D236&lt;&gt;"ON ROCS/NOT ON FILE",IFERROR(_xlfn.XLOOKUP(LEFT($D236,3),'STAT 77 Table'!$B:$B,'STAT 77 Table'!$A:$A),"ZZ"&amp;RIGHT($B236,4)),""),"")</f>
        <v>IM443</v>
      </c>
      <c r="L236" s="396"/>
      <c r="O236" s="388"/>
      <c r="P236" s="388"/>
      <c r="AA236" s="421" t="str">
        <f t="shared" si="3"/>
        <v>ERN04689</v>
      </c>
    </row>
    <row r="237" spans="1:27" ht="16.5">
      <c r="A237" s="387" t="str">
        <f>'STAT 77 Table'!$I$52</f>
        <v>ITD12263</v>
      </c>
      <c r="B237" t="s">
        <v>268</v>
      </c>
      <c r="C237" t="s">
        <v>1536</v>
      </c>
      <c r="D237" s="387" t="str">
        <f>IF($B237&lt;&gt;"",IFERROR(IF(LEFT($B237,3)=$Z$2,VLOOKUP($C237,Outbound!$B:$Z,4,FALSE),VLOOKUP($B237,Outbound!$B:$Z,4,FALSE)),"ON ROCS/NOT ON FILE"),"")</f>
        <v>KG4 2</v>
      </c>
      <c r="E237" s="387" t="str">
        <f>IF($B237&lt;&gt;"",IFERROR(IF(LEFT($B237,4)=$Z$2,VLOOKUP($C237,Outbound!$B:$Z,5,FALSE),VLOOKUP($B237,Outbound!$B:$Z,5,FALSE)),"ON ROCS/NOT ON FILE"),"")</f>
        <v/>
      </c>
      <c r="F237" s="387" t="str">
        <f>IF(B237&lt;&gt;"",IFERROR(IF(LEFT($B237,3)=$Z$2,VLOOKUP($C237,Outbound!$B:$Z,11,FALSE),VLOOKUP($B237,Outbound!$B:$Z,11,FALSE)),"NON TROVATO"),"")</f>
        <v>Matelda Srl</v>
      </c>
      <c r="G237" s="394" t="str">
        <f>IF(B237&lt;&gt;"",IFERROR(IF(LEFT($B237,3)=$Z$2,VLOOKUP($C237,Outbound!$B:$AAZ,16,FALSE),VLOOKUP($B237,Outbound!$B:$AAZ,16,FALSE)),"NON TROVATO"),"")</f>
        <v>ENBD20304</v>
      </c>
      <c r="H237" s="394">
        <f>IF(B237&lt;&gt;"",IFERROR(IF(LEFT($B237,3)=$Z$2,VLOOKUP($C237,Outbound!$B:$AAZ,6,FALSE),VLOOKUP($B237,Outbound!$B:$AAZ,6,FALSE)),"NON TROVATO"),"")</f>
        <v>0.41666666666424135</v>
      </c>
      <c r="I237" s="394">
        <f>IF(B237&lt;&gt;"",IFERROR(IF(LEFT($B237,3)=$Z$2,VLOOKUP($C237,Outbound!$B:$AAZ,52,FALSE),VLOOKUP($B237,Outbound!$B:$AAZ,52,FALSE)),"NON TROVATO"),"")</f>
        <v>0</v>
      </c>
      <c r="J237" s="396"/>
      <c r="K237" s="387" t="str">
        <f>IF(B237&lt;&gt;"",IF($D237&lt;&gt;"ON ROCS/NOT ON FILE",IFERROR(_xlfn.XLOOKUP(LEFT($D237,3),'STAT 77 Table'!$B:$B,'STAT 77 Table'!$A:$A),"ZZ"&amp;RIGHT($B237,4)),""),"")</f>
        <v>IM727</v>
      </c>
      <c r="L237" s="396"/>
      <c r="O237" s="388"/>
      <c r="P237" s="388"/>
      <c r="AA237" s="421" t="str">
        <f t="shared" si="3"/>
        <v>ERN02783</v>
      </c>
    </row>
    <row r="238" spans="1:27" ht="16.5">
      <c r="A238" s="387" t="str">
        <f>'STAT 77 Table'!$I$53</f>
        <v>ITD12885</v>
      </c>
      <c r="B238" t="s">
        <v>162</v>
      </c>
      <c r="C238" t="s">
        <v>1419</v>
      </c>
      <c r="D238" s="387" t="str">
        <f>IF($B238&lt;&gt;"",IFERROR(IF(LEFT($B238,3)=$Z$2,VLOOKUP($C238,Outbound!$B:$Z,4,FALSE),VLOOKUP($B238,Outbound!$B:$Z,4,FALSE)),"ON ROCS/NOT ON FILE"),"")</f>
        <v>DNG 8</v>
      </c>
      <c r="E238" s="387" t="str">
        <f>IF($B238&lt;&gt;"",IFERROR(IF(LEFT($B238,4)=$Z$2,VLOOKUP($C238,Outbound!$B:$Z,5,FALSE),VLOOKUP($B238,Outbound!$B:$Z,5,FALSE)),"ON ROCS/NOT ON FILE"),"")</f>
        <v/>
      </c>
      <c r="F238" s="387" t="str">
        <f>IF(B238&lt;&gt;"",IFERROR(IF(LEFT($B238,3)=$Z$2,VLOOKUP($C238,Outbound!$B:$Z,11,FALSE),VLOOKUP($B238,Outbound!$B:$Z,11,FALSE)),"NON TROVATO"),"")</f>
        <v>Lsc Sp Z O O</v>
      </c>
      <c r="G238" s="394" t="str">
        <f>IF(B238&lt;&gt;"",IFERROR(IF(LEFT($B238,3)=$Z$2,VLOOKUP($C238,Outbound!$B:$AAZ,16,FALSE),VLOOKUP($B238,Outbound!$B:$AAZ,16,FALSE)),"NON TROVATO"),"")</f>
        <v>ENBD20350</v>
      </c>
      <c r="H238" s="394">
        <f>IF(B238&lt;&gt;"",IFERROR(IF(LEFT($B238,3)=$Z$2,VLOOKUP($C238,Outbound!$B:$AAZ,6,FALSE),VLOOKUP($B238,Outbound!$B:$AAZ,6,FALSE)),"NON TROVATO"),"")</f>
        <v>0.41666666666424135</v>
      </c>
      <c r="I238" s="394">
        <f>IF(B238&lt;&gt;"",IFERROR(IF(LEFT($B238,3)=$Z$2,VLOOKUP($C238,Outbound!$B:$AAZ,52,FALSE),VLOOKUP($B238,Outbound!$B:$AAZ,52,FALSE)),"NON TROVATO"),"")</f>
        <v>0</v>
      </c>
      <c r="J238" s="396"/>
      <c r="K238" s="387" t="str">
        <f>IF(B238&lt;&gt;"",IF($D238&lt;&gt;"ON ROCS/NOT ON FILE",IFERROR(_xlfn.XLOOKUP(LEFT($D238,3),'STAT 77 Table'!$B:$B,'STAT 77 Table'!$A:$A),"ZZ"&amp;RIGHT($B238,4)),""),"")</f>
        <v>IM453</v>
      </c>
      <c r="L238" s="396"/>
      <c r="O238" s="388"/>
      <c r="P238" s="388"/>
      <c r="AA238" s="421" t="str">
        <f t="shared" si="3"/>
        <v>ERN04843</v>
      </c>
    </row>
    <row r="239" spans="1:27" ht="16.5">
      <c r="A239" s="387" t="str">
        <f>'STAT 77 Table'!$I$54</f>
        <v>ITD12415</v>
      </c>
      <c r="B239" t="s">
        <v>1534</v>
      </c>
      <c r="C239" t="s">
        <v>1535</v>
      </c>
      <c r="D239" s="387" t="str">
        <f>IF($B239&lt;&gt;"",IFERROR(IF(LEFT($B239,3)=$Z$2,VLOOKUP($C239,Outbound!$B:$Z,4,FALSE),VLOOKUP($B239,Outbound!$B:$Z,4,FALSE)),"ON ROCS/NOT ON FILE"),"")</f>
        <v>DZ5 2</v>
      </c>
      <c r="E239" s="387" t="str">
        <f>IF($B239&lt;&gt;"",IFERROR(IF(LEFT($B239,4)=$Z$2,VLOOKUP($C239,Outbound!$B:$Z,5,FALSE),VLOOKUP($B239,Outbound!$B:$Z,5,FALSE)),"ON ROCS/NOT ON FILE"),"")</f>
        <v/>
      </c>
      <c r="F239" s="387" t="str">
        <f>IF(B239&lt;&gt;"",IFERROR(IF(LEFT($B239,3)=$Z$2,VLOOKUP($C239,Outbound!$B:$Z,11,FALSE),VLOOKUP($B239,Outbound!$B:$Z,11,FALSE)),"NON TROVATO"),"")</f>
        <v>T Service Spa</v>
      </c>
      <c r="G239" s="394" t="str">
        <f>IF(B239&lt;&gt;"",IFERROR(IF(LEFT($B239,3)=$Z$2,VLOOKUP($C239,Outbound!$B:$AAZ,16,FALSE),VLOOKUP($B239,Outbound!$B:$AAZ,16,FALSE)),"NON TROVATO"),"")</f>
        <v>ENBR26535</v>
      </c>
      <c r="H239" s="394">
        <f>IF(B239&lt;&gt;"",IFERROR(IF(LEFT($B239,3)=$Z$2,VLOOKUP($C239,Outbound!$B:$AAZ,6,FALSE),VLOOKUP($B239,Outbound!$B:$AAZ,6,FALSE)),"NON TROVATO"),"")</f>
        <v>0.41666666666424135</v>
      </c>
      <c r="I239" s="394">
        <f>IF(B239&lt;&gt;"",IFERROR(IF(LEFT($B239,3)=$Z$2,VLOOKUP($C239,Outbound!$B:$AAZ,52,FALSE),VLOOKUP($B239,Outbound!$B:$AAZ,52,FALSE)),"NON TROVATO"),"")</f>
        <v>0</v>
      </c>
      <c r="J239" s="396"/>
      <c r="K239" s="387" t="str">
        <f>IF(B239&lt;&gt;"",IF($D239&lt;&gt;"ON ROCS/NOT ON FILE",IFERROR(_xlfn.XLOOKUP(LEFT($D239,3),'STAT 77 Table'!$B:$B,'STAT 77 Table'!$A:$A),"ZZ"&amp;RIGHT($B239,4)),""),"")</f>
        <v>IM727</v>
      </c>
      <c r="L239" s="396"/>
      <c r="O239" s="388"/>
      <c r="P239" s="388"/>
      <c r="AA239" s="421" t="str">
        <f t="shared" si="3"/>
        <v>ERN08505</v>
      </c>
    </row>
    <row r="240" spans="1:27" ht="16.5">
      <c r="A240" s="387" t="str">
        <f>'STAT 77 Table'!$I$55</f>
        <v>ITD12337</v>
      </c>
      <c r="B240" t="s">
        <v>1402</v>
      </c>
      <c r="C240" t="s">
        <v>1403</v>
      </c>
      <c r="D240" s="387" t="str">
        <f>IF($B240&lt;&gt;"",IFERROR(IF(LEFT($B240,3)=$Z$2,VLOOKUP($C240,Outbound!$B:$Z,4,FALSE),VLOOKUP($B240,Outbound!$B:$Z,4,FALSE)),"ON ROCS/NOT ON FILE"),"")</f>
        <v>DFT 1</v>
      </c>
      <c r="E240" s="387" t="str">
        <f>IF($B240&lt;&gt;"",IFERROR(IF(LEFT($B240,4)=$Z$2,VLOOKUP($C240,Outbound!$B:$Z,5,FALSE),VLOOKUP($B240,Outbound!$B:$Z,5,FALSE)),"ON ROCS/NOT ON FILE"),"")</f>
        <v/>
      </c>
      <c r="F240" s="387" t="str">
        <f>IF(B240&lt;&gt;"",IFERROR(IF(LEFT($B240,3)=$Z$2,VLOOKUP($C240,Outbound!$B:$Z,11,FALSE),VLOOKUP($B240,Outbound!$B:$Z,11,FALSE)),"NON TROVATO"),"")</f>
        <v>T Service Spa</v>
      </c>
      <c r="G240" s="394" t="str">
        <f>IF(B240&lt;&gt;"",IFERROR(IF(LEFT($B240,3)=$Z$2,VLOOKUP($C240,Outbound!$B:$AAZ,16,FALSE),VLOOKUP($B240,Outbound!$B:$AAZ,16,FALSE)),"NON TROVATO"),"")</f>
        <v>ENB15470</v>
      </c>
      <c r="H240" s="394">
        <f>IF(B240&lt;&gt;"",IFERROR(IF(LEFT($B240,3)=$Z$2,VLOOKUP($C240,Outbound!$B:$AAZ,6,FALSE),VLOOKUP($B240,Outbound!$B:$AAZ,6,FALSE)),"NON TROVATO"),"")</f>
        <v>0.41666666666424135</v>
      </c>
      <c r="I240" s="394">
        <f>IF(B240&lt;&gt;"",IFERROR(IF(LEFT($B240,3)=$Z$2,VLOOKUP($C240,Outbound!$B:$AAZ,52,FALSE),VLOOKUP($B240,Outbound!$B:$AAZ,52,FALSE)),"NON TROVATO"),"")</f>
        <v>0</v>
      </c>
      <c r="J240" s="396"/>
      <c r="K240" s="387" t="str">
        <f>IF(B240&lt;&gt;"",IF($D240&lt;&gt;"ON ROCS/NOT ON FILE",IFERROR(_xlfn.XLOOKUP(LEFT($D240,3),'STAT 77 Table'!$B:$B,'STAT 77 Table'!$A:$A),"ZZ"&amp;RIGHT($B240,4)),""),"")</f>
        <v>IM443</v>
      </c>
      <c r="L240" s="396"/>
      <c r="O240" s="388"/>
      <c r="P240" s="388"/>
      <c r="AA240" s="421" t="str">
        <f t="shared" si="3"/>
        <v>ERN09688</v>
      </c>
    </row>
    <row r="241" spans="1:27" ht="16.5">
      <c r="A241" s="387" t="str">
        <f>'STAT 77 Table'!$I$56</f>
        <v>ITD12413</v>
      </c>
      <c r="B241" t="s">
        <v>1538</v>
      </c>
      <c r="C241" t="s">
        <v>1539</v>
      </c>
      <c r="D241" s="387" t="str">
        <f>IF($B241&lt;&gt;"",IFERROR(IF(LEFT($B241,3)=$Z$2,VLOOKUP($C241,Outbound!$B:$Z,4,FALSE),VLOOKUP($B241,Outbound!$B:$Z,4,FALSE)),"ON ROCS/NOT ON FILE"),"")</f>
        <v>KG4 3</v>
      </c>
      <c r="E241" s="387" t="str">
        <f>IF($B241&lt;&gt;"",IFERROR(IF(LEFT($B241,4)=$Z$2,VLOOKUP($C241,Outbound!$B:$Z,5,FALSE),VLOOKUP($B241,Outbound!$B:$Z,5,FALSE)),"ON ROCS/NOT ON FILE"),"")</f>
        <v/>
      </c>
      <c r="F241" s="387" t="str">
        <f>IF(B241&lt;&gt;"",IFERROR(IF(LEFT($B241,3)=$Z$2,VLOOKUP($C241,Outbound!$B:$Z,11,FALSE),VLOOKUP($B241,Outbound!$B:$Z,11,FALSE)),"NON TROVATO"),"")</f>
        <v>Matelda Srl</v>
      </c>
      <c r="G241" s="394">
        <f>IF(B241&lt;&gt;"",IFERROR(IF(LEFT($B241,3)=$Z$2,VLOOKUP($C241,Outbound!$B:$AAZ,16,FALSE),VLOOKUP($B241,Outbound!$B:$AAZ,16,FALSE)),"NON TROVATO"),"")</f>
        <v>0</v>
      </c>
      <c r="H241" s="394">
        <f>IF(B241&lt;&gt;"",IFERROR(IF(LEFT($B241,3)=$Z$2,VLOOKUP($C241,Outbound!$B:$AAZ,6,FALSE),VLOOKUP($B241,Outbound!$B:$AAZ,6,FALSE)),"NON TROVATO"),"")</f>
        <v>0.41666666666424135</v>
      </c>
      <c r="I241" s="394">
        <f>IF(B241&lt;&gt;"",IFERROR(IF(LEFT($B241,3)=$Z$2,VLOOKUP($C241,Outbound!$B:$AAZ,52,FALSE),VLOOKUP($B241,Outbound!$B:$AAZ,52,FALSE)),"NON TROVATO"),"")</f>
        <v>0</v>
      </c>
      <c r="J241" s="396"/>
      <c r="K241" s="387" t="str">
        <f>IF(B241&lt;&gt;"",IF($D241&lt;&gt;"ON ROCS/NOT ON FILE",IFERROR(_xlfn.XLOOKUP(LEFT($D241,3),'STAT 77 Table'!$B:$B,'STAT 77 Table'!$A:$A),"ZZ"&amp;RIGHT($B241,4)),""),"")</f>
        <v>IM727</v>
      </c>
      <c r="L241" s="396"/>
      <c r="O241" s="388"/>
      <c r="P241" s="388"/>
      <c r="AA241" s="421" t="str">
        <f t="shared" si="3"/>
        <v>ERN02120</v>
      </c>
    </row>
    <row r="242" spans="1:27" ht="16.5">
      <c r="A242" s="387" t="str">
        <f>'STAT 77 Table'!$I$57</f>
        <v>ITD12403</v>
      </c>
      <c r="B242" t="s">
        <v>1404</v>
      </c>
      <c r="C242" t="s">
        <v>1405</v>
      </c>
      <c r="D242" s="387" t="str">
        <f>IF($B242&lt;&gt;"",IFERROR(IF(LEFT($B242,3)=$Z$2,VLOOKUP($C242,Outbound!$B:$Z,4,FALSE),VLOOKUP($B242,Outbound!$B:$Z,4,FALSE)),"ON ROCS/NOT ON FILE"),"")</f>
        <v>DFT 3</v>
      </c>
      <c r="E242" s="387" t="str">
        <f>IF($B242&lt;&gt;"",IFERROR(IF(LEFT($B242,4)=$Z$2,VLOOKUP($C242,Outbound!$B:$Z,5,FALSE),VLOOKUP($B242,Outbound!$B:$Z,5,FALSE)),"ON ROCS/NOT ON FILE"),"")</f>
        <v/>
      </c>
      <c r="F242" s="387" t="str">
        <f>IF(B242&lt;&gt;"",IFERROR(IF(LEFT($B242,3)=$Z$2,VLOOKUP($C242,Outbound!$B:$Z,11,FALSE),VLOOKUP($B242,Outbound!$B:$Z,11,FALSE)),"NON TROVATO"),"")</f>
        <v>Transimeksa Uab</v>
      </c>
      <c r="G242" s="394">
        <f>IF(B242&lt;&gt;"",IFERROR(IF(LEFT($B242,3)=$Z$2,VLOOKUP($C242,Outbound!$B:$AAZ,16,FALSE),VLOOKUP($B242,Outbound!$B:$AAZ,16,FALSE)),"NON TROVATO"),"")</f>
        <v>0</v>
      </c>
      <c r="H242" s="394">
        <f>IF(B242&lt;&gt;"",IFERROR(IF(LEFT($B242,3)=$Z$2,VLOOKUP($C242,Outbound!$B:$AAZ,6,FALSE),VLOOKUP($B242,Outbound!$B:$AAZ,6,FALSE)),"NON TROVATO"),"")</f>
        <v>0.41666666666424135</v>
      </c>
      <c r="I242" s="394">
        <f>IF(B242&lt;&gt;"",IFERROR(IF(LEFT($B242,3)=$Z$2,VLOOKUP($C242,Outbound!$B:$AAZ,52,FALSE),VLOOKUP($B242,Outbound!$B:$AAZ,52,FALSE)),"NON TROVATO"),"")</f>
        <v>0</v>
      </c>
      <c r="J242" s="396"/>
      <c r="K242" s="387" t="str">
        <f>IF(B242&lt;&gt;"",IF($D242&lt;&gt;"ON ROCS/NOT ON FILE",IFERROR(_xlfn.XLOOKUP(LEFT($D242,3),'STAT 77 Table'!$B:$B,'STAT 77 Table'!$A:$A),"ZZ"&amp;RIGHT($B242,4)),""),"")</f>
        <v>IM443</v>
      </c>
      <c r="L242" s="396"/>
      <c r="O242" s="388"/>
      <c r="P242" s="388"/>
      <c r="AA242" s="421" t="str">
        <f t="shared" si="3"/>
        <v>ERN09324</v>
      </c>
    </row>
    <row r="243" spans="1:27" ht="16.5">
      <c r="A243" s="387" t="str">
        <f>'STAT 77 Table'!$I$58</f>
        <v>ITD12402</v>
      </c>
      <c r="B243" t="s">
        <v>1559</v>
      </c>
      <c r="C243" t="s">
        <v>1560</v>
      </c>
      <c r="D243" s="387" t="str">
        <f>IF($B243&lt;&gt;"",IFERROR(IF(LEFT($B243,3)=$Z$2,VLOOKUP($C243,Outbound!$B:$Z,4,FALSE),VLOOKUP($B243,Outbound!$B:$Z,4,FALSE)),"ON ROCS/NOT ON FILE"),"")</f>
        <v>XWT 7</v>
      </c>
      <c r="E243" s="387" t="str">
        <f>IF($B243&lt;&gt;"",IFERROR(IF(LEFT($B243,4)=$Z$2,VLOOKUP($C243,Outbound!$B:$Z,5,FALSE),VLOOKUP($B243,Outbound!$B:$Z,5,FALSE)),"ON ROCS/NOT ON FILE"),"")</f>
        <v/>
      </c>
      <c r="F243" s="387" t="str">
        <f>IF(B243&lt;&gt;"",IFERROR(IF(LEFT($B243,3)=$Z$2,VLOOKUP($C243,Outbound!$B:$Z,11,FALSE),VLOOKUP($B243,Outbound!$B:$Z,11,FALSE)),"NON TROVATO"),"")</f>
        <v>T Service Spa</v>
      </c>
      <c r="G243" s="394">
        <f>IF(B243&lt;&gt;"",IFERROR(IF(LEFT($B243,3)=$Z$2,VLOOKUP($C243,Outbound!$B:$AAZ,16,FALSE),VLOOKUP($B243,Outbound!$B:$AAZ,16,FALSE)),"NON TROVATO"),"")</f>
        <v>0</v>
      </c>
      <c r="H243" s="394">
        <f>IF(B243&lt;&gt;"",IFERROR(IF(LEFT($B243,3)=$Z$2,VLOOKUP($C243,Outbound!$B:$AAZ,6,FALSE),VLOOKUP($B243,Outbound!$B:$AAZ,6,FALSE)),"NON TROVATO"),"")</f>
        <v>0.4375</v>
      </c>
      <c r="I243" s="394">
        <f>IF(B243&lt;&gt;"",IFERROR(IF(LEFT($B243,3)=$Z$2,VLOOKUP($C243,Outbound!$B:$AAZ,52,FALSE),VLOOKUP($B243,Outbound!$B:$AAZ,52,FALSE)),"NON TROVATO"),"")</f>
        <v>0</v>
      </c>
      <c r="J243" s="396"/>
      <c r="K243" s="387" t="str">
        <f>IF(B243&lt;&gt;"",IF($D243&lt;&gt;"ON ROCS/NOT ON FILE",IFERROR(_xlfn.XLOOKUP(LEFT($D243,3),'STAT 77 Table'!$B:$B,'STAT 77 Table'!$A:$A),"ZZ"&amp;RIGHT($B243,4)),""),"")</f>
        <v>IM843</v>
      </c>
      <c r="L243" s="396"/>
      <c r="O243" s="388"/>
      <c r="P243" s="388"/>
      <c r="AA243" s="421" t="str">
        <f t="shared" si="3"/>
        <v>ERN91166</v>
      </c>
    </row>
    <row r="244" spans="1:27" ht="16.5">
      <c r="A244" s="387" t="str">
        <f>'STAT 77 Table'!$I$59</f>
        <v>ITD12098</v>
      </c>
      <c r="B244" t="s">
        <v>1369</v>
      </c>
      <c r="C244" t="s">
        <v>1370</v>
      </c>
      <c r="D244" s="387" t="str">
        <f>IF($B244&lt;&gt;"",IFERROR(IF(LEFT($B244,3)=$Z$2,VLOOKUP($C244,Outbound!$B:$Z,4,FALSE),VLOOKUP($B244,Outbound!$B:$Z,4,FALSE)),"ON ROCS/NOT ON FILE"),"")</f>
        <v>MAD 5</v>
      </c>
      <c r="E244" s="387" t="str">
        <f>IF($B244&lt;&gt;"",IFERROR(IF(LEFT($B244,4)=$Z$2,VLOOKUP($C244,Outbound!$B:$Z,5,FALSE),VLOOKUP($B244,Outbound!$B:$Z,5,FALSE)),"ON ROCS/NOT ON FILE"),"")</f>
        <v/>
      </c>
      <c r="F244" s="387" t="str">
        <f>IF(B244&lt;&gt;"",IFERROR(IF(LEFT($B244,3)=$Z$2,VLOOKUP($C244,Outbound!$B:$Z,11,FALSE),VLOOKUP($B244,Outbound!$B:$Z,11,FALSE)),"NON TROVATO"),"")</f>
        <v>T Service Spa</v>
      </c>
      <c r="G244" s="394">
        <f>IF(B244&lt;&gt;"",IFERROR(IF(LEFT($B244,3)=$Z$2,VLOOKUP($C244,Outbound!$B:$AAZ,16,FALSE),VLOOKUP($B244,Outbound!$B:$AAZ,16,FALSE)),"NON TROVATO"),"")</f>
        <v>0</v>
      </c>
      <c r="H244" s="394">
        <f>IF(B244&lt;&gt;"",IFERROR(IF(LEFT($B244,3)=$Z$2,VLOOKUP($C244,Outbound!$B:$AAZ,6,FALSE),VLOOKUP($B244,Outbound!$B:$AAZ,6,FALSE)),"NON TROVATO"),"")</f>
        <v>0.4375</v>
      </c>
      <c r="I244" s="394">
        <f>IF(B244&lt;&gt;"",IFERROR(IF(LEFT($B244,3)=$Z$2,VLOOKUP($C244,Outbound!$B:$AAZ,52,FALSE),VLOOKUP($B244,Outbound!$B:$AAZ,52,FALSE)),"NON TROVATO"),"")</f>
        <v>0</v>
      </c>
      <c r="J244" s="396"/>
      <c r="K244" s="387" t="str">
        <f>IF(B244&lt;&gt;"",IF($D244&lt;&gt;"ON ROCS/NOT ON FILE",IFERROR(_xlfn.XLOOKUP(LEFT($D244,3),'STAT 77 Table'!$B:$B,'STAT 77 Table'!$A:$A),"ZZ"&amp;RIGHT($B244,4)),""),"")</f>
        <v>IM623</v>
      </c>
      <c r="L244" s="396"/>
      <c r="O244" s="388"/>
      <c r="P244" s="388"/>
      <c r="AA244" s="421" t="str">
        <f t="shared" si="3"/>
        <v>ERN91167</v>
      </c>
    </row>
    <row r="245" spans="1:27" ht="16.5">
      <c r="A245" s="387" t="str">
        <f>'STAT 77 Table'!$I$60</f>
        <v>ITD12238</v>
      </c>
      <c r="B245" t="s">
        <v>1460</v>
      </c>
      <c r="C245" t="s">
        <v>1461</v>
      </c>
      <c r="D245" s="387" t="str">
        <f>IF($B245&lt;&gt;"",IFERROR(IF(LEFT($B245,3)=$Z$2,VLOOKUP($C245,Outbound!$B:$Z,4,FALSE),VLOOKUP($B245,Outbound!$B:$Z,4,FALSE)),"ON ROCS/NOT ON FILE"),"")</f>
        <v>MAD 4</v>
      </c>
      <c r="E245" s="387" t="str">
        <f>IF($B245&lt;&gt;"",IFERROR(IF(LEFT($B245,4)=$Z$2,VLOOKUP($C245,Outbound!$B:$Z,5,FALSE),VLOOKUP($B245,Outbound!$B:$Z,5,FALSE)),"ON ROCS/NOT ON FILE"),"")</f>
        <v/>
      </c>
      <c r="F245" s="387" t="str">
        <f>IF(B245&lt;&gt;"",IFERROR(IF(LEFT($B245,3)=$Z$2,VLOOKUP($C245,Outbound!$B:$Z,11,FALSE),VLOOKUP($B245,Outbound!$B:$Z,11,FALSE)),"NON TROVATO"),"")</f>
        <v>T Service Spa</v>
      </c>
      <c r="G245" s="394" t="str">
        <f>IF(B245&lt;&gt;"",IFERROR(IF(LEFT($B245,3)=$Z$2,VLOOKUP($C245,Outbound!$B:$AAZ,16,FALSE),VLOOKUP($B245,Outbound!$B:$AAZ,16,FALSE)),"NON TROVATO"),"")</f>
        <v>xa783ww</v>
      </c>
      <c r="H245" s="394">
        <f>IF(B245&lt;&gt;"",IFERROR(IF(LEFT($B245,3)=$Z$2,VLOOKUP($C245,Outbound!$B:$AAZ,6,FALSE),VLOOKUP($B245,Outbound!$B:$AAZ,6,FALSE)),"NON TROVATO"),"")</f>
        <v>0.4375</v>
      </c>
      <c r="I245" s="394">
        <f>IF(B245&lt;&gt;"",IFERROR(IF(LEFT($B245,3)=$Z$2,VLOOKUP($C245,Outbound!$B:$AAZ,52,FALSE),VLOOKUP($B245,Outbound!$B:$AAZ,52,FALSE)),"NON TROVATO"),"")</f>
        <v>0</v>
      </c>
      <c r="J245" s="396"/>
      <c r="K245" s="387" t="str">
        <f>IF(B245&lt;&gt;"",IF($D245&lt;&gt;"ON ROCS/NOT ON FILE",IFERROR(_xlfn.XLOOKUP(LEFT($D245,3),'STAT 77 Table'!$B:$B,'STAT 77 Table'!$A:$A),"ZZ"&amp;RIGHT($B245,4)),""),"")</f>
        <v>IM623</v>
      </c>
      <c r="L245" s="396"/>
      <c r="O245" s="388"/>
      <c r="P245" s="388"/>
      <c r="AA245" s="421" t="str">
        <f t="shared" si="3"/>
        <v>ERN91158</v>
      </c>
    </row>
    <row r="246" spans="1:27" ht="16.5">
      <c r="A246" s="387" t="str">
        <f>'STAT 77 Table'!$I$61</f>
        <v>ITD12617</v>
      </c>
      <c r="B246" t="s">
        <v>1552</v>
      </c>
      <c r="C246" t="s">
        <v>1553</v>
      </c>
      <c r="D246" s="387" t="str">
        <f>IF($B246&lt;&gt;"",IFERROR(IF(LEFT($B246,3)=$Z$2,VLOOKUP($C246,Outbound!$B:$Z,4,FALSE),VLOOKUP($B246,Outbound!$B:$Z,4,FALSE)),"ON ROCS/NOT ON FILE"),"")</f>
        <v>XPI 5</v>
      </c>
      <c r="E246" s="387" t="str">
        <f>IF($B246&lt;&gt;"",IFERROR(IF(LEFT($B246,4)=$Z$2,VLOOKUP($C246,Outbound!$B:$Z,5,FALSE),VLOOKUP($B246,Outbound!$B:$Z,5,FALSE)),"ON ROCS/NOT ON FILE"),"")</f>
        <v/>
      </c>
      <c r="F246" s="387" t="str">
        <f>IF(B246&lt;&gt;"",IFERROR(IF(LEFT($B246,3)=$Z$2,VLOOKUP($C246,Outbound!$B:$Z,11,FALSE),VLOOKUP($B246,Outbound!$B:$Z,11,FALSE)),"NON TROVATO"),"")</f>
        <v>T Service Spa</v>
      </c>
      <c r="G246" s="394">
        <f>IF(B246&lt;&gt;"",IFERROR(IF(LEFT($B246,3)=$Z$2,VLOOKUP($C246,Outbound!$B:$AAZ,16,FALSE),VLOOKUP($B246,Outbound!$B:$AAZ,16,FALSE)),"NON TROVATO"),"")</f>
        <v>0</v>
      </c>
      <c r="H246" s="394">
        <f>IF(B246&lt;&gt;"",IFERROR(IF(LEFT($B246,3)=$Z$2,VLOOKUP($C246,Outbound!$B:$AAZ,6,FALSE),VLOOKUP($B246,Outbound!$B:$AAZ,6,FALSE)),"NON TROVATO"),"")</f>
        <v>0.4375</v>
      </c>
      <c r="I246" s="394">
        <f>IF(B246&lt;&gt;"",IFERROR(IF(LEFT($B246,3)=$Z$2,VLOOKUP($C246,Outbound!$B:$AAZ,52,FALSE),VLOOKUP($B246,Outbound!$B:$AAZ,52,FALSE)),"NON TROVATO"),"")</f>
        <v>0</v>
      </c>
      <c r="J246" s="396"/>
      <c r="K246" s="387" t="str">
        <f>IF(B246&lt;&gt;"",IF($D246&lt;&gt;"ON ROCS/NOT ON FILE",IFERROR(_xlfn.XLOOKUP(LEFT($D246,3),'STAT 77 Table'!$B:$B,'STAT 77 Table'!$A:$A),"ZZ"&amp;RIGHT($B246,4)),""),"")</f>
        <v>IM971</v>
      </c>
      <c r="L246" s="396"/>
      <c r="O246" s="388"/>
      <c r="P246" s="388"/>
      <c r="AA246" s="421" t="str">
        <f t="shared" si="3"/>
        <v>ERN91165</v>
      </c>
    </row>
    <row r="247" spans="1:27" ht="16.5">
      <c r="A247" s="387" t="str">
        <f>'STAT 77 Table'!$I$62</f>
        <v>ITD12162</v>
      </c>
      <c r="B247" t="s">
        <v>1563</v>
      </c>
      <c r="C247" t="s">
        <v>1564</v>
      </c>
      <c r="D247" s="387" t="str">
        <f>IF($B247&lt;&gt;"",IFERROR(IF(LEFT($B247,3)=$Z$2,VLOOKUP($C247,Outbound!$B:$Z,4,FALSE),VLOOKUP($B247,Outbound!$B:$Z,4,FALSE)),"ON ROCS/NOT ON FILE"),"")</f>
        <v>XWT 6</v>
      </c>
      <c r="E247" s="387" t="str">
        <f>IF($B247&lt;&gt;"",IFERROR(IF(LEFT($B247,4)=$Z$2,VLOOKUP($C247,Outbound!$B:$Z,5,FALSE),VLOOKUP($B247,Outbound!$B:$Z,5,FALSE)),"ON ROCS/NOT ON FILE"),"")</f>
        <v/>
      </c>
      <c r="F247" s="387" t="str">
        <f>IF(B247&lt;&gt;"",IFERROR(IF(LEFT($B247,3)=$Z$2,VLOOKUP($C247,Outbound!$B:$Z,11,FALSE),VLOOKUP($B247,Outbound!$B:$Z,11,FALSE)),"NON TROVATO"),"")</f>
        <v>T Service Spa</v>
      </c>
      <c r="G247" s="394" t="str">
        <f>IF(B247&lt;&gt;"",IFERROR(IF(LEFT($B247,3)=$Z$2,VLOOKUP($C247,Outbound!$B:$AAZ,16,FALSE),VLOOKUP($B247,Outbound!$B:$AAZ,16,FALSE)),"NON TROVATO"),"")</f>
        <v>ENBD20193</v>
      </c>
      <c r="H247" s="394">
        <f>IF(B247&lt;&gt;"",IFERROR(IF(LEFT($B247,3)=$Z$2,VLOOKUP($C247,Outbound!$B:$AAZ,6,FALSE),VLOOKUP($B247,Outbound!$B:$AAZ,6,FALSE)),"NON TROVATO"),"")</f>
        <v>0.4375</v>
      </c>
      <c r="I247" s="394">
        <f>IF(B247&lt;&gt;"",IFERROR(IF(LEFT($B247,3)=$Z$2,VLOOKUP($C247,Outbound!$B:$AAZ,52,FALSE),VLOOKUP($B247,Outbound!$B:$AAZ,52,FALSE)),"NON TROVATO"),"")</f>
        <v>0</v>
      </c>
      <c r="J247" s="396"/>
      <c r="K247" s="387" t="str">
        <f>IF(B247&lt;&gt;"",IF($D247&lt;&gt;"ON ROCS/NOT ON FILE",IFERROR(_xlfn.XLOOKUP(LEFT($D247,3),'STAT 77 Table'!$B:$B,'STAT 77 Table'!$A:$A),"ZZ"&amp;RIGHT($B247,4)),""),"")</f>
        <v>IM843</v>
      </c>
      <c r="L247" s="396"/>
      <c r="O247" s="388"/>
      <c r="P247" s="388"/>
      <c r="AA247" s="421" t="str">
        <f t="shared" si="3"/>
        <v>ERN91179</v>
      </c>
    </row>
    <row r="248" spans="1:27" ht="16.5">
      <c r="A248" s="387" t="str">
        <f>'STAT 77 Table'!$I$63</f>
        <v>ITD12299</v>
      </c>
      <c r="B248" t="s">
        <v>120</v>
      </c>
      <c r="C248" t="s">
        <v>1372</v>
      </c>
      <c r="D248" s="387" t="str">
        <f>IF($B248&lt;&gt;"",IFERROR(IF(LEFT($B248,3)=$Z$2,VLOOKUP($C248,Outbound!$B:$Z,4,FALSE),VLOOKUP($B248,Outbound!$B:$Z,4,FALSE)),"ON ROCS/NOT ON FILE"),"")</f>
        <v>BCN 4</v>
      </c>
      <c r="E248" s="387" t="str">
        <f>IF($B248&lt;&gt;"",IFERROR(IF(LEFT($B248,4)=$Z$2,VLOOKUP($C248,Outbound!$B:$Z,5,FALSE),VLOOKUP($B248,Outbound!$B:$Z,5,FALSE)),"ON ROCS/NOT ON FILE"),"")</f>
        <v/>
      </c>
      <c r="F248" s="387" t="str">
        <f>IF(B248&lt;&gt;"",IFERROR(IF(LEFT($B248,3)=$Z$2,VLOOKUP($C248,Outbound!$B:$Z,11,FALSE),VLOOKUP($B248,Outbound!$B:$Z,11,FALSE)),"NON TROVATO"),"")</f>
        <v>J.V.,Sl Central De Servicios Y Seleccion</v>
      </c>
      <c r="G248" s="394" t="str">
        <f>IF(B248&lt;&gt;"",IFERROR(IF(LEFT($B248,3)=$Z$2,VLOOKUP($C248,Outbound!$B:$AAZ,16,FALSE),VLOOKUP($B248,Outbound!$B:$AAZ,16,FALSE)),"NON TROVATO"),"")</f>
        <v>ENB14356</v>
      </c>
      <c r="H248" s="394">
        <f>IF(B248&lt;&gt;"",IFERROR(IF(LEFT($B248,3)=$Z$2,VLOOKUP($C248,Outbound!$B:$AAZ,6,FALSE),VLOOKUP($B248,Outbound!$B:$AAZ,6,FALSE)),"NON TROVATO"),"")</f>
        <v>0.4375</v>
      </c>
      <c r="I248" s="394">
        <f>IF(B248&lt;&gt;"",IFERROR(IF(LEFT($B248,3)=$Z$2,VLOOKUP($C248,Outbound!$B:$AAZ,52,FALSE),VLOOKUP($B248,Outbound!$B:$AAZ,52,FALSE)),"NON TROVATO"),"")</f>
        <v>0</v>
      </c>
      <c r="J248" s="396"/>
      <c r="K248" s="387" t="str">
        <f>IF(B248&lt;&gt;"",IF($D248&lt;&gt;"ON ROCS/NOT ON FILE",IFERROR(_xlfn.XLOOKUP(LEFT($D248,3),'STAT 77 Table'!$B:$B,'STAT 77 Table'!$A:$A),"ZZ"&amp;RIGHT($B248,4)),""),"")</f>
        <v>IM226</v>
      </c>
      <c r="L248" s="396"/>
      <c r="O248" s="388"/>
      <c r="P248" s="388"/>
      <c r="AA248" s="421" t="str">
        <f t="shared" si="3"/>
        <v>ERN06270</v>
      </c>
    </row>
    <row r="249" spans="1:27" ht="16.5">
      <c r="A249" s="387" t="str">
        <f>'STAT 77 Table'!$I$64</f>
        <v>ERN16946</v>
      </c>
      <c r="B249" t="s">
        <v>113</v>
      </c>
      <c r="C249" t="s">
        <v>1377</v>
      </c>
      <c r="D249" s="387" t="str">
        <f>IF($B249&lt;&gt;"",IFERROR(IF(LEFT($B249,3)=$Z$2,VLOOKUP($C249,Outbound!$B:$Z,4,FALSE),VLOOKUP($B249,Outbound!$B:$Z,4,FALSE)),"ON ROCS/NOT ON FILE"),"")</f>
        <v>BCN 5</v>
      </c>
      <c r="E249" s="387" t="str">
        <f>IF($B249&lt;&gt;"",IFERROR(IF(LEFT($B249,4)=$Z$2,VLOOKUP($C249,Outbound!$B:$Z,5,FALSE),VLOOKUP($B249,Outbound!$B:$Z,5,FALSE)),"ON ROCS/NOT ON FILE"),"")</f>
        <v/>
      </c>
      <c r="F249" s="387" t="str">
        <f>IF(B249&lt;&gt;"",IFERROR(IF(LEFT($B249,3)=$Z$2,VLOOKUP($C249,Outbound!$B:$Z,11,FALSE),VLOOKUP($B249,Outbound!$B:$Z,11,FALSE)),"NON TROVATO"),"")</f>
        <v>J.V.,Sl Central De Servicios Y Seleccion</v>
      </c>
      <c r="G249" s="394" t="str">
        <f>IF(B249&lt;&gt;"",IFERROR(IF(LEFT($B249,3)=$Z$2,VLOOKUP($C249,Outbound!$B:$AAZ,16,FALSE),VLOOKUP($B249,Outbound!$B:$AAZ,16,FALSE)),"NON TROVATO"),"")</f>
        <v>ENBR21394</v>
      </c>
      <c r="H249" s="394">
        <f>IF(B249&lt;&gt;"",IFERROR(IF(LEFT($B249,3)=$Z$2,VLOOKUP($C249,Outbound!$B:$AAZ,6,FALSE),VLOOKUP($B249,Outbound!$B:$AAZ,6,FALSE)),"NON TROVATO"),"")</f>
        <v>0.4375</v>
      </c>
      <c r="I249" s="394">
        <f>IF(B249&lt;&gt;"",IFERROR(IF(LEFT($B249,3)=$Z$2,VLOOKUP($C249,Outbound!$B:$AAZ,52,FALSE),VLOOKUP($B249,Outbound!$B:$AAZ,52,FALSE)),"NON TROVATO"),"")</f>
        <v>0</v>
      </c>
      <c r="J249" s="396"/>
      <c r="K249" s="387" t="str">
        <f>IF(B249&lt;&gt;"",IF($D249&lt;&gt;"ON ROCS/NOT ON FILE",IFERROR(_xlfn.XLOOKUP(LEFT($D249,3),'STAT 77 Table'!$B:$B,'STAT 77 Table'!$A:$A),"ZZ"&amp;RIGHT($B249,4)),""),"")</f>
        <v>IM226</v>
      </c>
      <c r="L249" s="396"/>
      <c r="O249" s="388"/>
      <c r="P249" s="388"/>
      <c r="AA249" s="421" t="str">
        <f t="shared" si="3"/>
        <v>ERN13137</v>
      </c>
    </row>
    <row r="250" spans="1:27" ht="16.5">
      <c r="A250" s="387" t="str">
        <f>'STAT 77 Table'!$I$65</f>
        <v>ITD12367</v>
      </c>
      <c r="B250" t="s">
        <v>284</v>
      </c>
      <c r="C250" t="s">
        <v>1568</v>
      </c>
      <c r="D250" s="387" t="str">
        <f>IF($B250&lt;&gt;"",IFERROR(IF(LEFT($B250,3)=$Z$2,VLOOKUP($C250,Outbound!$B:$Z,4,FALSE),VLOOKUP($B250,Outbound!$B:$Z,4,FALSE)),"ON ROCS/NOT ON FILE"),"")</f>
        <v>XWT 5</v>
      </c>
      <c r="E250" s="387" t="str">
        <f>IF($B250&lt;&gt;"",IFERROR(IF(LEFT($B250,4)=$Z$2,VLOOKUP($C250,Outbound!$B:$Z,5,FALSE),VLOOKUP($B250,Outbound!$B:$Z,5,FALSE)),"ON ROCS/NOT ON FILE"),"")</f>
        <v/>
      </c>
      <c r="F250" s="387" t="str">
        <f>IF(B250&lt;&gt;"",IFERROR(IF(LEFT($B250,3)=$Z$2,VLOOKUP($C250,Outbound!$B:$Z,11,FALSE),VLOOKUP($B250,Outbound!$B:$Z,11,FALSE)),"NON TROVATO"),"")</f>
        <v>Fedex Express Romania Transportation Srl</v>
      </c>
      <c r="G250" s="394" t="str">
        <f>IF(B250&lt;&gt;"",IFERROR(IF(LEFT($B250,3)=$Z$2,VLOOKUP($C250,Outbound!$B:$AAZ,16,FALSE),VLOOKUP($B250,Outbound!$B:$AAZ,16,FALSE)),"NON TROVATO"),"")</f>
        <v>ENB15436</v>
      </c>
      <c r="H250" s="394">
        <f>IF(B250&lt;&gt;"",IFERROR(IF(LEFT($B250,3)=$Z$2,VLOOKUP($C250,Outbound!$B:$AAZ,6,FALSE),VLOOKUP($B250,Outbound!$B:$AAZ,6,FALSE)),"NON TROVATO"),"")</f>
        <v>0.4375</v>
      </c>
      <c r="I250" s="394">
        <f>IF(B250&lt;&gt;"",IFERROR(IF(LEFT($B250,3)=$Z$2,VLOOKUP($C250,Outbound!$B:$AAZ,52,FALSE),VLOOKUP($B250,Outbound!$B:$AAZ,52,FALSE)),"NON TROVATO"),"")</f>
        <v>0</v>
      </c>
      <c r="J250" s="396"/>
      <c r="K250" s="387" t="str">
        <f>IF(B250&lt;&gt;"",IF($D250&lt;&gt;"ON ROCS/NOT ON FILE",IFERROR(_xlfn.XLOOKUP(LEFT($D250,3),'STAT 77 Table'!$B:$B,'STAT 77 Table'!$A:$A),"ZZ"&amp;RIGHT($B250,4)),""),"")</f>
        <v>IM843</v>
      </c>
      <c r="L250" s="396"/>
      <c r="O250" s="388"/>
      <c r="P250" s="388"/>
      <c r="AA250" s="421" t="str">
        <f t="shared" si="3"/>
        <v>ERN05497</v>
      </c>
    </row>
    <row r="251" spans="1:27" ht="16.5">
      <c r="A251" s="387" t="str">
        <f>'STAT 77 Table'!$I$66</f>
        <v>ITD12368</v>
      </c>
      <c r="B251" t="s">
        <v>224</v>
      </c>
      <c r="C251" t="s">
        <v>1485</v>
      </c>
      <c r="D251" s="387" t="str">
        <f>IF($B251&lt;&gt;"",IFERROR(IF(LEFT($B251,3)=$Z$2,VLOOKUP($C251,Outbound!$B:$Z,4,FALSE),VLOOKUP($B251,Outbound!$B:$Z,4,FALSE)),"ON ROCS/NOT ON FILE"),"")</f>
        <v>MV9 4</v>
      </c>
      <c r="E251" s="387" t="str">
        <f>IF($B251&lt;&gt;"",IFERROR(IF(LEFT($B251,4)=$Z$2,VLOOKUP($C251,Outbound!$B:$Z,5,FALSE),VLOOKUP($B251,Outbound!$B:$Z,5,FALSE)),"ON ROCS/NOT ON FILE"),"")</f>
        <v/>
      </c>
      <c r="F251" s="387" t="str">
        <f>IF(B251&lt;&gt;"",IFERROR(IF(LEFT($B251,3)=$Z$2,VLOOKUP($C251,Outbound!$B:$Z,11,FALSE),VLOOKUP($B251,Outbound!$B:$Z,11,FALSE)),"NON TROVATO"),"")</f>
        <v>Rayden N.V.</v>
      </c>
      <c r="G251" s="394" t="str">
        <f>IF(B251&lt;&gt;"",IFERROR(IF(LEFT($B251,3)=$Z$2,VLOOKUP($C251,Outbound!$B:$AAZ,16,FALSE),VLOOKUP($B251,Outbound!$B:$AAZ,16,FALSE)),"NON TROVATO"),"")</f>
        <v>1QEK098</v>
      </c>
      <c r="H251" s="394">
        <f>IF(B251&lt;&gt;"",IFERROR(IF(LEFT($B251,3)=$Z$2,VLOOKUP($C251,Outbound!$B:$AAZ,6,FALSE),VLOOKUP($B251,Outbound!$B:$AAZ,6,FALSE)),"NON TROVATO"),"")</f>
        <v>0.4375</v>
      </c>
      <c r="I251" s="394">
        <f>IF(B251&lt;&gt;"",IFERROR(IF(LEFT($B251,3)=$Z$2,VLOOKUP($C251,Outbound!$B:$AAZ,52,FALSE),VLOOKUP($B251,Outbound!$B:$AAZ,52,FALSE)),"NON TROVATO"),"")</f>
        <v>0</v>
      </c>
      <c r="J251" s="396"/>
      <c r="K251" s="387" t="str">
        <f>IF(B251&lt;&gt;"",IF($D251&lt;&gt;"ON ROCS/NOT ON FILE",IFERROR(_xlfn.XLOOKUP(LEFT($D251,3),'STAT 77 Table'!$B:$B,'STAT 77 Table'!$A:$A),"ZZ"&amp;RIGHT($B251,4)),""),"")</f>
        <v>IM978</v>
      </c>
      <c r="L251" s="396"/>
      <c r="O251" s="388"/>
      <c r="P251" s="388"/>
      <c r="AA251" s="421" t="str">
        <f t="shared" si="3"/>
        <v>ERN03834</v>
      </c>
    </row>
    <row r="252" spans="1:27" ht="16.5">
      <c r="A252" s="387" t="str">
        <f>'STAT 77 Table'!$I$67</f>
        <v>ITD12369</v>
      </c>
      <c r="B252" t="s">
        <v>1549</v>
      </c>
      <c r="C252" t="s">
        <v>1496</v>
      </c>
      <c r="D252" s="387" t="str">
        <f>IF($B252&lt;&gt;"",IFERROR(IF(LEFT($B252,3)=$Z$2,VLOOKUP($C252,Outbound!$B:$Z,4,FALSE),VLOOKUP($B252,Outbound!$B:$Z,4,FALSE)),"ON ROCS/NOT ON FILE"),"")</f>
        <v>XPI 4</v>
      </c>
      <c r="E252" s="387" t="str">
        <f>IF($B252&lt;&gt;"",IFERROR(IF(LEFT($B252,4)=$Z$2,VLOOKUP($C252,Outbound!$B:$Z,5,FALSE),VLOOKUP($B252,Outbound!$B:$Z,5,FALSE)),"ON ROCS/NOT ON FILE"),"")</f>
        <v/>
      </c>
      <c r="F252" s="387" t="str">
        <f>IF(B252&lt;&gt;"",IFERROR(IF(LEFT($B252,3)=$Z$2,VLOOKUP($C252,Outbound!$B:$Z,11,FALSE),VLOOKUP($B252,Outbound!$B:$Z,11,FALSE)),"NON TROVATO"),"")</f>
        <v>Galileo Transport Srl</v>
      </c>
      <c r="G252" s="394">
        <f>IF(B252&lt;&gt;"",IFERROR(IF(LEFT($B252,3)=$Z$2,VLOOKUP($C252,Outbound!$B:$AAZ,16,FALSE),VLOOKUP($B252,Outbound!$B:$AAZ,16,FALSE)),"NON TROVATO"),"")</f>
        <v>0</v>
      </c>
      <c r="H252" s="394">
        <f>IF(B252&lt;&gt;"",IFERROR(IF(LEFT($B252,3)=$Z$2,VLOOKUP($C252,Outbound!$B:$AAZ,6,FALSE),VLOOKUP($B252,Outbound!$B:$AAZ,6,FALSE)),"NON TROVATO"),"")</f>
        <v>0.4375</v>
      </c>
      <c r="I252" s="394">
        <f>IF(B252&lt;&gt;"",IFERROR(IF(LEFT($B252,3)=$Z$2,VLOOKUP($C252,Outbound!$B:$AAZ,52,FALSE),VLOOKUP($B252,Outbound!$B:$AAZ,52,FALSE)),"NON TROVATO"),"")</f>
        <v>0</v>
      </c>
      <c r="J252" s="396"/>
      <c r="K252" s="387" t="str">
        <f>IF(B252&lt;&gt;"",IF($D252&lt;&gt;"ON ROCS/NOT ON FILE",IFERROR(_xlfn.XLOOKUP(LEFT($D252,3),'STAT 77 Table'!$B:$B,'STAT 77 Table'!$A:$A),"ZZ"&amp;RIGHT($B252,4)),""),"")</f>
        <v>IM971</v>
      </c>
      <c r="L252" s="396"/>
      <c r="O252" s="388"/>
      <c r="P252" s="388"/>
      <c r="AA252" s="421" t="str">
        <f t="shared" si="3"/>
        <v>ERN09621</v>
      </c>
    </row>
    <row r="253" spans="1:27" ht="16.5">
      <c r="A253" s="387" t="str">
        <f>'STAT 77 Table'!$I$68</f>
        <v>ITD12411</v>
      </c>
      <c r="B253" t="s">
        <v>217</v>
      </c>
      <c r="C253" t="s">
        <v>1486</v>
      </c>
      <c r="D253" s="387" t="str">
        <f>IF($B253&lt;&gt;"",IFERROR(IF(LEFT($B253,3)=$Z$2,VLOOKUP($C253,Outbound!$B:$Z,4,FALSE),VLOOKUP($B253,Outbound!$B:$Z,4,FALSE)),"ON ROCS/NOT ON FILE"),"")</f>
        <v>MV9 3</v>
      </c>
      <c r="E253" s="387" t="str">
        <f>IF($B253&lt;&gt;"",IFERROR(IF(LEFT($B253,4)=$Z$2,VLOOKUP($C253,Outbound!$B:$Z,5,FALSE),VLOOKUP($B253,Outbound!$B:$Z,5,FALSE)),"ON ROCS/NOT ON FILE"),"")</f>
        <v/>
      </c>
      <c r="F253" s="387" t="str">
        <f>IF(B253&lt;&gt;"",IFERROR(IF(LEFT($B253,3)=$Z$2,VLOOKUP($C253,Outbound!$B:$Z,11,FALSE),VLOOKUP($B253,Outbound!$B:$Z,11,FALSE)),"NON TROVATO"),"")</f>
        <v>Matelda Srl</v>
      </c>
      <c r="G253" s="394" t="str">
        <f>IF(B253&lt;&gt;"",IFERROR(IF(LEFT($B253,3)=$Z$2,VLOOKUP($C253,Outbound!$B:$AAZ,16,FALSE),VLOOKUP($B253,Outbound!$B:$AAZ,16,FALSE)),"NON TROVATO"),"")</f>
        <v>RENT614</v>
      </c>
      <c r="H253" s="394">
        <f>IF(B253&lt;&gt;"",IFERROR(IF(LEFT($B253,3)=$Z$2,VLOOKUP($C253,Outbound!$B:$AAZ,6,FALSE),VLOOKUP($B253,Outbound!$B:$AAZ,6,FALSE)),"NON TROVATO"),"")</f>
        <v>0.4375</v>
      </c>
      <c r="I253" s="394">
        <f>IF(B253&lt;&gt;"",IFERROR(IF(LEFT($B253,3)=$Z$2,VLOOKUP($C253,Outbound!$B:$AAZ,52,FALSE),VLOOKUP($B253,Outbound!$B:$AAZ,52,FALSE)),"NON TROVATO"),"")</f>
        <v>0</v>
      </c>
      <c r="J253" s="396"/>
      <c r="K253" s="387" t="str">
        <f>IF(B253&lt;&gt;"",IF($D253&lt;&gt;"ON ROCS/NOT ON FILE",IFERROR(_xlfn.XLOOKUP(LEFT($D253,3),'STAT 77 Table'!$B:$B,'STAT 77 Table'!$A:$A),"ZZ"&amp;RIGHT($B253,4)),""),"")</f>
        <v>IM978</v>
      </c>
      <c r="L253" s="396"/>
      <c r="O253" s="388"/>
      <c r="P253" s="388"/>
      <c r="AA253" s="421" t="str">
        <f t="shared" si="3"/>
        <v>ERN07145</v>
      </c>
    </row>
    <row r="254" spans="1:27" ht="16.5">
      <c r="A254" s="387" t="str">
        <f>'STAT 77 Table'!$I$69</f>
        <v>ITD12800</v>
      </c>
      <c r="B254" t="s">
        <v>1470</v>
      </c>
      <c r="C254" t="s">
        <v>1471</v>
      </c>
      <c r="D254" s="387" t="str">
        <f>IF($B254&lt;&gt;"",IFERROR(IF(LEFT($B254,3)=$Z$2,VLOOKUP($C254,Outbound!$B:$Z,4,FALSE),VLOOKUP($B254,Outbound!$B:$Z,4,FALSE)),"ON ROCS/NOT ON FILE"),"")</f>
        <v>MAD 3</v>
      </c>
      <c r="E254" s="387" t="str">
        <f>IF($B254&lt;&gt;"",IFERROR(IF(LEFT($B254,4)=$Z$2,VLOOKUP($C254,Outbound!$B:$Z,5,FALSE),VLOOKUP($B254,Outbound!$B:$Z,5,FALSE)),"ON ROCS/NOT ON FILE"),"")</f>
        <v/>
      </c>
      <c r="F254" s="387" t="str">
        <f>IF(B254&lt;&gt;"",IFERROR(IF(LEFT($B254,3)=$Z$2,VLOOKUP($C254,Outbound!$B:$Z,11,FALSE),VLOOKUP($B254,Outbound!$B:$Z,11,FALSE)),"NON TROVATO"),"")</f>
        <v>Ravitex Srl</v>
      </c>
      <c r="G254" s="394" t="str">
        <f>IF(B254&lt;&gt;"",IFERROR(IF(LEFT($B254,3)=$Z$2,VLOOKUP($C254,Outbound!$B:$AAZ,16,FALSE),VLOOKUP($B254,Outbound!$B:$AAZ,16,FALSE)),"NON TROVATO"),"")</f>
        <v>ENBR22040</v>
      </c>
      <c r="H254" s="394">
        <f>IF(B254&lt;&gt;"",IFERROR(IF(LEFT($B254,3)=$Z$2,VLOOKUP($C254,Outbound!$B:$AAZ,6,FALSE),VLOOKUP($B254,Outbound!$B:$AAZ,6,FALSE)),"NON TROVATO"),"")</f>
        <v>0.4375</v>
      </c>
      <c r="I254" s="394">
        <f>IF(B254&lt;&gt;"",IFERROR(IF(LEFT($B254,3)=$Z$2,VLOOKUP($C254,Outbound!$B:$AAZ,52,FALSE),VLOOKUP($B254,Outbound!$B:$AAZ,52,FALSE)),"NON TROVATO"),"")</f>
        <v>0</v>
      </c>
      <c r="J254" s="396"/>
      <c r="K254" s="387" t="str">
        <f>IF(B254&lt;&gt;"",IF($D254&lt;&gt;"ON ROCS/NOT ON FILE",IFERROR(_xlfn.XLOOKUP(LEFT($D254,3),'STAT 77 Table'!$B:$B,'STAT 77 Table'!$A:$A),"ZZ"&amp;RIGHT($B254,4)),""),"")</f>
        <v>IM623</v>
      </c>
      <c r="L254" s="396"/>
      <c r="O254" s="388"/>
      <c r="P254" s="388"/>
      <c r="AA254" s="421" t="str">
        <f t="shared" si="3"/>
        <v>ERN09683</v>
      </c>
    </row>
    <row r="255" spans="1:27" ht="16.5">
      <c r="A255" s="387" t="str">
        <f>'STAT 77 Table'!$I$70</f>
        <v>ITD12261</v>
      </c>
      <c r="B255" t="s">
        <v>1789</v>
      </c>
      <c r="C255" t="s">
        <v>1233</v>
      </c>
      <c r="D255" s="387" t="str">
        <f>IF($B255&lt;&gt;"",IFERROR(IF(LEFT($B255,3)=$Z$2,VLOOKUP($C255,Outbound!$B:$Z,4,FALSE),VLOOKUP($B255,Outbound!$B:$Z,4,FALSE)),"ON ROCS/NOT ON FILE"),"")</f>
        <v>MM1</v>
      </c>
      <c r="E255" s="387" t="str">
        <f>IF($B255&lt;&gt;"",IFERROR(IF(LEFT($B255,4)=$Z$2,VLOOKUP($C255,Outbound!$B:$Z,5,FALSE),VLOOKUP($B255,Outbound!$B:$Z,5,FALSE)),"ON ROCS/NOT ON FILE"),"")</f>
        <v>ON ROCS/NOT ON FILE</v>
      </c>
      <c r="F255" s="387" t="str">
        <f>IF(B255&lt;&gt;"",IFERROR(IF(LEFT($B255,3)=$Z$2,VLOOKUP($C255,Outbound!$B:$Z,11,FALSE),VLOOKUP($B255,Outbound!$B:$Z,11,FALSE)),"NON TROVATO"),"")</f>
        <v>Nuova Express Line S.R.L.</v>
      </c>
      <c r="G255" s="394">
        <f>IF(B255&lt;&gt;"",IFERROR(IF(LEFT($B255,3)=$Z$2,VLOOKUP($C255,Outbound!$B:$AAZ,16,FALSE),VLOOKUP($B255,Outbound!$B:$AAZ,16,FALSE)),"NON TROVATO"),"")</f>
        <v>0</v>
      </c>
      <c r="H255" s="394">
        <f>IF(B255&lt;&gt;"",IFERROR(IF(LEFT($B255,3)=$Z$2,VLOOKUP($C255,Outbound!$B:$AAZ,6,FALSE),VLOOKUP($B255,Outbound!$B:$AAZ,6,FALSE)),"NON TROVATO"),"")</f>
        <v>0.4861111111111111</v>
      </c>
      <c r="I255" s="394">
        <f>IF(B255&lt;&gt;"",IFERROR(IF(LEFT($B255,3)=$Z$2,VLOOKUP($C255,Outbound!$B:$AAZ,52,FALSE),VLOOKUP($B255,Outbound!$B:$AAZ,52,FALSE)),"NON TROVATO"),"")</f>
        <v>0</v>
      </c>
      <c r="J255" s="396"/>
      <c r="K255" s="387" t="str">
        <f>IF(B255&lt;&gt;"",IF($D255&lt;&gt;"ON ROCS/NOT ON FILE",IFERROR(_xlfn.XLOOKUP(LEFT($D255,3),'STAT 77 Table'!$B:$B,'STAT 77 Table'!$A:$A),"ZZ"&amp;RIGHT($B255,4)),""),"")</f>
        <v>IM697</v>
      </c>
      <c r="L255" s="396"/>
      <c r="O255" s="388"/>
      <c r="P255" s="388"/>
      <c r="AA255" s="421" t="str">
        <f t="shared" si="3"/>
        <v>ITD12006</v>
      </c>
    </row>
    <row r="256" spans="1:27" ht="16.5">
      <c r="A256" s="387" t="str">
        <f>'STAT 77 Table'!$I$71</f>
        <v>ITD12761</v>
      </c>
      <c r="B256" t="s">
        <v>1790</v>
      </c>
      <c r="C256" t="s">
        <v>608</v>
      </c>
      <c r="D256" s="387" t="str">
        <f>IF($B256&lt;&gt;"",IFERROR(IF(LEFT($B256,3)=$Z$2,VLOOKUP($C256,Outbound!$B:$Z,4,FALSE),VLOOKUP($B256,Outbound!$B:$Z,4,FALSE)),"ON ROCS/NOT ON FILE"),"")</f>
        <v>FCO</v>
      </c>
      <c r="E256" s="387" t="str">
        <f>IF($B256&lt;&gt;"",IFERROR(IF(LEFT($B256,4)=$Z$2,VLOOKUP($C256,Outbound!$B:$Z,5,FALSE),VLOOKUP($B256,Outbound!$B:$Z,5,FALSE)),"ON ROCS/NOT ON FILE"),"")</f>
        <v>ON ROCS/NOT ON FILE</v>
      </c>
      <c r="F256" s="387" t="str">
        <f>IF(B256&lt;&gt;"",IFERROR(IF(LEFT($B256,3)=$Z$2,VLOOKUP($C256,Outbound!$B:$Z,11,FALSE),VLOOKUP($B256,Outbound!$B:$Z,11,FALSE)),"NON TROVATO"),"")</f>
        <v>NCT srl</v>
      </c>
      <c r="G256" s="394" t="str">
        <f>IF(B256&lt;&gt;"",IFERROR(IF(LEFT($B256,3)=$Z$2,VLOOKUP($C256,Outbound!$B:$AAZ,16,FALSE),VLOOKUP($B256,Outbound!$B:$AAZ,16,FALSE)),"NON TROVATO"),"")</f>
        <v>XA527PG</v>
      </c>
      <c r="H256" s="394">
        <f>IF(B256&lt;&gt;"",IFERROR(IF(LEFT($B256,3)=$Z$2,VLOOKUP($C256,Outbound!$B:$AAZ,6,FALSE),VLOOKUP($B256,Outbound!$B:$AAZ,6,FALSE)),"NON TROVATO"),"")</f>
        <v>0.5</v>
      </c>
      <c r="I256" s="394">
        <f>IF(B256&lt;&gt;"",IFERROR(IF(LEFT($B256,3)=$Z$2,VLOOKUP($C256,Outbound!$B:$AAZ,52,FALSE),VLOOKUP($B256,Outbound!$B:$AAZ,52,FALSE)),"NON TROVATO"),"")</f>
        <v>0</v>
      </c>
      <c r="J256" s="396"/>
      <c r="K256" s="387" t="str">
        <f>IF(B256&lt;&gt;"",IF($D256&lt;&gt;"ON ROCS/NOT ON FILE",IFERROR(_xlfn.XLOOKUP(LEFT($D256,3),'STAT 77 Table'!$B:$B,'STAT 77 Table'!$A:$A),"ZZ"&amp;RIGHT($B256,4)),""),"")</f>
        <v>IM326</v>
      </c>
      <c r="L256" s="396"/>
      <c r="O256" s="388"/>
      <c r="P256" s="388"/>
      <c r="AA256" s="421" t="str">
        <f t="shared" si="3"/>
        <v>ITD12617</v>
      </c>
    </row>
    <row r="257" spans="1:27" ht="16.5" hidden="1">
      <c r="A257" s="387" t="str">
        <f>'STAT 77 Table'!$I$72</f>
        <v>ITD12385</v>
      </c>
      <c r="B257" t="s">
        <v>1791</v>
      </c>
      <c r="C257" t="s">
        <v>1792</v>
      </c>
      <c r="D257" s="387" t="s">
        <v>1793</v>
      </c>
      <c r="E257" s="387" t="str">
        <f>IF($B257&lt;&gt;"",IFERROR(IF(LEFT($B257,4)=$Z$2,VLOOKUP($C257,Outbound!$B:$Z,5,FALSE),VLOOKUP($B257,Outbound!$B:$Z,5,FALSE)),"ON ROCS/NOT ON FILE"),"")</f>
        <v>ON ROCS/NOT ON FILE</v>
      </c>
      <c r="F257" s="387" t="s">
        <v>1794</v>
      </c>
      <c r="G257" s="394" t="s">
        <v>1795</v>
      </c>
      <c r="H257" s="394">
        <v>0.16666666666666666</v>
      </c>
      <c r="I257" s="394">
        <v>0.10277777777777777</v>
      </c>
      <c r="J257" s="396">
        <v>546816602061</v>
      </c>
      <c r="K257" s="387" t="str">
        <f>IF(B257&lt;&gt;"",IF($D257&lt;&gt;"ON ROCS/NOT ON FILE",IFERROR(_xlfn.XLOOKUP(LEFT($D257,3),'STAT 77 Table'!$B:$B,'STAT 77 Table'!$A:$A),"ZZ"&amp;RIGHT($B257,4)),""),"")</f>
        <v>ZZ0177</v>
      </c>
      <c r="L257" s="396" t="s">
        <v>1605</v>
      </c>
      <c r="O257" s="388"/>
      <c r="P257" s="388"/>
      <c r="AA257" s="421" t="str">
        <f t="shared" si="3"/>
        <v>SPS00143</v>
      </c>
    </row>
    <row r="258" spans="1:27" ht="16.5" hidden="1">
      <c r="A258" s="387" t="str">
        <f>'STAT 77 Table'!$I$73</f>
        <v>ITD12802</v>
      </c>
      <c r="B258" t="s">
        <v>1796</v>
      </c>
      <c r="C258" t="s">
        <v>1797</v>
      </c>
      <c r="D258" s="387" t="s">
        <v>308</v>
      </c>
      <c r="E258" s="387" t="str">
        <f>IF($B258&lt;&gt;"",IFERROR(IF(LEFT($B258,4)=$Z$2,VLOOKUP($C258,Outbound!$B:$Z,5,FALSE),VLOOKUP($B258,Outbound!$B:$Z,5,FALSE)),"ON ROCS/NOT ON FILE"),"")</f>
        <v>ON ROCS/NOT ON FILE</v>
      </c>
      <c r="F258" s="387" t="s">
        <v>1794</v>
      </c>
      <c r="G258" s="394" t="s">
        <v>1798</v>
      </c>
      <c r="H258" s="394">
        <v>0.16666666666666666</v>
      </c>
      <c r="I258" s="394">
        <v>0.10972222222222222</v>
      </c>
      <c r="J258" s="396">
        <v>546816601661</v>
      </c>
      <c r="K258" s="387" t="str">
        <f>IF(B258&lt;&gt;"",IF($D258&lt;&gt;"ON ROCS/NOT ON FILE",IFERROR(_xlfn.XLOOKUP(LEFT($D258,3),'STAT 77 Table'!$B:$B,'STAT 77 Table'!$A:$A),"ZZ"&amp;RIGHT($B258,4)),""),"")</f>
        <v>IM974</v>
      </c>
      <c r="L258" s="396" t="s">
        <v>1605</v>
      </c>
      <c r="O258" s="388"/>
      <c r="P258" s="388"/>
      <c r="AA258" s="421" t="str">
        <f t="shared" si="3"/>
        <v>SPS00144</v>
      </c>
    </row>
    <row r="259" spans="1:27" ht="16.5" hidden="1">
      <c r="A259" s="387" t="str">
        <f>'STAT 77 Table'!$I$74</f>
        <v>ITD12362</v>
      </c>
      <c r="B259" t="s">
        <v>1799</v>
      </c>
      <c r="C259" t="s">
        <v>1800</v>
      </c>
      <c r="D259" s="387" t="s">
        <v>308</v>
      </c>
      <c r="E259" s="387" t="str">
        <f>IF($B259&lt;&gt;"",IFERROR(IF(LEFT($B259,4)=$Z$2,VLOOKUP($C259,Outbound!$B:$Z,5,FALSE),VLOOKUP($B259,Outbound!$B:$Z,5,FALSE)),"ON ROCS/NOT ON FILE"),"")</f>
        <v>ON ROCS/NOT ON FILE</v>
      </c>
      <c r="F259" s="387" t="s">
        <v>1794</v>
      </c>
      <c r="G259" s="394" t="s">
        <v>1801</v>
      </c>
      <c r="H259" s="394">
        <v>0.16666666666666666</v>
      </c>
      <c r="I259" s="394">
        <v>0.1125</v>
      </c>
      <c r="J259" s="396">
        <v>546816602484</v>
      </c>
      <c r="K259" s="387" t="str">
        <f>IF(B259&lt;&gt;"",IF($D259&lt;&gt;"ON ROCS/NOT ON FILE",IFERROR(_xlfn.XLOOKUP(LEFT($D259,3),'STAT 77 Table'!$B:$B,'STAT 77 Table'!$A:$A),"ZZ"&amp;RIGHT($B259,4)),""),"")</f>
        <v>IM974</v>
      </c>
      <c r="L259" s="396" t="s">
        <v>1605</v>
      </c>
      <c r="O259" s="388"/>
      <c r="P259" s="388"/>
      <c r="AA259" s="421" t="str">
        <f t="shared" si="3"/>
        <v>SPS90034</v>
      </c>
    </row>
    <row r="260" spans="1:27" ht="16.5" hidden="1">
      <c r="A260" s="387" t="str">
        <f>'STAT 77 Table'!$I$75</f>
        <v>ITD12364</v>
      </c>
      <c r="B260" s="352">
        <f ca="1">IFERROR(IF(LEFT(A260,3)='STAT 77'!$X$2,_xlfn.XLOOKUP(A260,'STAT 77'!B:B,'STAT 77'!A:A),_xlfn.XLOOKUP(A260,'STAT 77'!A:A,'STAT 77'!B:B)),"NON TROVATO")</f>
        <v>0</v>
      </c>
      <c r="C260" t="s">
        <v>213</v>
      </c>
      <c r="D260" s="387" t="s">
        <v>1802</v>
      </c>
      <c r="E260" s="387" t="str">
        <f ca="1">IF($B260&lt;&gt;"",IFERROR(IF(LEFT($B260,4)=$Z$2,VLOOKUP($C260,Outbound!$B:$Z,5,FALSE),VLOOKUP($B260,Outbound!$B:$Z,5,FALSE)),"ON ROCS/NOT ON FILE"),"")</f>
        <v/>
      </c>
      <c r="F260" s="387" t="str">
        <f ca="1">IF(B260&lt;&gt;"",IFERROR(IF(LEFT($B260,3)=$Z$2,VLOOKUP($C260,Outbound!$B:$Z,11,FALSE),VLOOKUP($B260,Outbound!$B:$Z,11,FALSE)),"NON TROVATO"),"")</f>
        <v/>
      </c>
      <c r="G260" s="355" t="s">
        <v>913</v>
      </c>
      <c r="H260" s="353">
        <f ca="1">IFERROR(VLOOKUP(F260,Outlist!$A$5:$AC$120,5,FALSE)-INT(VLOOKUP(F260,Outlist!$A$5:$AC$120,5,FALSE)),"")</f>
        <v>0</v>
      </c>
      <c r="I260" s="394" t="str">
        <f ca="1">IF(B260&lt;&gt;"",IFERROR(IF(LEFT($B260,3)=$Z$2,VLOOKUP($C260,Outbound!$B:$AAZ,52,FALSE),VLOOKUP($B260,Outbound!$B:$AAZ,52,FALSE)),"NON TROVATO"),"")</f>
        <v/>
      </c>
      <c r="J260" s="440">
        <v>546749489527</v>
      </c>
      <c r="K260" s="387" t="str">
        <f ca="1">IF(B260&lt;&gt;"",IF($D260&lt;&gt;"ON ROCS/NOT ON FILE",IFERROR(_xlfn.XLOOKUP(LEFT($D260,3),'STAT 77 Table'!$B:$B,'STAT 77 Table'!$A:$A),"ZZ"&amp;RIGHT($B260,4)),""),"")</f>
        <v/>
      </c>
      <c r="L260" s="396" t="s">
        <v>1605</v>
      </c>
      <c r="O260" s="388"/>
      <c r="P260" s="388"/>
      <c r="AA260" s="421" t="str">
        <f t="shared" ref="AA260:AA323" si="4">IF(LEFT(A260,3)=$X$2,C260,B260)</f>
        <v>ERN01518</v>
      </c>
    </row>
    <row r="261" spans="1:27" ht="16.5" hidden="1">
      <c r="A261" s="387" t="str">
        <f>'STAT 77 Table'!$I$76</f>
        <v>ITD12669</v>
      </c>
      <c r="B261" t="s">
        <v>558</v>
      </c>
      <c r="C261"/>
      <c r="D261" s="387" t="s">
        <v>1577</v>
      </c>
      <c r="E261" s="387" t="str">
        <f>IF($B261&lt;&gt;"",IFERROR(IF(LEFT($B261,4)=$Z$2,VLOOKUP($C261,Outbound!$B:$Z,5,FALSE),VLOOKUP($B261,Outbound!$B:$Z,5,FALSE)),"ON ROCS/NOT ON FILE"),"")</f>
        <v/>
      </c>
      <c r="F261" s="387" t="str">
        <f>IF(B261&lt;&gt;"",IFERROR(IF(LEFT($B261,3)=$Z$2,VLOOKUP($C261,Outbound!$B:$Z,11,FALSE),VLOOKUP($B261,Outbound!$B:$Z,11,FALSE)),"NON TROVATO"),"")</f>
        <v>Maracana Srl</v>
      </c>
      <c r="G261" s="394" t="str">
        <f>IF(B261&lt;&gt;"",IFERROR(IF(LEFT($B261,3)=$Z$2,VLOOKUP($C261,Outbound!$B:$AAZ,16,FALSE),VLOOKUP($B261,Outbound!$B:$AAZ,16,FALSE)),"NON TROVATO"),"")</f>
        <v>ENBR21210</v>
      </c>
      <c r="H261" s="394">
        <f>IF(B261&lt;&gt;"",IFERROR(IF(LEFT($B261,3)=$Z$2,VLOOKUP($C261,Outbound!$B:$AAZ,6,FALSE),VLOOKUP($B261,Outbound!$B:$AAZ,6,FALSE)),"NON TROVATO"),"")</f>
        <v>9.375E-2</v>
      </c>
      <c r="I261" s="394">
        <f>IF(B261&lt;&gt;"",IFERROR(IF(LEFT($B261,3)=$Z$2,VLOOKUP($C261,Outbound!$B:$AAZ,52,FALSE),VLOOKUP($B261,Outbound!$B:$AAZ,52,FALSE)),"NON TROVATO"),"")</f>
        <v>8.4722222222222227E-2</v>
      </c>
      <c r="J261" s="440">
        <v>546812590963</v>
      </c>
      <c r="K261" s="387" t="str">
        <f>IF(B261&lt;&gt;"",IF($D261&lt;&gt;"ON ROCS/NOT ON FILE",IFERROR(_xlfn.XLOOKUP(LEFT($D261,3),'STAT 77 Table'!$B:$B,'STAT 77 Table'!$A:$A),"ZZ"&amp;RIGHT($B261,4)),""),"")</f>
        <v>ZZ9XXX</v>
      </c>
      <c r="L261" s="396" t="s">
        <v>1605</v>
      </c>
      <c r="O261" s="388"/>
      <c r="P261" s="388"/>
      <c r="AA261" s="421">
        <f t="shared" si="4"/>
        <v>0</v>
      </c>
    </row>
    <row r="262" spans="1:27" ht="16.5">
      <c r="A262" s="387" t="str">
        <f>'STAT 77 Table'!$I$77</f>
        <v>ITD12283</v>
      </c>
      <c r="B262"/>
      <c r="C262"/>
      <c r="D262" s="387" t="str">
        <f>IF($B262&lt;&gt;"",IFERROR(IF(LEFT($B262,3)=$Z$2,VLOOKUP($C262,Outbound!$B:$Z,4,FALSE),VLOOKUP($B262,Outbound!$B:$Z,4,FALSE)),"ON ROCS/NOT ON FILE"),"")</f>
        <v/>
      </c>
      <c r="E262" s="387" t="str">
        <f>IF($B262&lt;&gt;"",IFERROR(IF(LEFT($B262,4)=$Z$2,VLOOKUP($C262,Outbound!$B:$Z,5,FALSE),VLOOKUP($B262,Outbound!$B:$Z,5,FALSE)),"ON ROCS/NOT ON FILE"),"")</f>
        <v/>
      </c>
      <c r="F262" s="387" t="str">
        <f>IF(B262&lt;&gt;"",IFERROR(IF(LEFT($B262,3)=$Z$2,VLOOKUP($C262,Outbound!$B:$Z,11,FALSE),VLOOKUP($B262,Outbound!$B:$Z,11,FALSE)),"NON TROVATO"),"")</f>
        <v/>
      </c>
      <c r="G262" s="394" t="str">
        <f>IF(B262&lt;&gt;"",IFERROR(IF(LEFT($B262,3)=$Z$2,VLOOKUP($C262,Outbound!$B:$AAZ,16,FALSE),VLOOKUP($B262,Outbound!$B:$AAZ,16,FALSE)),"NON TROVATO"),"")</f>
        <v/>
      </c>
      <c r="H262" s="394" t="str">
        <f>IF(B262&lt;&gt;"",IFERROR(IF(LEFT($B262,3)=$Z$2,VLOOKUP($C262,Outbound!$B:$AAZ,6,FALSE),VLOOKUP($B262,Outbound!$B:$AAZ,6,FALSE)),"NON TROVATO"),"")</f>
        <v/>
      </c>
      <c r="I262" s="394" t="str">
        <f>IF(B262&lt;&gt;"",IFERROR(IF(LEFT($B262,3)=$Z$2,VLOOKUP($C262,Outbound!$B:$AAZ,52,FALSE),VLOOKUP($B262,Outbound!$B:$AAZ,52,FALSE)),"NON TROVATO"),"")</f>
        <v/>
      </c>
      <c r="J262" s="396"/>
      <c r="K262" s="387" t="str">
        <f>IF(B262&lt;&gt;"",IF($D262&lt;&gt;"ON ROCS/NOT ON FILE",IFERROR(_xlfn.XLOOKUP(LEFT($D262,3),'STAT 77 Table'!$B:$B,'STAT 77 Table'!$A:$A),"ZZ"&amp;RIGHT($B262,4)),""),"")</f>
        <v/>
      </c>
      <c r="L262" s="396"/>
      <c r="O262" s="388"/>
      <c r="P262" s="388"/>
      <c r="AA262" s="421">
        <f t="shared" si="4"/>
        <v>0</v>
      </c>
    </row>
    <row r="263" spans="1:27" ht="16.5">
      <c r="A263" s="387" t="str">
        <f>'STAT 77 Table'!$I$78</f>
        <v>ITD12176</v>
      </c>
      <c r="B263"/>
      <c r="C263"/>
      <c r="D263" s="387" t="str">
        <f>IF($B263&lt;&gt;"",IFERROR(IF(LEFT($B263,3)=$Z$2,VLOOKUP($C263,Outbound!$B:$Z,4,FALSE),VLOOKUP($B263,Outbound!$B:$Z,4,FALSE)),"ON ROCS/NOT ON FILE"),"")</f>
        <v/>
      </c>
      <c r="E263" s="387" t="str">
        <f>IF($B263&lt;&gt;"",IFERROR(IF(LEFT($B263,4)=$Z$2,VLOOKUP($C263,Outbound!$B:$Z,5,FALSE),VLOOKUP($B263,Outbound!$B:$Z,5,FALSE)),"ON ROCS/NOT ON FILE"),"")</f>
        <v/>
      </c>
      <c r="F263" s="387" t="str">
        <f>IF(B263&lt;&gt;"",IFERROR(IF(LEFT($B263,3)=$Z$2,VLOOKUP($C263,Outbound!$B:$Z,11,FALSE),VLOOKUP($B263,Outbound!$B:$Z,11,FALSE)),"NON TROVATO"),"")</f>
        <v/>
      </c>
      <c r="G263" s="394" t="str">
        <f>IF(B263&lt;&gt;"",IFERROR(IF(LEFT($B263,3)=$Z$2,VLOOKUP($C263,Outbound!$B:$AAZ,16,FALSE),VLOOKUP($B263,Outbound!$B:$AAZ,16,FALSE)),"NON TROVATO"),"")</f>
        <v/>
      </c>
      <c r="H263" s="394" t="str">
        <f>IF(B263&lt;&gt;"",IFERROR(IF(LEFT($B263,3)=$Z$2,VLOOKUP($C263,Outbound!$B:$AAZ,6,FALSE),VLOOKUP($B263,Outbound!$B:$AAZ,6,FALSE)),"NON TROVATO"),"")</f>
        <v/>
      </c>
      <c r="I263" s="394" t="str">
        <f>IF(B263&lt;&gt;"",IFERROR(IF(LEFT($B263,3)=$Z$2,VLOOKUP($C263,Outbound!$B:$AAZ,52,FALSE),VLOOKUP($B263,Outbound!$B:$AAZ,52,FALSE)),"NON TROVATO"),"")</f>
        <v/>
      </c>
      <c r="J263" s="396"/>
      <c r="K263" s="387" t="str">
        <f>IF(B263&lt;&gt;"",IF($D263&lt;&gt;"ON ROCS/NOT ON FILE",IFERROR(_xlfn.XLOOKUP(LEFT($D263,3),'STAT 77 Table'!$B:$B,'STAT 77 Table'!$A:$A),"ZZ"&amp;RIGHT($B263,4)),""),"")</f>
        <v/>
      </c>
      <c r="L263" s="396"/>
      <c r="O263" s="388"/>
      <c r="P263" s="388"/>
      <c r="AA263" s="421">
        <f t="shared" si="4"/>
        <v>0</v>
      </c>
    </row>
    <row r="264" spans="1:27" ht="16.5">
      <c r="A264" s="387" t="str">
        <f>'STAT 77 Table'!$I$79</f>
        <v>ITD12387</v>
      </c>
      <c r="B264"/>
      <c r="C264"/>
      <c r="D264" s="387" t="str">
        <f>IF($B264&lt;&gt;"",IFERROR(IF(LEFT($B264,3)=$Z$2,VLOOKUP($C264,Outbound!$B:$Z,4,FALSE),VLOOKUP($B264,Outbound!$B:$Z,4,FALSE)),"ON ROCS/NOT ON FILE"),"")</f>
        <v/>
      </c>
      <c r="E264" s="387" t="str">
        <f>IF($B264&lt;&gt;"",IFERROR(IF(LEFT($B264,4)=$Z$2,VLOOKUP($C264,Outbound!$B:$Z,5,FALSE),VLOOKUP($B264,Outbound!$B:$Z,5,FALSE)),"ON ROCS/NOT ON FILE"),"")</f>
        <v/>
      </c>
      <c r="F264" s="387" t="str">
        <f>IF(B264&lt;&gt;"",IFERROR(IF(LEFT($B264,3)=$Z$2,VLOOKUP($C264,Outbound!$B:$Z,11,FALSE),VLOOKUP($B264,Outbound!$B:$Z,11,FALSE)),"NON TROVATO"),"")</f>
        <v/>
      </c>
      <c r="G264" s="394" t="str">
        <f>IF(B264&lt;&gt;"",IFERROR(IF(LEFT($B264,3)=$Z$2,VLOOKUP($C264,Outbound!$B:$AAZ,16,FALSE),VLOOKUP($B264,Outbound!$B:$AAZ,16,FALSE)),"NON TROVATO"),"")</f>
        <v/>
      </c>
      <c r="H264" s="394" t="str">
        <f>IF(B264&lt;&gt;"",IFERROR(IF(LEFT($B264,3)=$Z$2,VLOOKUP($C264,Outbound!$B:$AAZ,6,FALSE),VLOOKUP($B264,Outbound!$B:$AAZ,6,FALSE)),"NON TROVATO"),"")</f>
        <v/>
      </c>
      <c r="I264" s="394" t="str">
        <f>IF(B264&lt;&gt;"",IFERROR(IF(LEFT($B264,3)=$Z$2,VLOOKUP($C264,Outbound!$B:$AAZ,52,FALSE),VLOOKUP($B264,Outbound!$B:$AAZ,52,FALSE)),"NON TROVATO"),"")</f>
        <v/>
      </c>
      <c r="J264" s="396"/>
      <c r="K264" s="387" t="str">
        <f>IF(B264&lt;&gt;"",IF($D264&lt;&gt;"ON ROCS/NOT ON FILE",IFERROR(_xlfn.XLOOKUP(LEFT($D264,3),'STAT 77 Table'!$B:$B,'STAT 77 Table'!$A:$A),"ZZ"&amp;RIGHT($B264,4)),""),"")</f>
        <v/>
      </c>
      <c r="L264" s="396"/>
      <c r="O264" s="388"/>
      <c r="P264" s="388"/>
      <c r="AA264" s="421">
        <f t="shared" si="4"/>
        <v>0</v>
      </c>
    </row>
    <row r="265" spans="1:27" ht="16.5">
      <c r="A265" s="387" t="str">
        <f>'STAT 77 Table'!$I$80</f>
        <v>ITD12174</v>
      </c>
      <c r="B265"/>
      <c r="C265"/>
      <c r="D265" s="387" t="str">
        <f>IF($B265&lt;&gt;"",IFERROR(IF(LEFT($B265,3)=$Z$2,VLOOKUP($C265,Outbound!$B:$Z,4,FALSE),VLOOKUP($B265,Outbound!$B:$Z,4,FALSE)),"ON ROCS/NOT ON FILE"),"")</f>
        <v/>
      </c>
      <c r="E265" s="387" t="str">
        <f>IF($B265&lt;&gt;"",IFERROR(IF(LEFT($B265,4)=$Z$2,VLOOKUP($C265,Outbound!$B:$Z,5,FALSE),VLOOKUP($B265,Outbound!$B:$Z,5,FALSE)),"ON ROCS/NOT ON FILE"),"")</f>
        <v/>
      </c>
      <c r="F265" s="387" t="str">
        <f>IF(B265&lt;&gt;"",IFERROR(IF(LEFT($B265,3)=$Z$2,VLOOKUP($C265,Outbound!$B:$Z,11,FALSE),VLOOKUP($B265,Outbound!$B:$Z,11,FALSE)),"NON TROVATO"),"")</f>
        <v/>
      </c>
      <c r="G265" s="394" t="str">
        <f>IF(B265&lt;&gt;"",IFERROR(IF(LEFT($B265,3)=$Z$2,VLOOKUP($C265,Outbound!$B:$AAZ,16,FALSE),VLOOKUP($B265,Outbound!$B:$AAZ,16,FALSE)),"NON TROVATO"),"")</f>
        <v/>
      </c>
      <c r="H265" s="394" t="str">
        <f>IF(B265&lt;&gt;"",IFERROR(IF(LEFT($B265,3)=$Z$2,VLOOKUP($C265,Outbound!$B:$AAZ,6,FALSE),VLOOKUP($B265,Outbound!$B:$AAZ,6,FALSE)),"NON TROVATO"),"")</f>
        <v/>
      </c>
      <c r="I265" s="394" t="str">
        <f>IF(B265&lt;&gt;"",IFERROR(IF(LEFT($B265,3)=$Z$2,VLOOKUP($C265,Outbound!$B:$AAZ,52,FALSE),VLOOKUP($B265,Outbound!$B:$AAZ,52,FALSE)),"NON TROVATO"),"")</f>
        <v/>
      </c>
      <c r="J265" s="396"/>
      <c r="K265" s="387" t="str">
        <f>IF(B265&lt;&gt;"",IF($D265&lt;&gt;"ON ROCS/NOT ON FILE",IFERROR(_xlfn.XLOOKUP(LEFT($D265,3),'STAT 77 Table'!$B:$B,'STAT 77 Table'!$A:$A),"ZZ"&amp;RIGHT($B265,4)),""),"")</f>
        <v/>
      </c>
      <c r="L265" s="396"/>
      <c r="O265" s="388"/>
      <c r="P265" s="388"/>
      <c r="AA265" s="421">
        <f t="shared" si="4"/>
        <v>0</v>
      </c>
    </row>
    <row r="266" spans="1:27" ht="16.5">
      <c r="A266" s="387" t="str">
        <f>'STAT 77 Table'!$I$81</f>
        <v>ITD12716</v>
      </c>
      <c r="B266"/>
      <c r="C266"/>
      <c r="D266" s="387" t="str">
        <f>IF($B266&lt;&gt;"",IFERROR(IF(LEFT($B266,3)=$Z$2,VLOOKUP($C266,Outbound!$B:$Z,4,FALSE),VLOOKUP($B266,Outbound!$B:$Z,4,FALSE)),"ON ROCS/NOT ON FILE"),"")</f>
        <v/>
      </c>
      <c r="E266" s="387" t="str">
        <f>IF($B266&lt;&gt;"",IFERROR(IF(LEFT($B266,4)=$Z$2,VLOOKUP($C266,Outbound!$B:$Z,5,FALSE),VLOOKUP($B266,Outbound!$B:$Z,5,FALSE)),"ON ROCS/NOT ON FILE"),"")</f>
        <v/>
      </c>
      <c r="F266" s="387" t="str">
        <f>IF(B266&lt;&gt;"",IFERROR(IF(LEFT($B266,3)=$Z$2,VLOOKUP($C266,Outbound!$B:$Z,11,FALSE),VLOOKUP($B266,Outbound!$B:$Z,11,FALSE)),"NON TROVATO"),"")</f>
        <v/>
      </c>
      <c r="G266" s="394" t="str">
        <f>IF(B266&lt;&gt;"",IFERROR(IF(LEFT($B266,3)=$Z$2,VLOOKUP($C266,Outbound!$B:$AAZ,16,FALSE),VLOOKUP($B266,Outbound!$B:$AAZ,16,FALSE)),"NON TROVATO"),"")</f>
        <v/>
      </c>
      <c r="H266" s="394" t="str">
        <f>IF(B266&lt;&gt;"",IFERROR(IF(LEFT($B266,3)=$Z$2,VLOOKUP($C266,Outbound!$B:$AAZ,6,FALSE),VLOOKUP($B266,Outbound!$B:$AAZ,6,FALSE)),"NON TROVATO"),"")</f>
        <v/>
      </c>
      <c r="I266" s="394" t="str">
        <f>IF(B266&lt;&gt;"",IFERROR(IF(LEFT($B266,3)=$Z$2,VLOOKUP($C266,Outbound!$B:$AAZ,52,FALSE),VLOOKUP($B266,Outbound!$B:$AAZ,52,FALSE)),"NON TROVATO"),"")</f>
        <v/>
      </c>
      <c r="J266" s="396"/>
      <c r="K266" s="387" t="str">
        <f>IF(B266&lt;&gt;"",IF($D266&lt;&gt;"ON ROCS/NOT ON FILE",IFERROR(_xlfn.XLOOKUP(LEFT($D266,3),'STAT 77 Table'!$B:$B,'STAT 77 Table'!$A:$A),"ZZ"&amp;RIGHT($B266,4)),""),"")</f>
        <v/>
      </c>
      <c r="L266" s="396"/>
      <c r="O266" s="388"/>
      <c r="P266" s="388"/>
      <c r="AA266" s="421">
        <f t="shared" si="4"/>
        <v>0</v>
      </c>
    </row>
    <row r="267" spans="1:27" ht="16.5">
      <c r="A267" s="387" t="str">
        <f>'STAT 77 Table'!$I$82</f>
        <v>ITD12748</v>
      </c>
      <c r="B267"/>
      <c r="C267"/>
      <c r="D267" s="387" t="str">
        <f>IF($B267&lt;&gt;"",IFERROR(IF(LEFT($B267,3)=$Z$2,VLOOKUP($C267,Outbound!$B:$Z,4,FALSE),VLOOKUP($B267,Outbound!$B:$Z,4,FALSE)),"ON ROCS/NOT ON FILE"),"")</f>
        <v/>
      </c>
      <c r="E267" s="387" t="str">
        <f>IF($B267&lt;&gt;"",IFERROR(IF(LEFT($B267,4)=$Z$2,VLOOKUP($C267,Outbound!$B:$Z,5,FALSE),VLOOKUP($B267,Outbound!$B:$Z,5,FALSE)),"ON ROCS/NOT ON FILE"),"")</f>
        <v/>
      </c>
      <c r="F267" s="387" t="str">
        <f>IF(B267&lt;&gt;"",IFERROR(IF(LEFT($B267,3)=$Z$2,VLOOKUP($C267,Outbound!$B:$Z,11,FALSE),VLOOKUP($B267,Outbound!$B:$Z,11,FALSE)),"NON TROVATO"),"")</f>
        <v/>
      </c>
      <c r="G267" s="394" t="str">
        <f>IF(B267&lt;&gt;"",IFERROR(IF(LEFT($B267,3)=$Z$2,VLOOKUP($C267,Outbound!$B:$AAZ,16,FALSE),VLOOKUP($B267,Outbound!$B:$AAZ,16,FALSE)),"NON TROVATO"),"")</f>
        <v/>
      </c>
      <c r="H267" s="394" t="str">
        <f>IF(B267&lt;&gt;"",IFERROR(IF(LEFT($B267,3)=$Z$2,VLOOKUP($C267,Outbound!$B:$AAZ,6,FALSE),VLOOKUP($B267,Outbound!$B:$AAZ,6,FALSE)),"NON TROVATO"),"")</f>
        <v/>
      </c>
      <c r="I267" s="394" t="str">
        <f>IF(B267&lt;&gt;"",IFERROR(IF(LEFT($B267,3)=$Z$2,VLOOKUP($C267,Outbound!$B:$AAZ,52,FALSE),VLOOKUP($B267,Outbound!$B:$AAZ,52,FALSE)),"NON TROVATO"),"")</f>
        <v/>
      </c>
      <c r="J267" s="396"/>
      <c r="K267" s="387" t="str">
        <f>IF(B267&lt;&gt;"",IF($D267&lt;&gt;"ON ROCS/NOT ON FILE",IFERROR(_xlfn.XLOOKUP(LEFT($D267,3),'STAT 77 Table'!$B:$B,'STAT 77 Table'!$A:$A),"ZZ"&amp;RIGHT($B267,4)),""),"")</f>
        <v/>
      </c>
      <c r="L267" s="396"/>
      <c r="O267" s="388"/>
      <c r="P267" s="388"/>
      <c r="AA267" s="421">
        <f t="shared" si="4"/>
        <v>0</v>
      </c>
    </row>
    <row r="268" spans="1:27" ht="16.5">
      <c r="A268" s="387" t="str">
        <f>'STAT 77 Table'!$I$83</f>
        <v>ITD12001</v>
      </c>
      <c r="B268"/>
      <c r="C268"/>
      <c r="D268" s="387" t="str">
        <f>IF($B268&lt;&gt;"",IFERROR(IF(LEFT($B268,3)=$Z$2,VLOOKUP($C268,Outbound!$B:$Z,4,FALSE),VLOOKUP($B268,Outbound!$B:$Z,4,FALSE)),"ON ROCS/NOT ON FILE"),"")</f>
        <v/>
      </c>
      <c r="E268" s="387" t="str">
        <f>IF($B268&lt;&gt;"",IFERROR(IF(LEFT($B268,4)=$Z$2,VLOOKUP($C268,Outbound!$B:$Z,5,FALSE),VLOOKUP($B268,Outbound!$B:$Z,5,FALSE)),"ON ROCS/NOT ON FILE"),"")</f>
        <v/>
      </c>
      <c r="F268" s="387" t="str">
        <f>IF(B268&lt;&gt;"",IFERROR(IF(LEFT($B268,3)=$Z$2,VLOOKUP($C268,Outbound!$B:$Z,11,FALSE),VLOOKUP($B268,Outbound!$B:$Z,11,FALSE)),"NON TROVATO"),"")</f>
        <v/>
      </c>
      <c r="G268" s="394" t="str">
        <f>IF(B268&lt;&gt;"",IFERROR(IF(LEFT($B268,3)=$Z$2,VLOOKUP($C268,Outbound!$B:$AAZ,16,FALSE),VLOOKUP($B268,Outbound!$B:$AAZ,16,FALSE)),"NON TROVATO"),"")</f>
        <v/>
      </c>
      <c r="H268" s="394" t="str">
        <f>IF(B268&lt;&gt;"",IFERROR(IF(LEFT($B268,3)=$Z$2,VLOOKUP($C268,Outbound!$B:$AAZ,6,FALSE),VLOOKUP($B268,Outbound!$B:$AAZ,6,FALSE)),"NON TROVATO"),"")</f>
        <v/>
      </c>
      <c r="I268" s="394" t="str">
        <f>IF(B268&lt;&gt;"",IFERROR(IF(LEFT($B268,3)=$Z$2,VLOOKUP($C268,Outbound!$B:$AAZ,52,FALSE),VLOOKUP($B268,Outbound!$B:$AAZ,52,FALSE)),"NON TROVATO"),"")</f>
        <v/>
      </c>
      <c r="J268" s="396"/>
      <c r="K268" s="387" t="str">
        <f>IF(B268&lt;&gt;"",IF($D268&lt;&gt;"ON ROCS/NOT ON FILE",IFERROR(_xlfn.XLOOKUP(LEFT($D268,3),'STAT 77 Table'!$B:$B,'STAT 77 Table'!$A:$A),"ZZ"&amp;RIGHT($B268,4)),""),"")</f>
        <v/>
      </c>
      <c r="L268" s="396"/>
      <c r="O268" s="388"/>
      <c r="P268" s="388"/>
      <c r="AA268" s="421">
        <f t="shared" si="4"/>
        <v>0</v>
      </c>
    </row>
    <row r="269" spans="1:27" ht="16.5">
      <c r="A269" s="387" t="str">
        <f>'STAT 77 Table'!$I$84</f>
        <v>ITD12005</v>
      </c>
      <c r="B269"/>
      <c r="C269"/>
      <c r="D269" s="387" t="str">
        <f>IF($B269&lt;&gt;"",IFERROR(IF(LEFT($B269,3)=$Z$2,VLOOKUP($C269,Outbound!$B:$Z,4,FALSE),VLOOKUP($B269,Outbound!$B:$Z,4,FALSE)),"ON ROCS/NOT ON FILE"),"")</f>
        <v/>
      </c>
      <c r="E269" s="387" t="str">
        <f>IF($B269&lt;&gt;"",IFERROR(IF(LEFT($B269,4)=$Z$2,VLOOKUP($C269,Outbound!$B:$Z,5,FALSE),VLOOKUP($B269,Outbound!$B:$Z,5,FALSE)),"ON ROCS/NOT ON FILE"),"")</f>
        <v/>
      </c>
      <c r="F269" s="387" t="str">
        <f>IF(B269&lt;&gt;"",IFERROR(IF(LEFT($B269,3)=$Z$2,VLOOKUP($C269,Outbound!$B:$Z,11,FALSE),VLOOKUP($B269,Outbound!$B:$Z,11,FALSE)),"NON TROVATO"),"")</f>
        <v/>
      </c>
      <c r="G269" s="394" t="str">
        <f>IF(B269&lt;&gt;"",IFERROR(IF(LEFT($B269,3)=$Z$2,VLOOKUP($C269,Outbound!$B:$AAZ,16,FALSE),VLOOKUP($B269,Outbound!$B:$AAZ,16,FALSE)),"NON TROVATO"),"")</f>
        <v/>
      </c>
      <c r="H269" s="394" t="str">
        <f>IF(B269&lt;&gt;"",IFERROR(IF(LEFT($B269,3)=$Z$2,VLOOKUP($C269,Outbound!$B:$AAZ,6,FALSE),VLOOKUP($B269,Outbound!$B:$AAZ,6,FALSE)),"NON TROVATO"),"")</f>
        <v/>
      </c>
      <c r="I269" s="394" t="str">
        <f>IF(B269&lt;&gt;"",IFERROR(IF(LEFT($B269,3)=$Z$2,VLOOKUP($C269,Outbound!$B:$AAZ,52,FALSE),VLOOKUP($B269,Outbound!$B:$AAZ,52,FALSE)),"NON TROVATO"),"")</f>
        <v/>
      </c>
      <c r="J269" s="396"/>
      <c r="K269" s="387" t="str">
        <f>IF(B269&lt;&gt;"",IF($D269&lt;&gt;"ON ROCS/NOT ON FILE",IFERROR(_xlfn.XLOOKUP(LEFT($D269,3),'STAT 77 Table'!$B:$B,'STAT 77 Table'!$A:$A),"ZZ"&amp;RIGHT($B269,4)),""),"")</f>
        <v/>
      </c>
      <c r="L269" s="396"/>
      <c r="O269" s="388"/>
      <c r="P269" s="388"/>
      <c r="AA269" s="421">
        <f t="shared" si="4"/>
        <v>0</v>
      </c>
    </row>
    <row r="270" spans="1:27" ht="16.5">
      <c r="A270" s="387" t="str">
        <f>'STAT 77 Table'!$I$85</f>
        <v>ITD12738</v>
      </c>
      <c r="B270"/>
      <c r="C270"/>
      <c r="D270" s="387" t="str">
        <f>IF($B270&lt;&gt;"",IFERROR(IF(LEFT($B270,3)=$Z$2,VLOOKUP($C270,Outbound!$B:$Z,4,FALSE),VLOOKUP($B270,Outbound!$B:$Z,4,FALSE)),"ON ROCS/NOT ON FILE"),"")</f>
        <v/>
      </c>
      <c r="E270" s="387" t="str">
        <f>IF($B270&lt;&gt;"",IFERROR(IF(LEFT($B270,4)=$Z$2,VLOOKUP($C270,Outbound!$B:$Z,5,FALSE),VLOOKUP($B270,Outbound!$B:$Z,5,FALSE)),"ON ROCS/NOT ON FILE"),"")</f>
        <v/>
      </c>
      <c r="F270" s="387" t="str">
        <f>IF(B270&lt;&gt;"",IFERROR(IF(LEFT($B270,3)=$Z$2,VLOOKUP($C270,Outbound!$B:$Z,11,FALSE),VLOOKUP($B270,Outbound!$B:$Z,11,FALSE)),"NON TROVATO"),"")</f>
        <v/>
      </c>
      <c r="G270" s="394" t="str">
        <f>IF(B270&lt;&gt;"",IFERROR(IF(LEFT($B270,3)=$Z$2,VLOOKUP($C270,Outbound!$B:$AAZ,16,FALSE),VLOOKUP($B270,Outbound!$B:$AAZ,16,FALSE)),"NON TROVATO"),"")</f>
        <v/>
      </c>
      <c r="H270" s="394" t="str">
        <f>IF(B270&lt;&gt;"",IFERROR(IF(LEFT($B270,3)=$Z$2,VLOOKUP($C270,Outbound!$B:$AAZ,6,FALSE),VLOOKUP($B270,Outbound!$B:$AAZ,6,FALSE)),"NON TROVATO"),"")</f>
        <v/>
      </c>
      <c r="I270" s="394" t="str">
        <f>IF(B270&lt;&gt;"",IFERROR(IF(LEFT($B270,3)=$Z$2,VLOOKUP($C270,Outbound!$B:$AAZ,52,FALSE),VLOOKUP($B270,Outbound!$B:$AAZ,52,FALSE)),"NON TROVATO"),"")</f>
        <v/>
      </c>
      <c r="J270" s="396"/>
      <c r="K270" s="387" t="str">
        <f>IF(B270&lt;&gt;"",IF($D270&lt;&gt;"ON ROCS/NOT ON FILE",IFERROR(_xlfn.XLOOKUP(LEFT($D270,3),'STAT 77 Table'!$B:$B,'STAT 77 Table'!$A:$A),"ZZ"&amp;RIGHT($B270,4)),""),"")</f>
        <v/>
      </c>
      <c r="L270" s="396"/>
      <c r="O270" s="388"/>
      <c r="P270" s="388"/>
      <c r="AA270" s="421">
        <f t="shared" si="4"/>
        <v>0</v>
      </c>
    </row>
    <row r="271" spans="1:27" ht="16.5">
      <c r="A271" s="387" t="str">
        <f>'STAT 77 Table'!$I$86</f>
        <v>ITD12262</v>
      </c>
      <c r="B271"/>
      <c r="C271"/>
      <c r="D271" s="387" t="str">
        <f>IF($B271&lt;&gt;"",IFERROR(IF(LEFT($B271,3)=$Z$2,VLOOKUP($C271,Outbound!$B:$Z,4,FALSE),VLOOKUP($B271,Outbound!$B:$Z,4,FALSE)),"ON ROCS/NOT ON FILE"),"")</f>
        <v/>
      </c>
      <c r="E271" s="387" t="str">
        <f>IF($B271&lt;&gt;"",IFERROR(IF(LEFT($B271,4)=$Z$2,VLOOKUP($C271,Outbound!$B:$Z,5,FALSE),VLOOKUP($B271,Outbound!$B:$Z,5,FALSE)),"ON ROCS/NOT ON FILE"),"")</f>
        <v/>
      </c>
      <c r="F271" s="387" t="str">
        <f>IF(B271&lt;&gt;"",IFERROR(IF(LEFT($B271,3)=$Z$2,VLOOKUP($C271,Outbound!$B:$Z,11,FALSE),VLOOKUP($B271,Outbound!$B:$Z,11,FALSE)),"NON TROVATO"),"")</f>
        <v/>
      </c>
      <c r="G271" s="394" t="str">
        <f>IF(B271&lt;&gt;"",IFERROR(IF(LEFT($B271,3)=$Z$2,VLOOKUP($C271,Outbound!$B:$AAZ,16,FALSE),VLOOKUP($B271,Outbound!$B:$AAZ,16,FALSE)),"NON TROVATO"),"")</f>
        <v/>
      </c>
      <c r="H271" s="394" t="str">
        <f>IF(B271&lt;&gt;"",IFERROR(IF(LEFT($B271,3)=$Z$2,VLOOKUP($C271,Outbound!$B:$AAZ,6,FALSE),VLOOKUP($B271,Outbound!$B:$AAZ,6,FALSE)),"NON TROVATO"),"")</f>
        <v/>
      </c>
      <c r="I271" s="394" t="str">
        <f>IF(B271&lt;&gt;"",IFERROR(IF(LEFT($B271,3)=$Z$2,VLOOKUP($C271,Outbound!$B:$AAZ,52,FALSE),VLOOKUP($B271,Outbound!$B:$AAZ,52,FALSE)),"NON TROVATO"),"")</f>
        <v/>
      </c>
      <c r="J271" s="396"/>
      <c r="K271" s="387" t="str">
        <f>IF(B271&lt;&gt;"",IF($D271&lt;&gt;"ON ROCS/NOT ON FILE",IFERROR(_xlfn.XLOOKUP(LEFT($D271,3),'STAT 77 Table'!$B:$B,'STAT 77 Table'!$A:$A),"ZZ"&amp;RIGHT($B271,4)),""),"")</f>
        <v/>
      </c>
      <c r="L271" s="396"/>
      <c r="O271" s="388"/>
      <c r="P271" s="388"/>
      <c r="AA271" s="421">
        <f t="shared" si="4"/>
        <v>0</v>
      </c>
    </row>
    <row r="272" spans="1:27" ht="16.5">
      <c r="A272" s="387" t="str">
        <f>'STAT 77 Table'!$I$87</f>
        <v>ITD12258</v>
      </c>
      <c r="B272"/>
      <c r="C272"/>
      <c r="D272" s="387" t="str">
        <f>IF($B272&lt;&gt;"",IFERROR(IF(LEFT($B272,3)=$Z$2,VLOOKUP($C272,Outbound!$B:$Z,4,FALSE),VLOOKUP($B272,Outbound!$B:$Z,4,FALSE)),"ON ROCS/NOT ON FILE"),"")</f>
        <v/>
      </c>
      <c r="E272" s="387" t="str">
        <f>IF($B272&lt;&gt;"",IFERROR(IF(LEFT($B272,4)=$Z$2,VLOOKUP($C272,Outbound!$B:$Z,5,FALSE),VLOOKUP($B272,Outbound!$B:$Z,5,FALSE)),"ON ROCS/NOT ON FILE"),"")</f>
        <v/>
      </c>
      <c r="F272" s="387" t="str">
        <f>IF(B272&lt;&gt;"",IFERROR(IF(LEFT($B272,3)=$Z$2,VLOOKUP($C272,Outbound!$B:$Z,11,FALSE),VLOOKUP($B272,Outbound!$B:$Z,11,FALSE)),"NON TROVATO"),"")</f>
        <v/>
      </c>
      <c r="G272" s="394" t="str">
        <f>IF(B272&lt;&gt;"",IFERROR(IF(LEFT($B272,3)=$Z$2,VLOOKUP($C272,Outbound!$B:$AAZ,16,FALSE),VLOOKUP($B272,Outbound!$B:$AAZ,16,FALSE)),"NON TROVATO"),"")</f>
        <v/>
      </c>
      <c r="H272" s="394" t="str">
        <f>IF(B272&lt;&gt;"",IFERROR(IF(LEFT($B272,3)=$Z$2,VLOOKUP($C272,Outbound!$B:$AAZ,6,FALSE),VLOOKUP($B272,Outbound!$B:$AAZ,6,FALSE)),"NON TROVATO"),"")</f>
        <v/>
      </c>
      <c r="I272" s="394" t="str">
        <f>IF(B272&lt;&gt;"",IFERROR(IF(LEFT($B272,3)=$Z$2,VLOOKUP($C272,Outbound!$B:$AAZ,52,FALSE),VLOOKUP($B272,Outbound!$B:$AAZ,52,FALSE)),"NON TROVATO"),"")</f>
        <v/>
      </c>
      <c r="J272" s="396"/>
      <c r="K272" s="387" t="str">
        <f>IF(B272&lt;&gt;"",IF($D272&lt;&gt;"ON ROCS/NOT ON FILE",IFERROR(_xlfn.XLOOKUP(LEFT($D272,3),'STAT 77 Table'!$B:$B,'STAT 77 Table'!$A:$A),"ZZ"&amp;RIGHT($B272,4)),""),"")</f>
        <v/>
      </c>
      <c r="L272" s="396"/>
      <c r="O272" s="388"/>
      <c r="P272" s="388"/>
      <c r="AA272" s="421">
        <f t="shared" si="4"/>
        <v>0</v>
      </c>
    </row>
    <row r="273" spans="1:27" ht="16.5">
      <c r="A273" s="387" t="str">
        <f>'STAT 77 Table'!$I$88</f>
        <v>ITD12376</v>
      </c>
      <c r="B273"/>
      <c r="C273"/>
      <c r="D273" s="387" t="str">
        <f>IF($B273&lt;&gt;"",IFERROR(IF(LEFT($B273,3)=$Z$2,VLOOKUP($C273,Outbound!$B:$Z,4,FALSE),VLOOKUP($B273,Outbound!$B:$Z,4,FALSE)),"ON ROCS/NOT ON FILE"),"")</f>
        <v/>
      </c>
      <c r="E273" s="387" t="str">
        <f>IF($B273&lt;&gt;"",IFERROR(IF(LEFT($B273,4)=$Z$2,VLOOKUP($C273,Outbound!$B:$Z,5,FALSE),VLOOKUP($B273,Outbound!$B:$Z,5,FALSE)),"ON ROCS/NOT ON FILE"),"")</f>
        <v/>
      </c>
      <c r="F273" s="387" t="str">
        <f>IF(B273&lt;&gt;"",IFERROR(IF(LEFT($B273,3)=$Z$2,VLOOKUP($C273,Outbound!$B:$Z,11,FALSE),VLOOKUP($B273,Outbound!$B:$Z,11,FALSE)),"NON TROVATO"),"")</f>
        <v/>
      </c>
      <c r="G273" s="394" t="str">
        <f>IF(B273&lt;&gt;"",IFERROR(IF(LEFT($B273,3)=$Z$2,VLOOKUP($C273,Outbound!$B:$AAZ,16,FALSE),VLOOKUP($B273,Outbound!$B:$AAZ,16,FALSE)),"NON TROVATO"),"")</f>
        <v/>
      </c>
      <c r="H273" s="394" t="str">
        <f>IF(B273&lt;&gt;"",IFERROR(IF(LEFT($B273,3)=$Z$2,VLOOKUP($C273,Outbound!$B:$AAZ,6,FALSE),VLOOKUP($B273,Outbound!$B:$AAZ,6,FALSE)),"NON TROVATO"),"")</f>
        <v/>
      </c>
      <c r="I273" s="394" t="str">
        <f>IF(B273&lt;&gt;"",IFERROR(IF(LEFT($B273,3)=$Z$2,VLOOKUP($C273,Outbound!$B:$AAZ,52,FALSE),VLOOKUP($B273,Outbound!$B:$AAZ,52,FALSE)),"NON TROVATO"),"")</f>
        <v/>
      </c>
      <c r="J273" s="396"/>
      <c r="K273" s="387" t="str">
        <f>IF(B273&lt;&gt;"",IF($D273&lt;&gt;"ON ROCS/NOT ON FILE",IFERROR(_xlfn.XLOOKUP(LEFT($D273,3),'STAT 77 Table'!$B:$B,'STAT 77 Table'!$A:$A),"ZZ"&amp;RIGHT($B273,4)),""),"")</f>
        <v/>
      </c>
      <c r="L273" s="396"/>
      <c r="O273" s="388"/>
      <c r="P273" s="388"/>
      <c r="AA273" s="421">
        <f t="shared" si="4"/>
        <v>0</v>
      </c>
    </row>
    <row r="274" spans="1:27" ht="16.5">
      <c r="A274" s="387" t="str">
        <f>'STAT 77 Table'!$I$89</f>
        <v>ITD12736</v>
      </c>
      <c r="B274"/>
      <c r="C274"/>
      <c r="D274" s="387" t="str">
        <f>IF($B274&lt;&gt;"",IFERROR(IF(LEFT($B274,3)=$Z$2,VLOOKUP($C274,Outbound!$B:$Z,4,FALSE),VLOOKUP($B274,Outbound!$B:$Z,4,FALSE)),"ON ROCS/NOT ON FILE"),"")</f>
        <v/>
      </c>
      <c r="E274" s="387" t="str">
        <f>IF($B274&lt;&gt;"",IFERROR(IF(LEFT($B274,4)=$Z$2,VLOOKUP($C274,Outbound!$B:$Z,5,FALSE),VLOOKUP($B274,Outbound!$B:$Z,5,FALSE)),"ON ROCS/NOT ON FILE"),"")</f>
        <v/>
      </c>
      <c r="F274" s="387" t="str">
        <f>IF(B274&lt;&gt;"",IFERROR(IF(LEFT($B274,3)=$Z$2,VLOOKUP($C274,Outbound!$B:$Z,11,FALSE),VLOOKUP($B274,Outbound!$B:$Z,11,FALSE)),"NON TROVATO"),"")</f>
        <v/>
      </c>
      <c r="G274" s="394" t="str">
        <f>IF(B274&lt;&gt;"",IFERROR(IF(LEFT($B274,3)=$Z$2,VLOOKUP($C274,Outbound!$B:$AAZ,16,FALSE),VLOOKUP($B274,Outbound!$B:$AAZ,16,FALSE)),"NON TROVATO"),"")</f>
        <v/>
      </c>
      <c r="H274" s="394" t="str">
        <f>IF(B274&lt;&gt;"",IFERROR(IF(LEFT($B274,3)=$Z$2,VLOOKUP($C274,Outbound!$B:$AAZ,6,FALSE),VLOOKUP($B274,Outbound!$B:$AAZ,6,FALSE)),"NON TROVATO"),"")</f>
        <v/>
      </c>
      <c r="I274" s="394" t="str">
        <f>IF(B274&lt;&gt;"",IFERROR(IF(LEFT($B274,3)=$Z$2,VLOOKUP($C274,Outbound!$B:$AAZ,52,FALSE),VLOOKUP($B274,Outbound!$B:$AAZ,52,FALSE)),"NON TROVATO"),"")</f>
        <v/>
      </c>
      <c r="J274" s="396"/>
      <c r="K274" s="387" t="str">
        <f>IF(B274&lt;&gt;"",IF($D274&lt;&gt;"ON ROCS/NOT ON FILE",IFERROR(_xlfn.XLOOKUP(LEFT($D274,3),'STAT 77 Table'!$B:$B,'STAT 77 Table'!$A:$A),"ZZ"&amp;RIGHT($B274,4)),""),"")</f>
        <v/>
      </c>
      <c r="L274" s="396"/>
      <c r="O274" s="388"/>
      <c r="P274" s="388"/>
      <c r="AA274" s="421">
        <f t="shared" si="4"/>
        <v>0</v>
      </c>
    </row>
    <row r="275" spans="1:27" ht="16.5">
      <c r="A275" s="387" t="str">
        <f>'STAT 77 Table'!$I$90</f>
        <v>ITD12864</v>
      </c>
      <c r="B275"/>
      <c r="C275"/>
      <c r="D275" s="387" t="str">
        <f>IF($B275&lt;&gt;"",IFERROR(IF(LEFT($B275,3)=$Z$2,VLOOKUP($C275,Outbound!$B:$Z,4,FALSE),VLOOKUP($B275,Outbound!$B:$Z,4,FALSE)),"ON ROCS/NOT ON FILE"),"")</f>
        <v/>
      </c>
      <c r="E275" s="387" t="str">
        <f>IF($B275&lt;&gt;"",IFERROR(IF(LEFT($B275,4)=$Z$2,VLOOKUP($C275,Outbound!$B:$Z,5,FALSE),VLOOKUP($B275,Outbound!$B:$Z,5,FALSE)),"ON ROCS/NOT ON FILE"),"")</f>
        <v/>
      </c>
      <c r="F275" s="387" t="str">
        <f>IF(B275&lt;&gt;"",IFERROR(IF(LEFT($B275,3)=$Z$2,VLOOKUP($C275,Outbound!$B:$Z,11,FALSE),VLOOKUP($B275,Outbound!$B:$Z,11,FALSE)),"NON TROVATO"),"")</f>
        <v/>
      </c>
      <c r="G275" s="394" t="str">
        <f>IF(B275&lt;&gt;"",IFERROR(IF(LEFT($B275,3)=$Z$2,VLOOKUP($C275,Outbound!$B:$AAZ,16,FALSE),VLOOKUP($B275,Outbound!$B:$AAZ,16,FALSE)),"NON TROVATO"),"")</f>
        <v/>
      </c>
      <c r="H275" s="394" t="str">
        <f>IF(B275&lt;&gt;"",IFERROR(IF(LEFT($B275,3)=$Z$2,VLOOKUP($C275,Outbound!$B:$AAZ,6,FALSE),VLOOKUP($B275,Outbound!$B:$AAZ,6,FALSE)),"NON TROVATO"),"")</f>
        <v/>
      </c>
      <c r="I275" s="394" t="str">
        <f>IF(B275&lt;&gt;"",IFERROR(IF(LEFT($B275,3)=$Z$2,VLOOKUP($C275,Outbound!$B:$AAZ,52,FALSE),VLOOKUP($B275,Outbound!$B:$AAZ,52,FALSE)),"NON TROVATO"),"")</f>
        <v/>
      </c>
      <c r="J275" s="396"/>
      <c r="K275" s="387" t="str">
        <f>IF(B275&lt;&gt;"",IF($D275&lt;&gt;"ON ROCS/NOT ON FILE",IFERROR(_xlfn.XLOOKUP(LEFT($D275,3),'STAT 77 Table'!$B:$B,'STAT 77 Table'!$A:$A),"ZZ"&amp;RIGHT($B275,4)),""),"")</f>
        <v/>
      </c>
      <c r="L275" s="396"/>
      <c r="O275" s="388"/>
      <c r="P275" s="388"/>
      <c r="AA275" s="421">
        <f t="shared" si="4"/>
        <v>0</v>
      </c>
    </row>
    <row r="276" spans="1:27" ht="16.5">
      <c r="A276" s="387" t="str">
        <f>'STAT 77 Table'!$I$91</f>
        <v>ITD12253</v>
      </c>
      <c r="B276"/>
      <c r="C276"/>
      <c r="D276" s="387" t="str">
        <f>IF($B276&lt;&gt;"",IFERROR(IF(LEFT($B276,3)=$Z$2,VLOOKUP($C276,Outbound!$B:$Z,4,FALSE),VLOOKUP($B276,Outbound!$B:$Z,4,FALSE)),"ON ROCS/NOT ON FILE"),"")</f>
        <v/>
      </c>
      <c r="E276" s="387" t="str">
        <f>IF($B276&lt;&gt;"",IFERROR(IF(LEFT($B276,4)=$Z$2,VLOOKUP($C276,Outbound!$B:$Z,5,FALSE),VLOOKUP($B276,Outbound!$B:$Z,5,FALSE)),"ON ROCS/NOT ON FILE"),"")</f>
        <v/>
      </c>
      <c r="F276" s="387" t="str">
        <f>IF(B276&lt;&gt;"",IFERROR(IF(LEFT($B276,3)=$Z$2,VLOOKUP($C276,Outbound!$B:$Z,11,FALSE),VLOOKUP($B276,Outbound!$B:$Z,11,FALSE)),"NON TROVATO"),"")</f>
        <v/>
      </c>
      <c r="G276" s="394" t="str">
        <f>IF(B276&lt;&gt;"",IFERROR(IF(LEFT($B276,3)=$Z$2,VLOOKUP($C276,Outbound!$B:$AAZ,16,FALSE),VLOOKUP($B276,Outbound!$B:$AAZ,16,FALSE)),"NON TROVATO"),"")</f>
        <v/>
      </c>
      <c r="H276" s="394" t="str">
        <f>IF(B276&lt;&gt;"",IFERROR(IF(LEFT($B276,3)=$Z$2,VLOOKUP($C276,Outbound!$B:$AAZ,6,FALSE),VLOOKUP($B276,Outbound!$B:$AAZ,6,FALSE)),"NON TROVATO"),"")</f>
        <v/>
      </c>
      <c r="I276" s="394" t="str">
        <f>IF(B276&lt;&gt;"",IFERROR(IF(LEFT($B276,3)=$Z$2,VLOOKUP($C276,Outbound!$B:$AAZ,52,FALSE),VLOOKUP($B276,Outbound!$B:$AAZ,52,FALSE)),"NON TROVATO"),"")</f>
        <v/>
      </c>
      <c r="J276" s="396"/>
      <c r="K276" s="387" t="str">
        <f>IF(B276&lt;&gt;"",IF($D276&lt;&gt;"ON ROCS/NOT ON FILE",IFERROR(_xlfn.XLOOKUP(LEFT($D276,3),'STAT 77 Table'!$B:$B,'STAT 77 Table'!$A:$A),"ZZ"&amp;RIGHT($B276,4)),""),"")</f>
        <v/>
      </c>
      <c r="L276" s="396"/>
      <c r="O276" s="388"/>
      <c r="P276" s="388"/>
      <c r="AA276" s="421">
        <f t="shared" si="4"/>
        <v>0</v>
      </c>
    </row>
    <row r="277" spans="1:27" ht="16.5">
      <c r="A277" s="387" t="str">
        <f>'STAT 77 Table'!$I$92</f>
        <v>ITD12764</v>
      </c>
      <c r="B277"/>
      <c r="C277"/>
      <c r="D277" s="387" t="str">
        <f>IF($B277&lt;&gt;"",IFERROR(IF(LEFT($B277,3)=$Z$2,VLOOKUP($C277,Outbound!$B:$Z,4,FALSE),VLOOKUP($B277,Outbound!$B:$Z,4,FALSE)),"ON ROCS/NOT ON FILE"),"")</f>
        <v/>
      </c>
      <c r="E277" s="387" t="str">
        <f>IF($B277&lt;&gt;"",IFERROR(IF(LEFT($B277,4)=$Z$2,VLOOKUP($C277,Outbound!$B:$Z,5,FALSE),VLOOKUP($B277,Outbound!$B:$Z,5,FALSE)),"ON ROCS/NOT ON FILE"),"")</f>
        <v/>
      </c>
      <c r="F277" s="387" t="str">
        <f>IF(B277&lt;&gt;"",IFERROR(IF(LEFT($B277,3)=$Z$2,VLOOKUP($C277,Outbound!$B:$Z,11,FALSE),VLOOKUP($B277,Outbound!$B:$Z,11,FALSE)),"NON TROVATO"),"")</f>
        <v/>
      </c>
      <c r="G277" s="394" t="str">
        <f>IF(B277&lt;&gt;"",IFERROR(IF(LEFT($B277,3)=$Z$2,VLOOKUP($C277,Outbound!$B:$AAZ,16,FALSE),VLOOKUP($B277,Outbound!$B:$AAZ,16,FALSE)),"NON TROVATO"),"")</f>
        <v/>
      </c>
      <c r="H277" s="394" t="str">
        <f>IF(B277&lt;&gt;"",IFERROR(IF(LEFT($B277,3)=$Z$2,VLOOKUP($C277,Outbound!$B:$AAZ,6,FALSE),VLOOKUP($B277,Outbound!$B:$AAZ,6,FALSE)),"NON TROVATO"),"")</f>
        <v/>
      </c>
      <c r="I277" s="394" t="str">
        <f>IF(B277&lt;&gt;"",IFERROR(IF(LEFT($B277,3)=$Z$2,VLOOKUP($C277,Outbound!$B:$AAZ,52,FALSE),VLOOKUP($B277,Outbound!$B:$AAZ,52,FALSE)),"NON TROVATO"),"")</f>
        <v/>
      </c>
      <c r="J277" s="396"/>
      <c r="K277" s="387" t="str">
        <f>IF(B277&lt;&gt;"",IF($D277&lt;&gt;"ON ROCS/NOT ON FILE",IFERROR(_xlfn.XLOOKUP(LEFT($D277,3),'STAT 77 Table'!$B:$B,'STAT 77 Table'!$A:$A),"ZZ"&amp;RIGHT($B277,4)),""),"")</f>
        <v/>
      </c>
      <c r="L277" s="396"/>
      <c r="O277" s="388"/>
      <c r="P277" s="388"/>
      <c r="AA277" s="421">
        <f t="shared" si="4"/>
        <v>0</v>
      </c>
    </row>
    <row r="278" spans="1:27" ht="16.5">
      <c r="A278" s="387" t="str">
        <f>'STAT 77 Table'!$I$93</f>
        <v>ITD12302</v>
      </c>
      <c r="B278"/>
      <c r="C278"/>
      <c r="D278" s="387" t="str">
        <f>IF($B278&lt;&gt;"",IFERROR(IF(LEFT($B278,3)=$Z$2,VLOOKUP($C278,Outbound!$B:$Z,4,FALSE),VLOOKUP($B278,Outbound!$B:$Z,4,FALSE)),"ON ROCS/NOT ON FILE"),"")</f>
        <v/>
      </c>
      <c r="E278" s="387" t="str">
        <f>IF($B278&lt;&gt;"",IFERROR(IF(LEFT($B278,4)=$Z$2,VLOOKUP($C278,Outbound!$B:$Z,5,FALSE),VLOOKUP($B278,Outbound!$B:$Z,5,FALSE)),"ON ROCS/NOT ON FILE"),"")</f>
        <v/>
      </c>
      <c r="F278" s="387" t="str">
        <f>IF(B278&lt;&gt;"",IFERROR(IF(LEFT($B278,3)=$Z$2,VLOOKUP($C278,Outbound!$B:$Z,11,FALSE),VLOOKUP($B278,Outbound!$B:$Z,11,FALSE)),"NON TROVATO"),"")</f>
        <v/>
      </c>
      <c r="G278" s="394" t="str">
        <f>IF(B278&lt;&gt;"",IFERROR(IF(LEFT($B278,3)=$Z$2,VLOOKUP($C278,Outbound!$B:$AAZ,16,FALSE),VLOOKUP($B278,Outbound!$B:$AAZ,16,FALSE)),"NON TROVATO"),"")</f>
        <v/>
      </c>
      <c r="H278" s="394" t="str">
        <f>IF(B278&lt;&gt;"",IFERROR(IF(LEFT($B278,3)=$Z$2,VLOOKUP($C278,Outbound!$B:$AAZ,6,FALSE),VLOOKUP($B278,Outbound!$B:$AAZ,6,FALSE)),"NON TROVATO"),"")</f>
        <v/>
      </c>
      <c r="I278" s="394" t="str">
        <f>IF(B278&lt;&gt;"",IFERROR(IF(LEFT($B278,3)=$Z$2,VLOOKUP($C278,Outbound!$B:$AAZ,52,FALSE),VLOOKUP($B278,Outbound!$B:$AAZ,52,FALSE)),"NON TROVATO"),"")</f>
        <v/>
      </c>
      <c r="J278" s="396"/>
      <c r="K278" s="387" t="str">
        <f>IF(B278&lt;&gt;"",IF($D278&lt;&gt;"ON ROCS/NOT ON FILE",IFERROR(_xlfn.XLOOKUP(LEFT($D278,3),'STAT 77 Table'!$B:$B,'STAT 77 Table'!$A:$A),"ZZ"&amp;RIGHT($B278,4)),""),"")</f>
        <v/>
      </c>
      <c r="L278" s="396"/>
      <c r="O278" s="388"/>
      <c r="P278" s="388"/>
      <c r="AA278" s="421">
        <f t="shared" si="4"/>
        <v>0</v>
      </c>
    </row>
    <row r="279" spans="1:27" ht="16.5">
      <c r="A279" s="387" t="str">
        <f>'STAT 77 Table'!$I$94</f>
        <v>ITD12868</v>
      </c>
      <c r="B279"/>
      <c r="C279"/>
      <c r="D279" s="387" t="str">
        <f>IF($B279&lt;&gt;"",IFERROR(IF(LEFT($B279,3)=$Z$2,VLOOKUP($C279,Outbound!$B:$Z,4,FALSE),VLOOKUP($B279,Outbound!$B:$Z,4,FALSE)),"ON ROCS/NOT ON FILE"),"")</f>
        <v/>
      </c>
      <c r="E279" s="387" t="str">
        <f>IF($B279&lt;&gt;"",IFERROR(IF(LEFT($B279,4)=$Z$2,VLOOKUP($C279,Outbound!$B:$Z,5,FALSE),VLOOKUP($B279,Outbound!$B:$Z,5,FALSE)),"ON ROCS/NOT ON FILE"),"")</f>
        <v/>
      </c>
      <c r="F279" s="387" t="str">
        <f>IF(B279&lt;&gt;"",IFERROR(IF(LEFT($B279,3)=$Z$2,VLOOKUP($C279,Outbound!$B:$Z,11,FALSE),VLOOKUP($B279,Outbound!$B:$Z,11,FALSE)),"NON TROVATO"),"")</f>
        <v/>
      </c>
      <c r="G279" s="394" t="str">
        <f>IF(B279&lt;&gt;"",IFERROR(IF(LEFT($B279,3)=$Z$2,VLOOKUP($C279,Outbound!$B:$AAZ,16,FALSE),VLOOKUP($B279,Outbound!$B:$AAZ,16,FALSE)),"NON TROVATO"),"")</f>
        <v/>
      </c>
      <c r="H279" s="394" t="str">
        <f>IF(B279&lt;&gt;"",IFERROR(IF(LEFT($B279,3)=$Z$2,VLOOKUP($C279,Outbound!$B:$AAZ,6,FALSE),VLOOKUP($B279,Outbound!$B:$AAZ,6,FALSE)),"NON TROVATO"),"")</f>
        <v/>
      </c>
      <c r="I279" s="394" t="str">
        <f>IF(B279&lt;&gt;"",IFERROR(IF(LEFT($B279,3)=$Z$2,VLOOKUP($C279,Outbound!$B:$AAZ,52,FALSE),VLOOKUP($B279,Outbound!$B:$AAZ,52,FALSE)),"NON TROVATO"),"")</f>
        <v/>
      </c>
      <c r="J279" s="396"/>
      <c r="K279" s="387" t="str">
        <f>IF(B279&lt;&gt;"",IF($D279&lt;&gt;"ON ROCS/NOT ON FILE",IFERROR(_xlfn.XLOOKUP(LEFT($D279,3),'STAT 77 Table'!$B:$B,'STAT 77 Table'!$A:$A),"ZZ"&amp;RIGHT($B279,4)),""),"")</f>
        <v/>
      </c>
      <c r="L279" s="396"/>
      <c r="O279" s="388"/>
      <c r="P279" s="388"/>
      <c r="AA279" s="421">
        <f t="shared" si="4"/>
        <v>0</v>
      </c>
    </row>
    <row r="280" spans="1:27" ht="16.5">
      <c r="A280" s="387" t="str">
        <f>'STAT 77 Table'!$I$95</f>
        <v>ITD12208</v>
      </c>
      <c r="B280"/>
      <c r="C280"/>
      <c r="D280" s="387" t="str">
        <f>IF($B280&lt;&gt;"",IFERROR(IF(LEFT($B280,3)=$Z$2,VLOOKUP($C280,Outbound!$B:$Z,4,FALSE),VLOOKUP($B280,Outbound!$B:$Z,4,FALSE)),"ON ROCS/NOT ON FILE"),"")</f>
        <v/>
      </c>
      <c r="E280" s="387" t="str">
        <f>IF($B280&lt;&gt;"",IFERROR(IF(LEFT($B280,4)=$Z$2,VLOOKUP($C280,Outbound!$B:$Z,5,FALSE),VLOOKUP($B280,Outbound!$B:$Z,5,FALSE)),"ON ROCS/NOT ON FILE"),"")</f>
        <v/>
      </c>
      <c r="F280" s="387" t="str">
        <f>IF(B280&lt;&gt;"",IFERROR(IF(LEFT($B280,3)=$Z$2,VLOOKUP($C280,Outbound!$B:$Z,11,FALSE),VLOOKUP($B280,Outbound!$B:$Z,11,FALSE)),"NON TROVATO"),"")</f>
        <v/>
      </c>
      <c r="G280" s="394" t="str">
        <f>IF(B280&lt;&gt;"",IFERROR(IF(LEFT($B280,3)=$Z$2,VLOOKUP($C280,Outbound!$B:$AAZ,16,FALSE),VLOOKUP($B280,Outbound!$B:$AAZ,16,FALSE)),"NON TROVATO"),"")</f>
        <v/>
      </c>
      <c r="H280" s="394" t="str">
        <f>IF(B280&lt;&gt;"",IFERROR(IF(LEFT($B280,3)=$Z$2,VLOOKUP($C280,Outbound!$B:$AAZ,6,FALSE),VLOOKUP($B280,Outbound!$B:$AAZ,6,FALSE)),"NON TROVATO"),"")</f>
        <v/>
      </c>
      <c r="I280" s="394" t="str">
        <f>IF(B280&lt;&gt;"",IFERROR(IF(LEFT($B280,3)=$Z$2,VLOOKUP($C280,Outbound!$B:$AAZ,52,FALSE),VLOOKUP($B280,Outbound!$B:$AAZ,52,FALSE)),"NON TROVATO"),"")</f>
        <v/>
      </c>
      <c r="J280" s="396"/>
      <c r="K280" s="387" t="str">
        <f>IF(B280&lt;&gt;"",IF($D280&lt;&gt;"ON ROCS/NOT ON FILE",IFERROR(_xlfn.XLOOKUP(LEFT($D280,3),'STAT 77 Table'!$B:$B,'STAT 77 Table'!$A:$A),"ZZ"&amp;RIGHT($B280,4)),""),"")</f>
        <v/>
      </c>
      <c r="L280" s="396"/>
      <c r="O280" s="388"/>
      <c r="P280" s="388"/>
      <c r="AA280" s="421">
        <f t="shared" si="4"/>
        <v>0</v>
      </c>
    </row>
    <row r="281" spans="1:27" ht="16.5">
      <c r="A281" s="387" t="str">
        <f>'STAT 77 Table'!$I$96</f>
        <v>ITD12220</v>
      </c>
      <c r="B281"/>
      <c r="C281"/>
      <c r="D281" s="387" t="str">
        <f>IF($B281&lt;&gt;"",IFERROR(IF(LEFT($B281,3)=$Z$2,VLOOKUP($C281,Outbound!$B:$Z,4,FALSE),VLOOKUP($B281,Outbound!$B:$Z,4,FALSE)),"ON ROCS/NOT ON FILE"),"")</f>
        <v/>
      </c>
      <c r="E281" s="387" t="str">
        <f>IF($B281&lt;&gt;"",IFERROR(IF(LEFT($B281,4)=$Z$2,VLOOKUP($C281,Outbound!$B:$Z,5,FALSE),VLOOKUP($B281,Outbound!$B:$Z,5,FALSE)),"ON ROCS/NOT ON FILE"),"")</f>
        <v/>
      </c>
      <c r="F281" s="387" t="str">
        <f>IF(B281&lt;&gt;"",IFERROR(IF(LEFT($B281,3)=$Z$2,VLOOKUP($C281,Outbound!$B:$Z,11,FALSE),VLOOKUP($B281,Outbound!$B:$Z,11,FALSE)),"NON TROVATO"),"")</f>
        <v/>
      </c>
      <c r="G281" s="394" t="str">
        <f>IF(B281&lt;&gt;"",IFERROR(IF(LEFT($B281,3)=$Z$2,VLOOKUP($C281,Outbound!$B:$AAZ,16,FALSE),VLOOKUP($B281,Outbound!$B:$AAZ,16,FALSE)),"NON TROVATO"),"")</f>
        <v/>
      </c>
      <c r="H281" s="394" t="str">
        <f>IF(B281&lt;&gt;"",IFERROR(IF(LEFT($B281,3)=$Z$2,VLOOKUP($C281,Outbound!$B:$AAZ,6,FALSE),VLOOKUP($B281,Outbound!$B:$AAZ,6,FALSE)),"NON TROVATO"),"")</f>
        <v/>
      </c>
      <c r="I281" s="394" t="str">
        <f>IF(B281&lt;&gt;"",IFERROR(IF(LEFT($B281,3)=$Z$2,VLOOKUP($C281,Outbound!$B:$AAZ,52,FALSE),VLOOKUP($B281,Outbound!$B:$AAZ,52,FALSE)),"NON TROVATO"),"")</f>
        <v/>
      </c>
      <c r="J281" s="396"/>
      <c r="K281" s="387" t="str">
        <f>IF(B281&lt;&gt;"",IF($D281&lt;&gt;"ON ROCS/NOT ON FILE",IFERROR(_xlfn.XLOOKUP(LEFT($D281,3),'STAT 77 Table'!$B:$B,'STAT 77 Table'!$A:$A),"ZZ"&amp;RIGHT($B281,4)),""),"")</f>
        <v/>
      </c>
      <c r="L281" s="396"/>
      <c r="O281" s="388"/>
      <c r="P281" s="388"/>
      <c r="AA281" s="421">
        <f t="shared" si="4"/>
        <v>0</v>
      </c>
    </row>
    <row r="282" spans="1:27" ht="16.5">
      <c r="A282" s="387" t="str">
        <f>'STAT 77 Table'!$I$97</f>
        <v>ITD12784</v>
      </c>
      <c r="B282"/>
      <c r="C282"/>
      <c r="D282" s="387" t="str">
        <f>IF($B282&lt;&gt;"",IFERROR(IF(LEFT($B282,3)=$Z$2,VLOOKUP($C282,Outbound!$B:$Z,4,FALSE),VLOOKUP($B282,Outbound!$B:$Z,4,FALSE)),"ON ROCS/NOT ON FILE"),"")</f>
        <v/>
      </c>
      <c r="E282" s="387" t="str">
        <f>IF($B282&lt;&gt;"",IFERROR(IF(LEFT($B282,4)=$Z$2,VLOOKUP($C282,Outbound!$B:$Z,5,FALSE),VLOOKUP($B282,Outbound!$B:$Z,5,FALSE)),"ON ROCS/NOT ON FILE"),"")</f>
        <v/>
      </c>
      <c r="F282" s="387" t="str">
        <f>IF(B282&lt;&gt;"",IFERROR(IF(LEFT($B282,3)=$Z$2,VLOOKUP($C282,Outbound!$B:$Z,11,FALSE),VLOOKUP($B282,Outbound!$B:$Z,11,FALSE)),"NON TROVATO"),"")</f>
        <v/>
      </c>
      <c r="G282" s="394" t="str">
        <f>IF(B282&lt;&gt;"",IFERROR(IF(LEFT($B282,3)=$Z$2,VLOOKUP($C282,Outbound!$B:$AAZ,16,FALSE),VLOOKUP($B282,Outbound!$B:$AAZ,16,FALSE)),"NON TROVATO"),"")</f>
        <v/>
      </c>
      <c r="H282" s="394" t="str">
        <f>IF(B282&lt;&gt;"",IFERROR(IF(LEFT($B282,3)=$Z$2,VLOOKUP($C282,Outbound!$B:$AAZ,6,FALSE),VLOOKUP($B282,Outbound!$B:$AAZ,6,FALSE)),"NON TROVATO"),"")</f>
        <v/>
      </c>
      <c r="I282" s="394" t="str">
        <f>IF(B282&lt;&gt;"",IFERROR(IF(LEFT($B282,3)=$Z$2,VLOOKUP($C282,Outbound!$B:$AAZ,52,FALSE),VLOOKUP($B282,Outbound!$B:$AAZ,52,FALSE)),"NON TROVATO"),"")</f>
        <v/>
      </c>
      <c r="J282" s="396"/>
      <c r="K282" s="387" t="str">
        <f>IF(B282&lt;&gt;"",IF($D282&lt;&gt;"ON ROCS/NOT ON FILE",IFERROR(_xlfn.XLOOKUP(LEFT($D282,3),'STAT 77 Table'!$B:$B,'STAT 77 Table'!$A:$A),"ZZ"&amp;RIGHT($B282,4)),""),"")</f>
        <v/>
      </c>
      <c r="L282" s="396"/>
      <c r="O282" s="388"/>
      <c r="P282" s="388"/>
      <c r="AA282" s="421">
        <f t="shared" si="4"/>
        <v>0</v>
      </c>
    </row>
    <row r="283" spans="1:27" ht="16.5">
      <c r="A283" s="387" t="str">
        <f>'STAT 77 Table'!$I$98</f>
        <v>ERN18191</v>
      </c>
      <c r="B283"/>
      <c r="C283"/>
      <c r="D283" s="387" t="str">
        <f>IF($B283&lt;&gt;"",IFERROR(IF(LEFT($B283,3)=$Z$2,VLOOKUP($C283,Outbound!$B:$Z,4,FALSE),VLOOKUP($B283,Outbound!$B:$Z,4,FALSE)),"ON ROCS/NOT ON FILE"),"")</f>
        <v/>
      </c>
      <c r="E283" s="387" t="str">
        <f>IF($B283&lt;&gt;"",IFERROR(IF(LEFT($B283,4)=$Z$2,VLOOKUP($C283,Outbound!$B:$Z,5,FALSE),VLOOKUP($B283,Outbound!$B:$Z,5,FALSE)),"ON ROCS/NOT ON FILE"),"")</f>
        <v/>
      </c>
      <c r="F283" s="387" t="str">
        <f>IF(B283&lt;&gt;"",IFERROR(IF(LEFT($B283,3)=$Z$2,VLOOKUP($C283,Outbound!$B:$Z,11,FALSE),VLOOKUP($B283,Outbound!$B:$Z,11,FALSE)),"NON TROVATO"),"")</f>
        <v/>
      </c>
      <c r="G283" s="394" t="str">
        <f>IF(B283&lt;&gt;"",IFERROR(IF(LEFT($B283,3)=$Z$2,VLOOKUP($C283,Outbound!$B:$AAZ,16,FALSE),VLOOKUP($B283,Outbound!$B:$AAZ,16,FALSE)),"NON TROVATO"),"")</f>
        <v/>
      </c>
      <c r="H283" s="394" t="str">
        <f>IF(B283&lt;&gt;"",IFERROR(IF(LEFT($B283,3)=$Z$2,VLOOKUP($C283,Outbound!$B:$AAZ,6,FALSE),VLOOKUP($B283,Outbound!$B:$AAZ,6,FALSE)),"NON TROVATO"),"")</f>
        <v/>
      </c>
      <c r="I283" s="394" t="str">
        <f>IF(B283&lt;&gt;"",IFERROR(IF(LEFT($B283,3)=$Z$2,VLOOKUP($C283,Outbound!$B:$AAZ,52,FALSE),VLOOKUP($B283,Outbound!$B:$AAZ,52,FALSE)),"NON TROVATO"),"")</f>
        <v/>
      </c>
      <c r="J283" s="396"/>
      <c r="K283" s="387" t="str">
        <f>IF(B283&lt;&gt;"",IF($D283&lt;&gt;"ON ROCS/NOT ON FILE",IFERROR(_xlfn.XLOOKUP(LEFT($D283,3),'STAT 77 Table'!$B:$B,'STAT 77 Table'!$A:$A),"ZZ"&amp;RIGHT($B283,4)),""),"")</f>
        <v/>
      </c>
      <c r="L283" s="396"/>
      <c r="O283" s="388"/>
      <c r="P283" s="388"/>
      <c r="AA283" s="421">
        <f t="shared" si="4"/>
        <v>0</v>
      </c>
    </row>
    <row r="284" spans="1:27" ht="16.5">
      <c r="A284" s="387" t="str">
        <f>'STAT 77 Table'!$I$99</f>
        <v>ITD12876</v>
      </c>
      <c r="B284"/>
      <c r="C284"/>
      <c r="D284" s="387" t="str">
        <f>IF($B284&lt;&gt;"",IFERROR(IF(LEFT($B284,3)=$Z$2,VLOOKUP($C284,Outbound!$B:$Z,4,FALSE),VLOOKUP($B284,Outbound!$B:$Z,4,FALSE)),"ON ROCS/NOT ON FILE"),"")</f>
        <v/>
      </c>
      <c r="E284" s="387" t="str">
        <f>IF($B284&lt;&gt;"",IFERROR(IF(LEFT($B284,4)=$Z$2,VLOOKUP($C284,Outbound!$B:$Z,5,FALSE),VLOOKUP($B284,Outbound!$B:$Z,5,FALSE)),"ON ROCS/NOT ON FILE"),"")</f>
        <v/>
      </c>
      <c r="F284" s="387" t="str">
        <f>IF(B284&lt;&gt;"",IFERROR(IF(LEFT($B284,3)=$Z$2,VLOOKUP($C284,Outbound!$B:$Z,11,FALSE),VLOOKUP($B284,Outbound!$B:$Z,11,FALSE)),"NON TROVATO"),"")</f>
        <v/>
      </c>
      <c r="G284" s="394" t="str">
        <f>IF(B284&lt;&gt;"",IFERROR(IF(LEFT($B284,3)=$Z$2,VLOOKUP($C284,Outbound!$B:$AAZ,16,FALSE),VLOOKUP($B284,Outbound!$B:$AAZ,16,FALSE)),"NON TROVATO"),"")</f>
        <v/>
      </c>
      <c r="H284" s="394" t="str">
        <f>IF(B284&lt;&gt;"",IFERROR(IF(LEFT($B284,3)=$Z$2,VLOOKUP($C284,Outbound!$B:$AAZ,6,FALSE),VLOOKUP($B284,Outbound!$B:$AAZ,6,FALSE)),"NON TROVATO"),"")</f>
        <v/>
      </c>
      <c r="I284" s="394" t="str">
        <f>IF(B284&lt;&gt;"",IFERROR(IF(LEFT($B284,3)=$Z$2,VLOOKUP($C284,Outbound!$B:$AAZ,52,FALSE),VLOOKUP($B284,Outbound!$B:$AAZ,52,FALSE)),"NON TROVATO"),"")</f>
        <v/>
      </c>
      <c r="J284" s="396"/>
      <c r="K284" s="387" t="str">
        <f>IF(B284&lt;&gt;"",IF($D284&lt;&gt;"ON ROCS/NOT ON FILE",IFERROR(_xlfn.XLOOKUP(LEFT($D284,3),'STAT 77 Table'!$B:$B,'STAT 77 Table'!$A:$A),"ZZ"&amp;RIGHT($B284,4)),""),"")</f>
        <v/>
      </c>
      <c r="L284" s="396"/>
      <c r="O284" s="388"/>
      <c r="P284" s="388"/>
      <c r="AA284" s="421">
        <f t="shared" si="4"/>
        <v>0</v>
      </c>
    </row>
    <row r="285" spans="1:27" ht="16.5">
      <c r="A285" s="387" t="str">
        <f>'STAT 77 Table'!$I$100</f>
        <v>ITD12094</v>
      </c>
      <c r="B285"/>
      <c r="C285"/>
      <c r="D285" s="387" t="str">
        <f>IF($B285&lt;&gt;"",IFERROR(IF(LEFT($B285,3)=$Z$2,VLOOKUP($C285,Outbound!$B:$Z,4,FALSE),VLOOKUP($B285,Outbound!$B:$Z,4,FALSE)),"ON ROCS/NOT ON FILE"),"")</f>
        <v/>
      </c>
      <c r="E285" s="387" t="str">
        <f>IF($B285&lt;&gt;"",IFERROR(IF(LEFT($B285,4)=$Z$2,VLOOKUP($C285,Outbound!$B:$Z,5,FALSE),VLOOKUP($B285,Outbound!$B:$Z,5,FALSE)),"ON ROCS/NOT ON FILE"),"")</f>
        <v/>
      </c>
      <c r="F285" s="387" t="str">
        <f>IF(B285&lt;&gt;"",IFERROR(IF(LEFT($B285,3)=$Z$2,VLOOKUP($C285,Outbound!$B:$Z,11,FALSE),VLOOKUP($B285,Outbound!$B:$Z,11,FALSE)),"NON TROVATO"),"")</f>
        <v/>
      </c>
      <c r="G285" s="394" t="str">
        <f>IF(B285&lt;&gt;"",IFERROR(IF(LEFT($B285,3)=$Z$2,VLOOKUP($C285,Outbound!$B:$AAZ,16,FALSE),VLOOKUP($B285,Outbound!$B:$AAZ,16,FALSE)),"NON TROVATO"),"")</f>
        <v/>
      </c>
      <c r="H285" s="394" t="str">
        <f>IF(B285&lt;&gt;"",IFERROR(IF(LEFT($B285,3)=$Z$2,VLOOKUP($C285,Outbound!$B:$AAZ,6,FALSE),VLOOKUP($B285,Outbound!$B:$AAZ,6,FALSE)),"NON TROVATO"),"")</f>
        <v/>
      </c>
      <c r="I285" s="394" t="str">
        <f>IF(B285&lt;&gt;"",IFERROR(IF(LEFT($B285,3)=$Z$2,VLOOKUP($C285,Outbound!$B:$AAZ,52,FALSE),VLOOKUP($B285,Outbound!$B:$AAZ,52,FALSE)),"NON TROVATO"),"")</f>
        <v/>
      </c>
      <c r="J285" s="396"/>
      <c r="K285" s="387" t="str">
        <f>IF(B285&lt;&gt;"",IF($D285&lt;&gt;"ON ROCS/NOT ON FILE",IFERROR(_xlfn.XLOOKUP(LEFT($D285,3),'STAT 77 Table'!$B:$B,'STAT 77 Table'!$A:$A),"ZZ"&amp;RIGHT($B285,4)),""),"")</f>
        <v/>
      </c>
      <c r="L285" s="396"/>
      <c r="O285" s="388"/>
      <c r="P285" s="388"/>
      <c r="AA285" s="421">
        <f t="shared" si="4"/>
        <v>0</v>
      </c>
    </row>
    <row r="286" spans="1:27" ht="16.5">
      <c r="A286" s="387" t="str">
        <f>'STAT 77 Table'!$I$101</f>
        <v>ITD12101</v>
      </c>
      <c r="B286"/>
      <c r="C286"/>
      <c r="D286" s="387" t="str">
        <f>IF($B286&lt;&gt;"",IFERROR(IF(LEFT($B286,3)=$Z$2,VLOOKUP($C286,Outbound!$B:$Z,4,FALSE),VLOOKUP($B286,Outbound!$B:$Z,4,FALSE)),"ON ROCS/NOT ON FILE"),"")</f>
        <v/>
      </c>
      <c r="E286" s="387" t="str">
        <f>IF($B286&lt;&gt;"",IFERROR(IF(LEFT($B286,4)=$Z$2,VLOOKUP($C286,Outbound!$B:$Z,5,FALSE),VLOOKUP($B286,Outbound!$B:$Z,5,FALSE)),"ON ROCS/NOT ON FILE"),"")</f>
        <v/>
      </c>
      <c r="F286" s="387" t="str">
        <f>IF(B286&lt;&gt;"",IFERROR(IF(LEFT($B286,3)=$Z$2,VLOOKUP($C286,Outbound!$B:$Z,11,FALSE),VLOOKUP($B286,Outbound!$B:$Z,11,FALSE)),"NON TROVATO"),"")</f>
        <v/>
      </c>
      <c r="G286" s="394" t="str">
        <f>IF(B286&lt;&gt;"",IFERROR(IF(LEFT($B286,3)=$Z$2,VLOOKUP($C286,Outbound!$B:$AAZ,16,FALSE),VLOOKUP($B286,Outbound!$B:$AAZ,16,FALSE)),"NON TROVATO"),"")</f>
        <v/>
      </c>
      <c r="H286" s="394" t="str">
        <f>IF(B286&lt;&gt;"",IFERROR(IF(LEFT($B286,3)=$Z$2,VLOOKUP($C286,Outbound!$B:$AAZ,6,FALSE),VLOOKUP($B286,Outbound!$B:$AAZ,6,FALSE)),"NON TROVATO"),"")</f>
        <v/>
      </c>
      <c r="I286" s="394" t="str">
        <f>IF(B286&lt;&gt;"",IFERROR(IF(LEFT($B286,3)=$Z$2,VLOOKUP($C286,Outbound!$B:$AAZ,52,FALSE),VLOOKUP($B286,Outbound!$B:$AAZ,52,FALSE)),"NON TROVATO"),"")</f>
        <v/>
      </c>
      <c r="J286" s="396"/>
      <c r="K286" s="387" t="str">
        <f>IF(B286&lt;&gt;"",IF($D286&lt;&gt;"ON ROCS/NOT ON FILE",IFERROR(_xlfn.XLOOKUP(LEFT($D286,3),'STAT 77 Table'!$B:$B,'STAT 77 Table'!$A:$A),"ZZ"&amp;RIGHT($B286,4)),""),"")</f>
        <v/>
      </c>
      <c r="L286" s="396"/>
      <c r="O286" s="388"/>
      <c r="P286" s="388"/>
      <c r="AA286" s="421">
        <f t="shared" si="4"/>
        <v>0</v>
      </c>
    </row>
    <row r="287" spans="1:27" ht="16.5">
      <c r="A287" s="387" t="str">
        <f>'STAT 77 Table'!$I$102</f>
        <v>ITD12097</v>
      </c>
      <c r="B287"/>
      <c r="C287"/>
      <c r="D287" s="387" t="str">
        <f>IF($B287&lt;&gt;"",IFERROR(IF(LEFT($B287,3)=$Z$2,VLOOKUP($C287,Outbound!$B:$Z,4,FALSE),VLOOKUP($B287,Outbound!$B:$Z,4,FALSE)),"ON ROCS/NOT ON FILE"),"")</f>
        <v/>
      </c>
      <c r="E287" s="387" t="str">
        <f>IF($B287&lt;&gt;"",IFERROR(IF(LEFT($B287,4)=$Z$2,VLOOKUP($C287,Outbound!$B:$Z,5,FALSE),VLOOKUP($B287,Outbound!$B:$Z,5,FALSE)),"ON ROCS/NOT ON FILE"),"")</f>
        <v/>
      </c>
      <c r="F287" s="387" t="str">
        <f>IF(B287&lt;&gt;"",IFERROR(IF(LEFT($B287,3)=$Z$2,VLOOKUP($C287,Outbound!$B:$Z,11,FALSE),VLOOKUP($B287,Outbound!$B:$Z,11,FALSE)),"NON TROVATO"),"")</f>
        <v/>
      </c>
      <c r="G287" s="394" t="str">
        <f>IF(B287&lt;&gt;"",IFERROR(IF(LEFT($B287,3)=$Z$2,VLOOKUP($C287,Outbound!$B:$AAZ,16,FALSE),VLOOKUP($B287,Outbound!$B:$AAZ,16,FALSE)),"NON TROVATO"),"")</f>
        <v/>
      </c>
      <c r="H287" s="394" t="str">
        <f>IF(B287&lt;&gt;"",IFERROR(IF(LEFT($B287,3)=$Z$2,VLOOKUP($C287,Outbound!$B:$AAZ,6,FALSE),VLOOKUP($B287,Outbound!$B:$AAZ,6,FALSE)),"NON TROVATO"),"")</f>
        <v/>
      </c>
      <c r="I287" s="394" t="str">
        <f>IF(B287&lt;&gt;"",IFERROR(IF(LEFT($B287,3)=$Z$2,VLOOKUP($C287,Outbound!$B:$AAZ,52,FALSE),VLOOKUP($B287,Outbound!$B:$AAZ,52,FALSE)),"NON TROVATO"),"")</f>
        <v/>
      </c>
      <c r="J287" s="396"/>
      <c r="K287" s="387" t="str">
        <f>IF(B287&lt;&gt;"",IF($D287&lt;&gt;"ON ROCS/NOT ON FILE",IFERROR(_xlfn.XLOOKUP(LEFT($D287,3),'STAT 77 Table'!$B:$B,'STAT 77 Table'!$A:$A),"ZZ"&amp;RIGHT($B287,4)),""),"")</f>
        <v/>
      </c>
      <c r="L287" s="396"/>
      <c r="O287" s="388"/>
      <c r="P287" s="388"/>
      <c r="AA287" s="421">
        <f t="shared" si="4"/>
        <v>0</v>
      </c>
    </row>
    <row r="288" spans="1:27" ht="16.5">
      <c r="A288" s="387" t="str">
        <f>'STAT 77 Table'!$I$103</f>
        <v>ITD12731</v>
      </c>
      <c r="B288"/>
      <c r="C288"/>
      <c r="D288" s="387" t="str">
        <f>IF($B288&lt;&gt;"",IFERROR(IF(LEFT($B288,3)=$Z$2,VLOOKUP($C288,Outbound!$B:$Z,4,FALSE),VLOOKUP($B288,Outbound!$B:$Z,4,FALSE)),"ON ROCS/NOT ON FILE"),"")</f>
        <v/>
      </c>
      <c r="E288" s="387" t="str">
        <f>IF($B288&lt;&gt;"",IFERROR(IF(LEFT($B288,4)=$Z$2,VLOOKUP($C288,Outbound!$B:$Z,5,FALSE),VLOOKUP($B288,Outbound!$B:$Z,5,FALSE)),"ON ROCS/NOT ON FILE"),"")</f>
        <v/>
      </c>
      <c r="F288" s="387" t="str">
        <f>IF(B288&lt;&gt;"",IFERROR(IF(LEFT($B288,3)=$Z$2,VLOOKUP($C288,Outbound!$B:$Z,11,FALSE),VLOOKUP($B288,Outbound!$B:$Z,11,FALSE)),"NON TROVATO"),"")</f>
        <v/>
      </c>
      <c r="G288" s="394" t="str">
        <f>IF(B288&lt;&gt;"",IFERROR(IF(LEFT($B288,3)=$Z$2,VLOOKUP($C288,Outbound!$B:$AAZ,16,FALSE),VLOOKUP($B288,Outbound!$B:$AAZ,16,FALSE)),"NON TROVATO"),"")</f>
        <v/>
      </c>
      <c r="H288" s="394" t="str">
        <f>IF(B288&lt;&gt;"",IFERROR(IF(LEFT($B288,3)=$Z$2,VLOOKUP($C288,Outbound!$B:$AAZ,6,FALSE),VLOOKUP($B288,Outbound!$B:$AAZ,6,FALSE)),"NON TROVATO"),"")</f>
        <v/>
      </c>
      <c r="I288" s="394" t="str">
        <f>IF(B288&lt;&gt;"",IFERROR(IF(LEFT($B288,3)=$Z$2,VLOOKUP($C288,Outbound!$B:$AAZ,52,FALSE),VLOOKUP($B288,Outbound!$B:$AAZ,52,FALSE)),"NON TROVATO"),"")</f>
        <v/>
      </c>
      <c r="J288" s="396"/>
      <c r="K288" s="387" t="str">
        <f>IF(B288&lt;&gt;"",IF($D288&lt;&gt;"ON ROCS/NOT ON FILE",IFERROR(_xlfn.XLOOKUP(LEFT($D288,3),'STAT 77 Table'!$B:$B,'STAT 77 Table'!$A:$A),"ZZ"&amp;RIGHT($B288,4)),""),"")</f>
        <v/>
      </c>
      <c r="L288" s="396"/>
      <c r="O288" s="388"/>
      <c r="P288" s="388"/>
      <c r="AA288" s="421">
        <f t="shared" si="4"/>
        <v>0</v>
      </c>
    </row>
    <row r="289" spans="1:27" ht="16.5">
      <c r="A289" s="387" t="str">
        <f>'STAT 77 Table'!$I$104</f>
        <v>ITD12879</v>
      </c>
      <c r="B289"/>
      <c r="C289"/>
      <c r="D289" s="387" t="str">
        <f>IF($B289&lt;&gt;"",IFERROR(IF(LEFT($B289,3)=$Z$2,VLOOKUP($C289,Outbound!$B:$Z,4,FALSE),VLOOKUP($B289,Outbound!$B:$Z,4,FALSE)),"ON ROCS/NOT ON FILE"),"")</f>
        <v/>
      </c>
      <c r="E289" s="387" t="str">
        <f>IF($B289&lt;&gt;"",IFERROR(IF(LEFT($B289,4)=$Z$2,VLOOKUP($C289,Outbound!$B:$Z,5,FALSE),VLOOKUP($B289,Outbound!$B:$Z,5,FALSE)),"ON ROCS/NOT ON FILE"),"")</f>
        <v/>
      </c>
      <c r="F289" s="387" t="str">
        <f>IF(B289&lt;&gt;"",IFERROR(IF(LEFT($B289,3)=$Z$2,VLOOKUP($C289,Outbound!$B:$Z,11,FALSE),VLOOKUP($B289,Outbound!$B:$Z,11,FALSE)),"NON TROVATO"),"")</f>
        <v/>
      </c>
      <c r="G289" s="394" t="str">
        <f>IF(B289&lt;&gt;"",IFERROR(IF(LEFT($B289,3)=$Z$2,VLOOKUP($C289,Outbound!$B:$AAZ,16,FALSE),VLOOKUP($B289,Outbound!$B:$AAZ,16,FALSE)),"NON TROVATO"),"")</f>
        <v/>
      </c>
      <c r="H289" s="394" t="str">
        <f>IF(B289&lt;&gt;"",IFERROR(IF(LEFT($B289,3)=$Z$2,VLOOKUP($C289,Outbound!$B:$AAZ,6,FALSE),VLOOKUP($B289,Outbound!$B:$AAZ,6,FALSE)),"NON TROVATO"),"")</f>
        <v/>
      </c>
      <c r="I289" s="394" t="str">
        <f>IF(B289&lt;&gt;"",IFERROR(IF(LEFT($B289,3)=$Z$2,VLOOKUP($C289,Outbound!$B:$AAZ,52,FALSE),VLOOKUP($B289,Outbound!$B:$AAZ,52,FALSE)),"NON TROVATO"),"")</f>
        <v/>
      </c>
      <c r="J289" s="396"/>
      <c r="K289" s="387" t="str">
        <f>IF(B289&lt;&gt;"",IF($D289&lt;&gt;"ON ROCS/NOT ON FILE",IFERROR(_xlfn.XLOOKUP(LEFT($D289,3),'STAT 77 Table'!$B:$B,'STAT 77 Table'!$A:$A),"ZZ"&amp;RIGHT($B289,4)),""),"")</f>
        <v/>
      </c>
      <c r="L289" s="396"/>
      <c r="O289" s="388"/>
      <c r="P289" s="388"/>
      <c r="AA289" s="421">
        <f t="shared" si="4"/>
        <v>0</v>
      </c>
    </row>
    <row r="290" spans="1:27" ht="16.5">
      <c r="A290" s="387" t="str">
        <f>'STAT 77 Table'!$I$105</f>
        <v>ITD12023</v>
      </c>
      <c r="B290"/>
      <c r="C290"/>
      <c r="D290" s="387" t="str">
        <f>IF($B290&lt;&gt;"",IFERROR(IF(LEFT($B290,3)=$Z$2,VLOOKUP($C290,Outbound!$B:$Z,4,FALSE),VLOOKUP($B290,Outbound!$B:$Z,4,FALSE)),"ON ROCS/NOT ON FILE"),"")</f>
        <v/>
      </c>
      <c r="E290" s="387" t="str">
        <f>IF($B290&lt;&gt;"",IFERROR(IF(LEFT($B290,4)=$Z$2,VLOOKUP($C290,Outbound!$B:$Z,5,FALSE),VLOOKUP($B290,Outbound!$B:$Z,5,FALSE)),"ON ROCS/NOT ON FILE"),"")</f>
        <v/>
      </c>
      <c r="F290" s="387" t="str">
        <f>IF(B290&lt;&gt;"",IFERROR(IF(LEFT($B290,3)=$Z$2,VLOOKUP($C290,Outbound!$B:$Z,11,FALSE),VLOOKUP($B290,Outbound!$B:$Z,11,FALSE)),"NON TROVATO"),"")</f>
        <v/>
      </c>
      <c r="G290" s="394" t="str">
        <f>IF(B290&lt;&gt;"",IFERROR(IF(LEFT($B290,3)=$Z$2,VLOOKUP($C290,Outbound!$B:$AAZ,16,FALSE),VLOOKUP($B290,Outbound!$B:$AAZ,16,FALSE)),"NON TROVATO"),"")</f>
        <v/>
      </c>
      <c r="H290" s="394" t="str">
        <f>IF(B290&lt;&gt;"",IFERROR(IF(LEFT($B290,3)=$Z$2,VLOOKUP($C290,Outbound!$B:$AAZ,6,FALSE),VLOOKUP($B290,Outbound!$B:$AAZ,6,FALSE)),"NON TROVATO"),"")</f>
        <v/>
      </c>
      <c r="I290" s="394" t="str">
        <f>IF(B290&lt;&gt;"",IFERROR(IF(LEFT($B290,3)=$Z$2,VLOOKUP($C290,Outbound!$B:$AAZ,52,FALSE),VLOOKUP($B290,Outbound!$B:$AAZ,52,FALSE)),"NON TROVATO"),"")</f>
        <v/>
      </c>
      <c r="J290" s="396"/>
      <c r="K290" s="387" t="str">
        <f>IF(B290&lt;&gt;"",IF($D290&lt;&gt;"ON ROCS/NOT ON FILE",IFERROR(_xlfn.XLOOKUP(LEFT($D290,3),'STAT 77 Table'!$B:$B,'STAT 77 Table'!$A:$A),"ZZ"&amp;RIGHT($B290,4)),""),"")</f>
        <v/>
      </c>
      <c r="L290" s="396"/>
      <c r="O290" s="388"/>
      <c r="P290" s="388"/>
      <c r="AA290" s="421">
        <f t="shared" si="4"/>
        <v>0</v>
      </c>
    </row>
    <row r="291" spans="1:27" ht="16.5">
      <c r="A291" s="387" t="str">
        <f>'STAT 77 Table'!$I$106</f>
        <v>ITD12017</v>
      </c>
      <c r="B291"/>
      <c r="C291"/>
      <c r="D291" s="387" t="str">
        <f>IF($B291&lt;&gt;"",IFERROR(IF(LEFT($B291,3)=$Z$2,VLOOKUP($C291,Outbound!$B:$Z,4,FALSE),VLOOKUP($B291,Outbound!$B:$Z,4,FALSE)),"ON ROCS/NOT ON FILE"),"")</f>
        <v/>
      </c>
      <c r="E291" s="387" t="str">
        <f>IF($B291&lt;&gt;"",IFERROR(IF(LEFT($B291,4)=$Z$2,VLOOKUP($C291,Outbound!$B:$Z,5,FALSE),VLOOKUP($B291,Outbound!$B:$Z,5,FALSE)),"ON ROCS/NOT ON FILE"),"")</f>
        <v/>
      </c>
      <c r="F291" s="387" t="str">
        <f>IF(B291&lt;&gt;"",IFERROR(IF(LEFT($B291,3)=$Z$2,VLOOKUP($C291,Outbound!$B:$Z,11,FALSE),VLOOKUP($B291,Outbound!$B:$Z,11,FALSE)),"NON TROVATO"),"")</f>
        <v/>
      </c>
      <c r="G291" s="394" t="str">
        <f>IF(B291&lt;&gt;"",IFERROR(IF(LEFT($B291,3)=$Z$2,VLOOKUP($C291,Outbound!$B:$AAZ,16,FALSE),VLOOKUP($B291,Outbound!$B:$AAZ,16,FALSE)),"NON TROVATO"),"")</f>
        <v/>
      </c>
      <c r="H291" s="394" t="str">
        <f>IF(B291&lt;&gt;"",IFERROR(IF(LEFT($B291,3)=$Z$2,VLOOKUP($C291,Outbound!$B:$AAZ,6,FALSE),VLOOKUP($B291,Outbound!$B:$AAZ,6,FALSE)),"NON TROVATO"),"")</f>
        <v/>
      </c>
      <c r="I291" s="394" t="str">
        <f>IF(B291&lt;&gt;"",IFERROR(IF(LEFT($B291,3)=$Z$2,VLOOKUP($C291,Outbound!$B:$AAZ,52,FALSE),VLOOKUP($B291,Outbound!$B:$AAZ,52,FALSE)),"NON TROVATO"),"")</f>
        <v/>
      </c>
      <c r="J291" s="396"/>
      <c r="K291" s="387" t="str">
        <f>IF(B291&lt;&gt;"",IF($D291&lt;&gt;"ON ROCS/NOT ON FILE",IFERROR(_xlfn.XLOOKUP(LEFT($D291,3),'STAT 77 Table'!$B:$B,'STAT 77 Table'!$A:$A),"ZZ"&amp;RIGHT($B291,4)),""),"")</f>
        <v/>
      </c>
      <c r="L291" s="396"/>
      <c r="O291" s="388"/>
      <c r="P291" s="388"/>
      <c r="AA291" s="421">
        <f t="shared" si="4"/>
        <v>0</v>
      </c>
    </row>
    <row r="292" spans="1:27" ht="16.5">
      <c r="A292" s="387" t="str">
        <f>'STAT 77 Table'!$I$107</f>
        <v>ITD12061</v>
      </c>
      <c r="B292"/>
      <c r="C292"/>
      <c r="D292" s="387" t="str">
        <f>IF($B292&lt;&gt;"",IFERROR(IF(LEFT($B292,3)=$Z$2,VLOOKUP($C292,Outbound!$B:$Z,4,FALSE),VLOOKUP($B292,Outbound!$B:$Z,4,FALSE)),"ON ROCS/NOT ON FILE"),"")</f>
        <v/>
      </c>
      <c r="E292" s="387" t="str">
        <f>IF($B292&lt;&gt;"",IFERROR(IF(LEFT($B292,4)=$Z$2,VLOOKUP($C292,Outbound!$B:$Z,5,FALSE),VLOOKUP($B292,Outbound!$B:$Z,5,FALSE)),"ON ROCS/NOT ON FILE"),"")</f>
        <v/>
      </c>
      <c r="F292" s="387" t="str">
        <f>IF(B292&lt;&gt;"",IFERROR(IF(LEFT($B292,3)=$Z$2,VLOOKUP($C292,Outbound!$B:$Z,11,FALSE),VLOOKUP($B292,Outbound!$B:$Z,11,FALSE)),"NON TROVATO"),"")</f>
        <v/>
      </c>
      <c r="G292" s="394" t="str">
        <f>IF(B292&lt;&gt;"",IFERROR(IF(LEFT($B292,3)=$Z$2,VLOOKUP($C292,Outbound!$B:$AAZ,16,FALSE),VLOOKUP($B292,Outbound!$B:$AAZ,16,FALSE)),"NON TROVATO"),"")</f>
        <v/>
      </c>
      <c r="H292" s="394" t="str">
        <f>IF(B292&lt;&gt;"",IFERROR(IF(LEFT($B292,3)=$Z$2,VLOOKUP($C292,Outbound!$B:$AAZ,6,FALSE),VLOOKUP($B292,Outbound!$B:$AAZ,6,FALSE)),"NON TROVATO"),"")</f>
        <v/>
      </c>
      <c r="I292" s="394" t="str">
        <f>IF(B292&lt;&gt;"",IFERROR(IF(LEFT($B292,3)=$Z$2,VLOOKUP($C292,Outbound!$B:$AAZ,52,FALSE),VLOOKUP($B292,Outbound!$B:$AAZ,52,FALSE)),"NON TROVATO"),"")</f>
        <v/>
      </c>
      <c r="J292" s="396"/>
      <c r="K292" s="387" t="str">
        <f>IF(B292&lt;&gt;"",IF($D292&lt;&gt;"ON ROCS/NOT ON FILE",IFERROR(_xlfn.XLOOKUP(LEFT($D292,3),'STAT 77 Table'!$B:$B,'STAT 77 Table'!$A:$A),"ZZ"&amp;RIGHT($B292,4)),""),"")</f>
        <v/>
      </c>
      <c r="L292" s="396"/>
      <c r="O292" s="388"/>
      <c r="P292" s="388"/>
      <c r="AA292" s="421">
        <f t="shared" si="4"/>
        <v>0</v>
      </c>
    </row>
    <row r="293" spans="1:27" ht="16.5">
      <c r="A293" s="387" t="str">
        <f>'STAT 77 Table'!$I$108</f>
        <v>ITD12073</v>
      </c>
      <c r="B293"/>
      <c r="C293"/>
      <c r="D293" s="387" t="str">
        <f>IF($B293&lt;&gt;"",IFERROR(IF(LEFT($B293,3)=$Z$2,VLOOKUP($C293,Outbound!$B:$Z,4,FALSE),VLOOKUP($B293,Outbound!$B:$Z,4,FALSE)),"ON ROCS/NOT ON FILE"),"")</f>
        <v/>
      </c>
      <c r="E293" s="387" t="str">
        <f>IF($B293&lt;&gt;"",IFERROR(IF(LEFT($B293,4)=$Z$2,VLOOKUP($C293,Outbound!$B:$Z,5,FALSE),VLOOKUP($B293,Outbound!$B:$Z,5,FALSE)),"ON ROCS/NOT ON FILE"),"")</f>
        <v/>
      </c>
      <c r="F293" s="387" t="str">
        <f>IF(B293&lt;&gt;"",IFERROR(IF(LEFT($B293,3)=$Z$2,VLOOKUP($C293,Outbound!$B:$Z,11,FALSE),VLOOKUP($B293,Outbound!$B:$Z,11,FALSE)),"NON TROVATO"),"")</f>
        <v/>
      </c>
      <c r="G293" s="394" t="str">
        <f>IF(B293&lt;&gt;"",IFERROR(IF(LEFT($B293,3)=$Z$2,VLOOKUP($C293,Outbound!$B:$AAZ,16,FALSE),VLOOKUP($B293,Outbound!$B:$AAZ,16,FALSE)),"NON TROVATO"),"")</f>
        <v/>
      </c>
      <c r="H293" s="394" t="str">
        <f>IF(B293&lt;&gt;"",IFERROR(IF(LEFT($B293,3)=$Z$2,VLOOKUP($C293,Outbound!$B:$AAZ,6,FALSE),VLOOKUP($B293,Outbound!$B:$AAZ,6,FALSE)),"NON TROVATO"),"")</f>
        <v/>
      </c>
      <c r="I293" s="394" t="str">
        <f>IF(B293&lt;&gt;"",IFERROR(IF(LEFT($B293,3)=$Z$2,VLOOKUP($C293,Outbound!$B:$AAZ,52,FALSE),VLOOKUP($B293,Outbound!$B:$AAZ,52,FALSE)),"NON TROVATO"),"")</f>
        <v/>
      </c>
      <c r="J293" s="396"/>
      <c r="K293" s="387" t="str">
        <f>IF(B293&lt;&gt;"",IF($D293&lt;&gt;"ON ROCS/NOT ON FILE",IFERROR(_xlfn.XLOOKUP(LEFT($D293,3),'STAT 77 Table'!$B:$B,'STAT 77 Table'!$A:$A),"ZZ"&amp;RIGHT($B293,4)),""),"")</f>
        <v/>
      </c>
      <c r="L293" s="396"/>
      <c r="O293" s="388"/>
      <c r="P293" s="388"/>
      <c r="AA293" s="421">
        <f t="shared" si="4"/>
        <v>0</v>
      </c>
    </row>
    <row r="294" spans="1:27" ht="16.5">
      <c r="A294" s="387" t="str">
        <f>'STAT 77 Table'!$I$109</f>
        <v>ITD12241</v>
      </c>
      <c r="B294"/>
      <c r="C294"/>
      <c r="D294" s="387" t="str">
        <f>IF($B294&lt;&gt;"",IFERROR(IF(LEFT($B294,3)=$Z$2,VLOOKUP($C294,Outbound!$B:$Z,4,FALSE),VLOOKUP($B294,Outbound!$B:$Z,4,FALSE)),"ON ROCS/NOT ON FILE"),"")</f>
        <v/>
      </c>
      <c r="E294" s="387" t="str">
        <f>IF($B294&lt;&gt;"",IFERROR(IF(LEFT($B294,4)=$Z$2,VLOOKUP($C294,Outbound!$B:$Z,5,FALSE),VLOOKUP($B294,Outbound!$B:$Z,5,FALSE)),"ON ROCS/NOT ON FILE"),"")</f>
        <v/>
      </c>
      <c r="F294" s="387" t="str">
        <f>IF(B294&lt;&gt;"",IFERROR(IF(LEFT($B294,3)=$Z$2,VLOOKUP($C294,Outbound!$B:$Z,11,FALSE),VLOOKUP($B294,Outbound!$B:$Z,11,FALSE)),"NON TROVATO"),"")</f>
        <v/>
      </c>
      <c r="G294" s="394" t="str">
        <f>IF(B294&lt;&gt;"",IFERROR(IF(LEFT($B294,3)=$Z$2,VLOOKUP($C294,Outbound!$B:$AAZ,16,FALSE),VLOOKUP($B294,Outbound!$B:$AAZ,16,FALSE)),"NON TROVATO"),"")</f>
        <v/>
      </c>
      <c r="H294" s="394" t="str">
        <f>IF(B294&lt;&gt;"",IFERROR(IF(LEFT($B294,3)=$Z$2,VLOOKUP($C294,Outbound!$B:$AAZ,6,FALSE),VLOOKUP($B294,Outbound!$B:$AAZ,6,FALSE)),"NON TROVATO"),"")</f>
        <v/>
      </c>
      <c r="I294" s="394" t="str">
        <f>IF(B294&lt;&gt;"",IFERROR(IF(LEFT($B294,3)=$Z$2,VLOOKUP($C294,Outbound!$B:$AAZ,52,FALSE),VLOOKUP($B294,Outbound!$B:$AAZ,52,FALSE)),"NON TROVATO"),"")</f>
        <v/>
      </c>
      <c r="J294" s="396"/>
      <c r="K294" s="387" t="str">
        <f>IF(B294&lt;&gt;"",IF($D294&lt;&gt;"ON ROCS/NOT ON FILE",IFERROR(_xlfn.XLOOKUP(LEFT($D294,3),'STAT 77 Table'!$B:$B,'STAT 77 Table'!$A:$A),"ZZ"&amp;RIGHT($B294,4)),""),"")</f>
        <v/>
      </c>
      <c r="L294" s="396"/>
      <c r="O294" s="388"/>
      <c r="P294" s="388"/>
      <c r="AA294" s="421">
        <f t="shared" si="4"/>
        <v>0</v>
      </c>
    </row>
    <row r="295" spans="1:27" ht="16.5">
      <c r="A295" s="387" t="str">
        <f>'STAT 77 Table'!$I$110</f>
        <v>ITD12247</v>
      </c>
      <c r="B295"/>
      <c r="C295"/>
      <c r="D295" s="387" t="str">
        <f>IF($B295&lt;&gt;"",IFERROR(IF(LEFT($B295,3)=$Z$2,VLOOKUP($C295,Outbound!$B:$Z,4,FALSE),VLOOKUP($B295,Outbound!$B:$Z,4,FALSE)),"ON ROCS/NOT ON FILE"),"")</f>
        <v/>
      </c>
      <c r="E295" s="387" t="str">
        <f>IF($B295&lt;&gt;"",IFERROR(IF(LEFT($B295,4)=$Z$2,VLOOKUP($C295,Outbound!$B:$Z,5,FALSE),VLOOKUP($B295,Outbound!$B:$Z,5,FALSE)),"ON ROCS/NOT ON FILE"),"")</f>
        <v/>
      </c>
      <c r="F295" s="387" t="str">
        <f>IF(B295&lt;&gt;"",IFERROR(IF(LEFT($B295,3)=$Z$2,VLOOKUP($C295,Outbound!$B:$Z,11,FALSE),VLOOKUP($B295,Outbound!$B:$Z,11,FALSE)),"NON TROVATO"),"")</f>
        <v/>
      </c>
      <c r="G295" s="394" t="str">
        <f>IF(B295&lt;&gt;"",IFERROR(IF(LEFT($B295,3)=$Z$2,VLOOKUP($C295,Outbound!$B:$AAZ,16,FALSE),VLOOKUP($B295,Outbound!$B:$AAZ,16,FALSE)),"NON TROVATO"),"")</f>
        <v/>
      </c>
      <c r="H295" s="394" t="str">
        <f>IF(B295&lt;&gt;"",IFERROR(IF(LEFT($B295,3)=$Z$2,VLOOKUP($C295,Outbound!$B:$AAZ,6,FALSE),VLOOKUP($B295,Outbound!$B:$AAZ,6,FALSE)),"NON TROVATO"),"")</f>
        <v/>
      </c>
      <c r="I295" s="394" t="str">
        <f>IF(B295&lt;&gt;"",IFERROR(IF(LEFT($B295,3)=$Z$2,VLOOKUP($C295,Outbound!$B:$AAZ,52,FALSE),VLOOKUP($B295,Outbound!$B:$AAZ,52,FALSE)),"NON TROVATO"),"")</f>
        <v/>
      </c>
      <c r="J295" s="396"/>
      <c r="K295" s="387" t="str">
        <f>IF(B295&lt;&gt;"",IF($D295&lt;&gt;"ON ROCS/NOT ON FILE",IFERROR(_xlfn.XLOOKUP(LEFT($D295,3),'STAT 77 Table'!$B:$B,'STAT 77 Table'!$A:$A),"ZZ"&amp;RIGHT($B295,4)),""),"")</f>
        <v/>
      </c>
      <c r="L295" s="396"/>
      <c r="O295" s="388"/>
      <c r="P295" s="388"/>
      <c r="AA295" s="421">
        <f t="shared" si="4"/>
        <v>0</v>
      </c>
    </row>
    <row r="296" spans="1:27" ht="16.5">
      <c r="A296" s="387" t="str">
        <f>'STAT 77 Table'!$I$111</f>
        <v>ITD12171</v>
      </c>
      <c r="B296"/>
      <c r="C296"/>
      <c r="D296" s="387" t="str">
        <f>IF($B296&lt;&gt;"",IFERROR(IF(LEFT($B296,3)=$Z$2,VLOOKUP($C296,Outbound!$B:$Z,4,FALSE),VLOOKUP($B296,Outbound!$B:$Z,4,FALSE)),"ON ROCS/NOT ON FILE"),"")</f>
        <v/>
      </c>
      <c r="E296" s="387" t="str">
        <f>IF($B296&lt;&gt;"",IFERROR(IF(LEFT($B296,4)=$Z$2,VLOOKUP($C296,Outbound!$B:$Z,5,FALSE),VLOOKUP($B296,Outbound!$B:$Z,5,FALSE)),"ON ROCS/NOT ON FILE"),"")</f>
        <v/>
      </c>
      <c r="F296" s="387" t="str">
        <f>IF(B296&lt;&gt;"",IFERROR(IF(LEFT($B296,3)=$Z$2,VLOOKUP($C296,Outbound!$B:$Z,11,FALSE),VLOOKUP($B296,Outbound!$B:$Z,11,FALSE)),"NON TROVATO"),"")</f>
        <v/>
      </c>
      <c r="G296" s="394" t="str">
        <f>IF(B296&lt;&gt;"",IFERROR(IF(LEFT($B296,3)=$Z$2,VLOOKUP($C296,Outbound!$B:$AAZ,16,FALSE),VLOOKUP($B296,Outbound!$B:$AAZ,16,FALSE)),"NON TROVATO"),"")</f>
        <v/>
      </c>
      <c r="H296" s="394" t="str">
        <f>IF(B296&lt;&gt;"",IFERROR(IF(LEFT($B296,3)=$Z$2,VLOOKUP($C296,Outbound!$B:$AAZ,6,FALSE),VLOOKUP($B296,Outbound!$B:$AAZ,6,FALSE)),"NON TROVATO"),"")</f>
        <v/>
      </c>
      <c r="I296" s="394" t="str">
        <f>IF(B296&lt;&gt;"",IFERROR(IF(LEFT($B296,3)=$Z$2,VLOOKUP($C296,Outbound!$B:$AAZ,52,FALSE),VLOOKUP($B296,Outbound!$B:$AAZ,52,FALSE)),"NON TROVATO"),"")</f>
        <v/>
      </c>
      <c r="J296" s="396"/>
      <c r="K296" s="387" t="str">
        <f>IF(B296&lt;&gt;"",IF($D296&lt;&gt;"ON ROCS/NOT ON FILE",IFERROR(_xlfn.XLOOKUP(LEFT($D296,3),'STAT 77 Table'!$B:$B,'STAT 77 Table'!$A:$A),"ZZ"&amp;RIGHT($B296,4)),""),"")</f>
        <v/>
      </c>
      <c r="L296" s="396"/>
      <c r="O296" s="388"/>
      <c r="P296" s="388"/>
      <c r="AA296" s="421">
        <f t="shared" si="4"/>
        <v>0</v>
      </c>
    </row>
    <row r="297" spans="1:27" ht="16.5">
      <c r="A297" s="387" t="str">
        <f>'STAT 77 Table'!$I$112</f>
        <v>ITD12164</v>
      </c>
      <c r="B297"/>
      <c r="C297"/>
      <c r="D297" s="387" t="str">
        <f>IF($B297&lt;&gt;"",IFERROR(IF(LEFT($B297,3)=$Z$2,VLOOKUP($C297,Outbound!$B:$Z,4,FALSE),VLOOKUP($B297,Outbound!$B:$Z,4,FALSE)),"ON ROCS/NOT ON FILE"),"")</f>
        <v/>
      </c>
      <c r="E297" s="387" t="str">
        <f>IF($B297&lt;&gt;"",IFERROR(IF(LEFT($B297,4)=$Z$2,VLOOKUP($C297,Outbound!$B:$Z,5,FALSE),VLOOKUP($B297,Outbound!$B:$Z,5,FALSE)),"ON ROCS/NOT ON FILE"),"")</f>
        <v/>
      </c>
      <c r="F297" s="387" t="str">
        <f>IF(B297&lt;&gt;"",IFERROR(IF(LEFT($B297,3)=$Z$2,VLOOKUP($C297,Outbound!$B:$Z,11,FALSE),VLOOKUP($B297,Outbound!$B:$Z,11,FALSE)),"NON TROVATO"),"")</f>
        <v/>
      </c>
      <c r="G297" s="394" t="str">
        <f>IF(B297&lt;&gt;"",IFERROR(IF(LEFT($B297,3)=$Z$2,VLOOKUP($C297,Outbound!$B:$AAZ,16,FALSE),VLOOKUP($B297,Outbound!$B:$AAZ,16,FALSE)),"NON TROVATO"),"")</f>
        <v/>
      </c>
      <c r="H297" s="394" t="str">
        <f>IF(B297&lt;&gt;"",IFERROR(IF(LEFT($B297,3)=$Z$2,VLOOKUP($C297,Outbound!$B:$AAZ,6,FALSE),VLOOKUP($B297,Outbound!$B:$AAZ,6,FALSE)),"NON TROVATO"),"")</f>
        <v/>
      </c>
      <c r="I297" s="394" t="str">
        <f>IF(B297&lt;&gt;"",IFERROR(IF(LEFT($B297,3)=$Z$2,VLOOKUP($C297,Outbound!$B:$AAZ,52,FALSE),VLOOKUP($B297,Outbound!$B:$AAZ,52,FALSE)),"NON TROVATO"),"")</f>
        <v/>
      </c>
      <c r="J297" s="396"/>
      <c r="K297" s="387" t="str">
        <f>IF(B297&lt;&gt;"",IF($D297&lt;&gt;"ON ROCS/NOT ON FILE",IFERROR(_xlfn.XLOOKUP(LEFT($D297,3),'STAT 77 Table'!$B:$B,'STAT 77 Table'!$A:$A),"ZZ"&amp;RIGHT($B297,4)),""),"")</f>
        <v/>
      </c>
      <c r="L297" s="396"/>
      <c r="O297" s="388"/>
      <c r="P297" s="388"/>
      <c r="AA297" s="421">
        <f t="shared" si="4"/>
        <v>0</v>
      </c>
    </row>
    <row r="298" spans="1:27" ht="16.5">
      <c r="A298" s="387" t="str">
        <f>'STAT 77 Table'!$I$113</f>
        <v>ITD12279</v>
      </c>
      <c r="B298"/>
      <c r="C298"/>
      <c r="D298" s="387" t="str">
        <f>IF($B298&lt;&gt;"",IFERROR(IF(LEFT($B298,3)=$Z$2,VLOOKUP($C298,Outbound!$B:$Z,4,FALSE),VLOOKUP($B298,Outbound!$B:$Z,4,FALSE)),"ON ROCS/NOT ON FILE"),"")</f>
        <v/>
      </c>
      <c r="E298" s="387" t="str">
        <f>IF($B298&lt;&gt;"",IFERROR(IF(LEFT($B298,4)=$Z$2,VLOOKUP($C298,Outbound!$B:$Z,5,FALSE),VLOOKUP($B298,Outbound!$B:$Z,5,FALSE)),"ON ROCS/NOT ON FILE"),"")</f>
        <v/>
      </c>
      <c r="F298" s="387" t="str">
        <f>IF(B298&lt;&gt;"",IFERROR(IF(LEFT($B298,3)=$Z$2,VLOOKUP($C298,Outbound!$B:$Z,11,FALSE),VLOOKUP($B298,Outbound!$B:$Z,11,FALSE)),"NON TROVATO"),"")</f>
        <v/>
      </c>
      <c r="G298" s="394" t="str">
        <f>IF(B298&lt;&gt;"",IFERROR(IF(LEFT($B298,3)=$Z$2,VLOOKUP($C298,Outbound!$B:$AAZ,16,FALSE),VLOOKUP($B298,Outbound!$B:$AAZ,16,FALSE)),"NON TROVATO"),"")</f>
        <v/>
      </c>
      <c r="H298" s="394" t="str">
        <f>IF(B298&lt;&gt;"",IFERROR(IF(LEFT($B298,3)=$Z$2,VLOOKUP($C298,Outbound!$B:$AAZ,6,FALSE),VLOOKUP($B298,Outbound!$B:$AAZ,6,FALSE)),"NON TROVATO"),"")</f>
        <v/>
      </c>
      <c r="I298" s="394" t="str">
        <f>IF(B298&lt;&gt;"",IFERROR(IF(LEFT($B298,3)=$Z$2,VLOOKUP($C298,Outbound!$B:$AAZ,52,FALSE),VLOOKUP($B298,Outbound!$B:$AAZ,52,FALSE)),"NON TROVATO"),"")</f>
        <v/>
      </c>
      <c r="J298" s="396"/>
      <c r="K298" s="387" t="str">
        <f>IF(B298&lt;&gt;"",IF($D298&lt;&gt;"ON ROCS/NOT ON FILE",IFERROR(_xlfn.XLOOKUP(LEFT($D298,3),'STAT 77 Table'!$B:$B,'STAT 77 Table'!$A:$A),"ZZ"&amp;RIGHT($B298,4)),""),"")</f>
        <v/>
      </c>
      <c r="L298" s="396"/>
      <c r="O298" s="388"/>
      <c r="P298" s="388"/>
      <c r="AA298" s="421">
        <f t="shared" si="4"/>
        <v>0</v>
      </c>
    </row>
    <row r="299" spans="1:27" ht="16.5">
      <c r="A299" s="387" t="str">
        <f>'STAT 77 Table'!$I$114</f>
        <v>ITD12244</v>
      </c>
      <c r="B299"/>
      <c r="C299"/>
      <c r="D299" s="387" t="str">
        <f>IF($B299&lt;&gt;"",IFERROR(IF(LEFT($B299,3)=$Z$2,VLOOKUP($C299,Outbound!$B:$Z,4,FALSE),VLOOKUP($B299,Outbound!$B:$Z,4,FALSE)),"ON ROCS/NOT ON FILE"),"")</f>
        <v/>
      </c>
      <c r="E299" s="387" t="str">
        <f>IF($B299&lt;&gt;"",IFERROR(IF(LEFT($B299,4)=$Z$2,VLOOKUP($C299,Outbound!$B:$Z,5,FALSE),VLOOKUP($B299,Outbound!$B:$Z,5,FALSE)),"ON ROCS/NOT ON FILE"),"")</f>
        <v/>
      </c>
      <c r="F299" s="387" t="str">
        <f>IF(B299&lt;&gt;"",IFERROR(IF(LEFT($B299,3)=$Z$2,VLOOKUP($C299,Outbound!$B:$Z,11,FALSE),VLOOKUP($B299,Outbound!$B:$Z,11,FALSE)),"NON TROVATO"),"")</f>
        <v/>
      </c>
      <c r="G299" s="394" t="str">
        <f>IF(B299&lt;&gt;"",IFERROR(IF(LEFT($B299,3)=$Z$2,VLOOKUP($C299,Outbound!$B:$AAZ,16,FALSE),VLOOKUP($B299,Outbound!$B:$AAZ,16,FALSE)),"NON TROVATO"),"")</f>
        <v/>
      </c>
      <c r="H299" s="394" t="str">
        <f>IF(B299&lt;&gt;"",IFERROR(IF(LEFT($B299,3)=$Z$2,VLOOKUP($C299,Outbound!$B:$AAZ,6,FALSE),VLOOKUP($B299,Outbound!$B:$AAZ,6,FALSE)),"NON TROVATO"),"")</f>
        <v/>
      </c>
      <c r="I299" s="394" t="str">
        <f>IF(B299&lt;&gt;"",IFERROR(IF(LEFT($B299,3)=$Z$2,VLOOKUP($C299,Outbound!$B:$AAZ,52,FALSE),VLOOKUP($B299,Outbound!$B:$AAZ,52,FALSE)),"NON TROVATO"),"")</f>
        <v/>
      </c>
      <c r="J299" s="396"/>
      <c r="K299" s="387" t="str">
        <f>IF(B299&lt;&gt;"",IF($D299&lt;&gt;"ON ROCS/NOT ON FILE",IFERROR(_xlfn.XLOOKUP(LEFT($D299,3),'STAT 77 Table'!$B:$B,'STAT 77 Table'!$A:$A),"ZZ"&amp;RIGHT($B299,4)),""),"")</f>
        <v/>
      </c>
      <c r="L299" s="396"/>
      <c r="O299" s="388"/>
      <c r="P299" s="388"/>
      <c r="AA299" s="421">
        <f t="shared" si="4"/>
        <v>0</v>
      </c>
    </row>
    <row r="300" spans="1:27" ht="16.5">
      <c r="A300" s="387" t="str">
        <f>'STAT 77 Table'!$I$115</f>
        <v>ITD12259</v>
      </c>
      <c r="B300"/>
      <c r="C300"/>
      <c r="D300" s="387" t="str">
        <f>IF($B300&lt;&gt;"",IFERROR(IF(LEFT($B300,3)=$Z$2,VLOOKUP($C300,Outbound!$B:$Z,4,FALSE),VLOOKUP($B300,Outbound!$B:$Z,4,FALSE)),"ON ROCS/NOT ON FILE"),"")</f>
        <v/>
      </c>
      <c r="E300" s="387" t="str">
        <f>IF($B300&lt;&gt;"",IFERROR(IF(LEFT($B300,4)=$Z$2,VLOOKUP($C300,Outbound!$B:$Z,5,FALSE),VLOOKUP($B300,Outbound!$B:$Z,5,FALSE)),"ON ROCS/NOT ON FILE"),"")</f>
        <v/>
      </c>
      <c r="F300" s="387" t="str">
        <f>IF(B300&lt;&gt;"",IFERROR(IF(LEFT($B300,3)=$Z$2,VLOOKUP($C300,Outbound!$B:$Z,11,FALSE),VLOOKUP($B300,Outbound!$B:$Z,11,FALSE)),"NON TROVATO"),"")</f>
        <v/>
      </c>
      <c r="G300" s="394" t="str">
        <f>IF(B300&lt;&gt;"",IFERROR(IF(LEFT($B300,3)=$Z$2,VLOOKUP($C300,Outbound!$B:$AAZ,16,FALSE),VLOOKUP($B300,Outbound!$B:$AAZ,16,FALSE)),"NON TROVATO"),"")</f>
        <v/>
      </c>
      <c r="H300" s="394" t="str">
        <f>IF(B300&lt;&gt;"",IFERROR(IF(LEFT($B300,3)=$Z$2,VLOOKUP($C300,Outbound!$B:$AAZ,6,FALSE),VLOOKUP($B300,Outbound!$B:$AAZ,6,FALSE)),"NON TROVATO"),"")</f>
        <v/>
      </c>
      <c r="I300" s="394" t="str">
        <f>IF(B300&lt;&gt;"",IFERROR(IF(LEFT($B300,3)=$Z$2,VLOOKUP($C300,Outbound!$B:$AAZ,52,FALSE),VLOOKUP($B300,Outbound!$B:$AAZ,52,FALSE)),"NON TROVATO"),"")</f>
        <v/>
      </c>
      <c r="J300" s="396"/>
      <c r="K300" s="387" t="str">
        <f>IF(B300&lt;&gt;"",IF($D300&lt;&gt;"ON ROCS/NOT ON FILE",IFERROR(_xlfn.XLOOKUP(LEFT($D300,3),'STAT 77 Table'!$B:$B,'STAT 77 Table'!$A:$A),"ZZ"&amp;RIGHT($B300,4)),""),"")</f>
        <v/>
      </c>
      <c r="L300" s="396"/>
      <c r="O300" s="388"/>
      <c r="P300" s="388"/>
      <c r="AA300" s="421">
        <f t="shared" si="4"/>
        <v>0</v>
      </c>
    </row>
    <row r="301" spans="1:27" ht="16.5">
      <c r="A301" s="387" t="str">
        <f>'STAT 77 Table'!$I$116</f>
        <v>ITD12300</v>
      </c>
      <c r="B301"/>
      <c r="C301"/>
      <c r="D301" s="387" t="str">
        <f>IF($B301&lt;&gt;"",IFERROR(IF(LEFT($B301,3)=$Z$2,VLOOKUP($C301,Outbound!$B:$Z,4,FALSE),VLOOKUP($B301,Outbound!$B:$Z,4,FALSE)),"ON ROCS/NOT ON FILE"),"")</f>
        <v/>
      </c>
      <c r="E301" s="387" t="str">
        <f>IF($B301&lt;&gt;"",IFERROR(IF(LEFT($B301,4)=$Z$2,VLOOKUP($C301,Outbound!$B:$Z,5,FALSE),VLOOKUP($B301,Outbound!$B:$Z,5,FALSE)),"ON ROCS/NOT ON FILE"),"")</f>
        <v/>
      </c>
      <c r="F301" s="387" t="str">
        <f>IF(B301&lt;&gt;"",IFERROR(IF(LEFT($B301,3)=$Z$2,VLOOKUP($C301,Outbound!$B:$Z,11,FALSE),VLOOKUP($B301,Outbound!$B:$Z,11,FALSE)),"NON TROVATO"),"")</f>
        <v/>
      </c>
      <c r="G301" s="394" t="str">
        <f>IF(B301&lt;&gt;"",IFERROR(IF(LEFT($B301,3)=$Z$2,VLOOKUP($C301,Outbound!$B:$AAZ,16,FALSE),VLOOKUP($B301,Outbound!$B:$AAZ,16,FALSE)),"NON TROVATO"),"")</f>
        <v/>
      </c>
      <c r="H301" s="394" t="str">
        <f>IF(B301&lt;&gt;"",IFERROR(IF(LEFT($B301,3)=$Z$2,VLOOKUP($C301,Outbound!$B:$AAZ,6,FALSE),VLOOKUP($B301,Outbound!$B:$AAZ,6,FALSE)),"NON TROVATO"),"")</f>
        <v/>
      </c>
      <c r="I301" s="394" t="str">
        <f>IF(B301&lt;&gt;"",IFERROR(IF(LEFT($B301,3)=$Z$2,VLOOKUP($C301,Outbound!$B:$AAZ,52,FALSE),VLOOKUP($B301,Outbound!$B:$AAZ,52,FALSE)),"NON TROVATO"),"")</f>
        <v/>
      </c>
      <c r="J301" s="396"/>
      <c r="K301" s="387" t="str">
        <f>IF(B301&lt;&gt;"",IF($D301&lt;&gt;"ON ROCS/NOT ON FILE",IFERROR(_xlfn.XLOOKUP(LEFT($D301,3),'STAT 77 Table'!$B:$B,'STAT 77 Table'!$A:$A),"ZZ"&amp;RIGHT($B301,4)),""),"")</f>
        <v/>
      </c>
      <c r="L301" s="396"/>
      <c r="O301" s="388"/>
      <c r="P301" s="388"/>
      <c r="AA301" s="421">
        <f t="shared" si="4"/>
        <v>0</v>
      </c>
    </row>
    <row r="302" spans="1:27" ht="16.5">
      <c r="A302" s="387" t="str">
        <f>'STAT 77 Table'!$I$117</f>
        <v>ITD12393</v>
      </c>
      <c r="B302"/>
      <c r="C302"/>
      <c r="D302" s="387" t="str">
        <f>IF($B302&lt;&gt;"",IFERROR(IF(LEFT($B302,3)=$Z$2,VLOOKUP($C302,Outbound!$B:$Z,4,FALSE),VLOOKUP($B302,Outbound!$B:$Z,4,FALSE)),"ON ROCS/NOT ON FILE"),"")</f>
        <v/>
      </c>
      <c r="E302" s="387" t="str">
        <f>IF($B302&lt;&gt;"",IFERROR(IF(LEFT($B302,4)=$Z$2,VLOOKUP($C302,Outbound!$B:$Z,5,FALSE),VLOOKUP($B302,Outbound!$B:$Z,5,FALSE)),"ON ROCS/NOT ON FILE"),"")</f>
        <v/>
      </c>
      <c r="F302" s="387" t="str">
        <f>IF(B302&lt;&gt;"",IFERROR(IF(LEFT($B302,3)=$Z$2,VLOOKUP($C302,Outbound!$B:$Z,11,FALSE),VLOOKUP($B302,Outbound!$B:$Z,11,FALSE)),"NON TROVATO"),"")</f>
        <v/>
      </c>
      <c r="G302" s="394" t="str">
        <f>IF(B302&lt;&gt;"",IFERROR(IF(LEFT($B302,3)=$Z$2,VLOOKUP($C302,Outbound!$B:$AAZ,16,FALSE),VLOOKUP($B302,Outbound!$B:$AAZ,16,FALSE)),"NON TROVATO"),"")</f>
        <v/>
      </c>
      <c r="H302" s="394" t="str">
        <f>IF(B302&lt;&gt;"",IFERROR(IF(LEFT($B302,3)=$Z$2,VLOOKUP($C302,Outbound!$B:$AAZ,6,FALSE),VLOOKUP($B302,Outbound!$B:$AAZ,6,FALSE)),"NON TROVATO"),"")</f>
        <v/>
      </c>
      <c r="I302" s="394" t="str">
        <f>IF(B302&lt;&gt;"",IFERROR(IF(LEFT($B302,3)=$Z$2,VLOOKUP($C302,Outbound!$B:$AAZ,52,FALSE),VLOOKUP($B302,Outbound!$B:$AAZ,52,FALSE)),"NON TROVATO"),"")</f>
        <v/>
      </c>
      <c r="J302" s="396"/>
      <c r="K302" s="387" t="str">
        <f>IF(B302&lt;&gt;"",IF($D302&lt;&gt;"ON ROCS/NOT ON FILE",IFERROR(_xlfn.XLOOKUP(LEFT($D302,3),'STAT 77 Table'!$B:$B,'STAT 77 Table'!$A:$A),"ZZ"&amp;RIGHT($B302,4)),""),"")</f>
        <v/>
      </c>
      <c r="L302" s="396"/>
      <c r="O302" s="388"/>
      <c r="P302" s="388"/>
      <c r="AA302" s="421">
        <f t="shared" si="4"/>
        <v>0</v>
      </c>
    </row>
    <row r="303" spans="1:27" ht="16.5">
      <c r="A303" s="387" t="str">
        <f>'STAT 77 Table'!$I$118</f>
        <v>ITD12763</v>
      </c>
      <c r="B303"/>
      <c r="C303"/>
      <c r="D303" s="387" t="str">
        <f>IF($B303&lt;&gt;"",IFERROR(IF(LEFT($B303,3)=$Z$2,VLOOKUP($C303,Outbound!$B:$Z,4,FALSE),VLOOKUP($B303,Outbound!$B:$Z,4,FALSE)),"ON ROCS/NOT ON FILE"),"")</f>
        <v/>
      </c>
      <c r="E303" s="387" t="str">
        <f>IF($B303&lt;&gt;"",IFERROR(IF(LEFT($B303,4)=$Z$2,VLOOKUP($C303,Outbound!$B:$Z,5,FALSE),VLOOKUP($B303,Outbound!$B:$Z,5,FALSE)),"ON ROCS/NOT ON FILE"),"")</f>
        <v/>
      </c>
      <c r="F303" s="387" t="str">
        <f>IF(B303&lt;&gt;"",IFERROR(IF(LEFT($B303,3)=$Z$2,VLOOKUP($C303,Outbound!$B:$Z,11,FALSE),VLOOKUP($B303,Outbound!$B:$Z,11,FALSE)),"NON TROVATO"),"")</f>
        <v/>
      </c>
      <c r="G303" s="394" t="str">
        <f>IF(B303&lt;&gt;"",IFERROR(IF(LEFT($B303,3)=$Z$2,VLOOKUP($C303,Outbound!$B:$AAZ,16,FALSE),VLOOKUP($B303,Outbound!$B:$AAZ,16,FALSE)),"NON TROVATO"),"")</f>
        <v/>
      </c>
      <c r="H303" s="394" t="str">
        <f>IF(B303&lt;&gt;"",IFERROR(IF(LEFT($B303,3)=$Z$2,VLOOKUP($C303,Outbound!$B:$AAZ,6,FALSE),VLOOKUP($B303,Outbound!$B:$AAZ,6,FALSE)),"NON TROVATO"),"")</f>
        <v/>
      </c>
      <c r="I303" s="394" t="str">
        <f>IF(B303&lt;&gt;"",IFERROR(IF(LEFT($B303,3)=$Z$2,VLOOKUP($C303,Outbound!$B:$AAZ,52,FALSE),VLOOKUP($B303,Outbound!$B:$AAZ,52,FALSE)),"NON TROVATO"),"")</f>
        <v/>
      </c>
      <c r="J303" s="396"/>
      <c r="K303" s="387" t="str">
        <f>IF(B303&lt;&gt;"",IF($D303&lt;&gt;"ON ROCS/NOT ON FILE",IFERROR(_xlfn.XLOOKUP(LEFT($D303,3),'STAT 77 Table'!$B:$B,'STAT 77 Table'!$A:$A),"ZZ"&amp;RIGHT($B303,4)),""),"")</f>
        <v/>
      </c>
      <c r="L303" s="396"/>
      <c r="O303" s="388"/>
      <c r="P303" s="388"/>
      <c r="AA303" s="421">
        <f t="shared" si="4"/>
        <v>0</v>
      </c>
    </row>
    <row r="304" spans="1:27" ht="16.5">
      <c r="A304" s="387" t="str">
        <f>'STAT 77 Table'!$I$119</f>
        <v>ITD12207</v>
      </c>
      <c r="B304"/>
      <c r="C304"/>
      <c r="D304" s="387" t="str">
        <f>IF($B304&lt;&gt;"",IFERROR(IF(LEFT($B304,3)=$Z$2,VLOOKUP($C304,Outbound!$B:$Z,4,FALSE),VLOOKUP($B304,Outbound!$B:$Z,4,FALSE)),"ON ROCS/NOT ON FILE"),"")</f>
        <v/>
      </c>
      <c r="E304" s="387" t="str">
        <f>IF($B304&lt;&gt;"",IFERROR(IF(LEFT($B304,4)=$Z$2,VLOOKUP($C304,Outbound!$B:$Z,5,FALSE),VLOOKUP($B304,Outbound!$B:$Z,5,FALSE)),"ON ROCS/NOT ON FILE"),"")</f>
        <v/>
      </c>
      <c r="F304" s="387" t="str">
        <f>IF(B304&lt;&gt;"",IFERROR(IF(LEFT($B304,3)=$Z$2,VLOOKUP($C304,Outbound!$B:$Z,11,FALSE),VLOOKUP($B304,Outbound!$B:$Z,11,FALSE)),"NON TROVATO"),"")</f>
        <v/>
      </c>
      <c r="G304" s="394" t="str">
        <f>IF(B304&lt;&gt;"",IFERROR(IF(LEFT($B304,3)=$Z$2,VLOOKUP($C304,Outbound!$B:$AAZ,16,FALSE),VLOOKUP($B304,Outbound!$B:$AAZ,16,FALSE)),"NON TROVATO"),"")</f>
        <v/>
      </c>
      <c r="H304" s="394" t="str">
        <f>IF(B304&lt;&gt;"",IFERROR(IF(LEFT($B304,3)=$Z$2,VLOOKUP($C304,Outbound!$B:$AAZ,6,FALSE),VLOOKUP($B304,Outbound!$B:$AAZ,6,FALSE)),"NON TROVATO"),"")</f>
        <v/>
      </c>
      <c r="I304" s="394" t="str">
        <f>IF(B304&lt;&gt;"",IFERROR(IF(LEFT($B304,3)=$Z$2,VLOOKUP($C304,Outbound!$B:$AAZ,52,FALSE),VLOOKUP($B304,Outbound!$B:$AAZ,52,FALSE)),"NON TROVATO"),"")</f>
        <v/>
      </c>
      <c r="J304" s="396"/>
      <c r="K304" s="387" t="str">
        <f>IF(B304&lt;&gt;"",IF($D304&lt;&gt;"ON ROCS/NOT ON FILE",IFERROR(_xlfn.XLOOKUP(LEFT($D304,3),'STAT 77 Table'!$B:$B,'STAT 77 Table'!$A:$A),"ZZ"&amp;RIGHT($B304,4)),""),"")</f>
        <v/>
      </c>
      <c r="L304" s="396"/>
      <c r="O304" s="388"/>
      <c r="P304" s="388"/>
      <c r="AA304" s="421">
        <f t="shared" si="4"/>
        <v>0</v>
      </c>
    </row>
    <row r="305" spans="1:27" ht="16.5">
      <c r="A305" s="387" t="str">
        <f>'STAT 77 Table'!$I$120</f>
        <v>ITD12388</v>
      </c>
      <c r="B305"/>
      <c r="C305"/>
      <c r="D305" s="387" t="str">
        <f>IF($B305&lt;&gt;"",IFERROR(IF(LEFT($B305,3)=$Z$2,VLOOKUP($C305,Outbound!$B:$Z,4,FALSE),VLOOKUP($B305,Outbound!$B:$Z,4,FALSE)),"ON ROCS/NOT ON FILE"),"")</f>
        <v/>
      </c>
      <c r="E305" s="387" t="str">
        <f>IF($B305&lt;&gt;"",IFERROR(IF(LEFT($B305,4)=$Z$2,VLOOKUP($C305,Outbound!$B:$Z,5,FALSE),VLOOKUP($B305,Outbound!$B:$Z,5,FALSE)),"ON ROCS/NOT ON FILE"),"")</f>
        <v/>
      </c>
      <c r="F305" s="387" t="str">
        <f>IF(B305&lt;&gt;"",IFERROR(IF(LEFT($B305,3)=$Z$2,VLOOKUP($C305,Outbound!$B:$Z,11,FALSE),VLOOKUP($B305,Outbound!$B:$Z,11,FALSE)),"NON TROVATO"),"")</f>
        <v/>
      </c>
      <c r="G305" s="394" t="str">
        <f>IF(B305&lt;&gt;"",IFERROR(IF(LEFT($B305,3)=$Z$2,VLOOKUP($C305,Outbound!$B:$AAZ,16,FALSE),VLOOKUP($B305,Outbound!$B:$AAZ,16,FALSE)),"NON TROVATO"),"")</f>
        <v/>
      </c>
      <c r="H305" s="394" t="str">
        <f>IF(B305&lt;&gt;"",IFERROR(IF(LEFT($B305,3)=$Z$2,VLOOKUP($C305,Outbound!$B:$AAZ,6,FALSE),VLOOKUP($B305,Outbound!$B:$AAZ,6,FALSE)),"NON TROVATO"),"")</f>
        <v/>
      </c>
      <c r="I305" s="394" t="str">
        <f>IF(B305&lt;&gt;"",IFERROR(IF(LEFT($B305,3)=$Z$2,VLOOKUP($C305,Outbound!$B:$AAZ,52,FALSE),VLOOKUP($B305,Outbound!$B:$AAZ,52,FALSE)),"NON TROVATO"),"")</f>
        <v/>
      </c>
      <c r="J305" s="396"/>
      <c r="K305" s="387" t="str">
        <f>IF(B305&lt;&gt;"",IF($D305&lt;&gt;"ON ROCS/NOT ON FILE",IFERROR(_xlfn.XLOOKUP(LEFT($D305,3),'STAT 77 Table'!$B:$B,'STAT 77 Table'!$A:$A),"ZZ"&amp;RIGHT($B305,4)),""),"")</f>
        <v/>
      </c>
      <c r="L305" s="396"/>
      <c r="O305" s="388"/>
      <c r="P305" s="388"/>
      <c r="AA305" s="421">
        <f t="shared" si="4"/>
        <v>0</v>
      </c>
    </row>
    <row r="306" spans="1:27" ht="16.5">
      <c r="A306" s="387" t="str">
        <f>'STAT 77 Table'!$I$121</f>
        <v>ITD12719</v>
      </c>
      <c r="B306"/>
      <c r="C306"/>
      <c r="D306" s="387" t="str">
        <f>IF($B306&lt;&gt;"",IFERROR(IF(LEFT($B306,3)=$Z$2,VLOOKUP($C306,Outbound!$B:$Z,4,FALSE),VLOOKUP($B306,Outbound!$B:$Z,4,FALSE)),"ON ROCS/NOT ON FILE"),"")</f>
        <v/>
      </c>
      <c r="E306" s="387" t="str">
        <f>IF($B306&lt;&gt;"",IFERROR(IF(LEFT($B306,4)=$Z$2,VLOOKUP($C306,Outbound!$B:$Z,5,FALSE),VLOOKUP($B306,Outbound!$B:$Z,5,FALSE)),"ON ROCS/NOT ON FILE"),"")</f>
        <v/>
      </c>
      <c r="F306" s="387" t="str">
        <f>IF(B306&lt;&gt;"",IFERROR(IF(LEFT($B306,3)=$Z$2,VLOOKUP($C306,Outbound!$B:$Z,11,FALSE),VLOOKUP($B306,Outbound!$B:$Z,11,FALSE)),"NON TROVATO"),"")</f>
        <v/>
      </c>
      <c r="G306" s="394" t="str">
        <f>IF(B306&lt;&gt;"",IFERROR(IF(LEFT($B306,3)=$Z$2,VLOOKUP($C306,Outbound!$B:$AAZ,16,FALSE),VLOOKUP($B306,Outbound!$B:$AAZ,16,FALSE)),"NON TROVATO"),"")</f>
        <v/>
      </c>
      <c r="H306" s="394" t="str">
        <f>IF(B306&lt;&gt;"",IFERROR(IF(LEFT($B306,3)=$Z$2,VLOOKUP($C306,Outbound!$B:$AAZ,6,FALSE),VLOOKUP($B306,Outbound!$B:$AAZ,6,FALSE)),"NON TROVATO"),"")</f>
        <v/>
      </c>
      <c r="I306" s="394" t="str">
        <f>IF(B306&lt;&gt;"",IFERROR(IF(LEFT($B306,3)=$Z$2,VLOOKUP($C306,Outbound!$B:$AAZ,52,FALSE),VLOOKUP($B306,Outbound!$B:$AAZ,52,FALSE)),"NON TROVATO"),"")</f>
        <v/>
      </c>
      <c r="J306" s="396"/>
      <c r="K306" s="387" t="str">
        <f>IF(B306&lt;&gt;"",IF($D306&lt;&gt;"ON ROCS/NOT ON FILE",IFERROR(_xlfn.XLOOKUP(LEFT($D306,3),'STAT 77 Table'!$B:$B,'STAT 77 Table'!$A:$A),"ZZ"&amp;RIGHT($B306,4)),""),"")</f>
        <v/>
      </c>
      <c r="L306" s="396"/>
      <c r="O306" s="388"/>
      <c r="P306" s="388"/>
      <c r="AA306" s="421">
        <f t="shared" si="4"/>
        <v>0</v>
      </c>
    </row>
    <row r="307" spans="1:27" ht="16.5">
      <c r="A307" s="387" t="str">
        <f>'STAT 77 Table'!$I$122</f>
        <v>ITD12389</v>
      </c>
      <c r="B307"/>
      <c r="C307"/>
      <c r="D307" s="387" t="str">
        <f>IF($B307&lt;&gt;"",IFERROR(IF(LEFT($B307,3)=$Z$2,VLOOKUP($C307,Outbound!$B:$Z,4,FALSE),VLOOKUP($B307,Outbound!$B:$Z,4,FALSE)),"ON ROCS/NOT ON FILE"),"")</f>
        <v/>
      </c>
      <c r="E307" s="387" t="str">
        <f>IF($B307&lt;&gt;"",IFERROR(IF(LEFT($B307,4)=$Z$2,VLOOKUP($C307,Outbound!$B:$Z,5,FALSE),VLOOKUP($B307,Outbound!$B:$Z,5,FALSE)),"ON ROCS/NOT ON FILE"),"")</f>
        <v/>
      </c>
      <c r="F307" s="387" t="str">
        <f>IF(B307&lt;&gt;"",IFERROR(IF(LEFT($B307,3)=$Z$2,VLOOKUP($C307,Outbound!$B:$Z,11,FALSE),VLOOKUP($B307,Outbound!$B:$Z,11,FALSE)),"NON TROVATO"),"")</f>
        <v/>
      </c>
      <c r="G307" s="394" t="str">
        <f>IF(B307&lt;&gt;"",IFERROR(IF(LEFT($B307,3)=$Z$2,VLOOKUP($C307,Outbound!$B:$AAZ,16,FALSE),VLOOKUP($B307,Outbound!$B:$AAZ,16,FALSE)),"NON TROVATO"),"")</f>
        <v/>
      </c>
      <c r="H307" s="394" t="str">
        <f>IF(B307&lt;&gt;"",IFERROR(IF(LEFT($B307,3)=$Z$2,VLOOKUP($C307,Outbound!$B:$AAZ,6,FALSE),VLOOKUP($B307,Outbound!$B:$AAZ,6,FALSE)),"NON TROVATO"),"")</f>
        <v/>
      </c>
      <c r="I307" s="394" t="str">
        <f>IF(B307&lt;&gt;"",IFERROR(IF(LEFT($B307,3)=$Z$2,VLOOKUP($C307,Outbound!$B:$AAZ,52,FALSE),VLOOKUP($B307,Outbound!$B:$AAZ,52,FALSE)),"NON TROVATO"),"")</f>
        <v/>
      </c>
      <c r="J307" s="396"/>
      <c r="K307" s="387" t="str">
        <f>IF(B307&lt;&gt;"",IF($D307&lt;&gt;"ON ROCS/NOT ON FILE",IFERROR(_xlfn.XLOOKUP(LEFT($D307,3),'STAT 77 Table'!$B:$B,'STAT 77 Table'!$A:$A),"ZZ"&amp;RIGHT($B307,4)),""),"")</f>
        <v/>
      </c>
      <c r="L307" s="396"/>
      <c r="O307" s="388"/>
      <c r="P307" s="388"/>
      <c r="AA307" s="421">
        <f t="shared" si="4"/>
        <v>0</v>
      </c>
    </row>
    <row r="308" spans="1:27" ht="16.5">
      <c r="A308" s="387" t="str">
        <f>'STAT 77 Table'!$I$123</f>
        <v>ERN17420</v>
      </c>
      <c r="B308"/>
      <c r="C308"/>
      <c r="D308" s="387" t="str">
        <f>IF($B308&lt;&gt;"",IFERROR(IF(LEFT($B308,3)=$Z$2,VLOOKUP($C308,Outbound!$B:$Z,4,FALSE),VLOOKUP($B308,Outbound!$B:$Z,4,FALSE)),"ON ROCS/NOT ON FILE"),"")</f>
        <v/>
      </c>
      <c r="E308" s="387" t="str">
        <f>IF($B308&lt;&gt;"",IFERROR(IF(LEFT($B308,4)=$Z$2,VLOOKUP($C308,Outbound!$B:$Z,5,FALSE),VLOOKUP($B308,Outbound!$B:$Z,5,FALSE)),"ON ROCS/NOT ON FILE"),"")</f>
        <v/>
      </c>
      <c r="F308" s="387" t="str">
        <f>IF(B308&lt;&gt;"",IFERROR(IF(LEFT($B308,3)=$Z$2,VLOOKUP($C308,Outbound!$B:$Z,11,FALSE),VLOOKUP($B308,Outbound!$B:$Z,11,FALSE)),"NON TROVATO"),"")</f>
        <v/>
      </c>
      <c r="G308" s="394" t="str">
        <f>IF(B308&lt;&gt;"",IFERROR(IF(LEFT($B308,3)=$Z$2,VLOOKUP($C308,Outbound!$B:$AAZ,16,FALSE),VLOOKUP($B308,Outbound!$B:$AAZ,16,FALSE)),"NON TROVATO"),"")</f>
        <v/>
      </c>
      <c r="H308" s="394" t="str">
        <f>IF(B308&lt;&gt;"",IFERROR(IF(LEFT($B308,3)=$Z$2,VLOOKUP($C308,Outbound!$B:$AAZ,6,FALSE),VLOOKUP($B308,Outbound!$B:$AAZ,6,FALSE)),"NON TROVATO"),"")</f>
        <v/>
      </c>
      <c r="I308" s="394" t="str">
        <f>IF(B308&lt;&gt;"",IFERROR(IF(LEFT($B308,3)=$Z$2,VLOOKUP($C308,Outbound!$B:$AAZ,52,FALSE),VLOOKUP($B308,Outbound!$B:$AAZ,52,FALSE)),"NON TROVATO"),"")</f>
        <v/>
      </c>
      <c r="J308" s="396"/>
      <c r="K308" s="387" t="str">
        <f>IF(B308&lt;&gt;"",IF($D308&lt;&gt;"ON ROCS/NOT ON FILE",IFERROR(_xlfn.XLOOKUP(LEFT($D308,3),'STAT 77 Table'!$B:$B,'STAT 77 Table'!$A:$A),"ZZ"&amp;RIGHT($B308,4)),""),"")</f>
        <v/>
      </c>
      <c r="L308" s="396"/>
      <c r="O308" s="388"/>
      <c r="P308" s="388"/>
      <c r="AA308" s="421">
        <f t="shared" si="4"/>
        <v>0</v>
      </c>
    </row>
    <row r="309" spans="1:27" ht="16.5">
      <c r="A309" s="387" t="str">
        <f>'STAT 77 Table'!$I$124</f>
        <v>ERN03542</v>
      </c>
      <c r="B309"/>
      <c r="C309"/>
      <c r="D309" s="387" t="str">
        <f>IF($B309&lt;&gt;"",IFERROR(IF(LEFT($B309,3)=$Z$2,VLOOKUP($C309,Outbound!$B:$Z,4,FALSE),VLOOKUP($B309,Outbound!$B:$Z,4,FALSE)),"ON ROCS/NOT ON FILE"),"")</f>
        <v/>
      </c>
      <c r="E309" s="387" t="str">
        <f>IF($B309&lt;&gt;"",IFERROR(IF(LEFT($B309,4)=$Z$2,VLOOKUP($C309,Outbound!$B:$Z,5,FALSE),VLOOKUP($B309,Outbound!$B:$Z,5,FALSE)),"ON ROCS/NOT ON FILE"),"")</f>
        <v/>
      </c>
      <c r="F309" s="387" t="str">
        <f>IF(B309&lt;&gt;"",IFERROR(IF(LEFT($B309,3)=$Z$2,VLOOKUP($C309,Outbound!$B:$Z,11,FALSE),VLOOKUP($B309,Outbound!$B:$Z,11,FALSE)),"NON TROVATO"),"")</f>
        <v/>
      </c>
      <c r="G309" s="394" t="str">
        <f>IF(B309&lt;&gt;"",IFERROR(IF(LEFT($B309,3)=$Z$2,VLOOKUP($C309,Outbound!$B:$AAZ,16,FALSE),VLOOKUP($B309,Outbound!$B:$AAZ,16,FALSE)),"NON TROVATO"),"")</f>
        <v/>
      </c>
      <c r="H309" s="394" t="str">
        <f>IF(B309&lt;&gt;"",IFERROR(IF(LEFT($B309,3)=$Z$2,VLOOKUP($C309,Outbound!$B:$AAZ,6,FALSE),VLOOKUP($B309,Outbound!$B:$AAZ,6,FALSE)),"NON TROVATO"),"")</f>
        <v/>
      </c>
      <c r="I309" s="394" t="str">
        <f>IF(B309&lt;&gt;"",IFERROR(IF(LEFT($B309,3)=$Z$2,VLOOKUP($C309,Outbound!$B:$AAZ,52,FALSE),VLOOKUP($B309,Outbound!$B:$AAZ,52,FALSE)),"NON TROVATO"),"")</f>
        <v/>
      </c>
      <c r="J309" s="396"/>
      <c r="K309" s="387" t="str">
        <f>IF(B309&lt;&gt;"",IF($D309&lt;&gt;"ON ROCS/NOT ON FILE",IFERROR(_xlfn.XLOOKUP(LEFT($D309,3),'STAT 77 Table'!$B:$B,'STAT 77 Table'!$A:$A),"ZZ"&amp;RIGHT($B309,4)),""),"")</f>
        <v/>
      </c>
      <c r="L309" s="396"/>
      <c r="O309" s="388"/>
      <c r="P309" s="388"/>
      <c r="AA309" s="421">
        <f t="shared" si="4"/>
        <v>0</v>
      </c>
    </row>
    <row r="310" spans="1:27" ht="16.5">
      <c r="A310" s="387" t="str">
        <f>'STAT 77 Table'!$I$125</f>
        <v>ITD12286</v>
      </c>
      <c r="B310"/>
      <c r="C310"/>
      <c r="D310" s="387" t="str">
        <f>IF($B310&lt;&gt;"",IFERROR(IF(LEFT($B310,3)=$Z$2,VLOOKUP($C310,Outbound!$B:$Z,4,FALSE),VLOOKUP($B310,Outbound!$B:$Z,4,FALSE)),"ON ROCS/NOT ON FILE"),"")</f>
        <v/>
      </c>
      <c r="E310" s="387" t="str">
        <f>IF($B310&lt;&gt;"",IFERROR(IF(LEFT($B310,4)=$Z$2,VLOOKUP($C310,Outbound!$B:$Z,5,FALSE),VLOOKUP($B310,Outbound!$B:$Z,5,FALSE)),"ON ROCS/NOT ON FILE"),"")</f>
        <v/>
      </c>
      <c r="F310" s="387" t="str">
        <f>IF(B310&lt;&gt;"",IFERROR(IF(LEFT($B310,3)=$Z$2,VLOOKUP($C310,Outbound!$B:$Z,11,FALSE),VLOOKUP($B310,Outbound!$B:$Z,11,FALSE)),"NON TROVATO"),"")</f>
        <v/>
      </c>
      <c r="G310" s="394" t="str">
        <f>IF(B310&lt;&gt;"",IFERROR(IF(LEFT($B310,3)=$Z$2,VLOOKUP($C310,Outbound!$B:$AAZ,16,FALSE),VLOOKUP($B310,Outbound!$B:$AAZ,16,FALSE)),"NON TROVATO"),"")</f>
        <v/>
      </c>
      <c r="H310" s="394" t="str">
        <f>IF(B310&lt;&gt;"",IFERROR(IF(LEFT($B310,3)=$Z$2,VLOOKUP($C310,Outbound!$B:$AAZ,6,FALSE),VLOOKUP($B310,Outbound!$B:$AAZ,6,FALSE)),"NON TROVATO"),"")</f>
        <v/>
      </c>
      <c r="I310" s="394" t="str">
        <f>IF(B310&lt;&gt;"",IFERROR(IF(LEFT($B310,3)=$Z$2,VLOOKUP($C310,Outbound!$B:$AAZ,52,FALSE),VLOOKUP($B310,Outbound!$B:$AAZ,52,FALSE)),"NON TROVATO"),"")</f>
        <v/>
      </c>
      <c r="J310" s="396"/>
      <c r="K310" s="387" t="str">
        <f>IF(B310&lt;&gt;"",IF($D310&lt;&gt;"ON ROCS/NOT ON FILE",IFERROR(_xlfn.XLOOKUP(LEFT($D310,3),'STAT 77 Table'!$B:$B,'STAT 77 Table'!$A:$A),"ZZ"&amp;RIGHT($B310,4)),""),"")</f>
        <v/>
      </c>
      <c r="L310" s="396"/>
      <c r="O310" s="388"/>
      <c r="P310" s="388"/>
      <c r="AA310" s="421">
        <f t="shared" si="4"/>
        <v>0</v>
      </c>
    </row>
    <row r="311" spans="1:27" ht="16.5">
      <c r="A311" s="387" t="str">
        <f>'STAT 77 Table'!$I$126</f>
        <v>ITD12252</v>
      </c>
      <c r="B311"/>
      <c r="C311"/>
      <c r="D311" s="387" t="str">
        <f>IF($B311&lt;&gt;"",IFERROR(IF(LEFT($B311,3)=$Z$2,VLOOKUP($C311,Outbound!$B:$Z,4,FALSE),VLOOKUP($B311,Outbound!$B:$Z,4,FALSE)),"ON ROCS/NOT ON FILE"),"")</f>
        <v/>
      </c>
      <c r="E311" s="387" t="str">
        <f>IF($B311&lt;&gt;"",IFERROR(IF(LEFT($B311,4)=$Z$2,VLOOKUP($C311,Outbound!$B:$Z,5,FALSE),VLOOKUP($B311,Outbound!$B:$Z,5,FALSE)),"ON ROCS/NOT ON FILE"),"")</f>
        <v/>
      </c>
      <c r="F311" s="387" t="str">
        <f>IF(B311&lt;&gt;"",IFERROR(IF(LEFT($B311,3)=$Z$2,VLOOKUP($C311,Outbound!$B:$Z,11,FALSE),VLOOKUP($B311,Outbound!$B:$Z,11,FALSE)),"NON TROVATO"),"")</f>
        <v/>
      </c>
      <c r="G311" s="394" t="str">
        <f>IF(B311&lt;&gt;"",IFERROR(IF(LEFT($B311,3)=$Z$2,VLOOKUP($C311,Outbound!$B:$AAZ,16,FALSE),VLOOKUP($B311,Outbound!$B:$AAZ,16,FALSE)),"NON TROVATO"),"")</f>
        <v/>
      </c>
      <c r="H311" s="394" t="str">
        <f>IF(B311&lt;&gt;"",IFERROR(IF(LEFT($B311,3)=$Z$2,VLOOKUP($C311,Outbound!$B:$AAZ,6,FALSE),VLOOKUP($B311,Outbound!$B:$AAZ,6,FALSE)),"NON TROVATO"),"")</f>
        <v/>
      </c>
      <c r="I311" s="394" t="str">
        <f>IF(B311&lt;&gt;"",IFERROR(IF(LEFT($B311,3)=$Z$2,VLOOKUP($C311,Outbound!$B:$AAZ,52,FALSE),VLOOKUP($B311,Outbound!$B:$AAZ,52,FALSE)),"NON TROVATO"),"")</f>
        <v/>
      </c>
      <c r="J311" s="396"/>
      <c r="K311" s="387" t="str">
        <f>IF(B311&lt;&gt;"",IF($D311&lt;&gt;"ON ROCS/NOT ON FILE",IFERROR(_xlfn.XLOOKUP(LEFT($D311,3),'STAT 77 Table'!$B:$B,'STAT 77 Table'!$A:$A),"ZZ"&amp;RIGHT($B311,4)),""),"")</f>
        <v/>
      </c>
      <c r="L311" s="396"/>
      <c r="O311" s="388"/>
      <c r="P311" s="388"/>
      <c r="AA311" s="421">
        <f t="shared" si="4"/>
        <v>0</v>
      </c>
    </row>
    <row r="312" spans="1:27" ht="16.5">
      <c r="A312" s="387" t="str">
        <f>'STAT 77 Table'!$I$127</f>
        <v>ITD12803</v>
      </c>
      <c r="B312"/>
      <c r="C312"/>
      <c r="D312" s="387" t="str">
        <f>IF($B312&lt;&gt;"",IFERROR(IF(LEFT($B312,3)=$Z$2,VLOOKUP($C312,Outbound!$B:$Z,4,FALSE),VLOOKUP($B312,Outbound!$B:$Z,4,FALSE)),"ON ROCS/NOT ON FILE"),"")</f>
        <v/>
      </c>
      <c r="E312" s="387" t="str">
        <f>IF($B312&lt;&gt;"",IFERROR(IF(LEFT($B312,4)=$Z$2,VLOOKUP($C312,Outbound!$B:$Z,5,FALSE),VLOOKUP($B312,Outbound!$B:$Z,5,FALSE)),"ON ROCS/NOT ON FILE"),"")</f>
        <v/>
      </c>
      <c r="F312" s="387" t="str">
        <f>IF(B312&lt;&gt;"",IFERROR(IF(LEFT($B312,3)=$Z$2,VLOOKUP($C312,Outbound!$B:$Z,11,FALSE),VLOOKUP($B312,Outbound!$B:$Z,11,FALSE)),"NON TROVATO"),"")</f>
        <v/>
      </c>
      <c r="G312" s="394" t="str">
        <f>IF(B312&lt;&gt;"",IFERROR(IF(LEFT($B312,3)=$Z$2,VLOOKUP($C312,Outbound!$B:$AAZ,16,FALSE),VLOOKUP($B312,Outbound!$B:$AAZ,16,FALSE)),"NON TROVATO"),"")</f>
        <v/>
      </c>
      <c r="H312" s="394" t="str">
        <f>IF(B312&lt;&gt;"",IFERROR(IF(LEFT($B312,3)=$Z$2,VLOOKUP($C312,Outbound!$B:$AAZ,6,FALSE),VLOOKUP($B312,Outbound!$B:$AAZ,6,FALSE)),"NON TROVATO"),"")</f>
        <v/>
      </c>
      <c r="I312" s="394" t="str">
        <f>IF(B312&lt;&gt;"",IFERROR(IF(LEFT($B312,3)=$Z$2,VLOOKUP($C312,Outbound!$B:$AAZ,52,FALSE),VLOOKUP($B312,Outbound!$B:$AAZ,52,FALSE)),"NON TROVATO"),"")</f>
        <v/>
      </c>
      <c r="J312" s="396"/>
      <c r="K312" s="387" t="str">
        <f>IF(B312&lt;&gt;"",IF($D312&lt;&gt;"ON ROCS/NOT ON FILE",IFERROR(_xlfn.XLOOKUP(LEFT($D312,3),'STAT 77 Table'!$B:$B,'STAT 77 Table'!$A:$A),"ZZ"&amp;RIGHT($B312,4)),""),"")</f>
        <v/>
      </c>
      <c r="L312" s="396"/>
      <c r="O312" s="388"/>
      <c r="P312" s="388"/>
      <c r="AA312" s="421">
        <f t="shared" si="4"/>
        <v>0</v>
      </c>
    </row>
    <row r="313" spans="1:27" ht="16.5">
      <c r="A313" s="387" t="str">
        <f>'STAT 77 Table'!$I$128</f>
        <v>ERN16616</v>
      </c>
      <c r="B313"/>
      <c r="C313"/>
      <c r="D313" s="387" t="str">
        <f>IF($B313&lt;&gt;"",IFERROR(IF(LEFT($B313,3)=$Z$2,VLOOKUP($C313,Outbound!$B:$Z,4,FALSE),VLOOKUP($B313,Outbound!$B:$Z,4,FALSE)),"ON ROCS/NOT ON FILE"),"")</f>
        <v/>
      </c>
      <c r="E313" s="387" t="str">
        <f>IF($B313&lt;&gt;"",IFERROR(IF(LEFT($B313,4)=$Z$2,VLOOKUP($C313,Outbound!$B:$Z,5,FALSE),VLOOKUP($B313,Outbound!$B:$Z,5,FALSE)),"ON ROCS/NOT ON FILE"),"")</f>
        <v/>
      </c>
      <c r="F313" s="387" t="str">
        <f>IF(B313&lt;&gt;"",IFERROR(IF(LEFT($B313,3)=$Z$2,VLOOKUP($C313,Outbound!$B:$Z,11,FALSE),VLOOKUP($B313,Outbound!$B:$Z,11,FALSE)),"NON TROVATO"),"")</f>
        <v/>
      </c>
      <c r="G313" s="394" t="str">
        <f>IF(B313&lt;&gt;"",IFERROR(IF(LEFT($B313,3)=$Z$2,VLOOKUP($C313,Outbound!$B:$AAZ,16,FALSE),VLOOKUP($B313,Outbound!$B:$AAZ,16,FALSE)),"NON TROVATO"),"")</f>
        <v/>
      </c>
      <c r="H313" s="394" t="str">
        <f>IF(B313&lt;&gt;"",IFERROR(IF(LEFT($B313,3)=$Z$2,VLOOKUP($C313,Outbound!$B:$AAZ,6,FALSE),VLOOKUP($B313,Outbound!$B:$AAZ,6,FALSE)),"NON TROVATO"),"")</f>
        <v/>
      </c>
      <c r="I313" s="394" t="str">
        <f>IF(B313&lt;&gt;"",IFERROR(IF(LEFT($B313,3)=$Z$2,VLOOKUP($C313,Outbound!$B:$AAZ,52,FALSE),VLOOKUP($B313,Outbound!$B:$AAZ,52,FALSE)),"NON TROVATO"),"")</f>
        <v/>
      </c>
      <c r="J313" s="396"/>
      <c r="K313" s="387" t="str">
        <f>IF(B313&lt;&gt;"",IF($D313&lt;&gt;"ON ROCS/NOT ON FILE",IFERROR(_xlfn.XLOOKUP(LEFT($D313,3),'STAT 77 Table'!$B:$B,'STAT 77 Table'!$A:$A),"ZZ"&amp;RIGHT($B313,4)),""),"")</f>
        <v/>
      </c>
      <c r="L313" s="396"/>
      <c r="O313" s="388"/>
      <c r="P313" s="388"/>
      <c r="AA313" s="421">
        <f t="shared" si="4"/>
        <v>0</v>
      </c>
    </row>
    <row r="314" spans="1:27" ht="16.5">
      <c r="A314" s="387" t="str">
        <f>'STAT 77 Table'!$I$129</f>
        <v>ERN01518</v>
      </c>
      <c r="B314"/>
      <c r="C314"/>
      <c r="D314" s="387" t="str">
        <f>IF($B314&lt;&gt;"",IFERROR(IF(LEFT($B314,3)=$Z$2,VLOOKUP($C314,Outbound!$B:$Z,4,FALSE),VLOOKUP($B314,Outbound!$B:$Z,4,FALSE)),"ON ROCS/NOT ON FILE"),"")</f>
        <v/>
      </c>
      <c r="E314" s="387" t="str">
        <f>IF($B314&lt;&gt;"",IFERROR(IF(LEFT($B314,4)=$Z$2,VLOOKUP($C314,Outbound!$B:$Z,5,FALSE),VLOOKUP($B314,Outbound!$B:$Z,5,FALSE)),"ON ROCS/NOT ON FILE"),"")</f>
        <v/>
      </c>
      <c r="F314" s="387" t="str">
        <f>IF(B314&lt;&gt;"",IFERROR(IF(LEFT($B314,3)=$Z$2,VLOOKUP($C314,Outbound!$B:$Z,11,FALSE),VLOOKUP($B314,Outbound!$B:$Z,11,FALSE)),"NON TROVATO"),"")</f>
        <v/>
      </c>
      <c r="G314" s="394" t="str">
        <f>IF(B314&lt;&gt;"",IFERROR(IF(LEFT($B314,3)=$Z$2,VLOOKUP($C314,Outbound!$B:$AAZ,16,FALSE),VLOOKUP($B314,Outbound!$B:$AAZ,16,FALSE)),"NON TROVATO"),"")</f>
        <v/>
      </c>
      <c r="H314" s="394" t="str">
        <f>IF(B314&lt;&gt;"",IFERROR(IF(LEFT($B314,3)=$Z$2,VLOOKUP($C314,Outbound!$B:$AAZ,6,FALSE),VLOOKUP($B314,Outbound!$B:$AAZ,6,FALSE)),"NON TROVATO"),"")</f>
        <v/>
      </c>
      <c r="I314" s="394" t="str">
        <f>IF(B314&lt;&gt;"",IFERROR(IF(LEFT($B314,3)=$Z$2,VLOOKUP($C314,Outbound!$B:$AAZ,52,FALSE),VLOOKUP($B314,Outbound!$B:$AAZ,52,FALSE)),"NON TROVATO"),"")</f>
        <v/>
      </c>
      <c r="J314" s="396"/>
      <c r="K314" s="387" t="str">
        <f>IF(B314&lt;&gt;"",IF($D314&lt;&gt;"ON ROCS/NOT ON FILE",IFERROR(_xlfn.XLOOKUP(LEFT($D314,3),'STAT 77 Table'!$B:$B,'STAT 77 Table'!$A:$A),"ZZ"&amp;RIGHT($B314,4)),""),"")</f>
        <v/>
      </c>
      <c r="L314" s="396"/>
      <c r="O314" s="388"/>
      <c r="P314" s="388"/>
      <c r="AA314" s="421">
        <f t="shared" si="4"/>
        <v>0</v>
      </c>
    </row>
    <row r="315" spans="1:27" ht="16.5">
      <c r="A315" s="387" t="str">
        <f>'STAT 77 Table'!$I$130</f>
        <v>ITD12071</v>
      </c>
      <c r="B315"/>
      <c r="C315"/>
      <c r="D315" s="387" t="str">
        <f>IF($B315&lt;&gt;"",IFERROR(IF(LEFT($B315,3)=$Z$2,VLOOKUP($C315,Outbound!$B:$Z,4,FALSE),VLOOKUP($B315,Outbound!$B:$Z,4,FALSE)),"ON ROCS/NOT ON FILE"),"")</f>
        <v/>
      </c>
      <c r="E315" s="387" t="str">
        <f>IF($B315&lt;&gt;"",IFERROR(IF(LEFT($B315,4)=$Z$2,VLOOKUP($C315,Outbound!$B:$Z,5,FALSE),VLOOKUP($B315,Outbound!$B:$Z,5,FALSE)),"ON ROCS/NOT ON FILE"),"")</f>
        <v/>
      </c>
      <c r="F315" s="387" t="str">
        <f>IF(B315&lt;&gt;"",IFERROR(IF(LEFT($B315,3)=$Z$2,VLOOKUP($C315,Outbound!$B:$Z,11,FALSE),VLOOKUP($B315,Outbound!$B:$Z,11,FALSE)),"NON TROVATO"),"")</f>
        <v/>
      </c>
      <c r="G315" s="394" t="str">
        <f>IF(B315&lt;&gt;"",IFERROR(IF(LEFT($B315,3)=$Z$2,VLOOKUP($C315,Outbound!$B:$AAZ,16,FALSE),VLOOKUP($B315,Outbound!$B:$AAZ,16,FALSE)),"NON TROVATO"),"")</f>
        <v/>
      </c>
      <c r="H315" s="394" t="str">
        <f>IF(B315&lt;&gt;"",IFERROR(IF(LEFT($B315,3)=$Z$2,VLOOKUP($C315,Outbound!$B:$AAZ,6,FALSE),VLOOKUP($B315,Outbound!$B:$AAZ,6,FALSE)),"NON TROVATO"),"")</f>
        <v/>
      </c>
      <c r="I315" s="394" t="str">
        <f>IF(B315&lt;&gt;"",IFERROR(IF(LEFT($B315,3)=$Z$2,VLOOKUP($C315,Outbound!$B:$AAZ,52,FALSE),VLOOKUP($B315,Outbound!$B:$AAZ,52,FALSE)),"NON TROVATO"),"")</f>
        <v/>
      </c>
      <c r="J315" s="396"/>
      <c r="K315" s="387" t="str">
        <f>IF(B315&lt;&gt;"",IF($D315&lt;&gt;"ON ROCS/NOT ON FILE",IFERROR(_xlfn.XLOOKUP(LEFT($D315,3),'STAT 77 Table'!$B:$B,'STAT 77 Table'!$A:$A),"ZZ"&amp;RIGHT($B315,4)),""),"")</f>
        <v/>
      </c>
      <c r="L315" s="396"/>
      <c r="O315" s="388"/>
      <c r="P315" s="388"/>
      <c r="AA315" s="421">
        <f t="shared" si="4"/>
        <v>0</v>
      </c>
    </row>
    <row r="316" spans="1:27" ht="16.5">
      <c r="A316" s="387" t="str">
        <f>'STAT 77 Table'!$I$131</f>
        <v>ERN19164</v>
      </c>
      <c r="B316"/>
      <c r="C316"/>
      <c r="D316" s="387" t="str">
        <f>IF($B316&lt;&gt;"",IFERROR(IF(LEFT($B316,3)=$Z$2,VLOOKUP($C316,Outbound!$B:$Z,4,FALSE),VLOOKUP($B316,Outbound!$B:$Z,4,FALSE)),"ON ROCS/NOT ON FILE"),"")</f>
        <v/>
      </c>
      <c r="E316" s="387" t="str">
        <f>IF($B316&lt;&gt;"",IFERROR(IF(LEFT($B316,4)=$Z$2,VLOOKUP($C316,Outbound!$B:$Z,5,FALSE),VLOOKUP($B316,Outbound!$B:$Z,5,FALSE)),"ON ROCS/NOT ON FILE"),"")</f>
        <v/>
      </c>
      <c r="F316" s="387" t="str">
        <f>IF(B316&lt;&gt;"",IFERROR(IF(LEFT($B316,3)=$Z$2,VLOOKUP($C316,Outbound!$B:$Z,11,FALSE),VLOOKUP($B316,Outbound!$B:$Z,11,FALSE)),"NON TROVATO"),"")</f>
        <v/>
      </c>
      <c r="G316" s="394" t="str">
        <f>IF(B316&lt;&gt;"",IFERROR(IF(LEFT($B316,3)=$Z$2,VLOOKUP($C316,Outbound!$B:$AAZ,16,FALSE),VLOOKUP($B316,Outbound!$B:$AAZ,16,FALSE)),"NON TROVATO"),"")</f>
        <v/>
      </c>
      <c r="H316" s="394" t="str">
        <f>IF(B316&lt;&gt;"",IFERROR(IF(LEFT($B316,3)=$Z$2,VLOOKUP($C316,Outbound!$B:$AAZ,6,FALSE),VLOOKUP($B316,Outbound!$B:$AAZ,6,FALSE)),"NON TROVATO"),"")</f>
        <v/>
      </c>
      <c r="I316" s="394" t="str">
        <f>IF(B316&lt;&gt;"",IFERROR(IF(LEFT($B316,3)=$Z$2,VLOOKUP($C316,Outbound!$B:$AAZ,52,FALSE),VLOOKUP($B316,Outbound!$B:$AAZ,52,FALSE)),"NON TROVATO"),"")</f>
        <v/>
      </c>
      <c r="J316" s="396"/>
      <c r="K316" s="387" t="str">
        <f>IF(B316&lt;&gt;"",IF($D316&lt;&gt;"ON ROCS/NOT ON FILE",IFERROR(_xlfn.XLOOKUP(LEFT($D316,3),'STAT 77 Table'!$B:$B,'STAT 77 Table'!$A:$A),"ZZ"&amp;RIGHT($B316,4)),""),"")</f>
        <v/>
      </c>
      <c r="L316" s="396"/>
      <c r="O316" s="388"/>
      <c r="P316" s="388"/>
      <c r="AA316" s="421">
        <f t="shared" si="4"/>
        <v>0</v>
      </c>
    </row>
    <row r="317" spans="1:27" ht="16.5">
      <c r="A317" s="387">
        <f>'STAT 77 Table'!$I$297</f>
        <v>0</v>
      </c>
      <c r="B317"/>
      <c r="C317"/>
      <c r="D317" s="387" t="str">
        <f>IF($B317&lt;&gt;"",IFERROR(IF(LEFT($B317,3)=$Z$2,VLOOKUP($C317,Outbound!$B:$Z,4,FALSE),VLOOKUP($B317,Outbound!$B:$Z,4,FALSE)),"ON ROCS/NOT ON FILE"),"")</f>
        <v/>
      </c>
      <c r="E317" s="387" t="str">
        <f>IF($B317&lt;&gt;"",IFERROR(IF(LEFT($B317,4)=$Z$2,VLOOKUP($C317,Outbound!$B:$Z,5,FALSE),VLOOKUP($B317,Outbound!$B:$Z,5,FALSE)),"ON ROCS/NOT ON FILE"),"")</f>
        <v/>
      </c>
      <c r="F317" s="387" t="str">
        <f>IF(B317&lt;&gt;"",IFERROR(IF(LEFT($B317,3)=$Z$2,VLOOKUP($C317,Outbound!$B:$Z,11,FALSE),VLOOKUP($B317,Outbound!$B:$Z,11,FALSE)),"NON TROVATO"),"")</f>
        <v/>
      </c>
      <c r="G317" s="394" t="str">
        <f>IF(B317&lt;&gt;"",IFERROR(IF(LEFT($B317,3)=$Z$2,VLOOKUP($C317,Outbound!$B:$AAZ,16,FALSE),VLOOKUP($B317,Outbound!$B:$AAZ,16,FALSE)),"NON TROVATO"),"")</f>
        <v/>
      </c>
      <c r="H317" s="394" t="str">
        <f>IF(B317&lt;&gt;"",IFERROR(IF(LEFT($B317,3)=$Z$2,VLOOKUP($C317,Outbound!$B:$AAZ,6,FALSE),VLOOKUP($B317,Outbound!$B:$AAZ,6,FALSE)),"NON TROVATO"),"")</f>
        <v/>
      </c>
      <c r="I317" s="394" t="str">
        <f>IF(B317&lt;&gt;"",IFERROR(IF(LEFT($B317,3)=$Z$2,VLOOKUP($C317,Outbound!$B:$AAZ,52,FALSE),VLOOKUP($B317,Outbound!$B:$AAZ,52,FALSE)),"NON TROVATO"),"")</f>
        <v/>
      </c>
      <c r="J317" s="396"/>
      <c r="K317" s="387" t="str">
        <f>IF(B317&lt;&gt;"",IF($D317&lt;&gt;"ON ROCS/NOT ON FILE",IFERROR(_xlfn.XLOOKUP(LEFT($D317,3),'STAT 77 Table'!$B:$B,'STAT 77 Table'!$A:$A),"ZZ"&amp;RIGHT($B317,4)),""),"")</f>
        <v/>
      </c>
      <c r="L317" s="396"/>
      <c r="O317" s="388"/>
      <c r="P317" s="388"/>
      <c r="AA317" s="421">
        <f t="shared" si="4"/>
        <v>0</v>
      </c>
    </row>
    <row r="318" spans="1:27" ht="16.5">
      <c r="A318" s="387">
        <f>'STAT 77 Table'!$I$298</f>
        <v>0</v>
      </c>
      <c r="B318"/>
      <c r="C318"/>
      <c r="D318" s="387" t="str">
        <f>IF($B318&lt;&gt;"",IFERROR(IF(LEFT($B318,3)=$Z$2,VLOOKUP($C318,Outbound!$B:$Z,4,FALSE),VLOOKUP($B318,Outbound!$B:$Z,4,FALSE)),"ON ROCS/NOT ON FILE"),"")</f>
        <v/>
      </c>
      <c r="E318" s="387" t="str">
        <f>IF($B318&lt;&gt;"",IFERROR(IF(LEFT($B318,4)=$Z$2,VLOOKUP($C318,Outbound!$B:$Z,5,FALSE),VLOOKUP($B318,Outbound!$B:$Z,5,FALSE)),"ON ROCS/NOT ON FILE"),"")</f>
        <v/>
      </c>
      <c r="F318" s="387" t="str">
        <f>IF(B318&lt;&gt;"",IFERROR(IF(LEFT($B318,3)=$Z$2,VLOOKUP($C318,Outbound!$B:$Z,11,FALSE),VLOOKUP($B318,Outbound!$B:$Z,11,FALSE)),"NON TROVATO"),"")</f>
        <v/>
      </c>
      <c r="G318" s="394" t="str">
        <f>IF(B318&lt;&gt;"",IFERROR(IF(LEFT($B318,3)=$Z$2,VLOOKUP($C318,Outbound!$B:$AAZ,16,FALSE),VLOOKUP($B318,Outbound!$B:$AAZ,16,FALSE)),"NON TROVATO"),"")</f>
        <v/>
      </c>
      <c r="H318" s="394" t="str">
        <f>IF(B318&lt;&gt;"",IFERROR(IF(LEFT($B318,3)=$Z$2,VLOOKUP($C318,Outbound!$B:$AAZ,6,FALSE),VLOOKUP($B318,Outbound!$B:$AAZ,6,FALSE)),"NON TROVATO"),"")</f>
        <v/>
      </c>
      <c r="I318" s="394" t="str">
        <f>IF(B318&lt;&gt;"",IFERROR(IF(LEFT($B318,3)=$Z$2,VLOOKUP($C318,Outbound!$B:$AAZ,52,FALSE),VLOOKUP($B318,Outbound!$B:$AAZ,52,FALSE)),"NON TROVATO"),"")</f>
        <v/>
      </c>
      <c r="J318" s="396"/>
      <c r="K318" s="387" t="str">
        <f>IF(B318&lt;&gt;"",IF($D318&lt;&gt;"ON ROCS/NOT ON FILE",IFERROR(_xlfn.XLOOKUP(LEFT($D318,3),'STAT 77 Table'!$B:$B,'STAT 77 Table'!$A:$A),"ZZ"&amp;RIGHT($B318,4)),""),"")</f>
        <v/>
      </c>
      <c r="L318" s="396"/>
      <c r="O318" s="388"/>
      <c r="P318" s="388"/>
      <c r="AA318" s="421">
        <f t="shared" si="4"/>
        <v>0</v>
      </c>
    </row>
    <row r="319" spans="1:27" ht="16.5">
      <c r="A319" s="387">
        <f>'STAT 77 Table'!$I$299</f>
        <v>0</v>
      </c>
      <c r="B319"/>
      <c r="C319"/>
      <c r="D319" s="387" t="str">
        <f>IF($B319&lt;&gt;"",IFERROR(IF(LEFT($B319,3)=$Z$2,VLOOKUP($C319,Outbound!$B:$Z,4,FALSE),VLOOKUP($B319,Outbound!$B:$Z,4,FALSE)),"ON ROCS/NOT ON FILE"),"")</f>
        <v/>
      </c>
      <c r="E319" s="387" t="str">
        <f>IF($B319&lt;&gt;"",IFERROR(IF(LEFT($B319,4)=$Z$2,VLOOKUP($C319,Outbound!$B:$Z,5,FALSE),VLOOKUP($B319,Outbound!$B:$Z,5,FALSE)),"ON ROCS/NOT ON FILE"),"")</f>
        <v/>
      </c>
      <c r="F319" s="387" t="str">
        <f>IF(B319&lt;&gt;"",IFERROR(IF(LEFT($B319,3)=$Z$2,VLOOKUP($C319,Outbound!$B:$Z,11,FALSE),VLOOKUP($B319,Outbound!$B:$Z,11,FALSE)),"NON TROVATO"),"")</f>
        <v/>
      </c>
      <c r="G319" s="394" t="str">
        <f>IF(B319&lt;&gt;"",IFERROR(IF(LEFT($B319,3)=$Z$2,VLOOKUP($C319,Outbound!$B:$AAZ,16,FALSE),VLOOKUP($B319,Outbound!$B:$AAZ,16,FALSE)),"NON TROVATO"),"")</f>
        <v/>
      </c>
      <c r="H319" s="394" t="str">
        <f>IF(B319&lt;&gt;"",IFERROR(IF(LEFT($B319,3)=$Z$2,VLOOKUP($C319,Outbound!$B:$AAZ,6,FALSE),VLOOKUP($B319,Outbound!$B:$AAZ,6,FALSE)),"NON TROVATO"),"")</f>
        <v/>
      </c>
      <c r="I319" s="394" t="str">
        <f>IF(B319&lt;&gt;"",IFERROR(IF(LEFT($B319,3)=$Z$2,VLOOKUP($C319,Outbound!$B:$AAZ,52,FALSE),VLOOKUP($B319,Outbound!$B:$AAZ,52,FALSE)),"NON TROVATO"),"")</f>
        <v/>
      </c>
      <c r="J319" s="396"/>
      <c r="K319" s="387" t="str">
        <f>IF(B319&lt;&gt;"",IF($D319&lt;&gt;"ON ROCS/NOT ON FILE",IFERROR(_xlfn.XLOOKUP(LEFT($D319,3),'STAT 77 Table'!$B:$B,'STAT 77 Table'!$A:$A),"ZZ"&amp;RIGHT($B319,4)),""),"")</f>
        <v/>
      </c>
      <c r="L319" s="396"/>
      <c r="O319" s="388"/>
      <c r="P319" s="388"/>
      <c r="AA319" s="421">
        <f t="shared" si="4"/>
        <v>0</v>
      </c>
    </row>
    <row r="320" spans="1:27" ht="16.5">
      <c r="A320" s="387">
        <f>'STAT 77 Table'!$I$300</f>
        <v>0</v>
      </c>
      <c r="B320"/>
      <c r="C320"/>
      <c r="D320" s="387" t="str">
        <f>IF($B320&lt;&gt;"",IFERROR(IF(LEFT($B320,3)=$Z$2,VLOOKUP($C320,Outbound!$B:$Z,4,FALSE),VLOOKUP($B320,Outbound!$B:$Z,4,FALSE)),"ON ROCS/NOT ON FILE"),"")</f>
        <v/>
      </c>
      <c r="E320" s="387" t="str">
        <f>IF($B320&lt;&gt;"",IFERROR(IF(LEFT($B320,4)=$Z$2,VLOOKUP($C320,Outbound!$B:$Z,5,FALSE),VLOOKUP($B320,Outbound!$B:$Z,5,FALSE)),"ON ROCS/NOT ON FILE"),"")</f>
        <v/>
      </c>
      <c r="F320" s="387" t="str">
        <f>IF(B320&lt;&gt;"",IFERROR(IF(LEFT($B320,3)=$Z$2,VLOOKUP($C320,Outbound!$B:$Z,11,FALSE),VLOOKUP($B320,Outbound!$B:$Z,11,FALSE)),"NON TROVATO"),"")</f>
        <v/>
      </c>
      <c r="G320" s="394" t="str">
        <f>IF(B320&lt;&gt;"",IFERROR(IF(LEFT($B320,3)=$Z$2,VLOOKUP($C320,Outbound!$B:$AAZ,16,FALSE),VLOOKUP($B320,Outbound!$B:$AAZ,16,FALSE)),"NON TROVATO"),"")</f>
        <v/>
      </c>
      <c r="H320" s="394" t="str">
        <f>IF(B320&lt;&gt;"",IFERROR(IF(LEFT($B320,3)=$Z$2,VLOOKUP($C320,Outbound!$B:$AAZ,6,FALSE),VLOOKUP($B320,Outbound!$B:$AAZ,6,FALSE)),"NON TROVATO"),"")</f>
        <v/>
      </c>
      <c r="I320" s="394" t="str">
        <f>IF(B320&lt;&gt;"",IFERROR(IF(LEFT($B320,3)=$Z$2,VLOOKUP($C320,Outbound!$B:$AAZ,52,FALSE),VLOOKUP($B320,Outbound!$B:$AAZ,52,FALSE)),"NON TROVATO"),"")</f>
        <v/>
      </c>
      <c r="J320" s="396"/>
      <c r="K320" s="387" t="str">
        <f>IF(B320&lt;&gt;"",IF($D320&lt;&gt;"ON ROCS/NOT ON FILE",IFERROR(_xlfn.XLOOKUP(LEFT($D320,3),'STAT 77 Table'!$B:$B,'STAT 77 Table'!$A:$A),"ZZ"&amp;RIGHT($B320,4)),""),"")</f>
        <v/>
      </c>
      <c r="L320" s="396"/>
      <c r="O320" s="388"/>
      <c r="P320" s="388"/>
      <c r="AA320" s="421">
        <f t="shared" si="4"/>
        <v>0</v>
      </c>
    </row>
    <row r="321" spans="1:27" ht="16.5">
      <c r="A321" s="387">
        <f>'STAT 77 Table'!$I$301</f>
        <v>0</v>
      </c>
      <c r="B321"/>
      <c r="C321"/>
      <c r="D321" s="387" t="str">
        <f>IF($B321&lt;&gt;"",IFERROR(IF(LEFT($B321,3)=$Z$2,VLOOKUP($C321,Outbound!$B:$Z,4,FALSE),VLOOKUP($B321,Outbound!$B:$Z,4,FALSE)),"ON ROCS/NOT ON FILE"),"")</f>
        <v/>
      </c>
      <c r="E321" s="387" t="str">
        <f>IF($B321&lt;&gt;"",IFERROR(IF(LEFT($B321,4)=$Z$2,VLOOKUP($C321,Outbound!$B:$Z,5,FALSE),VLOOKUP($B321,Outbound!$B:$Z,5,FALSE)),"ON ROCS/NOT ON FILE"),"")</f>
        <v/>
      </c>
      <c r="F321" s="387" t="str">
        <f>IF(B321&lt;&gt;"",IFERROR(IF(LEFT($B321,3)=$Z$2,VLOOKUP($C321,Outbound!$B:$Z,11,FALSE),VLOOKUP($B321,Outbound!$B:$Z,11,FALSE)),"NON TROVATO"),"")</f>
        <v/>
      </c>
      <c r="G321" s="394" t="str">
        <f>IF(B321&lt;&gt;"",IFERROR(IF(LEFT($B321,3)=$Z$2,VLOOKUP($C321,Outbound!$B:$AAZ,16,FALSE),VLOOKUP($B321,Outbound!$B:$AAZ,16,FALSE)),"NON TROVATO"),"")</f>
        <v/>
      </c>
      <c r="H321" s="394" t="str">
        <f>IF(B321&lt;&gt;"",IFERROR(IF(LEFT($B321,3)=$Z$2,VLOOKUP($C321,Outbound!$B:$AAZ,6,FALSE),VLOOKUP($B321,Outbound!$B:$AAZ,6,FALSE)),"NON TROVATO"),"")</f>
        <v/>
      </c>
      <c r="I321" s="394" t="str">
        <f>IF(B321&lt;&gt;"",IFERROR(IF(LEFT($B321,3)=$Z$2,VLOOKUP($C321,Outbound!$B:$AAZ,52,FALSE),VLOOKUP($B321,Outbound!$B:$AAZ,52,FALSE)),"NON TROVATO"),"")</f>
        <v/>
      </c>
      <c r="J321" s="396"/>
      <c r="K321" s="387" t="str">
        <f>IF(B321&lt;&gt;"",IF($D321&lt;&gt;"ON ROCS/NOT ON FILE",IFERROR(_xlfn.XLOOKUP(LEFT($D321,3),'STAT 77 Table'!$B:$B,'STAT 77 Table'!$A:$A),"ZZ"&amp;RIGHT($B321,4)),""),"")</f>
        <v/>
      </c>
      <c r="L321" s="396"/>
      <c r="O321" s="388"/>
      <c r="P321" s="388"/>
      <c r="AA321" s="421">
        <f t="shared" si="4"/>
        <v>0</v>
      </c>
    </row>
    <row r="322" spans="1:27" ht="16.5">
      <c r="A322" s="387">
        <f>'STAT 77 Table'!$I$302</f>
        <v>0</v>
      </c>
      <c r="B322"/>
      <c r="C322"/>
      <c r="D322" s="387" t="str">
        <f>IF($B322&lt;&gt;"",IFERROR(IF(LEFT($B322,3)=$Z$2,VLOOKUP($C322,Outbound!$B:$Z,4,FALSE),VLOOKUP($B322,Outbound!$B:$Z,4,FALSE)),"ON ROCS/NOT ON FILE"),"")</f>
        <v/>
      </c>
      <c r="E322" s="387" t="str">
        <f>IF($B322&lt;&gt;"",IFERROR(IF(LEFT($B322,4)=$Z$2,VLOOKUP($C322,Outbound!$B:$Z,5,FALSE),VLOOKUP($B322,Outbound!$B:$Z,5,FALSE)),"ON ROCS/NOT ON FILE"),"")</f>
        <v/>
      </c>
      <c r="F322" s="387" t="str">
        <f>IF(B322&lt;&gt;"",IFERROR(IF(LEFT($B322,3)=$Z$2,VLOOKUP($C322,Outbound!$B:$Z,11,FALSE),VLOOKUP($B322,Outbound!$B:$Z,11,FALSE)),"NON TROVATO"),"")</f>
        <v/>
      </c>
      <c r="G322" s="394" t="str">
        <f>IF(B322&lt;&gt;"",IFERROR(IF(LEFT($B322,3)=$Z$2,VLOOKUP($C322,Outbound!$B:$AAZ,16,FALSE),VLOOKUP($B322,Outbound!$B:$AAZ,16,FALSE)),"NON TROVATO"),"")</f>
        <v/>
      </c>
      <c r="H322" s="394" t="str">
        <f>IF(B322&lt;&gt;"",IFERROR(IF(LEFT($B322,3)=$Z$2,VLOOKUP($C322,Outbound!$B:$AAZ,6,FALSE),VLOOKUP($B322,Outbound!$B:$AAZ,6,FALSE)),"NON TROVATO"),"")</f>
        <v/>
      </c>
      <c r="I322" s="394" t="str">
        <f>IF(B322&lt;&gt;"",IFERROR(IF(LEFT($B322,3)=$Z$2,VLOOKUP($C322,Outbound!$B:$AAZ,52,FALSE),VLOOKUP($B322,Outbound!$B:$AAZ,52,FALSE)),"NON TROVATO"),"")</f>
        <v/>
      </c>
      <c r="J322" s="396"/>
      <c r="K322" s="387" t="str">
        <f>IF(B322&lt;&gt;"",IF($D322&lt;&gt;"ON ROCS/NOT ON FILE",IFERROR(_xlfn.XLOOKUP(LEFT($D322,3),'STAT 77 Table'!$B:$B,'STAT 77 Table'!$A:$A),"ZZ"&amp;RIGHT($B322,4)),""),"")</f>
        <v/>
      </c>
      <c r="L322" s="396"/>
      <c r="O322" s="388"/>
      <c r="P322" s="388"/>
      <c r="AA322" s="421">
        <f t="shared" si="4"/>
        <v>0</v>
      </c>
    </row>
    <row r="323" spans="1:27" ht="16.5">
      <c r="A323" s="387">
        <f>'STAT 77 Table'!$I$303</f>
        <v>0</v>
      </c>
      <c r="B323"/>
      <c r="C323"/>
      <c r="D323" s="387" t="str">
        <f>IF($B323&lt;&gt;"",IFERROR(IF(LEFT($B323,3)=$Z$2,VLOOKUP($C323,Outbound!$B:$Z,4,FALSE),VLOOKUP($B323,Outbound!$B:$Z,4,FALSE)),"ON ROCS/NOT ON FILE"),"")</f>
        <v/>
      </c>
      <c r="E323" s="387" t="str">
        <f>IF($B323&lt;&gt;"",IFERROR(IF(LEFT($B323,4)=$Z$2,VLOOKUP($C323,Outbound!$B:$Z,5,FALSE),VLOOKUP($B323,Outbound!$B:$Z,5,FALSE)),"ON ROCS/NOT ON FILE"),"")</f>
        <v/>
      </c>
      <c r="F323" s="387" t="str">
        <f>IF(B323&lt;&gt;"",IFERROR(IF(LEFT($B323,3)=$Z$2,VLOOKUP($C323,Outbound!$B:$Z,11,FALSE),VLOOKUP($B323,Outbound!$B:$Z,11,FALSE)),"NON TROVATO"),"")</f>
        <v/>
      </c>
      <c r="G323" s="394" t="str">
        <f>IF(B323&lt;&gt;"",IFERROR(IF(LEFT($B323,3)=$Z$2,VLOOKUP($C323,Outbound!$B:$AAZ,16,FALSE),VLOOKUP($B323,Outbound!$B:$AAZ,16,FALSE)),"NON TROVATO"),"")</f>
        <v/>
      </c>
      <c r="H323" s="394" t="str">
        <f>IF(B323&lt;&gt;"",IFERROR(IF(LEFT($B323,3)=$Z$2,VLOOKUP($C323,Outbound!$B:$AAZ,6,FALSE),VLOOKUP($B323,Outbound!$B:$AAZ,6,FALSE)),"NON TROVATO"),"")</f>
        <v/>
      </c>
      <c r="I323" s="394" t="str">
        <f>IF(B323&lt;&gt;"",IFERROR(IF(LEFT($B323,3)=$Z$2,VLOOKUP($C323,Outbound!$B:$AAZ,52,FALSE),VLOOKUP($B323,Outbound!$B:$AAZ,52,FALSE)),"NON TROVATO"),"")</f>
        <v/>
      </c>
      <c r="J323" s="396"/>
      <c r="K323" s="387" t="str">
        <f>IF(B323&lt;&gt;"",IF($D323&lt;&gt;"ON ROCS/NOT ON FILE",IFERROR(_xlfn.XLOOKUP(LEFT($D323,3),'STAT 77 Table'!$B:$B,'STAT 77 Table'!$A:$A),"ZZ"&amp;RIGHT($B323,4)),""),"")</f>
        <v/>
      </c>
      <c r="L323" s="396"/>
      <c r="O323" s="388"/>
      <c r="P323" s="388"/>
      <c r="AA323" s="421">
        <f t="shared" si="4"/>
        <v>0</v>
      </c>
    </row>
    <row r="324" spans="1:27" ht="16.5">
      <c r="A324" s="387">
        <f>'STAT 77 Table'!$I$304</f>
        <v>0</v>
      </c>
      <c r="B324"/>
      <c r="C324"/>
      <c r="D324" s="387" t="str">
        <f>IF($B324&lt;&gt;"",IFERROR(IF(LEFT($B324,3)=$Z$2,VLOOKUP($C324,Outbound!$B:$Z,4,FALSE),VLOOKUP($B324,Outbound!$B:$Z,4,FALSE)),"ON ROCS/NOT ON FILE"),"")</f>
        <v/>
      </c>
      <c r="E324" s="387" t="str">
        <f>IF($B324&lt;&gt;"",IFERROR(IF(LEFT($B324,4)=$Z$2,VLOOKUP($C324,Outbound!$B:$Z,5,FALSE),VLOOKUP($B324,Outbound!$B:$Z,5,FALSE)),"ON ROCS/NOT ON FILE"),"")</f>
        <v/>
      </c>
      <c r="F324" s="387" t="str">
        <f>IF(B324&lt;&gt;"",IFERROR(IF(LEFT($B324,3)=$Z$2,VLOOKUP($C324,Outbound!$B:$Z,11,FALSE),VLOOKUP($B324,Outbound!$B:$Z,11,FALSE)),"NON TROVATO"),"")</f>
        <v/>
      </c>
      <c r="G324" s="394" t="str">
        <f>IF(B324&lt;&gt;"",IFERROR(IF(LEFT($B324,3)=$Z$2,VLOOKUP($C324,Outbound!$B:$AAZ,16,FALSE),VLOOKUP($B324,Outbound!$B:$AAZ,16,FALSE)),"NON TROVATO"),"")</f>
        <v/>
      </c>
      <c r="H324" s="394" t="str">
        <f>IF(B324&lt;&gt;"",IFERROR(IF(LEFT($B324,3)=$Z$2,VLOOKUP($C324,Outbound!$B:$AAZ,6,FALSE),VLOOKUP($B324,Outbound!$B:$AAZ,6,FALSE)),"NON TROVATO"),"")</f>
        <v/>
      </c>
      <c r="I324" s="394" t="str">
        <f>IF(B324&lt;&gt;"",IFERROR(IF(LEFT($B324,3)=$Z$2,VLOOKUP($C324,Outbound!$B:$AAZ,52,FALSE),VLOOKUP($B324,Outbound!$B:$AAZ,52,FALSE)),"NON TROVATO"),"")</f>
        <v/>
      </c>
      <c r="J324" s="396"/>
      <c r="K324" s="387" t="str">
        <f>IF(B324&lt;&gt;"",IF($D324&lt;&gt;"ON ROCS/NOT ON FILE",IFERROR(_xlfn.XLOOKUP(LEFT($D324,3),'STAT 77 Table'!$B:$B,'STAT 77 Table'!$A:$A),"ZZ"&amp;RIGHT($B324,4)),""),"")</f>
        <v/>
      </c>
      <c r="L324" s="396"/>
      <c r="O324" s="388"/>
      <c r="P324" s="388"/>
      <c r="AA324" s="421">
        <f t="shared" ref="AA324:AA387" si="5">IF(LEFT(A324,3)=$X$2,C324,B324)</f>
        <v>0</v>
      </c>
    </row>
    <row r="325" spans="1:27" ht="16.5">
      <c r="A325" s="387">
        <f>'STAT 77 Table'!$I$305</f>
        <v>0</v>
      </c>
      <c r="B325"/>
      <c r="C325"/>
      <c r="D325" s="387" t="str">
        <f>IF($B325&lt;&gt;"",IFERROR(IF(LEFT($B325,3)=$Z$2,VLOOKUP($C325,Outbound!$B:$Z,4,FALSE),VLOOKUP($B325,Outbound!$B:$Z,4,FALSE)),"ON ROCS/NOT ON FILE"),"")</f>
        <v/>
      </c>
      <c r="E325" s="387" t="str">
        <f>IF($B325&lt;&gt;"",IFERROR(IF(LEFT($B325,4)=$Z$2,VLOOKUP($C325,Outbound!$B:$Z,5,FALSE),VLOOKUP($B325,Outbound!$B:$Z,5,FALSE)),"ON ROCS/NOT ON FILE"),"")</f>
        <v/>
      </c>
      <c r="F325" s="387" t="str">
        <f>IF(B325&lt;&gt;"",IFERROR(IF(LEFT($B325,3)=$Z$2,VLOOKUP($C325,Outbound!$B:$Z,11,FALSE),VLOOKUP($B325,Outbound!$B:$Z,11,FALSE)),"NON TROVATO"),"")</f>
        <v/>
      </c>
      <c r="G325" s="394" t="str">
        <f>IF(B325&lt;&gt;"",IFERROR(IF(LEFT($B325,3)=$Z$2,VLOOKUP($C325,Outbound!$B:$AAZ,16,FALSE),VLOOKUP($B325,Outbound!$B:$AAZ,16,FALSE)),"NON TROVATO"),"")</f>
        <v/>
      </c>
      <c r="H325" s="394" t="str">
        <f>IF(B325&lt;&gt;"",IFERROR(IF(LEFT($B325,3)=$Z$2,VLOOKUP($C325,Outbound!$B:$AAZ,6,FALSE),VLOOKUP($B325,Outbound!$B:$AAZ,6,FALSE)),"NON TROVATO"),"")</f>
        <v/>
      </c>
      <c r="I325" s="394" t="str">
        <f>IF(B325&lt;&gt;"",IFERROR(IF(LEFT($B325,3)=$Z$2,VLOOKUP($C325,Outbound!$B:$AAZ,52,FALSE),VLOOKUP($B325,Outbound!$B:$AAZ,52,FALSE)),"NON TROVATO"),"")</f>
        <v/>
      </c>
      <c r="J325" s="396"/>
      <c r="K325" s="387" t="str">
        <f>IF(B325&lt;&gt;"",IF($D325&lt;&gt;"ON ROCS/NOT ON FILE",IFERROR(_xlfn.XLOOKUP(LEFT($D325,3),'STAT 77 Table'!$B:$B,'STAT 77 Table'!$A:$A),"ZZ"&amp;RIGHT($B325,4)),""),"")</f>
        <v/>
      </c>
      <c r="L325" s="396"/>
      <c r="O325" s="388"/>
      <c r="P325" s="388"/>
      <c r="AA325" s="421">
        <f t="shared" si="5"/>
        <v>0</v>
      </c>
    </row>
    <row r="326" spans="1:27" ht="16.5">
      <c r="A326" s="387">
        <f>'STAT 77 Table'!$I$306</f>
        <v>0</v>
      </c>
      <c r="B326"/>
      <c r="C326"/>
      <c r="D326" s="387" t="str">
        <f>IF($B326&lt;&gt;"",IFERROR(IF(LEFT($B326,3)=$Z$2,VLOOKUP($C326,Outbound!$B:$Z,4,FALSE),VLOOKUP($B326,Outbound!$B:$Z,4,FALSE)),"ON ROCS/NOT ON FILE"),"")</f>
        <v/>
      </c>
      <c r="E326" s="387" t="str">
        <f>IF($B326&lt;&gt;"",IFERROR(IF(LEFT($B326,4)=$Z$2,VLOOKUP($C326,Outbound!$B:$Z,5,FALSE),VLOOKUP($B326,Outbound!$B:$Z,5,FALSE)),"ON ROCS/NOT ON FILE"),"")</f>
        <v/>
      </c>
      <c r="F326" s="387" t="str">
        <f>IF(B326&lt;&gt;"",IFERROR(IF(LEFT($B326,3)=$Z$2,VLOOKUP($C326,Outbound!$B:$Z,11,FALSE),VLOOKUP($B326,Outbound!$B:$Z,11,FALSE)),"NON TROVATO"),"")</f>
        <v/>
      </c>
      <c r="G326" s="394" t="str">
        <f>IF(B326&lt;&gt;"",IFERROR(IF(LEFT($B326,3)=$Z$2,VLOOKUP($C326,Outbound!$B:$AAZ,16,FALSE),VLOOKUP($B326,Outbound!$B:$AAZ,16,FALSE)),"NON TROVATO"),"")</f>
        <v/>
      </c>
      <c r="H326" s="394" t="str">
        <f>IF(B326&lt;&gt;"",IFERROR(IF(LEFT($B326,3)=$Z$2,VLOOKUP($C326,Outbound!$B:$AAZ,6,FALSE),VLOOKUP($B326,Outbound!$B:$AAZ,6,FALSE)),"NON TROVATO"),"")</f>
        <v/>
      </c>
      <c r="I326" s="394" t="str">
        <f>IF(B326&lt;&gt;"",IFERROR(IF(LEFT($B326,3)=$Z$2,VLOOKUP($C326,Outbound!$B:$AAZ,52,FALSE),VLOOKUP($B326,Outbound!$B:$AAZ,52,FALSE)),"NON TROVATO"),"")</f>
        <v/>
      </c>
      <c r="J326" s="396"/>
      <c r="K326" s="387" t="str">
        <f>IF(B326&lt;&gt;"",IF($D326&lt;&gt;"ON ROCS/NOT ON FILE",IFERROR(_xlfn.XLOOKUP(LEFT($D326,3),'STAT 77 Table'!$B:$B,'STAT 77 Table'!$A:$A),"ZZ"&amp;RIGHT($B326,4)),""),"")</f>
        <v/>
      </c>
      <c r="L326" s="396"/>
      <c r="O326" s="388"/>
      <c r="P326" s="388"/>
      <c r="AA326" s="421">
        <f t="shared" si="5"/>
        <v>0</v>
      </c>
    </row>
    <row r="327" spans="1:27" ht="16.5">
      <c r="A327" s="387">
        <f>'STAT 77 Table'!$I$307</f>
        <v>0</v>
      </c>
      <c r="B327"/>
      <c r="C327"/>
      <c r="D327" s="387" t="str">
        <f>IF($B327&lt;&gt;"",IFERROR(IF(LEFT($B327,3)=$Z$2,VLOOKUP($C327,Outbound!$B:$Z,4,FALSE),VLOOKUP($B327,Outbound!$B:$Z,4,FALSE)),"ON ROCS/NOT ON FILE"),"")</f>
        <v/>
      </c>
      <c r="E327" s="387" t="str">
        <f>IF($B327&lt;&gt;"",IFERROR(IF(LEFT($B327,4)=$Z$2,VLOOKUP($C327,Outbound!$B:$Z,5,FALSE),VLOOKUP($B327,Outbound!$B:$Z,5,FALSE)),"ON ROCS/NOT ON FILE"),"")</f>
        <v/>
      </c>
      <c r="F327" s="387" t="str">
        <f>IF(B327&lt;&gt;"",IFERROR(IF(LEFT($B327,3)=$Z$2,VLOOKUP($C327,Outbound!$B:$Z,11,FALSE),VLOOKUP($B327,Outbound!$B:$Z,11,FALSE)),"NON TROVATO"),"")</f>
        <v/>
      </c>
      <c r="G327" s="394" t="str">
        <f>IF(B327&lt;&gt;"",IFERROR(IF(LEFT($B327,3)=$Z$2,VLOOKUP($C327,Outbound!$B:$AAZ,16,FALSE),VLOOKUP($B327,Outbound!$B:$AAZ,16,FALSE)),"NON TROVATO"),"")</f>
        <v/>
      </c>
      <c r="H327" s="394" t="str">
        <f>IF(B327&lt;&gt;"",IFERROR(IF(LEFT($B327,3)=$Z$2,VLOOKUP($C327,Outbound!$B:$AAZ,6,FALSE),VLOOKUP($B327,Outbound!$B:$AAZ,6,FALSE)),"NON TROVATO"),"")</f>
        <v/>
      </c>
      <c r="I327" s="394" t="str">
        <f>IF(B327&lt;&gt;"",IFERROR(IF(LEFT($B327,3)=$Z$2,VLOOKUP($C327,Outbound!$B:$AAZ,52,FALSE),VLOOKUP($B327,Outbound!$B:$AAZ,52,FALSE)),"NON TROVATO"),"")</f>
        <v/>
      </c>
      <c r="J327" s="396"/>
      <c r="K327" s="387" t="str">
        <f>IF(B327&lt;&gt;"",IF($D327&lt;&gt;"ON ROCS/NOT ON FILE",IFERROR(_xlfn.XLOOKUP(LEFT($D327,3),'STAT 77 Table'!$B:$B,'STAT 77 Table'!$A:$A),"ZZ"&amp;RIGHT($B327,4)),""),"")</f>
        <v/>
      </c>
      <c r="L327" s="396"/>
      <c r="O327" s="388"/>
      <c r="P327" s="388"/>
      <c r="AA327" s="421">
        <f t="shared" si="5"/>
        <v>0</v>
      </c>
    </row>
    <row r="328" spans="1:27" ht="16.5">
      <c r="A328" s="387">
        <f>'STAT 77 Table'!$I$308</f>
        <v>0</v>
      </c>
      <c r="B328"/>
      <c r="C328"/>
      <c r="D328" s="387" t="str">
        <f>IF($B328&lt;&gt;"",IFERROR(IF(LEFT($B328,3)=$Z$2,VLOOKUP($C328,Outbound!$B:$Z,4,FALSE),VLOOKUP($B328,Outbound!$B:$Z,4,FALSE)),"ON ROCS/NOT ON FILE"),"")</f>
        <v/>
      </c>
      <c r="E328" s="387" t="str">
        <f>IF($B328&lt;&gt;"",IFERROR(IF(LEFT($B328,4)=$Z$2,VLOOKUP($C328,Outbound!$B:$Z,5,FALSE),VLOOKUP($B328,Outbound!$B:$Z,5,FALSE)),"ON ROCS/NOT ON FILE"),"")</f>
        <v/>
      </c>
      <c r="F328" s="387" t="str">
        <f>IF(B328&lt;&gt;"",IFERROR(IF(LEFT($B328,3)=$Z$2,VLOOKUP($C328,Outbound!$B:$Z,11,FALSE),VLOOKUP($B328,Outbound!$B:$Z,11,FALSE)),"NON TROVATO"),"")</f>
        <v/>
      </c>
      <c r="G328" s="394" t="str">
        <f>IF(B328&lt;&gt;"",IFERROR(IF(LEFT($B328,3)=$Z$2,VLOOKUP($C328,Outbound!$B:$AAZ,16,FALSE),VLOOKUP($B328,Outbound!$B:$AAZ,16,FALSE)),"NON TROVATO"),"")</f>
        <v/>
      </c>
      <c r="H328" s="394" t="str">
        <f>IF(B328&lt;&gt;"",IFERROR(IF(LEFT($B328,3)=$Z$2,VLOOKUP($C328,Outbound!$B:$AAZ,6,FALSE),VLOOKUP($B328,Outbound!$B:$AAZ,6,FALSE)),"NON TROVATO"),"")</f>
        <v/>
      </c>
      <c r="I328" s="394" t="str">
        <f>IF(B328&lt;&gt;"",IFERROR(IF(LEFT($B328,3)=$Z$2,VLOOKUP($C328,Outbound!$B:$AAZ,52,FALSE),VLOOKUP($B328,Outbound!$B:$AAZ,52,FALSE)),"NON TROVATO"),"")</f>
        <v/>
      </c>
      <c r="J328" s="396"/>
      <c r="K328" s="387" t="str">
        <f>IF(B328&lt;&gt;"",IF($D328&lt;&gt;"ON ROCS/NOT ON FILE",IFERROR(_xlfn.XLOOKUP(LEFT($D328,3),'STAT 77 Table'!$B:$B,'STAT 77 Table'!$A:$A),"ZZ"&amp;RIGHT($B328,4)),""),"")</f>
        <v/>
      </c>
      <c r="L328" s="396"/>
      <c r="O328" s="388"/>
      <c r="P328" s="388"/>
      <c r="AA328" s="421">
        <f t="shared" si="5"/>
        <v>0</v>
      </c>
    </row>
    <row r="329" spans="1:27" ht="16.5">
      <c r="A329" s="387">
        <f>'STAT 77 Table'!$I$309</f>
        <v>0</v>
      </c>
      <c r="B329"/>
      <c r="C329"/>
      <c r="D329" s="387" t="str">
        <f>IF($B329&lt;&gt;"",IFERROR(IF(LEFT($B329,3)=$Z$2,VLOOKUP($C329,Outbound!$B:$Z,4,FALSE),VLOOKUP($B329,Outbound!$B:$Z,4,FALSE)),"ON ROCS/NOT ON FILE"),"")</f>
        <v/>
      </c>
      <c r="E329" s="387" t="str">
        <f>IF($B329&lt;&gt;"",IFERROR(IF(LEFT($B329,4)=$Z$2,VLOOKUP($C329,Outbound!$B:$Z,5,FALSE),VLOOKUP($B329,Outbound!$B:$Z,5,FALSE)),"ON ROCS/NOT ON FILE"),"")</f>
        <v/>
      </c>
      <c r="F329" s="387" t="str">
        <f>IF(B329&lt;&gt;"",IFERROR(IF(LEFT($B329,3)=$Z$2,VLOOKUP($C329,Outbound!$B:$Z,11,FALSE),VLOOKUP($B329,Outbound!$B:$Z,11,FALSE)),"NON TROVATO"),"")</f>
        <v/>
      </c>
      <c r="G329" s="394" t="str">
        <f>IF(B329&lt;&gt;"",IFERROR(IF(LEFT($B329,3)=$Z$2,VLOOKUP($C329,Outbound!$B:$AAZ,16,FALSE),VLOOKUP($B329,Outbound!$B:$AAZ,16,FALSE)),"NON TROVATO"),"")</f>
        <v/>
      </c>
      <c r="H329" s="394" t="str">
        <f>IF(B329&lt;&gt;"",IFERROR(IF(LEFT($B329,3)=$Z$2,VLOOKUP($C329,Outbound!$B:$AAZ,6,FALSE),VLOOKUP($B329,Outbound!$B:$AAZ,6,FALSE)),"NON TROVATO"),"")</f>
        <v/>
      </c>
      <c r="I329" s="394" t="str">
        <f>IF(B329&lt;&gt;"",IFERROR(IF(LEFT($B329,3)=$Z$2,VLOOKUP($C329,Outbound!$B:$AAZ,52,FALSE),VLOOKUP($B329,Outbound!$B:$AAZ,52,FALSE)),"NON TROVATO"),"")</f>
        <v/>
      </c>
      <c r="J329" s="396"/>
      <c r="K329" s="387" t="str">
        <f>IF(B329&lt;&gt;"",IF($D329&lt;&gt;"ON ROCS/NOT ON FILE",IFERROR(_xlfn.XLOOKUP(LEFT($D329,3),'STAT 77 Table'!$B:$B,'STAT 77 Table'!$A:$A),"ZZ"&amp;RIGHT($B329,4)),""),"")</f>
        <v/>
      </c>
      <c r="L329" s="396"/>
      <c r="O329" s="388"/>
      <c r="P329" s="388"/>
      <c r="AA329" s="421">
        <f t="shared" si="5"/>
        <v>0</v>
      </c>
    </row>
    <row r="330" spans="1:27" ht="16.5">
      <c r="A330" s="387">
        <f>'STAT 77 Table'!$I$310</f>
        <v>0</v>
      </c>
      <c r="B330"/>
      <c r="C330"/>
      <c r="D330" s="387" t="str">
        <f>IF($B330&lt;&gt;"",IFERROR(IF(LEFT($B330,3)=$Z$2,VLOOKUP($C330,Outbound!$B:$Z,4,FALSE),VLOOKUP($B330,Outbound!$B:$Z,4,FALSE)),"ON ROCS/NOT ON FILE"),"")</f>
        <v/>
      </c>
      <c r="E330" s="387" t="str">
        <f>IF($B330&lt;&gt;"",IFERROR(IF(LEFT($B330,4)=$Z$2,VLOOKUP($C330,Outbound!$B:$Z,5,FALSE),VLOOKUP($B330,Outbound!$B:$Z,5,FALSE)),"ON ROCS/NOT ON FILE"),"")</f>
        <v/>
      </c>
      <c r="F330" s="387" t="str">
        <f>IF(B330&lt;&gt;"",IFERROR(IF(LEFT($B330,3)=$Z$2,VLOOKUP($C330,Outbound!$B:$Z,11,FALSE),VLOOKUP($B330,Outbound!$B:$Z,11,FALSE)),"NON TROVATO"),"")</f>
        <v/>
      </c>
      <c r="G330" s="394" t="str">
        <f>IF(B330&lt;&gt;"",IFERROR(IF(LEFT($B330,3)=$Z$2,VLOOKUP($C330,Outbound!$B:$AAZ,16,FALSE),VLOOKUP($B330,Outbound!$B:$AAZ,16,FALSE)),"NON TROVATO"),"")</f>
        <v/>
      </c>
      <c r="H330" s="394" t="str">
        <f>IF(B330&lt;&gt;"",IFERROR(IF(LEFT($B330,3)=$Z$2,VLOOKUP($C330,Outbound!$B:$AAZ,6,FALSE),VLOOKUP($B330,Outbound!$B:$AAZ,6,FALSE)),"NON TROVATO"),"")</f>
        <v/>
      </c>
      <c r="I330" s="394" t="str">
        <f>IF(B330&lt;&gt;"",IFERROR(IF(LEFT($B330,3)=$Z$2,VLOOKUP($C330,Outbound!$B:$AAZ,52,FALSE),VLOOKUP($B330,Outbound!$B:$AAZ,52,FALSE)),"NON TROVATO"),"")</f>
        <v/>
      </c>
      <c r="J330" s="396"/>
      <c r="K330" s="387" t="str">
        <f>IF(B330&lt;&gt;"",IF($D330&lt;&gt;"ON ROCS/NOT ON FILE",IFERROR(_xlfn.XLOOKUP(LEFT($D330,3),'STAT 77 Table'!$B:$B,'STAT 77 Table'!$A:$A),"ZZ"&amp;RIGHT($B330,4)),""),"")</f>
        <v/>
      </c>
      <c r="L330" s="396"/>
      <c r="O330" s="388"/>
      <c r="P330" s="388"/>
      <c r="AA330" s="421">
        <f t="shared" si="5"/>
        <v>0</v>
      </c>
    </row>
    <row r="331" spans="1:27" ht="16.5">
      <c r="A331" s="387">
        <f>'STAT 77 Table'!$I$311</f>
        <v>0</v>
      </c>
      <c r="B331"/>
      <c r="C331"/>
      <c r="D331" s="387" t="str">
        <f>IF($B331&lt;&gt;"",IFERROR(IF(LEFT($B331,3)=$Z$2,VLOOKUP($C331,Outbound!$B:$Z,4,FALSE),VLOOKUP($B331,Outbound!$B:$Z,4,FALSE)),"ON ROCS/NOT ON FILE"),"")</f>
        <v/>
      </c>
      <c r="E331" s="387" t="str">
        <f>IF($B331&lt;&gt;"",IFERROR(IF(LEFT($B331,4)=$Z$2,VLOOKUP($C331,Outbound!$B:$Z,5,FALSE),VLOOKUP($B331,Outbound!$B:$Z,5,FALSE)),"ON ROCS/NOT ON FILE"),"")</f>
        <v/>
      </c>
      <c r="F331" s="387" t="str">
        <f>IF(B331&lt;&gt;"",IFERROR(IF(LEFT($B331,3)=$Z$2,VLOOKUP($C331,Outbound!$B:$Z,11,FALSE),VLOOKUP($B331,Outbound!$B:$Z,11,FALSE)),"NON TROVATO"),"")</f>
        <v/>
      </c>
      <c r="G331" s="394" t="str">
        <f>IF(B331&lt;&gt;"",IFERROR(IF(LEFT($B331,3)=$Z$2,VLOOKUP($C331,Outbound!$B:$AAZ,16,FALSE),VLOOKUP($B331,Outbound!$B:$AAZ,16,FALSE)),"NON TROVATO"),"")</f>
        <v/>
      </c>
      <c r="H331" s="394" t="str">
        <f>IF(B331&lt;&gt;"",IFERROR(IF(LEFT($B331,3)=$Z$2,VLOOKUP($C331,Outbound!$B:$AAZ,6,FALSE),VLOOKUP($B331,Outbound!$B:$AAZ,6,FALSE)),"NON TROVATO"),"")</f>
        <v/>
      </c>
      <c r="I331" s="394" t="str">
        <f>IF(B331&lt;&gt;"",IFERROR(IF(LEFT($B331,3)=$Z$2,VLOOKUP($C331,Outbound!$B:$AAZ,52,FALSE),VLOOKUP($B331,Outbound!$B:$AAZ,52,FALSE)),"NON TROVATO"),"")</f>
        <v/>
      </c>
      <c r="J331" s="396"/>
      <c r="K331" s="387" t="str">
        <f>IF(B331&lt;&gt;"",IF($D331&lt;&gt;"ON ROCS/NOT ON FILE",IFERROR(_xlfn.XLOOKUP(LEFT($D331,3),'STAT 77 Table'!$B:$B,'STAT 77 Table'!$A:$A),"ZZ"&amp;RIGHT($B331,4)),""),"")</f>
        <v/>
      </c>
      <c r="L331" s="396"/>
      <c r="O331" s="388"/>
      <c r="P331" s="388"/>
      <c r="AA331" s="421">
        <f t="shared" si="5"/>
        <v>0</v>
      </c>
    </row>
    <row r="332" spans="1:27" ht="16.5">
      <c r="A332" s="387">
        <f>'STAT 77 Table'!$I$312</f>
        <v>0</v>
      </c>
      <c r="B332"/>
      <c r="C332"/>
      <c r="D332" s="387" t="str">
        <f>IF($B332&lt;&gt;"",IFERROR(IF(LEFT($B332,3)=$Z$2,VLOOKUP($C332,Outbound!$B:$Z,4,FALSE),VLOOKUP($B332,Outbound!$B:$Z,4,FALSE)),"ON ROCS/NOT ON FILE"),"")</f>
        <v/>
      </c>
      <c r="E332" s="387" t="str">
        <f>IF($B332&lt;&gt;"",IFERROR(IF(LEFT($B332,4)=$Z$2,VLOOKUP($C332,Outbound!$B:$Z,5,FALSE),VLOOKUP($B332,Outbound!$B:$Z,5,FALSE)),"ON ROCS/NOT ON FILE"),"")</f>
        <v/>
      </c>
      <c r="F332" s="387" t="str">
        <f>IF(B332&lt;&gt;"",IFERROR(IF(LEFT($B332,3)=$Z$2,VLOOKUP($C332,Outbound!$B:$Z,11,FALSE),VLOOKUP($B332,Outbound!$B:$Z,11,FALSE)),"NON TROVATO"),"")</f>
        <v/>
      </c>
      <c r="G332" s="394" t="str">
        <f>IF(B332&lt;&gt;"",IFERROR(IF(LEFT($B332,3)=$Z$2,VLOOKUP($C332,Outbound!$B:$AAZ,16,FALSE),VLOOKUP($B332,Outbound!$B:$AAZ,16,FALSE)),"NON TROVATO"),"")</f>
        <v/>
      </c>
      <c r="H332" s="394" t="str">
        <f>IF(B332&lt;&gt;"",IFERROR(IF(LEFT($B332,3)=$Z$2,VLOOKUP($C332,Outbound!$B:$AAZ,6,FALSE),VLOOKUP($B332,Outbound!$B:$AAZ,6,FALSE)),"NON TROVATO"),"")</f>
        <v/>
      </c>
      <c r="I332" s="394" t="str">
        <f>IF(B332&lt;&gt;"",IFERROR(IF(LEFT($B332,3)=$Z$2,VLOOKUP($C332,Outbound!$B:$AAZ,52,FALSE),VLOOKUP($B332,Outbound!$B:$AAZ,52,FALSE)),"NON TROVATO"),"")</f>
        <v/>
      </c>
      <c r="J332" s="396"/>
      <c r="K332" s="387" t="str">
        <f>IF(B332&lt;&gt;"",IF($D332&lt;&gt;"ON ROCS/NOT ON FILE",IFERROR(_xlfn.XLOOKUP(LEFT($D332,3),'STAT 77 Table'!$B:$B,'STAT 77 Table'!$A:$A),"ZZ"&amp;RIGHT($B332,4)),""),"")</f>
        <v/>
      </c>
      <c r="L332" s="396"/>
      <c r="O332" s="388"/>
      <c r="P332" s="388"/>
      <c r="AA332" s="421">
        <f t="shared" si="5"/>
        <v>0</v>
      </c>
    </row>
    <row r="333" spans="1:27" ht="16.5">
      <c r="A333" s="387">
        <f>'STAT 77 Table'!$I$313</f>
        <v>0</v>
      </c>
      <c r="B333"/>
      <c r="C333"/>
      <c r="D333" s="387" t="str">
        <f>IF($B333&lt;&gt;"",IFERROR(IF(LEFT($B333,3)=$Z$2,VLOOKUP($C333,Outbound!$B:$Z,4,FALSE),VLOOKUP($B333,Outbound!$B:$Z,4,FALSE)),"ON ROCS/NOT ON FILE"),"")</f>
        <v/>
      </c>
      <c r="E333" s="387" t="str">
        <f>IF($B333&lt;&gt;"",IFERROR(IF(LEFT($B333,4)=$Z$2,VLOOKUP($C333,Outbound!$B:$Z,5,FALSE),VLOOKUP($B333,Outbound!$B:$Z,5,FALSE)),"ON ROCS/NOT ON FILE"),"")</f>
        <v/>
      </c>
      <c r="F333" s="387" t="str">
        <f>IF(B333&lt;&gt;"",IFERROR(IF(LEFT($B333,3)=$Z$2,VLOOKUP($C333,Outbound!$B:$Z,11,FALSE),VLOOKUP($B333,Outbound!$B:$Z,11,FALSE)),"NON TROVATO"),"")</f>
        <v/>
      </c>
      <c r="G333" s="394" t="str">
        <f>IF(B333&lt;&gt;"",IFERROR(IF(LEFT($B333,3)=$Z$2,VLOOKUP($C333,Outbound!$B:$AAZ,16,FALSE),VLOOKUP($B333,Outbound!$B:$AAZ,16,FALSE)),"NON TROVATO"),"")</f>
        <v/>
      </c>
      <c r="H333" s="394" t="str">
        <f>IF(B333&lt;&gt;"",IFERROR(IF(LEFT($B333,3)=$Z$2,VLOOKUP($C333,Outbound!$B:$AAZ,6,FALSE),VLOOKUP($B333,Outbound!$B:$AAZ,6,FALSE)),"NON TROVATO"),"")</f>
        <v/>
      </c>
      <c r="I333" s="394" t="str">
        <f>IF(B333&lt;&gt;"",IFERROR(IF(LEFT($B333,3)=$Z$2,VLOOKUP($C333,Outbound!$B:$AAZ,52,FALSE),VLOOKUP($B333,Outbound!$B:$AAZ,52,FALSE)),"NON TROVATO"),"")</f>
        <v/>
      </c>
      <c r="J333" s="396"/>
      <c r="K333" s="387" t="str">
        <f>IF(B333&lt;&gt;"",IF($D333&lt;&gt;"ON ROCS/NOT ON FILE",IFERROR(_xlfn.XLOOKUP(LEFT($D333,3),'STAT 77 Table'!$B:$B,'STAT 77 Table'!$A:$A),"ZZ"&amp;RIGHT($B333,4)),""),"")</f>
        <v/>
      </c>
      <c r="L333" s="396"/>
      <c r="O333" s="388"/>
      <c r="P333" s="388"/>
      <c r="AA333" s="421">
        <f t="shared" si="5"/>
        <v>0</v>
      </c>
    </row>
    <row r="334" spans="1:27" ht="16.5">
      <c r="A334" s="387">
        <f>'STAT 77 Table'!$I$314</f>
        <v>0</v>
      </c>
      <c r="B334"/>
      <c r="C334"/>
      <c r="D334" s="387" t="str">
        <f>IF($B334&lt;&gt;"",IFERROR(IF(LEFT($B334,3)=$Z$2,VLOOKUP($C334,Outbound!$B:$Z,4,FALSE),VLOOKUP($B334,Outbound!$B:$Z,4,FALSE)),"ON ROCS/NOT ON FILE"),"")</f>
        <v/>
      </c>
      <c r="E334" s="387" t="str">
        <f>IF($B334&lt;&gt;"",IFERROR(IF(LEFT($B334,4)=$Z$2,VLOOKUP($C334,Outbound!$B:$Z,5,FALSE),VLOOKUP($B334,Outbound!$B:$Z,5,FALSE)),"ON ROCS/NOT ON FILE"),"")</f>
        <v/>
      </c>
      <c r="F334" s="387" t="str">
        <f>IF(B334&lt;&gt;"",IFERROR(IF(LEFT($B334,3)=$Z$2,VLOOKUP($C334,Outbound!$B:$Z,11,FALSE),VLOOKUP($B334,Outbound!$B:$Z,11,FALSE)),"NON TROVATO"),"")</f>
        <v/>
      </c>
      <c r="G334" s="394" t="str">
        <f>IF(B334&lt;&gt;"",IFERROR(IF(LEFT($B334,3)=$Z$2,VLOOKUP($C334,Outbound!$B:$AAZ,16,FALSE),VLOOKUP($B334,Outbound!$B:$AAZ,16,FALSE)),"NON TROVATO"),"")</f>
        <v/>
      </c>
      <c r="H334" s="394" t="str">
        <f>IF(B334&lt;&gt;"",IFERROR(IF(LEFT($B334,3)=$Z$2,VLOOKUP($C334,Outbound!$B:$AAZ,6,FALSE),VLOOKUP($B334,Outbound!$B:$AAZ,6,FALSE)),"NON TROVATO"),"")</f>
        <v/>
      </c>
      <c r="I334" s="394" t="str">
        <f>IF(B334&lt;&gt;"",IFERROR(IF(LEFT($B334,3)=$Z$2,VLOOKUP($C334,Outbound!$B:$AAZ,52,FALSE),VLOOKUP($B334,Outbound!$B:$AAZ,52,FALSE)),"NON TROVATO"),"")</f>
        <v/>
      </c>
      <c r="J334" s="396"/>
      <c r="K334" s="387" t="str">
        <f>IF(B334&lt;&gt;"",IF($D334&lt;&gt;"ON ROCS/NOT ON FILE",IFERROR(_xlfn.XLOOKUP(LEFT($D334,3),'STAT 77 Table'!$B:$B,'STAT 77 Table'!$A:$A),"ZZ"&amp;RIGHT($B334,4)),""),"")</f>
        <v/>
      </c>
      <c r="L334" s="396"/>
      <c r="O334" s="388"/>
      <c r="P334" s="388"/>
      <c r="AA334" s="421">
        <f t="shared" si="5"/>
        <v>0</v>
      </c>
    </row>
    <row r="335" spans="1:27" ht="16.5">
      <c r="A335" s="387">
        <f>'STAT 77 Table'!$I$315</f>
        <v>0</v>
      </c>
      <c r="B335"/>
      <c r="C335"/>
      <c r="D335" s="387" t="str">
        <f>IF($B335&lt;&gt;"",IFERROR(IF(LEFT($B335,3)=$Z$2,VLOOKUP($C335,Outbound!$B:$Z,4,FALSE),VLOOKUP($B335,Outbound!$B:$Z,4,FALSE)),"ON ROCS/NOT ON FILE"),"")</f>
        <v/>
      </c>
      <c r="E335" s="387" t="str">
        <f>IF($B335&lt;&gt;"",IFERROR(IF(LEFT($B335,4)=$Z$2,VLOOKUP($C335,Outbound!$B:$Z,5,FALSE),VLOOKUP($B335,Outbound!$B:$Z,5,FALSE)),"ON ROCS/NOT ON FILE"),"")</f>
        <v/>
      </c>
      <c r="F335" s="387" t="str">
        <f>IF(B335&lt;&gt;"",IFERROR(IF(LEFT($B335,3)=$Z$2,VLOOKUP($C335,Outbound!$B:$Z,11,FALSE),VLOOKUP($B335,Outbound!$B:$Z,11,FALSE)),"NON TROVATO"),"")</f>
        <v/>
      </c>
      <c r="G335" s="394" t="str">
        <f>IF(B335&lt;&gt;"",IFERROR(IF(LEFT($B335,3)=$Z$2,VLOOKUP($C335,Outbound!$B:$AAZ,16,FALSE),VLOOKUP($B335,Outbound!$B:$AAZ,16,FALSE)),"NON TROVATO"),"")</f>
        <v/>
      </c>
      <c r="H335" s="394" t="str">
        <f>IF(B335&lt;&gt;"",IFERROR(IF(LEFT($B335,3)=$Z$2,VLOOKUP($C335,Outbound!$B:$AAZ,6,FALSE),VLOOKUP($B335,Outbound!$B:$AAZ,6,FALSE)),"NON TROVATO"),"")</f>
        <v/>
      </c>
      <c r="I335" s="394" t="str">
        <f>IF(B335&lt;&gt;"",IFERROR(IF(LEFT($B335,3)=$Z$2,VLOOKUP($C335,Outbound!$B:$AAZ,52,FALSE),VLOOKUP($B335,Outbound!$B:$AAZ,52,FALSE)),"NON TROVATO"),"")</f>
        <v/>
      </c>
      <c r="J335" s="396"/>
      <c r="K335" s="387" t="str">
        <f>IF(B335&lt;&gt;"",IF($D335&lt;&gt;"ON ROCS/NOT ON FILE",IFERROR(_xlfn.XLOOKUP(LEFT($D335,3),'STAT 77 Table'!$B:$B,'STAT 77 Table'!$A:$A),"ZZ"&amp;RIGHT($B335,4)),""),"")</f>
        <v/>
      </c>
      <c r="L335" s="396"/>
      <c r="O335" s="388"/>
      <c r="P335" s="388"/>
      <c r="AA335" s="421">
        <f t="shared" si="5"/>
        <v>0</v>
      </c>
    </row>
    <row r="336" spans="1:27" ht="16.5">
      <c r="A336" s="387">
        <f>'STAT 77 Table'!$I$316</f>
        <v>0</v>
      </c>
      <c r="B336"/>
      <c r="C336"/>
      <c r="D336" s="387" t="str">
        <f>IF($B336&lt;&gt;"",IFERROR(IF(LEFT($B336,3)=$Z$2,VLOOKUP($C336,Outbound!$B:$Z,4,FALSE),VLOOKUP($B336,Outbound!$B:$Z,4,FALSE)),"ON ROCS/NOT ON FILE"),"")</f>
        <v/>
      </c>
      <c r="E336" s="387" t="str">
        <f>IF($B336&lt;&gt;"",IFERROR(IF(LEFT($B336,4)=$Z$2,VLOOKUP($C336,Outbound!$B:$Z,5,FALSE),VLOOKUP($B336,Outbound!$B:$Z,5,FALSE)),"ON ROCS/NOT ON FILE"),"")</f>
        <v/>
      </c>
      <c r="F336" s="387" t="str">
        <f>IF(B336&lt;&gt;"",IFERROR(IF(LEFT($B336,3)=$Z$2,VLOOKUP($C336,Outbound!$B:$Z,11,FALSE),VLOOKUP($B336,Outbound!$B:$Z,11,FALSE)),"NON TROVATO"),"")</f>
        <v/>
      </c>
      <c r="G336" s="394" t="str">
        <f>IF(B336&lt;&gt;"",IFERROR(IF(LEFT($B336,3)=$Z$2,VLOOKUP($C336,Outbound!$B:$AAZ,16,FALSE),VLOOKUP($B336,Outbound!$B:$AAZ,16,FALSE)),"NON TROVATO"),"")</f>
        <v/>
      </c>
      <c r="H336" s="394" t="str">
        <f>IF(B336&lt;&gt;"",IFERROR(IF(LEFT($B336,3)=$Z$2,VLOOKUP($C336,Outbound!$B:$AAZ,6,FALSE),VLOOKUP($B336,Outbound!$B:$AAZ,6,FALSE)),"NON TROVATO"),"")</f>
        <v/>
      </c>
      <c r="I336" s="394" t="str">
        <f>IF(B336&lt;&gt;"",IFERROR(IF(LEFT($B336,3)=$Z$2,VLOOKUP($C336,Outbound!$B:$AAZ,52,FALSE),VLOOKUP($B336,Outbound!$B:$AAZ,52,FALSE)),"NON TROVATO"),"")</f>
        <v/>
      </c>
      <c r="J336" s="396"/>
      <c r="K336" s="387" t="str">
        <f>IF(B336&lt;&gt;"",IF($D336&lt;&gt;"ON ROCS/NOT ON FILE",IFERROR(_xlfn.XLOOKUP(LEFT($D336,3),'STAT 77 Table'!$B:$B,'STAT 77 Table'!$A:$A),"ZZ"&amp;RIGHT($B336,4)),""),"")</f>
        <v/>
      </c>
      <c r="L336" s="396"/>
      <c r="O336" s="388"/>
      <c r="P336" s="388"/>
      <c r="AA336" s="421">
        <f t="shared" si="5"/>
        <v>0</v>
      </c>
    </row>
    <row r="337" spans="1:27" ht="16.5">
      <c r="A337" s="387">
        <f>'STAT 77 Table'!$I$317</f>
        <v>0</v>
      </c>
      <c r="B337"/>
      <c r="C337"/>
      <c r="D337" s="387" t="str">
        <f>IF($B337&lt;&gt;"",IFERROR(IF(LEFT($B337,3)=$Z$2,VLOOKUP($C337,Outbound!$B:$Z,4,FALSE),VLOOKUP($B337,Outbound!$B:$Z,4,FALSE)),"ON ROCS/NOT ON FILE"),"")</f>
        <v/>
      </c>
      <c r="E337" s="387" t="str">
        <f>IF($B337&lt;&gt;"",IFERROR(IF(LEFT($B337,4)=$Z$2,VLOOKUP($C337,Outbound!$B:$Z,5,FALSE),VLOOKUP($B337,Outbound!$B:$Z,5,FALSE)),"ON ROCS/NOT ON FILE"),"")</f>
        <v/>
      </c>
      <c r="F337" s="387" t="str">
        <f>IF(B337&lt;&gt;"",IFERROR(IF(LEFT($B337,3)=$Z$2,VLOOKUP($C337,Outbound!$B:$Z,11,FALSE),VLOOKUP($B337,Outbound!$B:$Z,11,FALSE)),"NON TROVATO"),"")</f>
        <v/>
      </c>
      <c r="G337" s="394" t="str">
        <f>IF(B337&lt;&gt;"",IFERROR(IF(LEFT($B337,3)=$Z$2,VLOOKUP($C337,Outbound!$B:$AAZ,16,FALSE),VLOOKUP($B337,Outbound!$B:$AAZ,16,FALSE)),"NON TROVATO"),"")</f>
        <v/>
      </c>
      <c r="H337" s="394" t="str">
        <f>IF(B337&lt;&gt;"",IFERROR(IF(LEFT($B337,3)=$Z$2,VLOOKUP($C337,Outbound!$B:$AAZ,6,FALSE),VLOOKUP($B337,Outbound!$B:$AAZ,6,FALSE)),"NON TROVATO"),"")</f>
        <v/>
      </c>
      <c r="I337" s="394" t="str">
        <f>IF(B337&lt;&gt;"",IFERROR(IF(LEFT($B337,3)=$Z$2,VLOOKUP($C337,Outbound!$B:$AAZ,52,FALSE),VLOOKUP($B337,Outbound!$B:$AAZ,52,FALSE)),"NON TROVATO"),"")</f>
        <v/>
      </c>
      <c r="J337" s="396"/>
      <c r="K337" s="387" t="str">
        <f>IF(B337&lt;&gt;"",IF($D337&lt;&gt;"ON ROCS/NOT ON FILE",IFERROR(_xlfn.XLOOKUP(LEFT($D337,3),'STAT 77 Table'!$B:$B,'STAT 77 Table'!$A:$A),"ZZ"&amp;RIGHT($B337,4)),""),"")</f>
        <v/>
      </c>
      <c r="L337" s="396"/>
      <c r="O337" s="388"/>
      <c r="P337" s="388"/>
      <c r="AA337" s="421">
        <f t="shared" si="5"/>
        <v>0</v>
      </c>
    </row>
    <row r="338" spans="1:27" ht="16.5">
      <c r="A338" s="387">
        <f>'STAT 77 Table'!$I$318</f>
        <v>0</v>
      </c>
      <c r="B338"/>
      <c r="C338"/>
      <c r="D338" s="387" t="str">
        <f>IF($B338&lt;&gt;"",IFERROR(IF(LEFT($B338,3)=$Z$2,VLOOKUP($C338,Outbound!$B:$Z,4,FALSE),VLOOKUP($B338,Outbound!$B:$Z,4,FALSE)),"ON ROCS/NOT ON FILE"),"")</f>
        <v/>
      </c>
      <c r="E338" s="387" t="str">
        <f>IF($B338&lt;&gt;"",IFERROR(IF(LEFT($B338,4)=$Z$2,VLOOKUP($C338,Outbound!$B:$Z,5,FALSE),VLOOKUP($B338,Outbound!$B:$Z,5,FALSE)),"ON ROCS/NOT ON FILE"),"")</f>
        <v/>
      </c>
      <c r="F338" s="387" t="str">
        <f>IF(B338&lt;&gt;"",IFERROR(IF(LEFT($B338,3)=$Z$2,VLOOKUP($C338,Outbound!$B:$Z,11,FALSE),VLOOKUP($B338,Outbound!$B:$Z,11,FALSE)),"NON TROVATO"),"")</f>
        <v/>
      </c>
      <c r="G338" s="394" t="str">
        <f>IF(B338&lt;&gt;"",IFERROR(IF(LEFT($B338,3)=$Z$2,VLOOKUP($C338,Outbound!$B:$AAZ,16,FALSE),VLOOKUP($B338,Outbound!$B:$AAZ,16,FALSE)),"NON TROVATO"),"")</f>
        <v/>
      </c>
      <c r="H338" s="394" t="str">
        <f>IF(B338&lt;&gt;"",IFERROR(IF(LEFT($B338,3)=$Z$2,VLOOKUP($C338,Outbound!$B:$AAZ,6,FALSE),VLOOKUP($B338,Outbound!$B:$AAZ,6,FALSE)),"NON TROVATO"),"")</f>
        <v/>
      </c>
      <c r="I338" s="394" t="str">
        <f>IF(B338&lt;&gt;"",IFERROR(IF(LEFT($B338,3)=$Z$2,VLOOKUP($C338,Outbound!$B:$AAZ,52,FALSE),VLOOKUP($B338,Outbound!$B:$AAZ,52,FALSE)),"NON TROVATO"),"")</f>
        <v/>
      </c>
      <c r="J338" s="396"/>
      <c r="K338" s="387" t="str">
        <f>IF(B338&lt;&gt;"",IF($D338&lt;&gt;"ON ROCS/NOT ON FILE",IFERROR(_xlfn.XLOOKUP(LEFT($D338,3),'STAT 77 Table'!$B:$B,'STAT 77 Table'!$A:$A),"ZZ"&amp;RIGHT($B338,4)),""),"")</f>
        <v/>
      </c>
      <c r="L338" s="396"/>
      <c r="O338" s="388"/>
      <c r="P338" s="388"/>
      <c r="AA338" s="421">
        <f t="shared" si="5"/>
        <v>0</v>
      </c>
    </row>
    <row r="339" spans="1:27" ht="16.5">
      <c r="A339" s="387">
        <f>'STAT 77 Table'!$I$319</f>
        <v>0</v>
      </c>
      <c r="B339"/>
      <c r="C339"/>
      <c r="D339" s="387" t="str">
        <f>IF($B339&lt;&gt;"",IFERROR(IF(LEFT($B339,3)=$Z$2,VLOOKUP($C339,Outbound!$B:$Z,4,FALSE),VLOOKUP($B339,Outbound!$B:$Z,4,FALSE)),"ON ROCS/NOT ON FILE"),"")</f>
        <v/>
      </c>
      <c r="E339" s="387" t="str">
        <f>IF($B339&lt;&gt;"",IFERROR(IF(LEFT($B339,4)=$Z$2,VLOOKUP($C339,Outbound!$B:$Z,5,FALSE),VLOOKUP($B339,Outbound!$B:$Z,5,FALSE)),"ON ROCS/NOT ON FILE"),"")</f>
        <v/>
      </c>
      <c r="F339" s="387" t="str">
        <f>IF(B339&lt;&gt;"",IFERROR(IF(LEFT($B339,3)=$Z$2,VLOOKUP($C339,Outbound!$B:$Z,11,FALSE),VLOOKUP($B339,Outbound!$B:$Z,11,FALSE)),"NON TROVATO"),"")</f>
        <v/>
      </c>
      <c r="G339" s="394" t="str">
        <f>IF(B339&lt;&gt;"",IFERROR(IF(LEFT($B339,3)=$Z$2,VLOOKUP($C339,Outbound!$B:$AAZ,16,FALSE),VLOOKUP($B339,Outbound!$B:$AAZ,16,FALSE)),"NON TROVATO"),"")</f>
        <v/>
      </c>
      <c r="H339" s="394" t="str">
        <f>IF(B339&lt;&gt;"",IFERROR(IF(LEFT($B339,3)=$Z$2,VLOOKUP($C339,Outbound!$B:$AAZ,6,FALSE),VLOOKUP($B339,Outbound!$B:$AAZ,6,FALSE)),"NON TROVATO"),"")</f>
        <v/>
      </c>
      <c r="I339" s="394" t="str">
        <f>IF(B339&lt;&gt;"",IFERROR(IF(LEFT($B339,3)=$Z$2,VLOOKUP($C339,Outbound!$B:$AAZ,52,FALSE),VLOOKUP($B339,Outbound!$B:$AAZ,52,FALSE)),"NON TROVATO"),"")</f>
        <v/>
      </c>
      <c r="J339" s="396"/>
      <c r="K339" s="387" t="str">
        <f>IF(B339&lt;&gt;"",IF($D339&lt;&gt;"ON ROCS/NOT ON FILE",IFERROR(_xlfn.XLOOKUP(LEFT($D339,3),'STAT 77 Table'!$B:$B,'STAT 77 Table'!$A:$A),"ZZ"&amp;RIGHT($B339,4)),""),"")</f>
        <v/>
      </c>
      <c r="L339" s="396"/>
      <c r="O339" s="388"/>
      <c r="P339" s="388"/>
      <c r="AA339" s="421">
        <f t="shared" si="5"/>
        <v>0</v>
      </c>
    </row>
    <row r="340" spans="1:27" ht="16.5">
      <c r="A340" s="387">
        <f>'STAT 77 Table'!$I$320</f>
        <v>0</v>
      </c>
      <c r="B340"/>
      <c r="C340"/>
      <c r="D340" s="387" t="str">
        <f>IF($B340&lt;&gt;"",IFERROR(IF(LEFT($B340,3)=$Z$2,VLOOKUP($C340,Outbound!$B:$Z,4,FALSE),VLOOKUP($B340,Outbound!$B:$Z,4,FALSE)),"ON ROCS/NOT ON FILE"),"")</f>
        <v/>
      </c>
      <c r="E340" s="387" t="str">
        <f>IF($B340&lt;&gt;"",IFERROR(IF(LEFT($B340,4)=$Z$2,VLOOKUP($C340,Outbound!$B:$Z,5,FALSE),VLOOKUP($B340,Outbound!$B:$Z,5,FALSE)),"ON ROCS/NOT ON FILE"),"")</f>
        <v/>
      </c>
      <c r="F340" s="387" t="str">
        <f>IF(B340&lt;&gt;"",IFERROR(IF(LEFT($B340,3)=$Z$2,VLOOKUP($C340,Outbound!$B:$Z,11,FALSE),VLOOKUP($B340,Outbound!$B:$Z,11,FALSE)),"NON TROVATO"),"")</f>
        <v/>
      </c>
      <c r="G340" s="394" t="str">
        <f>IF(B340&lt;&gt;"",IFERROR(IF(LEFT($B340,3)=$Z$2,VLOOKUP($C340,Outbound!$B:$AAZ,16,FALSE),VLOOKUP($B340,Outbound!$B:$AAZ,16,FALSE)),"NON TROVATO"),"")</f>
        <v/>
      </c>
      <c r="H340" s="394" t="str">
        <f>IF(B340&lt;&gt;"",IFERROR(IF(LEFT($B340,3)=$Z$2,VLOOKUP($C340,Outbound!$B:$AAZ,6,FALSE),VLOOKUP($B340,Outbound!$B:$AAZ,6,FALSE)),"NON TROVATO"),"")</f>
        <v/>
      </c>
      <c r="I340" s="394" t="str">
        <f>IF(B340&lt;&gt;"",IFERROR(IF(LEFT($B340,3)=$Z$2,VLOOKUP($C340,Outbound!$B:$AAZ,52,FALSE),VLOOKUP($B340,Outbound!$B:$AAZ,52,FALSE)),"NON TROVATO"),"")</f>
        <v/>
      </c>
      <c r="J340" s="396"/>
      <c r="K340" s="387" t="str">
        <f>IF(B340&lt;&gt;"",IF($D340&lt;&gt;"ON ROCS/NOT ON FILE",IFERROR(_xlfn.XLOOKUP(LEFT($D340,3),'STAT 77 Table'!$B:$B,'STAT 77 Table'!$A:$A),"ZZ"&amp;RIGHT($B340,4)),""),"")</f>
        <v/>
      </c>
      <c r="L340" s="396"/>
      <c r="O340" s="388"/>
      <c r="P340" s="388"/>
      <c r="AA340" s="421">
        <f t="shared" si="5"/>
        <v>0</v>
      </c>
    </row>
    <row r="341" spans="1:27" ht="16.5">
      <c r="A341" s="387">
        <f>'STAT 77 Table'!$I$321</f>
        <v>0</v>
      </c>
      <c r="B341"/>
      <c r="C341"/>
      <c r="D341" s="387" t="str">
        <f>IF($B341&lt;&gt;"",IFERROR(IF(LEFT($B341,3)=$Z$2,VLOOKUP($C341,Outbound!$B:$Z,4,FALSE),VLOOKUP($B341,Outbound!$B:$Z,4,FALSE)),"ON ROCS/NOT ON FILE"),"")</f>
        <v/>
      </c>
      <c r="E341" s="387" t="str">
        <f>IF($B341&lt;&gt;"",IFERROR(IF(LEFT($B341,4)=$Z$2,VLOOKUP($C341,Outbound!$B:$Z,5,FALSE),VLOOKUP($B341,Outbound!$B:$Z,5,FALSE)),"ON ROCS/NOT ON FILE"),"")</f>
        <v/>
      </c>
      <c r="F341" s="387" t="str">
        <f>IF(B341&lt;&gt;"",IFERROR(IF(LEFT($B341,3)=$Z$2,VLOOKUP($C341,Outbound!$B:$Z,11,FALSE),VLOOKUP($B341,Outbound!$B:$Z,11,FALSE)),"NON TROVATO"),"")</f>
        <v/>
      </c>
      <c r="G341" s="394" t="str">
        <f>IF(B341&lt;&gt;"",IFERROR(IF(LEFT($B341,3)=$Z$2,VLOOKUP($C341,Outbound!$B:$AAZ,16,FALSE),VLOOKUP($B341,Outbound!$B:$AAZ,16,FALSE)),"NON TROVATO"),"")</f>
        <v/>
      </c>
      <c r="H341" s="394" t="str">
        <f>IF(B341&lt;&gt;"",IFERROR(IF(LEFT($B341,3)=$Z$2,VLOOKUP($C341,Outbound!$B:$AAZ,6,FALSE),VLOOKUP($B341,Outbound!$B:$AAZ,6,FALSE)),"NON TROVATO"),"")</f>
        <v/>
      </c>
      <c r="I341" s="394" t="str">
        <f>IF(B341&lt;&gt;"",IFERROR(IF(LEFT($B341,3)=$Z$2,VLOOKUP($C341,Outbound!$B:$AAZ,52,FALSE),VLOOKUP($B341,Outbound!$B:$AAZ,52,FALSE)),"NON TROVATO"),"")</f>
        <v/>
      </c>
      <c r="J341" s="396"/>
      <c r="K341" s="387" t="str">
        <f>IF(B341&lt;&gt;"",IF($D341&lt;&gt;"ON ROCS/NOT ON FILE",IFERROR(_xlfn.XLOOKUP(LEFT($D341,3),'STAT 77 Table'!$B:$B,'STAT 77 Table'!$A:$A),"ZZ"&amp;RIGHT($B341,4)),""),"")</f>
        <v/>
      </c>
      <c r="L341" s="396"/>
      <c r="O341" s="388"/>
      <c r="P341" s="388"/>
      <c r="AA341" s="421">
        <f t="shared" si="5"/>
        <v>0</v>
      </c>
    </row>
    <row r="342" spans="1:27" ht="16.5">
      <c r="A342" s="387">
        <f>'STAT 77 Table'!$I$322</f>
        <v>0</v>
      </c>
      <c r="B342"/>
      <c r="C342"/>
      <c r="D342" s="387" t="str">
        <f>IF($B342&lt;&gt;"",IFERROR(IF(LEFT($B342,3)=$Z$2,VLOOKUP($C342,Outbound!$B:$Z,4,FALSE),VLOOKUP($B342,Outbound!$B:$Z,4,FALSE)),"ON ROCS/NOT ON FILE"),"")</f>
        <v/>
      </c>
      <c r="E342" s="387" t="str">
        <f>IF($B342&lt;&gt;"",IFERROR(IF(LEFT($B342,4)=$Z$2,VLOOKUP($C342,Outbound!$B:$Z,5,FALSE),VLOOKUP($B342,Outbound!$B:$Z,5,FALSE)),"ON ROCS/NOT ON FILE"),"")</f>
        <v/>
      </c>
      <c r="F342" s="387" t="str">
        <f>IF(B342&lt;&gt;"",IFERROR(IF(LEFT($B342,3)=$Z$2,VLOOKUP($C342,Outbound!$B:$Z,11,FALSE),VLOOKUP($B342,Outbound!$B:$Z,11,FALSE)),"NON TROVATO"),"")</f>
        <v/>
      </c>
      <c r="G342" s="394" t="str">
        <f>IF(B342&lt;&gt;"",IFERROR(IF(LEFT($B342,3)=$Z$2,VLOOKUP($C342,Outbound!$B:$AAZ,16,FALSE),VLOOKUP($B342,Outbound!$B:$AAZ,16,FALSE)),"NON TROVATO"),"")</f>
        <v/>
      </c>
      <c r="H342" s="394" t="str">
        <f>IF(B342&lt;&gt;"",IFERROR(IF(LEFT($B342,3)=$Z$2,VLOOKUP($C342,Outbound!$B:$AAZ,6,FALSE),VLOOKUP($B342,Outbound!$B:$AAZ,6,FALSE)),"NON TROVATO"),"")</f>
        <v/>
      </c>
      <c r="I342" s="394" t="str">
        <f>IF(B342&lt;&gt;"",IFERROR(IF(LEFT($B342,3)=$Z$2,VLOOKUP($C342,Outbound!$B:$AAZ,52,FALSE),VLOOKUP($B342,Outbound!$B:$AAZ,52,FALSE)),"NON TROVATO"),"")</f>
        <v/>
      </c>
      <c r="J342" s="396"/>
      <c r="K342" s="387" t="str">
        <f>IF(B342&lt;&gt;"",IF($D342&lt;&gt;"ON ROCS/NOT ON FILE",IFERROR(_xlfn.XLOOKUP(LEFT($D342,3),'STAT 77 Table'!$B:$B,'STAT 77 Table'!$A:$A),"ZZ"&amp;RIGHT($B342,4)),""),"")</f>
        <v/>
      </c>
      <c r="L342" s="396"/>
      <c r="O342" s="388"/>
      <c r="P342" s="388"/>
      <c r="AA342" s="421">
        <f t="shared" si="5"/>
        <v>0</v>
      </c>
    </row>
    <row r="343" spans="1:27" ht="16.5">
      <c r="A343" s="387">
        <f>'STAT 77 Table'!$I$323</f>
        <v>0</v>
      </c>
      <c r="B343"/>
      <c r="C343"/>
      <c r="D343" s="387" t="str">
        <f>IF($B343&lt;&gt;"",IFERROR(IF(LEFT($B343,3)=$Z$2,VLOOKUP($C343,Outbound!$B:$Z,4,FALSE),VLOOKUP($B343,Outbound!$B:$Z,4,FALSE)),"ON ROCS/NOT ON FILE"),"")</f>
        <v/>
      </c>
      <c r="E343" s="387" t="str">
        <f>IF($B343&lt;&gt;"",IFERROR(IF(LEFT($B343,4)=$Z$2,VLOOKUP($C343,Outbound!$B:$Z,5,FALSE),VLOOKUP($B343,Outbound!$B:$Z,5,FALSE)),"ON ROCS/NOT ON FILE"),"")</f>
        <v/>
      </c>
      <c r="F343" s="387" t="str">
        <f>IF(B343&lt;&gt;"",IFERROR(IF(LEFT($B343,3)=$Z$2,VLOOKUP($C343,Outbound!$B:$Z,11,FALSE),VLOOKUP($B343,Outbound!$B:$Z,11,FALSE)),"NON TROVATO"),"")</f>
        <v/>
      </c>
      <c r="G343" s="394" t="str">
        <f>IF(B343&lt;&gt;"",IFERROR(IF(LEFT($B343,3)=$Z$2,VLOOKUP($C343,Outbound!$B:$AAZ,16,FALSE),VLOOKUP($B343,Outbound!$B:$AAZ,16,FALSE)),"NON TROVATO"),"")</f>
        <v/>
      </c>
      <c r="H343" s="394" t="str">
        <f>IF(B343&lt;&gt;"",IFERROR(IF(LEFT($B343,3)=$Z$2,VLOOKUP($C343,Outbound!$B:$AAZ,6,FALSE),VLOOKUP($B343,Outbound!$B:$AAZ,6,FALSE)),"NON TROVATO"),"")</f>
        <v/>
      </c>
      <c r="I343" s="394" t="str">
        <f>IF(B343&lt;&gt;"",IFERROR(IF(LEFT($B343,3)=$Z$2,VLOOKUP($C343,Outbound!$B:$AAZ,52,FALSE),VLOOKUP($B343,Outbound!$B:$AAZ,52,FALSE)),"NON TROVATO"),"")</f>
        <v/>
      </c>
      <c r="J343" s="396"/>
      <c r="K343" s="387" t="str">
        <f>IF(B343&lt;&gt;"",IF($D343&lt;&gt;"ON ROCS/NOT ON FILE",IFERROR(_xlfn.XLOOKUP(LEFT($D343,3),'STAT 77 Table'!$B:$B,'STAT 77 Table'!$A:$A),"ZZ"&amp;RIGHT($B343,4)),""),"")</f>
        <v/>
      </c>
      <c r="L343" s="396"/>
      <c r="O343" s="388"/>
      <c r="P343" s="388"/>
      <c r="AA343" s="421">
        <f t="shared" si="5"/>
        <v>0</v>
      </c>
    </row>
    <row r="344" spans="1:27" ht="16.5">
      <c r="A344" s="387">
        <f>'STAT 77 Table'!$I$324</f>
        <v>0</v>
      </c>
      <c r="B344"/>
      <c r="C344"/>
      <c r="D344" s="387" t="str">
        <f>IF($B344&lt;&gt;"",IFERROR(IF(LEFT($B344,3)=$Z$2,VLOOKUP($C344,Outbound!$B:$Z,4,FALSE),VLOOKUP($B344,Outbound!$B:$Z,4,FALSE)),"ON ROCS/NOT ON FILE"),"")</f>
        <v/>
      </c>
      <c r="E344" s="387" t="str">
        <f>IF($B344&lt;&gt;"",IFERROR(IF(LEFT($B344,4)=$Z$2,VLOOKUP($C344,Outbound!$B:$Z,5,FALSE),VLOOKUP($B344,Outbound!$B:$Z,5,FALSE)),"ON ROCS/NOT ON FILE"),"")</f>
        <v/>
      </c>
      <c r="F344" s="387" t="str">
        <f>IF(B344&lt;&gt;"",IFERROR(IF(LEFT($B344,3)=$Z$2,VLOOKUP($C344,Outbound!$B:$Z,11,FALSE),VLOOKUP($B344,Outbound!$B:$Z,11,FALSE)),"NON TROVATO"),"")</f>
        <v/>
      </c>
      <c r="G344" s="394" t="str">
        <f>IF(B344&lt;&gt;"",IFERROR(IF(LEFT($B344,3)=$Z$2,VLOOKUP($C344,Outbound!$B:$AAZ,16,FALSE),VLOOKUP($B344,Outbound!$B:$AAZ,16,FALSE)),"NON TROVATO"),"")</f>
        <v/>
      </c>
      <c r="H344" s="394" t="str">
        <f>IF(B344&lt;&gt;"",IFERROR(IF(LEFT($B344,3)=$Z$2,VLOOKUP($C344,Outbound!$B:$AAZ,6,FALSE),VLOOKUP($B344,Outbound!$B:$AAZ,6,FALSE)),"NON TROVATO"),"")</f>
        <v/>
      </c>
      <c r="I344" s="394" t="str">
        <f>IF(B344&lt;&gt;"",IFERROR(IF(LEFT($B344,3)=$Z$2,VLOOKUP($C344,Outbound!$B:$AAZ,52,FALSE),VLOOKUP($B344,Outbound!$B:$AAZ,52,FALSE)),"NON TROVATO"),"")</f>
        <v/>
      </c>
      <c r="J344" s="396"/>
      <c r="K344" s="387" t="str">
        <f>IF(B344&lt;&gt;"",IF($D344&lt;&gt;"ON ROCS/NOT ON FILE",IFERROR(_xlfn.XLOOKUP(LEFT($D344,3),'STAT 77 Table'!$B:$B,'STAT 77 Table'!$A:$A),"ZZ"&amp;RIGHT($B344,4)),""),"")</f>
        <v/>
      </c>
      <c r="L344" s="396"/>
      <c r="O344" s="388"/>
      <c r="P344" s="388"/>
      <c r="AA344" s="421">
        <f t="shared" si="5"/>
        <v>0</v>
      </c>
    </row>
    <row r="345" spans="1:27" ht="16.5">
      <c r="A345" s="387">
        <f>'STAT 77 Table'!$I$325</f>
        <v>0</v>
      </c>
      <c r="B345"/>
      <c r="C345"/>
      <c r="D345" s="387" t="str">
        <f>IF($B345&lt;&gt;"",IFERROR(IF(LEFT($B345,3)=$Z$2,VLOOKUP($C345,Outbound!$B:$Z,4,FALSE),VLOOKUP($B345,Outbound!$B:$Z,4,FALSE)),"ON ROCS/NOT ON FILE"),"")</f>
        <v/>
      </c>
      <c r="E345" s="387" t="str">
        <f>IF($B345&lt;&gt;"",IFERROR(IF(LEFT($B345,4)=$Z$2,VLOOKUP($C345,Outbound!$B:$Z,5,FALSE),VLOOKUP($B345,Outbound!$B:$Z,5,FALSE)),"ON ROCS/NOT ON FILE"),"")</f>
        <v/>
      </c>
      <c r="F345" s="387" t="str">
        <f>IF(B345&lt;&gt;"",IFERROR(IF(LEFT($B345,3)=$Z$2,VLOOKUP($C345,Outbound!$B:$Z,11,FALSE),VLOOKUP($B345,Outbound!$B:$Z,11,FALSE)),"NON TROVATO"),"")</f>
        <v/>
      </c>
      <c r="G345" s="394" t="str">
        <f>IF(B345&lt;&gt;"",IFERROR(IF(LEFT($B345,3)=$Z$2,VLOOKUP($C345,Outbound!$B:$AAZ,16,FALSE),VLOOKUP($B345,Outbound!$B:$AAZ,16,FALSE)),"NON TROVATO"),"")</f>
        <v/>
      </c>
      <c r="H345" s="394" t="str">
        <f>IF(B345&lt;&gt;"",IFERROR(IF(LEFT($B345,3)=$Z$2,VLOOKUP($C345,Outbound!$B:$AAZ,6,FALSE),VLOOKUP($B345,Outbound!$B:$AAZ,6,FALSE)),"NON TROVATO"),"")</f>
        <v/>
      </c>
      <c r="I345" s="394" t="str">
        <f>IF(B345&lt;&gt;"",IFERROR(IF(LEFT($B345,3)=$Z$2,VLOOKUP($C345,Outbound!$B:$AAZ,52,FALSE),VLOOKUP($B345,Outbound!$B:$AAZ,52,FALSE)),"NON TROVATO"),"")</f>
        <v/>
      </c>
      <c r="J345" s="396"/>
      <c r="K345" s="387" t="str">
        <f>IF(B345&lt;&gt;"",IF($D345&lt;&gt;"ON ROCS/NOT ON FILE",IFERROR(_xlfn.XLOOKUP(LEFT($D345,3),'STAT 77 Table'!$B:$B,'STAT 77 Table'!$A:$A),"ZZ"&amp;RIGHT($B345,4)),""),"")</f>
        <v/>
      </c>
      <c r="L345" s="396"/>
      <c r="O345" s="388"/>
      <c r="P345" s="388"/>
      <c r="AA345" s="421">
        <f t="shared" si="5"/>
        <v>0</v>
      </c>
    </row>
    <row r="346" spans="1:27" ht="16.5">
      <c r="A346" s="387">
        <f>'STAT 77 Table'!$I$326</f>
        <v>0</v>
      </c>
      <c r="B346"/>
      <c r="C346"/>
      <c r="D346" s="387" t="str">
        <f>IF($B346&lt;&gt;"",IFERROR(IF(LEFT($B346,3)=$Z$2,VLOOKUP($C346,Outbound!$B:$Z,4,FALSE),VLOOKUP($B346,Outbound!$B:$Z,4,FALSE)),"ON ROCS/NOT ON FILE"),"")</f>
        <v/>
      </c>
      <c r="E346" s="387" t="str">
        <f>IF($B346&lt;&gt;"",IFERROR(IF(LEFT($B346,4)=$Z$2,VLOOKUP($C346,Outbound!$B:$Z,5,FALSE),VLOOKUP($B346,Outbound!$B:$Z,5,FALSE)),"ON ROCS/NOT ON FILE"),"")</f>
        <v/>
      </c>
      <c r="F346" s="387" t="str">
        <f>IF(B346&lt;&gt;"",IFERROR(IF(LEFT($B346,3)=$Z$2,VLOOKUP($C346,Outbound!$B:$Z,11,FALSE),VLOOKUP($B346,Outbound!$B:$Z,11,FALSE)),"NON TROVATO"),"")</f>
        <v/>
      </c>
      <c r="G346" s="394" t="str">
        <f>IF(B346&lt;&gt;"",IFERROR(IF(LEFT($B346,3)=$Z$2,VLOOKUP($C346,Outbound!$B:$AAZ,16,FALSE),VLOOKUP($B346,Outbound!$B:$AAZ,16,FALSE)),"NON TROVATO"),"")</f>
        <v/>
      </c>
      <c r="H346" s="394" t="str">
        <f>IF(B346&lt;&gt;"",IFERROR(IF(LEFT($B346,3)=$Z$2,VLOOKUP($C346,Outbound!$B:$AAZ,6,FALSE),VLOOKUP($B346,Outbound!$B:$AAZ,6,FALSE)),"NON TROVATO"),"")</f>
        <v/>
      </c>
      <c r="I346" s="394" t="str">
        <f>IF(B346&lt;&gt;"",IFERROR(IF(LEFT($B346,3)=$Z$2,VLOOKUP($C346,Outbound!$B:$AAZ,52,FALSE),VLOOKUP($B346,Outbound!$B:$AAZ,52,FALSE)),"NON TROVATO"),"")</f>
        <v/>
      </c>
      <c r="J346" s="396"/>
      <c r="K346" s="387" t="str">
        <f>IF(B346&lt;&gt;"",IF($D346&lt;&gt;"ON ROCS/NOT ON FILE",IFERROR(_xlfn.XLOOKUP(LEFT($D346,3),'STAT 77 Table'!$B:$B,'STAT 77 Table'!$A:$A),"ZZ"&amp;RIGHT($B346,4)),""),"")</f>
        <v/>
      </c>
      <c r="L346" s="396"/>
      <c r="O346" s="388"/>
      <c r="P346" s="388"/>
      <c r="AA346" s="421">
        <f t="shared" si="5"/>
        <v>0</v>
      </c>
    </row>
    <row r="347" spans="1:27" ht="16.5">
      <c r="A347" s="387">
        <f>'STAT 77 Table'!$I$327</f>
        <v>0</v>
      </c>
      <c r="B347"/>
      <c r="C347"/>
      <c r="D347" s="387" t="str">
        <f>IF($B347&lt;&gt;"",IFERROR(IF(LEFT($B347,3)=$Z$2,VLOOKUP($C347,Outbound!$B:$Z,4,FALSE),VLOOKUP($B347,Outbound!$B:$Z,4,FALSE)),"ON ROCS/NOT ON FILE"),"")</f>
        <v/>
      </c>
      <c r="E347" s="387" t="str">
        <f>IF($B347&lt;&gt;"",IFERROR(IF(LEFT($B347,4)=$Z$2,VLOOKUP($C347,Outbound!$B:$Z,5,FALSE),VLOOKUP($B347,Outbound!$B:$Z,5,FALSE)),"ON ROCS/NOT ON FILE"),"")</f>
        <v/>
      </c>
      <c r="F347" s="387" t="str">
        <f>IF(B347&lt;&gt;"",IFERROR(IF(LEFT($B347,3)=$Z$2,VLOOKUP($C347,Outbound!$B:$Z,11,FALSE),VLOOKUP($B347,Outbound!$B:$Z,11,FALSE)),"NON TROVATO"),"")</f>
        <v/>
      </c>
      <c r="G347" s="394" t="str">
        <f>IF(B347&lt;&gt;"",IFERROR(IF(LEFT($B347,3)=$Z$2,VLOOKUP($C347,Outbound!$B:$AAZ,16,FALSE),VLOOKUP($B347,Outbound!$B:$AAZ,16,FALSE)),"NON TROVATO"),"")</f>
        <v/>
      </c>
      <c r="H347" s="394" t="str">
        <f>IF(B347&lt;&gt;"",IFERROR(IF(LEFT($B347,3)=$Z$2,VLOOKUP($C347,Outbound!$B:$AAZ,6,FALSE),VLOOKUP($B347,Outbound!$B:$AAZ,6,FALSE)),"NON TROVATO"),"")</f>
        <v/>
      </c>
      <c r="I347" s="394" t="str">
        <f>IF(B347&lt;&gt;"",IFERROR(IF(LEFT($B347,3)=$Z$2,VLOOKUP($C347,Outbound!$B:$AAZ,52,FALSE),VLOOKUP($B347,Outbound!$B:$AAZ,52,FALSE)),"NON TROVATO"),"")</f>
        <v/>
      </c>
      <c r="J347" s="396"/>
      <c r="K347" s="387" t="str">
        <f>IF(B347&lt;&gt;"",IF($D347&lt;&gt;"ON ROCS/NOT ON FILE",IFERROR(_xlfn.XLOOKUP(LEFT($D347,3),'STAT 77 Table'!$B:$B,'STAT 77 Table'!$A:$A),"ZZ"&amp;RIGHT($B347,4)),""),"")</f>
        <v/>
      </c>
      <c r="L347" s="396"/>
      <c r="O347" s="388"/>
      <c r="P347" s="388"/>
      <c r="AA347" s="421">
        <f t="shared" si="5"/>
        <v>0</v>
      </c>
    </row>
    <row r="348" spans="1:27" ht="16.5">
      <c r="A348" s="387">
        <f>'STAT 77 Table'!$I$328</f>
        <v>0</v>
      </c>
      <c r="B348"/>
      <c r="C348"/>
      <c r="D348" s="387" t="str">
        <f>IF($B348&lt;&gt;"",IFERROR(IF(LEFT($B348,3)=$Z$2,VLOOKUP($C348,Outbound!$B:$Z,4,FALSE),VLOOKUP($B348,Outbound!$B:$Z,4,FALSE)),"ON ROCS/NOT ON FILE"),"")</f>
        <v/>
      </c>
      <c r="E348" s="387" t="str">
        <f>IF($B348&lt;&gt;"",IFERROR(IF(LEFT($B348,4)=$Z$2,VLOOKUP($C348,Outbound!$B:$Z,5,FALSE),VLOOKUP($B348,Outbound!$B:$Z,5,FALSE)),"ON ROCS/NOT ON FILE"),"")</f>
        <v/>
      </c>
      <c r="F348" s="387" t="str">
        <f>IF(B348&lt;&gt;"",IFERROR(IF(LEFT($B348,3)=$Z$2,VLOOKUP($C348,Outbound!$B:$Z,11,FALSE),VLOOKUP($B348,Outbound!$B:$Z,11,FALSE)),"NON TROVATO"),"")</f>
        <v/>
      </c>
      <c r="G348" s="394" t="str">
        <f>IF(B348&lt;&gt;"",IFERROR(IF(LEFT($B348,3)=$Z$2,VLOOKUP($C348,Outbound!$B:$AAZ,16,FALSE),VLOOKUP($B348,Outbound!$B:$AAZ,16,FALSE)),"NON TROVATO"),"")</f>
        <v/>
      </c>
      <c r="H348" s="394" t="str">
        <f>IF(B348&lt;&gt;"",IFERROR(IF(LEFT($B348,3)=$Z$2,VLOOKUP($C348,Outbound!$B:$AAZ,6,FALSE),VLOOKUP($B348,Outbound!$B:$AAZ,6,FALSE)),"NON TROVATO"),"")</f>
        <v/>
      </c>
      <c r="I348" s="394" t="str">
        <f>IF(B348&lt;&gt;"",IFERROR(IF(LEFT($B348,3)=$Z$2,VLOOKUP($C348,Outbound!$B:$AAZ,52,FALSE),VLOOKUP($B348,Outbound!$B:$AAZ,52,FALSE)),"NON TROVATO"),"")</f>
        <v/>
      </c>
      <c r="J348" s="396"/>
      <c r="K348" s="387" t="str">
        <f>IF(B348&lt;&gt;"",IF($D348&lt;&gt;"ON ROCS/NOT ON FILE",IFERROR(_xlfn.XLOOKUP(LEFT($D348,3),'STAT 77 Table'!$B:$B,'STAT 77 Table'!$A:$A),"ZZ"&amp;RIGHT($B348,4)),""),"")</f>
        <v/>
      </c>
      <c r="L348" s="396"/>
      <c r="O348" s="388"/>
      <c r="P348" s="388"/>
      <c r="AA348" s="421">
        <f t="shared" si="5"/>
        <v>0</v>
      </c>
    </row>
    <row r="349" spans="1:27" ht="16.5">
      <c r="A349" s="387">
        <f>'STAT 77 Table'!$I$329</f>
        <v>0</v>
      </c>
      <c r="B349"/>
      <c r="C349"/>
      <c r="D349" s="387" t="str">
        <f>IF($B349&lt;&gt;"",IFERROR(IF(LEFT($B349,3)=$Z$2,VLOOKUP($C349,Outbound!$B:$Z,4,FALSE),VLOOKUP($B349,Outbound!$B:$Z,4,FALSE)),"ON ROCS/NOT ON FILE"),"")</f>
        <v/>
      </c>
      <c r="E349" s="387" t="str">
        <f>IF($B349&lt;&gt;"",IFERROR(IF(LEFT($B349,4)=$Z$2,VLOOKUP($C349,Outbound!$B:$Z,5,FALSE),VLOOKUP($B349,Outbound!$B:$Z,5,FALSE)),"ON ROCS/NOT ON FILE"),"")</f>
        <v/>
      </c>
      <c r="F349" s="387" t="str">
        <f>IF(B349&lt;&gt;"",IFERROR(IF(LEFT($B349,3)=$Z$2,VLOOKUP($C349,Outbound!$B:$Z,11,FALSE),VLOOKUP($B349,Outbound!$B:$Z,11,FALSE)),"NON TROVATO"),"")</f>
        <v/>
      </c>
      <c r="G349" s="394" t="str">
        <f>IF(B349&lt;&gt;"",IFERROR(IF(LEFT($B349,3)=$Z$2,VLOOKUP($C349,Outbound!$B:$AAZ,16,FALSE),VLOOKUP($B349,Outbound!$B:$AAZ,16,FALSE)),"NON TROVATO"),"")</f>
        <v/>
      </c>
      <c r="H349" s="394" t="str">
        <f>IF(B349&lt;&gt;"",IFERROR(IF(LEFT($B349,3)=$Z$2,VLOOKUP($C349,Outbound!$B:$AAZ,6,FALSE),VLOOKUP($B349,Outbound!$B:$AAZ,6,FALSE)),"NON TROVATO"),"")</f>
        <v/>
      </c>
      <c r="I349" s="394" t="str">
        <f>IF(B349&lt;&gt;"",IFERROR(IF(LEFT($B349,3)=$Z$2,VLOOKUP($C349,Outbound!$B:$AAZ,52,FALSE),VLOOKUP($B349,Outbound!$B:$AAZ,52,FALSE)),"NON TROVATO"),"")</f>
        <v/>
      </c>
      <c r="J349" s="396"/>
      <c r="K349" s="387" t="str">
        <f>IF(B349&lt;&gt;"",IF($D349&lt;&gt;"ON ROCS/NOT ON FILE",IFERROR(_xlfn.XLOOKUP(LEFT($D349,3),'STAT 77 Table'!$B:$B,'STAT 77 Table'!$A:$A),"ZZ"&amp;RIGHT($B349,4)),""),"")</f>
        <v/>
      </c>
      <c r="L349" s="396"/>
      <c r="O349" s="388"/>
      <c r="P349" s="388"/>
      <c r="AA349" s="421">
        <f t="shared" si="5"/>
        <v>0</v>
      </c>
    </row>
    <row r="350" spans="1:27" ht="16.5">
      <c r="A350" s="387">
        <f>'STAT 77 Table'!$I$330</f>
        <v>0</v>
      </c>
      <c r="B350"/>
      <c r="C350"/>
      <c r="D350" s="387" t="str">
        <f>IF($B350&lt;&gt;"",IFERROR(IF(LEFT($B350,3)=$Z$2,VLOOKUP($C350,Outbound!$B:$Z,4,FALSE),VLOOKUP($B350,Outbound!$B:$Z,4,FALSE)),"ON ROCS/NOT ON FILE"),"")</f>
        <v/>
      </c>
      <c r="E350" s="387" t="str">
        <f>IF($B350&lt;&gt;"",IFERROR(IF(LEFT($B350,4)=$Z$2,VLOOKUP($C350,Outbound!$B:$Z,5,FALSE),VLOOKUP($B350,Outbound!$B:$Z,5,FALSE)),"ON ROCS/NOT ON FILE"),"")</f>
        <v/>
      </c>
      <c r="F350" s="387" t="str">
        <f>IF(B350&lt;&gt;"",IFERROR(IF(LEFT($B350,3)=$Z$2,VLOOKUP($C350,Outbound!$B:$Z,11,FALSE),VLOOKUP($B350,Outbound!$B:$Z,11,FALSE)),"NON TROVATO"),"")</f>
        <v/>
      </c>
      <c r="G350" s="394" t="str">
        <f>IF(B350&lt;&gt;"",IFERROR(IF(LEFT($B350,3)=$Z$2,VLOOKUP($C350,Outbound!$B:$AAZ,16,FALSE),VLOOKUP($B350,Outbound!$B:$AAZ,16,FALSE)),"NON TROVATO"),"")</f>
        <v/>
      </c>
      <c r="H350" s="394" t="str">
        <f>IF(B350&lt;&gt;"",IFERROR(IF(LEFT($B350,3)=$Z$2,VLOOKUP($C350,Outbound!$B:$AAZ,6,FALSE),VLOOKUP($B350,Outbound!$B:$AAZ,6,FALSE)),"NON TROVATO"),"")</f>
        <v/>
      </c>
      <c r="I350" s="394" t="str">
        <f>IF(B350&lt;&gt;"",IFERROR(IF(LEFT($B350,3)=$Z$2,VLOOKUP($C350,Outbound!$B:$AAZ,52,FALSE),VLOOKUP($B350,Outbound!$B:$AAZ,52,FALSE)),"NON TROVATO"),"")</f>
        <v/>
      </c>
      <c r="J350" s="396"/>
      <c r="K350" s="387" t="str">
        <f>IF(B350&lt;&gt;"",IF($D350&lt;&gt;"ON ROCS/NOT ON FILE",IFERROR(_xlfn.XLOOKUP(LEFT($D350,3),'STAT 77 Table'!$B:$B,'STAT 77 Table'!$A:$A),"ZZ"&amp;RIGHT($B350,4)),""),"")</f>
        <v/>
      </c>
      <c r="L350" s="396"/>
      <c r="O350" s="388"/>
      <c r="P350" s="388"/>
      <c r="AA350" s="421">
        <f t="shared" si="5"/>
        <v>0</v>
      </c>
    </row>
    <row r="351" spans="1:27" ht="16.5">
      <c r="A351" s="387">
        <f>'STAT 77 Table'!$I$331</f>
        <v>0</v>
      </c>
      <c r="B351"/>
      <c r="C351"/>
      <c r="D351" s="387" t="str">
        <f>IF($B351&lt;&gt;"",IFERROR(IF(LEFT($B351,3)=$Z$2,VLOOKUP($C351,Outbound!$B:$Z,4,FALSE),VLOOKUP($B351,Outbound!$B:$Z,4,FALSE)),"ON ROCS/NOT ON FILE"),"")</f>
        <v/>
      </c>
      <c r="E351" s="387" t="str">
        <f>IF($B351&lt;&gt;"",IFERROR(IF(LEFT($B351,4)=$Z$2,VLOOKUP($C351,Outbound!$B:$Z,5,FALSE),VLOOKUP($B351,Outbound!$B:$Z,5,FALSE)),"ON ROCS/NOT ON FILE"),"")</f>
        <v/>
      </c>
      <c r="F351" s="387" t="str">
        <f>IF(B351&lt;&gt;"",IFERROR(IF(LEFT($B351,3)=$Z$2,VLOOKUP($C351,Outbound!$B:$Z,11,FALSE),VLOOKUP($B351,Outbound!$B:$Z,11,FALSE)),"NON TROVATO"),"")</f>
        <v/>
      </c>
      <c r="G351" s="394" t="str">
        <f>IF(B351&lt;&gt;"",IFERROR(IF(LEFT($B351,3)=$Z$2,VLOOKUP($C351,Outbound!$B:$AAZ,16,FALSE),VLOOKUP($B351,Outbound!$B:$AAZ,16,FALSE)),"NON TROVATO"),"")</f>
        <v/>
      </c>
      <c r="H351" s="394" t="str">
        <f>IF(B351&lt;&gt;"",IFERROR(IF(LEFT($B351,3)=$Z$2,VLOOKUP($C351,Outbound!$B:$AAZ,6,FALSE),VLOOKUP($B351,Outbound!$B:$AAZ,6,FALSE)),"NON TROVATO"),"")</f>
        <v/>
      </c>
      <c r="I351" s="394" t="str">
        <f>IF(B351&lt;&gt;"",IFERROR(IF(LEFT($B351,3)=$Z$2,VLOOKUP($C351,Outbound!$B:$AAZ,52,FALSE),VLOOKUP($B351,Outbound!$B:$AAZ,52,FALSE)),"NON TROVATO"),"")</f>
        <v/>
      </c>
      <c r="J351" s="396"/>
      <c r="K351" s="387" t="str">
        <f>IF(B351&lt;&gt;"",IF($D351&lt;&gt;"ON ROCS/NOT ON FILE",IFERROR(_xlfn.XLOOKUP(LEFT($D351,3),'STAT 77 Table'!$B:$B,'STAT 77 Table'!$A:$A),"ZZ"&amp;RIGHT($B351,4)),""),"")</f>
        <v/>
      </c>
      <c r="L351" s="396"/>
      <c r="O351" s="388"/>
      <c r="P351" s="388"/>
      <c r="AA351" s="421">
        <f t="shared" si="5"/>
        <v>0</v>
      </c>
    </row>
    <row r="352" spans="1:27" ht="16.5">
      <c r="A352" s="387">
        <f>'STAT 77 Table'!$I$332</f>
        <v>0</v>
      </c>
      <c r="B352"/>
      <c r="C352"/>
      <c r="D352" s="387" t="str">
        <f>IF($B352&lt;&gt;"",IFERROR(IF(LEFT($B352,3)=$Z$2,VLOOKUP($C352,Outbound!$B:$Z,4,FALSE),VLOOKUP($B352,Outbound!$B:$Z,4,FALSE)),"ON ROCS/NOT ON FILE"),"")</f>
        <v/>
      </c>
      <c r="E352" s="387" t="str">
        <f>IF($B352&lt;&gt;"",IFERROR(IF(LEFT($B352,4)=$Z$2,VLOOKUP($C352,Outbound!$B:$Z,5,FALSE),VLOOKUP($B352,Outbound!$B:$Z,5,FALSE)),"ON ROCS/NOT ON FILE"),"")</f>
        <v/>
      </c>
      <c r="F352" s="387" t="str">
        <f>IF(B352&lt;&gt;"",IFERROR(IF(LEFT($B352,3)=$Z$2,VLOOKUP($C352,Outbound!$B:$Z,11,FALSE),VLOOKUP($B352,Outbound!$B:$Z,11,FALSE)),"NON TROVATO"),"")</f>
        <v/>
      </c>
      <c r="G352" s="394" t="str">
        <f>IF(B352&lt;&gt;"",IFERROR(IF(LEFT($B352,3)=$Z$2,VLOOKUP($C352,Outbound!$B:$AAZ,16,FALSE),VLOOKUP($B352,Outbound!$B:$AAZ,16,FALSE)),"NON TROVATO"),"")</f>
        <v/>
      </c>
      <c r="H352" s="394" t="str">
        <f>IF(B352&lt;&gt;"",IFERROR(IF(LEFT($B352,3)=$Z$2,VLOOKUP($C352,Outbound!$B:$AAZ,6,FALSE),VLOOKUP($B352,Outbound!$B:$AAZ,6,FALSE)),"NON TROVATO"),"")</f>
        <v/>
      </c>
      <c r="I352" s="394" t="str">
        <f>IF(B352&lt;&gt;"",IFERROR(IF(LEFT($B352,3)=$Z$2,VLOOKUP($C352,Outbound!$B:$AAZ,52,FALSE),VLOOKUP($B352,Outbound!$B:$AAZ,52,FALSE)),"NON TROVATO"),"")</f>
        <v/>
      </c>
      <c r="J352" s="396"/>
      <c r="K352" s="387" t="str">
        <f>IF(B352&lt;&gt;"",IF($D352&lt;&gt;"ON ROCS/NOT ON FILE",IFERROR(_xlfn.XLOOKUP(LEFT($D352,3),'STAT 77 Table'!$B:$B,'STAT 77 Table'!$A:$A),"ZZ"&amp;RIGHT($B352,4)),""),"")</f>
        <v/>
      </c>
      <c r="L352" s="396"/>
      <c r="O352" s="388"/>
      <c r="P352" s="388"/>
      <c r="AA352" s="421">
        <f t="shared" si="5"/>
        <v>0</v>
      </c>
    </row>
    <row r="353" spans="1:27" ht="16.5">
      <c r="A353" s="387">
        <f>'STAT 77 Table'!$I$333</f>
        <v>0</v>
      </c>
      <c r="B353"/>
      <c r="C353"/>
      <c r="D353" s="387" t="str">
        <f>IF($B353&lt;&gt;"",IFERROR(IF(LEFT($B353,3)=$Z$2,VLOOKUP($C353,Outbound!$B:$Z,4,FALSE),VLOOKUP($B353,Outbound!$B:$Z,4,FALSE)),"ON ROCS/NOT ON FILE"),"")</f>
        <v/>
      </c>
      <c r="E353" s="387" t="str">
        <f>IF($B353&lt;&gt;"",IFERROR(IF(LEFT($B353,4)=$Z$2,VLOOKUP($C353,Outbound!$B:$Z,5,FALSE),VLOOKUP($B353,Outbound!$B:$Z,5,FALSE)),"ON ROCS/NOT ON FILE"),"")</f>
        <v/>
      </c>
      <c r="F353" s="387" t="str">
        <f>IF(B353&lt;&gt;"",IFERROR(IF(LEFT($B353,3)=$Z$2,VLOOKUP($C353,Outbound!$B:$Z,11,FALSE),VLOOKUP($B353,Outbound!$B:$Z,11,FALSE)),"NON TROVATO"),"")</f>
        <v/>
      </c>
      <c r="G353" s="394" t="str">
        <f>IF(B353&lt;&gt;"",IFERROR(IF(LEFT($B353,3)=$Z$2,VLOOKUP($C353,Outbound!$B:$AAZ,16,FALSE),VLOOKUP($B353,Outbound!$B:$AAZ,16,FALSE)),"NON TROVATO"),"")</f>
        <v/>
      </c>
      <c r="H353" s="394" t="str">
        <f>IF(B353&lt;&gt;"",IFERROR(IF(LEFT($B353,3)=$Z$2,VLOOKUP($C353,Outbound!$B:$AAZ,6,FALSE),VLOOKUP($B353,Outbound!$B:$AAZ,6,FALSE)),"NON TROVATO"),"")</f>
        <v/>
      </c>
      <c r="I353" s="394" t="str">
        <f>IF(B353&lt;&gt;"",IFERROR(IF(LEFT($B353,3)=$Z$2,VLOOKUP($C353,Outbound!$B:$AAZ,52,FALSE),VLOOKUP($B353,Outbound!$B:$AAZ,52,FALSE)),"NON TROVATO"),"")</f>
        <v/>
      </c>
      <c r="J353" s="396"/>
      <c r="K353" s="387" t="str">
        <f>IF(B353&lt;&gt;"",IF($D353&lt;&gt;"ON ROCS/NOT ON FILE",IFERROR(_xlfn.XLOOKUP(LEFT($D353,3),'STAT 77 Table'!$B:$B,'STAT 77 Table'!$A:$A),"ZZ"&amp;RIGHT($B353,4)),""),"")</f>
        <v/>
      </c>
      <c r="L353" s="396"/>
      <c r="O353" s="388"/>
      <c r="P353" s="388"/>
      <c r="AA353" s="421">
        <f t="shared" si="5"/>
        <v>0</v>
      </c>
    </row>
    <row r="354" spans="1:27" ht="16.5">
      <c r="A354" s="387">
        <f>'STAT 77 Table'!$I$334</f>
        <v>0</v>
      </c>
      <c r="B354"/>
      <c r="C354"/>
      <c r="D354" s="387" t="str">
        <f>IF($B354&lt;&gt;"",IFERROR(IF(LEFT($B354,3)=$Z$2,VLOOKUP($C354,Outbound!$B:$Z,4,FALSE),VLOOKUP($B354,Outbound!$B:$Z,4,FALSE)),"ON ROCS/NOT ON FILE"),"")</f>
        <v/>
      </c>
      <c r="E354" s="387" t="str">
        <f>IF($B354&lt;&gt;"",IFERROR(IF(LEFT($B354,4)=$Z$2,VLOOKUP($C354,Outbound!$B:$Z,5,FALSE),VLOOKUP($B354,Outbound!$B:$Z,5,FALSE)),"ON ROCS/NOT ON FILE"),"")</f>
        <v/>
      </c>
      <c r="F354" s="387" t="str">
        <f>IF(B354&lt;&gt;"",IFERROR(IF(LEFT($B354,3)=$Z$2,VLOOKUP($C354,Outbound!$B:$Z,11,FALSE),VLOOKUP($B354,Outbound!$B:$Z,11,FALSE)),"NON TROVATO"),"")</f>
        <v/>
      </c>
      <c r="G354" s="394" t="str">
        <f>IF(B354&lt;&gt;"",IFERROR(IF(LEFT($B354,3)=$Z$2,VLOOKUP($C354,Outbound!$B:$AAZ,16,FALSE),VLOOKUP($B354,Outbound!$B:$AAZ,16,FALSE)),"NON TROVATO"),"")</f>
        <v/>
      </c>
      <c r="H354" s="394" t="str">
        <f>IF(B354&lt;&gt;"",IFERROR(IF(LEFT($B354,3)=$Z$2,VLOOKUP($C354,Outbound!$B:$AAZ,6,FALSE),VLOOKUP($B354,Outbound!$B:$AAZ,6,FALSE)),"NON TROVATO"),"")</f>
        <v/>
      </c>
      <c r="I354" s="394" t="str">
        <f>IF(B354&lt;&gt;"",IFERROR(IF(LEFT($B354,3)=$Z$2,VLOOKUP($C354,Outbound!$B:$AAZ,52,FALSE),VLOOKUP($B354,Outbound!$B:$AAZ,52,FALSE)),"NON TROVATO"),"")</f>
        <v/>
      </c>
      <c r="J354" s="396"/>
      <c r="K354" s="387" t="str">
        <f>IF(B354&lt;&gt;"",IF($D354&lt;&gt;"ON ROCS/NOT ON FILE",IFERROR(_xlfn.XLOOKUP(LEFT($D354,3),'STAT 77 Table'!$B:$B,'STAT 77 Table'!$A:$A),"ZZ"&amp;RIGHT($B354,4)),""),"")</f>
        <v/>
      </c>
      <c r="L354" s="396"/>
      <c r="O354" s="388"/>
      <c r="P354" s="388"/>
      <c r="AA354" s="421">
        <f t="shared" si="5"/>
        <v>0</v>
      </c>
    </row>
    <row r="355" spans="1:27" ht="16.5">
      <c r="A355" s="387">
        <f>'STAT 77 Table'!$I$335</f>
        <v>0</v>
      </c>
      <c r="B355"/>
      <c r="C355"/>
      <c r="D355" s="387" t="str">
        <f>IF($B355&lt;&gt;"",IFERROR(IF(LEFT($B355,3)=$Z$2,VLOOKUP($C355,Outbound!$B:$Z,4,FALSE),VLOOKUP($B355,Outbound!$B:$Z,4,FALSE)),"ON ROCS/NOT ON FILE"),"")</f>
        <v/>
      </c>
      <c r="E355" s="387" t="str">
        <f>IF($B355&lt;&gt;"",IFERROR(IF(LEFT($B355,4)=$Z$2,VLOOKUP($C355,Outbound!$B:$Z,5,FALSE),VLOOKUP($B355,Outbound!$B:$Z,5,FALSE)),"ON ROCS/NOT ON FILE"),"")</f>
        <v/>
      </c>
      <c r="F355" s="387" t="str">
        <f>IF(B355&lt;&gt;"",IFERROR(IF(LEFT($B355,3)=$Z$2,VLOOKUP($C355,Outbound!$B:$Z,11,FALSE),VLOOKUP($B355,Outbound!$B:$Z,11,FALSE)),"NON TROVATO"),"")</f>
        <v/>
      </c>
      <c r="G355" s="394" t="str">
        <f>IF(B355&lt;&gt;"",IFERROR(IF(LEFT($B355,3)=$Z$2,VLOOKUP($C355,Outbound!$B:$AAZ,16,FALSE),VLOOKUP($B355,Outbound!$B:$AAZ,16,FALSE)),"NON TROVATO"),"")</f>
        <v/>
      </c>
      <c r="H355" s="394" t="str">
        <f>IF(B355&lt;&gt;"",IFERROR(IF(LEFT($B355,3)=$Z$2,VLOOKUP($C355,Outbound!$B:$AAZ,6,FALSE),VLOOKUP($B355,Outbound!$B:$AAZ,6,FALSE)),"NON TROVATO"),"")</f>
        <v/>
      </c>
      <c r="I355" s="394" t="str">
        <f>IF(B355&lt;&gt;"",IFERROR(IF(LEFT($B355,3)=$Z$2,VLOOKUP($C355,Outbound!$B:$AAZ,52,FALSE),VLOOKUP($B355,Outbound!$B:$AAZ,52,FALSE)),"NON TROVATO"),"")</f>
        <v/>
      </c>
      <c r="J355" s="396"/>
      <c r="K355" s="387" t="str">
        <f>IF(B355&lt;&gt;"",IF($D355&lt;&gt;"ON ROCS/NOT ON FILE",IFERROR(_xlfn.XLOOKUP(LEFT($D355,3),'STAT 77 Table'!$B:$B,'STAT 77 Table'!$A:$A),"ZZ"&amp;RIGHT($B355,4)),""),"")</f>
        <v/>
      </c>
      <c r="L355" s="396"/>
      <c r="O355" s="388"/>
      <c r="P355" s="388"/>
      <c r="AA355" s="421">
        <f t="shared" si="5"/>
        <v>0</v>
      </c>
    </row>
    <row r="356" spans="1:27" ht="16.5">
      <c r="A356" s="387">
        <f>'STAT 77 Table'!$I$336</f>
        <v>0</v>
      </c>
      <c r="B356"/>
      <c r="C356"/>
      <c r="D356" s="387" t="str">
        <f>IF($B356&lt;&gt;"",IFERROR(IF(LEFT($B356,3)=$Z$2,VLOOKUP($C356,Outbound!$B:$Z,4,FALSE),VLOOKUP($B356,Outbound!$B:$Z,4,FALSE)),"ON ROCS/NOT ON FILE"),"")</f>
        <v/>
      </c>
      <c r="E356" s="387" t="str">
        <f>IF($B356&lt;&gt;"",IFERROR(IF(LEFT($B356,4)=$Z$2,VLOOKUP($C356,Outbound!$B:$Z,5,FALSE),VLOOKUP($B356,Outbound!$B:$Z,5,FALSE)),"ON ROCS/NOT ON FILE"),"")</f>
        <v/>
      </c>
      <c r="F356" s="387" t="str">
        <f>IF(B356&lt;&gt;"",IFERROR(IF(LEFT($B356,3)=$Z$2,VLOOKUP($C356,Outbound!$B:$Z,11,FALSE),VLOOKUP($B356,Outbound!$B:$Z,11,FALSE)),"NON TROVATO"),"")</f>
        <v/>
      </c>
      <c r="G356" s="394" t="str">
        <f>IF(B356&lt;&gt;"",IFERROR(IF(LEFT($B356,3)=$Z$2,VLOOKUP($C356,Outbound!$B:$AAZ,16,FALSE),VLOOKUP($B356,Outbound!$B:$AAZ,16,FALSE)),"NON TROVATO"),"")</f>
        <v/>
      </c>
      <c r="H356" s="394" t="str">
        <f>IF(B356&lt;&gt;"",IFERROR(IF(LEFT($B356,3)=$Z$2,VLOOKUP($C356,Outbound!$B:$AAZ,6,FALSE),VLOOKUP($B356,Outbound!$B:$AAZ,6,FALSE)),"NON TROVATO"),"")</f>
        <v/>
      </c>
      <c r="I356" s="394" t="str">
        <f>IF(B356&lt;&gt;"",IFERROR(IF(LEFT($B356,3)=$Z$2,VLOOKUP($C356,Outbound!$B:$AAZ,52,FALSE),VLOOKUP($B356,Outbound!$B:$AAZ,52,FALSE)),"NON TROVATO"),"")</f>
        <v/>
      </c>
      <c r="J356" s="396"/>
      <c r="K356" s="387" t="str">
        <f>IF(B356&lt;&gt;"",IF($D356&lt;&gt;"ON ROCS/NOT ON FILE",IFERROR(_xlfn.XLOOKUP(LEFT($D356,3),'STAT 77 Table'!$B:$B,'STAT 77 Table'!$A:$A),"ZZ"&amp;RIGHT($B356,4)),""),"")</f>
        <v/>
      </c>
      <c r="L356" s="396"/>
      <c r="O356" s="388"/>
      <c r="P356" s="388"/>
      <c r="AA356" s="421">
        <f t="shared" si="5"/>
        <v>0</v>
      </c>
    </row>
    <row r="357" spans="1:27" ht="16.5">
      <c r="A357" s="387">
        <f>'STAT 77 Table'!$I$337</f>
        <v>0</v>
      </c>
      <c r="B357"/>
      <c r="C357"/>
      <c r="D357" s="387" t="str">
        <f>IF($B357&lt;&gt;"",IFERROR(IF(LEFT($B357,3)=$Z$2,VLOOKUP($C357,Outbound!$B:$Z,4,FALSE),VLOOKUP($B357,Outbound!$B:$Z,4,FALSE)),"ON ROCS/NOT ON FILE"),"")</f>
        <v/>
      </c>
      <c r="E357" s="387" t="str">
        <f>IF($B357&lt;&gt;"",IFERROR(IF(LEFT($B357,4)=$Z$2,VLOOKUP($C357,Outbound!$B:$Z,5,FALSE),VLOOKUP($B357,Outbound!$B:$Z,5,FALSE)),"ON ROCS/NOT ON FILE"),"")</f>
        <v/>
      </c>
      <c r="F357" s="387" t="str">
        <f>IF(B357&lt;&gt;"",IFERROR(IF(LEFT($B357,3)=$Z$2,VLOOKUP($C357,Outbound!$B:$Z,11,FALSE),VLOOKUP($B357,Outbound!$B:$Z,11,FALSE)),"NON TROVATO"),"")</f>
        <v/>
      </c>
      <c r="G357" s="394" t="str">
        <f>IF(B357&lt;&gt;"",IFERROR(IF(LEFT($B357,3)=$Z$2,VLOOKUP($C357,Outbound!$B:$AAZ,16,FALSE),VLOOKUP($B357,Outbound!$B:$AAZ,16,FALSE)),"NON TROVATO"),"")</f>
        <v/>
      </c>
      <c r="H357" s="394" t="str">
        <f>IF(B357&lt;&gt;"",IFERROR(IF(LEFT($B357,3)=$Z$2,VLOOKUP($C357,Outbound!$B:$AAZ,6,FALSE),VLOOKUP($B357,Outbound!$B:$AAZ,6,FALSE)),"NON TROVATO"),"")</f>
        <v/>
      </c>
      <c r="I357" s="394" t="str">
        <f>IF(B357&lt;&gt;"",IFERROR(IF(LEFT($B357,3)=$Z$2,VLOOKUP($C357,Outbound!$B:$AAZ,52,FALSE),VLOOKUP($B357,Outbound!$B:$AAZ,52,FALSE)),"NON TROVATO"),"")</f>
        <v/>
      </c>
      <c r="J357" s="396"/>
      <c r="K357" s="387" t="str">
        <f>IF(B357&lt;&gt;"",IF($D357&lt;&gt;"ON ROCS/NOT ON FILE",IFERROR(_xlfn.XLOOKUP(LEFT($D357,3),'STAT 77 Table'!$B:$B,'STAT 77 Table'!$A:$A),"ZZ"&amp;RIGHT($B357,4)),""),"")</f>
        <v/>
      </c>
      <c r="L357" s="396"/>
      <c r="O357" s="388"/>
      <c r="P357" s="388"/>
      <c r="AA357" s="421">
        <f t="shared" si="5"/>
        <v>0</v>
      </c>
    </row>
    <row r="358" spans="1:27" ht="16.5">
      <c r="A358" s="387">
        <f>'STAT 77 Table'!$I$338</f>
        <v>0</v>
      </c>
      <c r="B358"/>
      <c r="C358"/>
      <c r="D358" s="387" t="str">
        <f>IF($B358&lt;&gt;"",IFERROR(IF(LEFT($B358,3)=$Z$2,VLOOKUP($C358,Outbound!$B:$Z,4,FALSE),VLOOKUP($B358,Outbound!$B:$Z,4,FALSE)),"ON ROCS/NOT ON FILE"),"")</f>
        <v/>
      </c>
      <c r="E358" s="387" t="str">
        <f>IF($B358&lt;&gt;"",IFERROR(IF(LEFT($B358,4)=$Z$2,VLOOKUP($C358,Outbound!$B:$Z,5,FALSE),VLOOKUP($B358,Outbound!$B:$Z,5,FALSE)),"ON ROCS/NOT ON FILE"),"")</f>
        <v/>
      </c>
      <c r="F358" s="387" t="str">
        <f>IF(B358&lt;&gt;"",IFERROR(IF(LEFT($B358,3)=$Z$2,VLOOKUP($C358,Outbound!$B:$Z,11,FALSE),VLOOKUP($B358,Outbound!$B:$Z,11,FALSE)),"NON TROVATO"),"")</f>
        <v/>
      </c>
      <c r="G358" s="394" t="str">
        <f>IF(B358&lt;&gt;"",IFERROR(IF(LEFT($B358,3)=$Z$2,VLOOKUP($C358,Outbound!$B:$AAZ,16,FALSE),VLOOKUP($B358,Outbound!$B:$AAZ,16,FALSE)),"NON TROVATO"),"")</f>
        <v/>
      </c>
      <c r="H358" s="394" t="str">
        <f>IF(B358&lt;&gt;"",IFERROR(IF(LEFT($B358,3)=$Z$2,VLOOKUP($C358,Outbound!$B:$AAZ,6,FALSE),VLOOKUP($B358,Outbound!$B:$AAZ,6,FALSE)),"NON TROVATO"),"")</f>
        <v/>
      </c>
      <c r="I358" s="394" t="str">
        <f>IF(B358&lt;&gt;"",IFERROR(IF(LEFT($B358,3)=$Z$2,VLOOKUP($C358,Outbound!$B:$AAZ,52,FALSE),VLOOKUP($B358,Outbound!$B:$AAZ,52,FALSE)),"NON TROVATO"),"")</f>
        <v/>
      </c>
      <c r="J358" s="396"/>
      <c r="K358" s="387" t="str">
        <f>IF(B358&lt;&gt;"",IF($D358&lt;&gt;"ON ROCS/NOT ON FILE",IFERROR(_xlfn.XLOOKUP(LEFT($D358,3),'STAT 77 Table'!$B:$B,'STAT 77 Table'!$A:$A),"ZZ"&amp;RIGHT($B358,4)),""),"")</f>
        <v/>
      </c>
      <c r="L358" s="396"/>
      <c r="O358" s="388"/>
      <c r="P358" s="388"/>
      <c r="AA358" s="421">
        <f t="shared" si="5"/>
        <v>0</v>
      </c>
    </row>
    <row r="359" spans="1:27" ht="16.5">
      <c r="A359" s="387">
        <f>'STAT 77 Table'!$I$339</f>
        <v>0</v>
      </c>
      <c r="B359"/>
      <c r="C359"/>
      <c r="D359" s="387" t="str">
        <f>IF($B359&lt;&gt;"",IFERROR(IF(LEFT($B359,3)=$Z$2,VLOOKUP($C359,Outbound!$B:$Z,4,FALSE),VLOOKUP($B359,Outbound!$B:$Z,4,FALSE)),"ON ROCS/NOT ON FILE"),"")</f>
        <v/>
      </c>
      <c r="E359" s="387" t="str">
        <f>IF($B359&lt;&gt;"",IFERROR(IF(LEFT($B359,4)=$Z$2,VLOOKUP($C359,Outbound!$B:$Z,5,FALSE),VLOOKUP($B359,Outbound!$B:$Z,5,FALSE)),"ON ROCS/NOT ON FILE"),"")</f>
        <v/>
      </c>
      <c r="F359" s="387" t="str">
        <f>IF(B359&lt;&gt;"",IFERROR(IF(LEFT($B359,3)=$Z$2,VLOOKUP($C359,Outbound!$B:$Z,11,FALSE),VLOOKUP($B359,Outbound!$B:$Z,11,FALSE)),"NON TROVATO"),"")</f>
        <v/>
      </c>
      <c r="G359" s="394" t="str">
        <f>IF(B359&lt;&gt;"",IFERROR(IF(LEFT($B359,3)=$Z$2,VLOOKUP($C359,Outbound!$B:$AAZ,16,FALSE),VLOOKUP($B359,Outbound!$B:$AAZ,16,FALSE)),"NON TROVATO"),"")</f>
        <v/>
      </c>
      <c r="H359" s="394" t="str">
        <f>IF(B359&lt;&gt;"",IFERROR(IF(LEFT($B359,3)=$Z$2,VLOOKUP($C359,Outbound!$B:$AAZ,6,FALSE),VLOOKUP($B359,Outbound!$B:$AAZ,6,FALSE)),"NON TROVATO"),"")</f>
        <v/>
      </c>
      <c r="I359" s="394" t="str">
        <f>IF(B359&lt;&gt;"",IFERROR(IF(LEFT($B359,3)=$Z$2,VLOOKUP($C359,Outbound!$B:$AAZ,52,FALSE),VLOOKUP($B359,Outbound!$B:$AAZ,52,FALSE)),"NON TROVATO"),"")</f>
        <v/>
      </c>
      <c r="J359" s="396"/>
      <c r="K359" s="387" t="str">
        <f>IF(B359&lt;&gt;"",IF($D359&lt;&gt;"ON ROCS/NOT ON FILE",IFERROR(_xlfn.XLOOKUP(LEFT($D359,3),'STAT 77 Table'!$B:$B,'STAT 77 Table'!$A:$A),"ZZ"&amp;RIGHT($B359,4)),""),"")</f>
        <v/>
      </c>
      <c r="L359" s="396"/>
      <c r="O359" s="388"/>
      <c r="P359" s="388"/>
      <c r="AA359" s="421">
        <f t="shared" si="5"/>
        <v>0</v>
      </c>
    </row>
    <row r="360" spans="1:27" ht="16.5">
      <c r="A360" s="387">
        <f>'STAT 77 Table'!$I$340</f>
        <v>0</v>
      </c>
      <c r="B360"/>
      <c r="C360"/>
      <c r="D360" s="387" t="str">
        <f>IF($B360&lt;&gt;"",IFERROR(IF(LEFT($B360,3)=$Z$2,VLOOKUP($C360,Outbound!$B:$Z,4,FALSE),VLOOKUP($B360,Outbound!$B:$Z,4,FALSE)),"ON ROCS/NOT ON FILE"),"")</f>
        <v/>
      </c>
      <c r="E360" s="387" t="str">
        <f>IF($B360&lt;&gt;"",IFERROR(IF(LEFT($B360,4)=$Z$2,VLOOKUP($C360,Outbound!$B:$Z,5,FALSE),VLOOKUP($B360,Outbound!$B:$Z,5,FALSE)),"ON ROCS/NOT ON FILE"),"")</f>
        <v/>
      </c>
      <c r="F360" s="387" t="str">
        <f>IF(B360&lt;&gt;"",IFERROR(IF(LEFT($B360,3)=$Z$2,VLOOKUP($C360,Outbound!$B:$Z,11,FALSE),VLOOKUP($B360,Outbound!$B:$Z,11,FALSE)),"NON TROVATO"),"")</f>
        <v/>
      </c>
      <c r="G360" s="394" t="str">
        <f>IF(B360&lt;&gt;"",IFERROR(IF(LEFT($B360,3)=$Z$2,VLOOKUP($C360,Outbound!$B:$AAZ,16,FALSE),VLOOKUP($B360,Outbound!$B:$AAZ,16,FALSE)),"NON TROVATO"),"")</f>
        <v/>
      </c>
      <c r="H360" s="394" t="str">
        <f>IF(B360&lt;&gt;"",IFERROR(IF(LEFT($B360,3)=$Z$2,VLOOKUP($C360,Outbound!$B:$AAZ,6,FALSE),VLOOKUP($B360,Outbound!$B:$AAZ,6,FALSE)),"NON TROVATO"),"")</f>
        <v/>
      </c>
      <c r="I360" s="394" t="str">
        <f>IF(B360&lt;&gt;"",IFERROR(IF(LEFT($B360,3)=$Z$2,VLOOKUP($C360,Outbound!$B:$AAZ,52,FALSE),VLOOKUP($B360,Outbound!$B:$AAZ,52,FALSE)),"NON TROVATO"),"")</f>
        <v/>
      </c>
      <c r="J360" s="396"/>
      <c r="K360" s="387" t="str">
        <f>IF(B360&lt;&gt;"",IF($D360&lt;&gt;"ON ROCS/NOT ON FILE",IFERROR(_xlfn.XLOOKUP(LEFT($D360,3),'STAT 77 Table'!$B:$B,'STAT 77 Table'!$A:$A),"ZZ"&amp;RIGHT($B360,4)),""),"")</f>
        <v/>
      </c>
      <c r="L360" s="396"/>
      <c r="O360" s="388"/>
      <c r="P360" s="388"/>
      <c r="AA360" s="421">
        <f t="shared" si="5"/>
        <v>0</v>
      </c>
    </row>
    <row r="361" spans="1:27" ht="16.5">
      <c r="A361" s="387">
        <f>'STAT 77 Table'!$I$341</f>
        <v>0</v>
      </c>
      <c r="B361"/>
      <c r="C361"/>
      <c r="D361" s="387" t="str">
        <f>IF($B361&lt;&gt;"",IFERROR(IF(LEFT($B361,3)=$Z$2,VLOOKUP($C361,Outbound!$B:$Z,4,FALSE),VLOOKUP($B361,Outbound!$B:$Z,4,FALSE)),"ON ROCS/NOT ON FILE"),"")</f>
        <v/>
      </c>
      <c r="E361" s="387" t="str">
        <f>IF($B361&lt;&gt;"",IFERROR(IF(LEFT($B361,4)=$Z$2,VLOOKUP($C361,Outbound!$B:$Z,5,FALSE),VLOOKUP($B361,Outbound!$B:$Z,5,FALSE)),"ON ROCS/NOT ON FILE"),"")</f>
        <v/>
      </c>
      <c r="F361" s="387" t="str">
        <f>IF(B361&lt;&gt;"",IFERROR(IF(LEFT($B361,3)=$Z$2,VLOOKUP($C361,Outbound!$B:$Z,11,FALSE),VLOOKUP($B361,Outbound!$B:$Z,11,FALSE)),"NON TROVATO"),"")</f>
        <v/>
      </c>
      <c r="G361" s="394" t="str">
        <f>IF(B361&lt;&gt;"",IFERROR(IF(LEFT($B361,3)=$Z$2,VLOOKUP($C361,Outbound!$B:$AAZ,16,FALSE),VLOOKUP($B361,Outbound!$B:$AAZ,16,FALSE)),"NON TROVATO"),"")</f>
        <v/>
      </c>
      <c r="H361" s="394" t="str">
        <f>IF(B361&lt;&gt;"",IFERROR(IF(LEFT($B361,3)=$Z$2,VLOOKUP($C361,Outbound!$B:$AAZ,6,FALSE),VLOOKUP($B361,Outbound!$B:$AAZ,6,FALSE)),"NON TROVATO"),"")</f>
        <v/>
      </c>
      <c r="I361" s="394" t="str">
        <f>IF(B361&lt;&gt;"",IFERROR(IF(LEFT($B361,3)=$Z$2,VLOOKUP($C361,Outbound!$B:$AAZ,52,FALSE),VLOOKUP($B361,Outbound!$B:$AAZ,52,FALSE)),"NON TROVATO"),"")</f>
        <v/>
      </c>
      <c r="J361" s="396"/>
      <c r="K361" s="387" t="str">
        <f>IF(B361&lt;&gt;"",IF($D361&lt;&gt;"ON ROCS/NOT ON FILE",IFERROR(_xlfn.XLOOKUP(LEFT($D361,3),'STAT 77 Table'!$B:$B,'STAT 77 Table'!$A:$A),"ZZ"&amp;RIGHT($B361,4)),""),"")</f>
        <v/>
      </c>
      <c r="L361" s="396"/>
      <c r="O361" s="388"/>
      <c r="P361" s="388"/>
      <c r="AA361" s="421">
        <f t="shared" si="5"/>
        <v>0</v>
      </c>
    </row>
    <row r="362" spans="1:27" ht="16.5">
      <c r="A362" s="387">
        <f>'STAT 77 Table'!$I$342</f>
        <v>0</v>
      </c>
      <c r="B362"/>
      <c r="C362"/>
      <c r="D362" s="387" t="str">
        <f>IF($B362&lt;&gt;"",IFERROR(IF(LEFT($B362,3)=$Z$2,VLOOKUP($C362,Outbound!$B:$Z,4,FALSE),VLOOKUP($B362,Outbound!$B:$Z,4,FALSE)),"ON ROCS/NOT ON FILE"),"")</f>
        <v/>
      </c>
      <c r="E362" s="387" t="str">
        <f>IF($B362&lt;&gt;"",IFERROR(IF(LEFT($B362,4)=$Z$2,VLOOKUP($C362,Outbound!$B:$Z,5,FALSE),VLOOKUP($B362,Outbound!$B:$Z,5,FALSE)),"ON ROCS/NOT ON FILE"),"")</f>
        <v/>
      </c>
      <c r="F362" s="387" t="str">
        <f>IF(B362&lt;&gt;"",IFERROR(IF(LEFT($B362,3)=$Z$2,VLOOKUP($C362,Outbound!$B:$Z,11,FALSE),VLOOKUP($B362,Outbound!$B:$Z,11,FALSE)),"NON TROVATO"),"")</f>
        <v/>
      </c>
      <c r="G362" s="394" t="str">
        <f>IF(B362&lt;&gt;"",IFERROR(IF(LEFT($B362,3)=$Z$2,VLOOKUP($C362,Outbound!$B:$AAZ,16,FALSE),VLOOKUP($B362,Outbound!$B:$AAZ,16,FALSE)),"NON TROVATO"),"")</f>
        <v/>
      </c>
      <c r="H362" s="394" t="str">
        <f>IF(B362&lt;&gt;"",IFERROR(IF(LEFT($B362,3)=$Z$2,VLOOKUP($C362,Outbound!$B:$AAZ,6,FALSE),VLOOKUP($B362,Outbound!$B:$AAZ,6,FALSE)),"NON TROVATO"),"")</f>
        <v/>
      </c>
      <c r="I362" s="394" t="str">
        <f>IF(B362&lt;&gt;"",IFERROR(IF(LEFT($B362,3)=$Z$2,VLOOKUP($C362,Outbound!$B:$AAZ,52,FALSE),VLOOKUP($B362,Outbound!$B:$AAZ,52,FALSE)),"NON TROVATO"),"")</f>
        <v/>
      </c>
      <c r="J362" s="396"/>
      <c r="K362" s="387" t="str">
        <f>IF(B362&lt;&gt;"",IF($D362&lt;&gt;"ON ROCS/NOT ON FILE",IFERROR(_xlfn.XLOOKUP(LEFT($D362,3),'STAT 77 Table'!$B:$B,'STAT 77 Table'!$A:$A),"ZZ"&amp;RIGHT($B362,4)),""),"")</f>
        <v/>
      </c>
      <c r="L362" s="396"/>
      <c r="O362" s="388"/>
      <c r="P362" s="388"/>
      <c r="AA362" s="421">
        <f t="shared" si="5"/>
        <v>0</v>
      </c>
    </row>
    <row r="363" spans="1:27" ht="16.5">
      <c r="A363" s="387">
        <f>'STAT 77 Table'!$I$343</f>
        <v>0</v>
      </c>
      <c r="B363"/>
      <c r="C363"/>
      <c r="D363" s="387" t="str">
        <f>IF($B363&lt;&gt;"",IFERROR(IF(LEFT($B363,3)=$Z$2,VLOOKUP($C363,Outbound!$B:$Z,4,FALSE),VLOOKUP($B363,Outbound!$B:$Z,4,FALSE)),"ON ROCS/NOT ON FILE"),"")</f>
        <v/>
      </c>
      <c r="E363" s="387" t="str">
        <f>IF($B363&lt;&gt;"",IFERROR(IF(LEFT($B363,4)=$Z$2,VLOOKUP($C363,Outbound!$B:$Z,5,FALSE),VLOOKUP($B363,Outbound!$B:$Z,5,FALSE)),"ON ROCS/NOT ON FILE"),"")</f>
        <v/>
      </c>
      <c r="F363" s="387" t="str">
        <f>IF(B363&lt;&gt;"",IFERROR(IF(LEFT($B363,3)=$Z$2,VLOOKUP($C363,Outbound!$B:$Z,11,FALSE),VLOOKUP($B363,Outbound!$B:$Z,11,FALSE)),"NON TROVATO"),"")</f>
        <v/>
      </c>
      <c r="G363" s="394" t="str">
        <f>IF(B363&lt;&gt;"",IFERROR(IF(LEFT($B363,3)=$Z$2,VLOOKUP($C363,Outbound!$B:$AAZ,16,FALSE),VLOOKUP($B363,Outbound!$B:$AAZ,16,FALSE)),"NON TROVATO"),"")</f>
        <v/>
      </c>
      <c r="H363" s="394" t="str">
        <f>IF(B363&lt;&gt;"",IFERROR(IF(LEFT($B363,3)=$Z$2,VLOOKUP($C363,Outbound!$B:$AAZ,6,FALSE),VLOOKUP($B363,Outbound!$B:$AAZ,6,FALSE)),"NON TROVATO"),"")</f>
        <v/>
      </c>
      <c r="I363" s="394" t="str">
        <f>IF(B363&lt;&gt;"",IFERROR(IF(LEFT($B363,3)=$Z$2,VLOOKUP($C363,Outbound!$B:$AAZ,52,FALSE),VLOOKUP($B363,Outbound!$B:$AAZ,52,FALSE)),"NON TROVATO"),"")</f>
        <v/>
      </c>
      <c r="J363" s="396"/>
      <c r="K363" s="387" t="str">
        <f>IF(B363&lt;&gt;"",IF($D363&lt;&gt;"ON ROCS/NOT ON FILE",IFERROR(_xlfn.XLOOKUP(LEFT($D363,3),'STAT 77 Table'!$B:$B,'STAT 77 Table'!$A:$A),"ZZ"&amp;RIGHT($B363,4)),""),"")</f>
        <v/>
      </c>
      <c r="L363" s="396"/>
      <c r="O363" s="388"/>
      <c r="P363" s="388"/>
      <c r="AA363" s="421">
        <f t="shared" si="5"/>
        <v>0</v>
      </c>
    </row>
    <row r="364" spans="1:27" ht="16.5">
      <c r="A364" s="387">
        <f>'STAT 77 Table'!$I$344</f>
        <v>0</v>
      </c>
      <c r="B364"/>
      <c r="C364"/>
      <c r="D364" s="387" t="str">
        <f>IF($B364&lt;&gt;"",IFERROR(IF(LEFT($B364,3)=$Z$2,VLOOKUP($C364,Outbound!$B:$Z,4,FALSE),VLOOKUP($B364,Outbound!$B:$Z,4,FALSE)),"ON ROCS/NOT ON FILE"),"")</f>
        <v/>
      </c>
      <c r="E364" s="387" t="str">
        <f>IF($B364&lt;&gt;"",IFERROR(IF(LEFT($B364,4)=$Z$2,VLOOKUP($C364,Outbound!$B:$Z,5,FALSE),VLOOKUP($B364,Outbound!$B:$Z,5,FALSE)),"ON ROCS/NOT ON FILE"),"")</f>
        <v/>
      </c>
      <c r="F364" s="387" t="str">
        <f>IF(B364&lt;&gt;"",IFERROR(IF(LEFT($B364,3)=$Z$2,VLOOKUP($C364,Outbound!$B:$Z,11,FALSE),VLOOKUP($B364,Outbound!$B:$Z,11,FALSE)),"NON TROVATO"),"")</f>
        <v/>
      </c>
      <c r="G364" s="394" t="str">
        <f>IF(B364&lt;&gt;"",IFERROR(IF(LEFT($B364,3)=$Z$2,VLOOKUP($C364,Outbound!$B:$AAZ,16,FALSE),VLOOKUP($B364,Outbound!$B:$AAZ,16,FALSE)),"NON TROVATO"),"")</f>
        <v/>
      </c>
      <c r="H364" s="394" t="str">
        <f>IF(B364&lt;&gt;"",IFERROR(IF(LEFT($B364,3)=$Z$2,VLOOKUP($C364,Outbound!$B:$AAZ,6,FALSE),VLOOKUP($B364,Outbound!$B:$AAZ,6,FALSE)),"NON TROVATO"),"")</f>
        <v/>
      </c>
      <c r="I364" s="394" t="str">
        <f>IF(B364&lt;&gt;"",IFERROR(IF(LEFT($B364,3)=$Z$2,VLOOKUP($C364,Outbound!$B:$AAZ,52,FALSE),VLOOKUP($B364,Outbound!$B:$AAZ,52,FALSE)),"NON TROVATO"),"")</f>
        <v/>
      </c>
      <c r="J364" s="396"/>
      <c r="K364" s="387" t="str">
        <f>IF(B364&lt;&gt;"",IF($D364&lt;&gt;"ON ROCS/NOT ON FILE",IFERROR(_xlfn.XLOOKUP(LEFT($D364,3),'STAT 77 Table'!$B:$B,'STAT 77 Table'!$A:$A),"ZZ"&amp;RIGHT($B364,4)),""),"")</f>
        <v/>
      </c>
      <c r="L364" s="396"/>
      <c r="O364" s="388"/>
      <c r="P364" s="388"/>
      <c r="AA364" s="421">
        <f t="shared" si="5"/>
        <v>0</v>
      </c>
    </row>
    <row r="365" spans="1:27" ht="16.5">
      <c r="A365" s="387">
        <f>'STAT 77 Table'!$I$345</f>
        <v>0</v>
      </c>
      <c r="B365"/>
      <c r="C365"/>
      <c r="D365" s="387" t="str">
        <f>IF($B365&lt;&gt;"",IFERROR(IF(LEFT($B365,3)=$Z$2,VLOOKUP($C365,Outbound!$B:$Z,4,FALSE),VLOOKUP($B365,Outbound!$B:$Z,4,FALSE)),"ON ROCS/NOT ON FILE"),"")</f>
        <v/>
      </c>
      <c r="E365" s="387" t="str">
        <f>IF($B365&lt;&gt;"",IFERROR(IF(LEFT($B365,4)=$Z$2,VLOOKUP($C365,Outbound!$B:$Z,5,FALSE),VLOOKUP($B365,Outbound!$B:$Z,5,FALSE)),"ON ROCS/NOT ON FILE"),"")</f>
        <v/>
      </c>
      <c r="F365" s="387" t="str">
        <f>IF(B365&lt;&gt;"",IFERROR(IF(LEFT($B365,3)=$Z$2,VLOOKUP($C365,Outbound!$B:$Z,11,FALSE),VLOOKUP($B365,Outbound!$B:$Z,11,FALSE)),"NON TROVATO"),"")</f>
        <v/>
      </c>
      <c r="G365" s="394" t="str">
        <f>IF(B365&lt;&gt;"",IFERROR(IF(LEFT($B365,3)=$Z$2,VLOOKUP($C365,Outbound!$B:$AAZ,16,FALSE),VLOOKUP($B365,Outbound!$B:$AAZ,16,FALSE)),"NON TROVATO"),"")</f>
        <v/>
      </c>
      <c r="H365" s="394" t="str">
        <f>IF(B365&lt;&gt;"",IFERROR(IF(LEFT($B365,3)=$Z$2,VLOOKUP($C365,Outbound!$B:$AAZ,6,FALSE),VLOOKUP($B365,Outbound!$B:$AAZ,6,FALSE)),"NON TROVATO"),"")</f>
        <v/>
      </c>
      <c r="I365" s="394" t="str">
        <f>IF(B365&lt;&gt;"",IFERROR(IF(LEFT($B365,3)=$Z$2,VLOOKUP($C365,Outbound!$B:$AAZ,52,FALSE),VLOOKUP($B365,Outbound!$B:$AAZ,52,FALSE)),"NON TROVATO"),"")</f>
        <v/>
      </c>
      <c r="J365" s="396"/>
      <c r="K365" s="387" t="str">
        <f>IF(B365&lt;&gt;"",IF($D365&lt;&gt;"ON ROCS/NOT ON FILE",IFERROR(_xlfn.XLOOKUP(LEFT($D365,3),'STAT 77 Table'!$B:$B,'STAT 77 Table'!$A:$A),"ZZ"&amp;RIGHT($B365,4)),""),"")</f>
        <v/>
      </c>
      <c r="L365" s="396"/>
      <c r="O365" s="388"/>
      <c r="P365" s="388"/>
      <c r="AA365" s="421">
        <f t="shared" si="5"/>
        <v>0</v>
      </c>
    </row>
    <row r="366" spans="1:27" ht="16.5">
      <c r="A366" s="387">
        <f>'STAT 77 Table'!$I$346</f>
        <v>0</v>
      </c>
      <c r="B366"/>
      <c r="C366"/>
      <c r="D366" s="387" t="str">
        <f>IF($B366&lt;&gt;"",IFERROR(IF(LEFT($B366,3)=$Z$2,VLOOKUP($C366,Outbound!$B:$Z,4,FALSE),VLOOKUP($B366,Outbound!$B:$Z,4,FALSE)),"ON ROCS/NOT ON FILE"),"")</f>
        <v/>
      </c>
      <c r="E366" s="387" t="str">
        <f>IF($B366&lt;&gt;"",IFERROR(IF(LEFT($B366,4)=$Z$2,VLOOKUP($C366,Outbound!$B:$Z,5,FALSE),VLOOKUP($B366,Outbound!$B:$Z,5,FALSE)),"ON ROCS/NOT ON FILE"),"")</f>
        <v/>
      </c>
      <c r="F366" s="387" t="str">
        <f>IF(B366&lt;&gt;"",IFERROR(IF(LEFT($B366,3)=$Z$2,VLOOKUP($C366,Outbound!$B:$Z,11,FALSE),VLOOKUP($B366,Outbound!$B:$Z,11,FALSE)),"NON TROVATO"),"")</f>
        <v/>
      </c>
      <c r="G366" s="394" t="str">
        <f>IF(B366&lt;&gt;"",IFERROR(IF(LEFT($B366,3)=$Z$2,VLOOKUP($C366,Outbound!$B:$AAZ,16,FALSE),VLOOKUP($B366,Outbound!$B:$AAZ,16,FALSE)),"NON TROVATO"),"")</f>
        <v/>
      </c>
      <c r="H366" s="394" t="str">
        <f>IF(B366&lt;&gt;"",IFERROR(IF(LEFT($B366,3)=$Z$2,VLOOKUP($C366,Outbound!$B:$AAZ,6,FALSE),VLOOKUP($B366,Outbound!$B:$AAZ,6,FALSE)),"NON TROVATO"),"")</f>
        <v/>
      </c>
      <c r="I366" s="394" t="str">
        <f>IF(B366&lt;&gt;"",IFERROR(IF(LEFT($B366,3)=$Z$2,VLOOKUP($C366,Outbound!$B:$AAZ,52,FALSE),VLOOKUP($B366,Outbound!$B:$AAZ,52,FALSE)),"NON TROVATO"),"")</f>
        <v/>
      </c>
      <c r="J366" s="396"/>
      <c r="K366" s="387" t="str">
        <f>IF(B366&lt;&gt;"",IF($D366&lt;&gt;"ON ROCS/NOT ON FILE",IFERROR(_xlfn.XLOOKUP(LEFT($D366,3),'STAT 77 Table'!$B:$B,'STAT 77 Table'!$A:$A),"ZZ"&amp;RIGHT($B366,4)),""),"")</f>
        <v/>
      </c>
      <c r="L366" s="396"/>
      <c r="O366" s="388"/>
      <c r="P366" s="388"/>
      <c r="AA366" s="421">
        <f t="shared" si="5"/>
        <v>0</v>
      </c>
    </row>
    <row r="367" spans="1:27" ht="16.5">
      <c r="A367" s="387">
        <f>'STAT 77 Table'!$I$347</f>
        <v>0</v>
      </c>
      <c r="B367"/>
      <c r="C367"/>
      <c r="D367" s="387" t="str">
        <f>IF($B367&lt;&gt;"",IFERROR(IF(LEFT($B367,3)=$Z$2,VLOOKUP($C367,Outbound!$B:$Z,4,FALSE),VLOOKUP($B367,Outbound!$B:$Z,4,FALSE)),"ON ROCS/NOT ON FILE"),"")</f>
        <v/>
      </c>
      <c r="E367" s="387" t="str">
        <f>IF($B367&lt;&gt;"",IFERROR(IF(LEFT($B367,4)=$Z$2,VLOOKUP($C367,Outbound!$B:$Z,5,FALSE),VLOOKUP($B367,Outbound!$B:$Z,5,FALSE)),"ON ROCS/NOT ON FILE"),"")</f>
        <v/>
      </c>
      <c r="F367" s="387" t="str">
        <f>IF(B367&lt;&gt;"",IFERROR(IF(LEFT($B367,3)=$Z$2,VLOOKUP($C367,Outbound!$B:$Z,11,FALSE),VLOOKUP($B367,Outbound!$B:$Z,11,FALSE)),"NON TROVATO"),"")</f>
        <v/>
      </c>
      <c r="G367" s="394" t="str">
        <f>IF(B367&lt;&gt;"",IFERROR(IF(LEFT($B367,3)=$Z$2,VLOOKUP($C367,Outbound!$B:$AAZ,16,FALSE),VLOOKUP($B367,Outbound!$B:$AAZ,16,FALSE)),"NON TROVATO"),"")</f>
        <v/>
      </c>
      <c r="H367" s="394" t="str">
        <f>IF(B367&lt;&gt;"",IFERROR(IF(LEFT($B367,3)=$Z$2,VLOOKUP($C367,Outbound!$B:$AAZ,6,FALSE),VLOOKUP($B367,Outbound!$B:$AAZ,6,FALSE)),"NON TROVATO"),"")</f>
        <v/>
      </c>
      <c r="I367" s="394" t="str">
        <f>IF(B367&lt;&gt;"",IFERROR(IF(LEFT($B367,3)=$Z$2,VLOOKUP($C367,Outbound!$B:$AAZ,52,FALSE),VLOOKUP($B367,Outbound!$B:$AAZ,52,FALSE)),"NON TROVATO"),"")</f>
        <v/>
      </c>
      <c r="J367" s="396"/>
      <c r="K367" s="387" t="str">
        <f>IF(B367&lt;&gt;"",IF($D367&lt;&gt;"ON ROCS/NOT ON FILE",IFERROR(_xlfn.XLOOKUP(LEFT($D367,3),'STAT 77 Table'!$B:$B,'STAT 77 Table'!$A:$A),"ZZ"&amp;RIGHT($B367,4)),""),"")</f>
        <v/>
      </c>
      <c r="L367" s="396"/>
      <c r="O367" s="388"/>
      <c r="P367" s="388"/>
      <c r="AA367" s="421">
        <f t="shared" si="5"/>
        <v>0</v>
      </c>
    </row>
    <row r="368" spans="1:27" ht="16.5">
      <c r="A368" s="387">
        <f>'STAT 77 Table'!$I$348</f>
        <v>0</v>
      </c>
      <c r="B368"/>
      <c r="C368"/>
      <c r="D368" s="387" t="str">
        <f>IF($B368&lt;&gt;"",IFERROR(IF(LEFT($B368,3)=$Z$2,VLOOKUP($C368,Outbound!$B:$Z,4,FALSE),VLOOKUP($B368,Outbound!$B:$Z,4,FALSE)),"ON ROCS/NOT ON FILE"),"")</f>
        <v/>
      </c>
      <c r="E368" s="387" t="str">
        <f>IF($B368&lt;&gt;"",IFERROR(IF(LEFT($B368,4)=$Z$2,VLOOKUP($C368,Outbound!$B:$Z,5,FALSE),VLOOKUP($B368,Outbound!$B:$Z,5,FALSE)),"ON ROCS/NOT ON FILE"),"")</f>
        <v/>
      </c>
      <c r="F368" s="387" t="str">
        <f>IF(B368&lt;&gt;"",IFERROR(IF(LEFT($B368,3)=$Z$2,VLOOKUP($C368,Outbound!$B:$Z,11,FALSE),VLOOKUP($B368,Outbound!$B:$Z,11,FALSE)),"NON TROVATO"),"")</f>
        <v/>
      </c>
      <c r="G368" s="394" t="str">
        <f>IF(B368&lt;&gt;"",IFERROR(IF(LEFT($B368,3)=$Z$2,VLOOKUP($C368,Outbound!$B:$AAZ,16,FALSE),VLOOKUP($B368,Outbound!$B:$AAZ,16,FALSE)),"NON TROVATO"),"")</f>
        <v/>
      </c>
      <c r="H368" s="394" t="str">
        <f>IF(B368&lt;&gt;"",IFERROR(IF(LEFT($B368,3)=$Z$2,VLOOKUP($C368,Outbound!$B:$AAZ,6,FALSE),VLOOKUP($B368,Outbound!$B:$AAZ,6,FALSE)),"NON TROVATO"),"")</f>
        <v/>
      </c>
      <c r="I368" s="394" t="str">
        <f>IF(B368&lt;&gt;"",IFERROR(IF(LEFT($B368,3)=$Z$2,VLOOKUP($C368,Outbound!$B:$AAZ,52,FALSE),VLOOKUP($B368,Outbound!$B:$AAZ,52,FALSE)),"NON TROVATO"),"")</f>
        <v/>
      </c>
      <c r="J368" s="396"/>
      <c r="K368" s="387" t="str">
        <f>IF(B368&lt;&gt;"",IF($D368&lt;&gt;"ON ROCS/NOT ON FILE",IFERROR(_xlfn.XLOOKUP(LEFT($D368,3),'STAT 77 Table'!$B:$B,'STAT 77 Table'!$A:$A),"ZZ"&amp;RIGHT($B368,4)),""),"")</f>
        <v/>
      </c>
      <c r="L368" s="396"/>
      <c r="O368" s="388"/>
      <c r="P368" s="388"/>
      <c r="AA368" s="421">
        <f t="shared" si="5"/>
        <v>0</v>
      </c>
    </row>
    <row r="369" spans="1:27" ht="16.5">
      <c r="A369" s="387">
        <f>'STAT 77 Table'!$I$349</f>
        <v>0</v>
      </c>
      <c r="B369"/>
      <c r="C369"/>
      <c r="D369" s="387" t="str">
        <f>IF($B369&lt;&gt;"",IFERROR(IF(LEFT($B369,3)=$Z$2,VLOOKUP($C369,Outbound!$B:$Z,4,FALSE),VLOOKUP($B369,Outbound!$B:$Z,4,FALSE)),"ON ROCS/NOT ON FILE"),"")</f>
        <v/>
      </c>
      <c r="E369" s="387" t="str">
        <f>IF($B369&lt;&gt;"",IFERROR(IF(LEFT($B369,4)=$Z$2,VLOOKUP($C369,Outbound!$B:$Z,5,FALSE),VLOOKUP($B369,Outbound!$B:$Z,5,FALSE)),"ON ROCS/NOT ON FILE"),"")</f>
        <v/>
      </c>
      <c r="F369" s="387" t="str">
        <f>IF(B369&lt;&gt;"",IFERROR(IF(LEFT($B369,3)=$Z$2,VLOOKUP($C369,Outbound!$B:$Z,11,FALSE),VLOOKUP($B369,Outbound!$B:$Z,11,FALSE)),"NON TROVATO"),"")</f>
        <v/>
      </c>
      <c r="G369" s="394" t="str">
        <f>IF(B369&lt;&gt;"",IFERROR(IF(LEFT($B369,3)=$Z$2,VLOOKUP($C369,Outbound!$B:$AAZ,16,FALSE),VLOOKUP($B369,Outbound!$B:$AAZ,16,FALSE)),"NON TROVATO"),"")</f>
        <v/>
      </c>
      <c r="H369" s="394" t="str">
        <f>IF(B369&lt;&gt;"",IFERROR(IF(LEFT($B369,3)=$Z$2,VLOOKUP($C369,Outbound!$B:$AAZ,6,FALSE),VLOOKUP($B369,Outbound!$B:$AAZ,6,FALSE)),"NON TROVATO"),"")</f>
        <v/>
      </c>
      <c r="I369" s="394" t="str">
        <f>IF(B369&lt;&gt;"",IFERROR(IF(LEFT($B369,3)=$Z$2,VLOOKUP($C369,Outbound!$B:$AAZ,52,FALSE),VLOOKUP($B369,Outbound!$B:$AAZ,52,FALSE)),"NON TROVATO"),"")</f>
        <v/>
      </c>
      <c r="J369" s="396"/>
      <c r="K369" s="387" t="str">
        <f>IF(B369&lt;&gt;"",IF($D369&lt;&gt;"ON ROCS/NOT ON FILE",IFERROR(_xlfn.XLOOKUP(LEFT($D369,3),'STAT 77 Table'!$B:$B,'STAT 77 Table'!$A:$A),"ZZ"&amp;RIGHT($B369,4)),""),"")</f>
        <v/>
      </c>
      <c r="L369" s="396"/>
      <c r="O369" s="388"/>
      <c r="P369" s="388"/>
      <c r="AA369" s="421">
        <f t="shared" si="5"/>
        <v>0</v>
      </c>
    </row>
    <row r="370" spans="1:27" ht="16.5">
      <c r="A370" s="387">
        <f>'STAT 77 Table'!$I$350</f>
        <v>0</v>
      </c>
      <c r="B370"/>
      <c r="C370"/>
      <c r="D370" s="387" t="str">
        <f>IF($B370&lt;&gt;"",IFERROR(IF(LEFT($B370,3)=$Z$2,VLOOKUP($C370,Outbound!$B:$Z,4,FALSE),VLOOKUP($B370,Outbound!$B:$Z,4,FALSE)),"ON ROCS/NOT ON FILE"),"")</f>
        <v/>
      </c>
      <c r="E370" s="387" t="str">
        <f>IF($B370&lt;&gt;"",IFERROR(IF(LEFT($B370,4)=$Z$2,VLOOKUP($C370,Outbound!$B:$Z,5,FALSE),VLOOKUP($B370,Outbound!$B:$Z,5,FALSE)),"ON ROCS/NOT ON FILE"),"")</f>
        <v/>
      </c>
      <c r="F370" s="387" t="str">
        <f>IF(B370&lt;&gt;"",IFERROR(IF(LEFT($B370,3)=$Z$2,VLOOKUP($C370,Outbound!$B:$Z,11,FALSE),VLOOKUP($B370,Outbound!$B:$Z,11,FALSE)),"NON TROVATO"),"")</f>
        <v/>
      </c>
      <c r="G370" s="394" t="str">
        <f>IF(B370&lt;&gt;"",IFERROR(IF(LEFT($B370,3)=$Z$2,VLOOKUP($C370,Outbound!$B:$AAZ,16,FALSE),VLOOKUP($B370,Outbound!$B:$AAZ,16,FALSE)),"NON TROVATO"),"")</f>
        <v/>
      </c>
      <c r="H370" s="394" t="str">
        <f>IF(B370&lt;&gt;"",IFERROR(IF(LEFT($B370,3)=$Z$2,VLOOKUP($C370,Outbound!$B:$AAZ,6,FALSE),VLOOKUP($B370,Outbound!$B:$AAZ,6,FALSE)),"NON TROVATO"),"")</f>
        <v/>
      </c>
      <c r="I370" s="394" t="str">
        <f>IF(B370&lt;&gt;"",IFERROR(IF(LEFT($B370,3)=$Z$2,VLOOKUP($C370,Outbound!$B:$AAZ,52,FALSE),VLOOKUP($B370,Outbound!$B:$AAZ,52,FALSE)),"NON TROVATO"),"")</f>
        <v/>
      </c>
      <c r="J370" s="396"/>
      <c r="K370" s="387" t="str">
        <f>IF(B370&lt;&gt;"",IF($D370&lt;&gt;"ON ROCS/NOT ON FILE",IFERROR(_xlfn.XLOOKUP(LEFT($D370,3),'STAT 77 Table'!$B:$B,'STAT 77 Table'!$A:$A),"ZZ"&amp;RIGHT($B370,4)),""),"")</f>
        <v/>
      </c>
      <c r="L370" s="396"/>
      <c r="O370" s="388"/>
      <c r="P370" s="388"/>
      <c r="AA370" s="421">
        <f t="shared" si="5"/>
        <v>0</v>
      </c>
    </row>
    <row r="371" spans="1:27" ht="16.5">
      <c r="A371" s="387">
        <f>'STAT 77 Table'!$I$351</f>
        <v>0</v>
      </c>
      <c r="B371"/>
      <c r="C371"/>
      <c r="D371" s="387" t="str">
        <f>IF($B371&lt;&gt;"",IFERROR(IF(LEFT($B371,3)=$Z$2,VLOOKUP($C371,Outbound!$B:$Z,4,FALSE),VLOOKUP($B371,Outbound!$B:$Z,4,FALSE)),"ON ROCS/NOT ON FILE"),"")</f>
        <v/>
      </c>
      <c r="E371" s="387" t="str">
        <f>IF($B371&lt;&gt;"",IFERROR(IF(LEFT($B371,4)=$Z$2,VLOOKUP($C371,Outbound!$B:$Z,5,FALSE),VLOOKUP($B371,Outbound!$B:$Z,5,FALSE)),"ON ROCS/NOT ON FILE"),"")</f>
        <v/>
      </c>
      <c r="F371" s="387" t="str">
        <f>IF(B371&lt;&gt;"",IFERROR(IF(LEFT($B371,3)=$Z$2,VLOOKUP($C371,Outbound!$B:$Z,11,FALSE),VLOOKUP($B371,Outbound!$B:$Z,11,FALSE)),"NON TROVATO"),"")</f>
        <v/>
      </c>
      <c r="G371" s="394" t="str">
        <f>IF(B371&lt;&gt;"",IFERROR(IF(LEFT($B371,3)=$Z$2,VLOOKUP($C371,Outbound!$B:$AAZ,16,FALSE),VLOOKUP($B371,Outbound!$B:$AAZ,16,FALSE)),"NON TROVATO"),"")</f>
        <v/>
      </c>
      <c r="H371" s="394" t="str">
        <f>IF(B371&lt;&gt;"",IFERROR(IF(LEFT($B371,3)=$Z$2,VLOOKUP($C371,Outbound!$B:$AAZ,6,FALSE),VLOOKUP($B371,Outbound!$B:$AAZ,6,FALSE)),"NON TROVATO"),"")</f>
        <v/>
      </c>
      <c r="I371" s="394" t="str">
        <f>IF(B371&lt;&gt;"",IFERROR(IF(LEFT($B371,3)=$Z$2,VLOOKUP($C371,Outbound!$B:$AAZ,52,FALSE),VLOOKUP($B371,Outbound!$B:$AAZ,52,FALSE)),"NON TROVATO"),"")</f>
        <v/>
      </c>
      <c r="J371" s="396"/>
      <c r="K371" s="387" t="str">
        <f>IF(B371&lt;&gt;"",IF($D371&lt;&gt;"ON ROCS/NOT ON FILE",IFERROR(_xlfn.XLOOKUP(LEFT($D371,3),'STAT 77 Table'!$B:$B,'STAT 77 Table'!$A:$A),"ZZ"&amp;RIGHT($B371,4)),""),"")</f>
        <v/>
      </c>
      <c r="L371" s="396"/>
      <c r="O371" s="388"/>
      <c r="P371" s="388"/>
      <c r="AA371" s="421">
        <f t="shared" si="5"/>
        <v>0</v>
      </c>
    </row>
    <row r="372" spans="1:27" ht="16.5">
      <c r="A372" s="387">
        <f>'STAT 77 Table'!$I$352</f>
        <v>0</v>
      </c>
      <c r="B372"/>
      <c r="C372"/>
      <c r="D372" s="387" t="str">
        <f>IF($B372&lt;&gt;"",IFERROR(IF(LEFT($B372,3)=$Z$2,VLOOKUP($C372,Outbound!$B:$Z,4,FALSE),VLOOKUP($B372,Outbound!$B:$Z,4,FALSE)),"ON ROCS/NOT ON FILE"),"")</f>
        <v/>
      </c>
      <c r="E372" s="387" t="str">
        <f>IF($B372&lt;&gt;"",IFERROR(IF(LEFT($B372,4)=$Z$2,VLOOKUP($C372,Outbound!$B:$Z,5,FALSE),VLOOKUP($B372,Outbound!$B:$Z,5,FALSE)),"ON ROCS/NOT ON FILE"),"")</f>
        <v/>
      </c>
      <c r="F372" s="387" t="str">
        <f>IF(B372&lt;&gt;"",IFERROR(IF(LEFT($B372,3)=$Z$2,VLOOKUP($C372,Outbound!$B:$Z,11,FALSE),VLOOKUP($B372,Outbound!$B:$Z,11,FALSE)),"NON TROVATO"),"")</f>
        <v/>
      </c>
      <c r="G372" s="394" t="str">
        <f>IF(B372&lt;&gt;"",IFERROR(IF(LEFT($B372,3)=$Z$2,VLOOKUP($C372,Outbound!$B:$AAZ,16,FALSE),VLOOKUP($B372,Outbound!$B:$AAZ,16,FALSE)),"NON TROVATO"),"")</f>
        <v/>
      </c>
      <c r="H372" s="394" t="str">
        <f>IF(B372&lt;&gt;"",IFERROR(IF(LEFT($B372,3)=$Z$2,VLOOKUP($C372,Outbound!$B:$AAZ,6,FALSE),VLOOKUP($B372,Outbound!$B:$AAZ,6,FALSE)),"NON TROVATO"),"")</f>
        <v/>
      </c>
      <c r="I372" s="394" t="str">
        <f>IF(B372&lt;&gt;"",IFERROR(IF(LEFT($B372,3)=$Z$2,VLOOKUP($C372,Outbound!$B:$AAZ,52,FALSE),VLOOKUP($B372,Outbound!$B:$AAZ,52,FALSE)),"NON TROVATO"),"")</f>
        <v/>
      </c>
      <c r="J372" s="396"/>
      <c r="K372" s="387" t="str">
        <f>IF(B372&lt;&gt;"",IF($D372&lt;&gt;"ON ROCS/NOT ON FILE",IFERROR(_xlfn.XLOOKUP(LEFT($D372,3),'STAT 77 Table'!$B:$B,'STAT 77 Table'!$A:$A),"ZZ"&amp;RIGHT($B372,4)),""),"")</f>
        <v/>
      </c>
      <c r="L372" s="396"/>
      <c r="O372" s="388"/>
      <c r="P372" s="388"/>
      <c r="AA372" s="421">
        <f t="shared" si="5"/>
        <v>0</v>
      </c>
    </row>
    <row r="373" spans="1:27" ht="16.5">
      <c r="A373" s="387">
        <f>'STAT 77 Table'!$I$353</f>
        <v>0</v>
      </c>
      <c r="B373"/>
      <c r="C373"/>
      <c r="D373" s="387" t="str">
        <f>IF($B373&lt;&gt;"",IFERROR(IF(LEFT($B373,3)=$Z$2,VLOOKUP($C373,Outbound!$B:$Z,4,FALSE),VLOOKUP($B373,Outbound!$B:$Z,4,FALSE)),"ON ROCS/NOT ON FILE"),"")</f>
        <v/>
      </c>
      <c r="E373" s="387" t="str">
        <f>IF($B373&lt;&gt;"",IFERROR(IF(LEFT($B373,4)=$Z$2,VLOOKUP($C373,Outbound!$B:$Z,5,FALSE),VLOOKUP($B373,Outbound!$B:$Z,5,FALSE)),"ON ROCS/NOT ON FILE"),"")</f>
        <v/>
      </c>
      <c r="F373" s="387" t="str">
        <f>IF(B373&lt;&gt;"",IFERROR(IF(LEFT($B373,3)=$Z$2,VLOOKUP($C373,Outbound!$B:$Z,11,FALSE),VLOOKUP($B373,Outbound!$B:$Z,11,FALSE)),"NON TROVATO"),"")</f>
        <v/>
      </c>
      <c r="G373" s="394" t="str">
        <f>IF(B373&lt;&gt;"",IFERROR(IF(LEFT($B373,3)=$Z$2,VLOOKUP($C373,Outbound!$B:$AAZ,16,FALSE),VLOOKUP($B373,Outbound!$B:$AAZ,16,FALSE)),"NON TROVATO"),"")</f>
        <v/>
      </c>
      <c r="H373" s="394" t="str">
        <f>IF(B373&lt;&gt;"",IFERROR(IF(LEFT($B373,3)=$Z$2,VLOOKUP($C373,Outbound!$B:$AAZ,6,FALSE),VLOOKUP($B373,Outbound!$B:$AAZ,6,FALSE)),"NON TROVATO"),"")</f>
        <v/>
      </c>
      <c r="I373" s="394" t="str">
        <f>IF(B373&lt;&gt;"",IFERROR(IF(LEFT($B373,3)=$Z$2,VLOOKUP($C373,Outbound!$B:$AAZ,52,FALSE),VLOOKUP($B373,Outbound!$B:$AAZ,52,FALSE)),"NON TROVATO"),"")</f>
        <v/>
      </c>
      <c r="J373" s="396"/>
      <c r="K373" s="387" t="str">
        <f>IF(B373&lt;&gt;"",IF($D373&lt;&gt;"ON ROCS/NOT ON FILE",IFERROR(_xlfn.XLOOKUP(LEFT($D373,3),'STAT 77 Table'!$B:$B,'STAT 77 Table'!$A:$A),"ZZ"&amp;RIGHT($B373,4)),""),"")</f>
        <v/>
      </c>
      <c r="L373" s="396"/>
      <c r="O373" s="388"/>
      <c r="P373" s="388"/>
      <c r="AA373" s="421">
        <f t="shared" si="5"/>
        <v>0</v>
      </c>
    </row>
    <row r="374" spans="1:27" ht="16.5">
      <c r="A374" s="387">
        <f>'STAT 77 Table'!$I$354</f>
        <v>0</v>
      </c>
      <c r="B374"/>
      <c r="C374"/>
      <c r="D374" s="387" t="str">
        <f>IF($B374&lt;&gt;"",IFERROR(IF(LEFT($B374,3)=$Z$2,VLOOKUP($C374,Outbound!$B:$Z,4,FALSE),VLOOKUP($B374,Outbound!$B:$Z,4,FALSE)),"ON ROCS/NOT ON FILE"),"")</f>
        <v/>
      </c>
      <c r="E374" s="387" t="str">
        <f>IF($B374&lt;&gt;"",IFERROR(IF(LEFT($B374,4)=$Z$2,VLOOKUP($C374,Outbound!$B:$Z,5,FALSE),VLOOKUP($B374,Outbound!$B:$Z,5,FALSE)),"ON ROCS/NOT ON FILE"),"")</f>
        <v/>
      </c>
      <c r="F374" s="387" t="str">
        <f>IF(B374&lt;&gt;"",IFERROR(IF(LEFT($B374,3)=$Z$2,VLOOKUP($C374,Outbound!$B:$Z,11,FALSE),VLOOKUP($B374,Outbound!$B:$Z,11,FALSE)),"NON TROVATO"),"")</f>
        <v/>
      </c>
      <c r="G374" s="394" t="str">
        <f>IF(B374&lt;&gt;"",IFERROR(IF(LEFT($B374,3)=$Z$2,VLOOKUP($C374,Outbound!$B:$AAZ,16,FALSE),VLOOKUP($B374,Outbound!$B:$AAZ,16,FALSE)),"NON TROVATO"),"")</f>
        <v/>
      </c>
      <c r="H374" s="394" t="str">
        <f>IF(B374&lt;&gt;"",IFERROR(IF(LEFT($B374,3)=$Z$2,VLOOKUP($C374,Outbound!$B:$AAZ,6,FALSE),VLOOKUP($B374,Outbound!$B:$AAZ,6,FALSE)),"NON TROVATO"),"")</f>
        <v/>
      </c>
      <c r="I374" s="394" t="str">
        <f>IF(B374&lt;&gt;"",IFERROR(IF(LEFT($B374,3)=$Z$2,VLOOKUP($C374,Outbound!$B:$AAZ,52,FALSE),VLOOKUP($B374,Outbound!$B:$AAZ,52,FALSE)),"NON TROVATO"),"")</f>
        <v/>
      </c>
      <c r="J374" s="396"/>
      <c r="K374" s="387" t="str">
        <f>IF(B374&lt;&gt;"",IF($D374&lt;&gt;"ON ROCS/NOT ON FILE",IFERROR(_xlfn.XLOOKUP(LEFT($D374,3),'STAT 77 Table'!$B:$B,'STAT 77 Table'!$A:$A),"ZZ"&amp;RIGHT($B374,4)),""),"")</f>
        <v/>
      </c>
      <c r="L374" s="396"/>
      <c r="O374" s="388"/>
      <c r="P374" s="388"/>
      <c r="AA374" s="421">
        <f t="shared" si="5"/>
        <v>0</v>
      </c>
    </row>
    <row r="375" spans="1:27" ht="16.5">
      <c r="A375" s="387">
        <f>'STAT 77 Table'!$I$355</f>
        <v>0</v>
      </c>
      <c r="B375"/>
      <c r="C375"/>
      <c r="D375" s="387" t="str">
        <f>IF($B375&lt;&gt;"",IFERROR(IF(LEFT($B375,3)=$Z$2,VLOOKUP($C375,Outbound!$B:$Z,4,FALSE),VLOOKUP($B375,Outbound!$B:$Z,4,FALSE)),"ON ROCS/NOT ON FILE"),"")</f>
        <v/>
      </c>
      <c r="E375" s="387" t="str">
        <f>IF($B375&lt;&gt;"",IFERROR(IF(LEFT($B375,4)=$Z$2,VLOOKUP($C375,Outbound!$B:$Z,5,FALSE),VLOOKUP($B375,Outbound!$B:$Z,5,FALSE)),"ON ROCS/NOT ON FILE"),"")</f>
        <v/>
      </c>
      <c r="F375" s="387" t="str">
        <f>IF(B375&lt;&gt;"",IFERROR(IF(LEFT($B375,3)=$Z$2,VLOOKUP($C375,Outbound!$B:$Z,11,FALSE),VLOOKUP($B375,Outbound!$B:$Z,11,FALSE)),"NON TROVATO"),"")</f>
        <v/>
      </c>
      <c r="G375" s="394" t="str">
        <f>IF(B375&lt;&gt;"",IFERROR(IF(LEFT($B375,3)=$Z$2,VLOOKUP($C375,Outbound!$B:$AAZ,16,FALSE),VLOOKUP($B375,Outbound!$B:$AAZ,16,FALSE)),"NON TROVATO"),"")</f>
        <v/>
      </c>
      <c r="H375" s="394" t="str">
        <f>IF(B375&lt;&gt;"",IFERROR(IF(LEFT($B375,3)=$Z$2,VLOOKUP($C375,Outbound!$B:$AAZ,6,FALSE),VLOOKUP($B375,Outbound!$B:$AAZ,6,FALSE)),"NON TROVATO"),"")</f>
        <v/>
      </c>
      <c r="I375" s="394" t="str">
        <f>IF(B375&lt;&gt;"",IFERROR(IF(LEFT($B375,3)=$Z$2,VLOOKUP($C375,Outbound!$B:$AAZ,52,FALSE),VLOOKUP($B375,Outbound!$B:$AAZ,52,FALSE)),"NON TROVATO"),"")</f>
        <v/>
      </c>
      <c r="J375" s="396"/>
      <c r="K375" s="387" t="str">
        <f>IF(B375&lt;&gt;"",IF($D375&lt;&gt;"ON ROCS/NOT ON FILE",IFERROR(_xlfn.XLOOKUP(LEFT($D375,3),'STAT 77 Table'!$B:$B,'STAT 77 Table'!$A:$A),"ZZ"&amp;RIGHT($B375,4)),""),"")</f>
        <v/>
      </c>
      <c r="L375" s="396"/>
      <c r="O375" s="388"/>
      <c r="P375" s="388"/>
      <c r="AA375" s="421">
        <f t="shared" si="5"/>
        <v>0</v>
      </c>
    </row>
    <row r="376" spans="1:27" ht="16.5">
      <c r="A376" s="387">
        <f>'STAT 77 Table'!$I$356</f>
        <v>0</v>
      </c>
      <c r="B376"/>
      <c r="C376"/>
      <c r="D376" s="387" t="str">
        <f>IF($B376&lt;&gt;"",IFERROR(IF(LEFT($B376,3)=$Z$2,VLOOKUP($C376,Outbound!$B:$Z,4,FALSE),VLOOKUP($B376,Outbound!$B:$Z,4,FALSE)),"ON ROCS/NOT ON FILE"),"")</f>
        <v/>
      </c>
      <c r="E376" s="387" t="str">
        <f>IF($B376&lt;&gt;"",IFERROR(IF(LEFT($B376,4)=$Z$2,VLOOKUP($C376,Outbound!$B:$Z,5,FALSE),VLOOKUP($B376,Outbound!$B:$Z,5,FALSE)),"ON ROCS/NOT ON FILE"),"")</f>
        <v/>
      </c>
      <c r="F376" s="387" t="str">
        <f>IF(B376&lt;&gt;"",IFERROR(IF(LEFT($B376,3)=$Z$2,VLOOKUP($C376,Outbound!$B:$Z,11,FALSE),VLOOKUP($B376,Outbound!$B:$Z,11,FALSE)),"NON TROVATO"),"")</f>
        <v/>
      </c>
      <c r="G376" s="394" t="str">
        <f>IF(B376&lt;&gt;"",IFERROR(IF(LEFT($B376,3)=$Z$2,VLOOKUP($C376,Outbound!$B:$AAZ,16,FALSE),VLOOKUP($B376,Outbound!$B:$AAZ,16,FALSE)),"NON TROVATO"),"")</f>
        <v/>
      </c>
      <c r="H376" s="394" t="str">
        <f>IF(B376&lt;&gt;"",IFERROR(IF(LEFT($B376,3)=$Z$2,VLOOKUP($C376,Outbound!$B:$AAZ,6,FALSE),VLOOKUP($B376,Outbound!$B:$AAZ,6,FALSE)),"NON TROVATO"),"")</f>
        <v/>
      </c>
      <c r="I376" s="394" t="str">
        <f>IF(B376&lt;&gt;"",IFERROR(IF(LEFT($B376,3)=$Z$2,VLOOKUP($C376,Outbound!$B:$AAZ,52,FALSE),VLOOKUP($B376,Outbound!$B:$AAZ,52,FALSE)),"NON TROVATO"),"")</f>
        <v/>
      </c>
      <c r="J376" s="396"/>
      <c r="K376" s="387" t="str">
        <f>IF(B376&lt;&gt;"",IF($D376&lt;&gt;"ON ROCS/NOT ON FILE",IFERROR(_xlfn.XLOOKUP(LEFT($D376,3),'STAT 77 Table'!$B:$B,'STAT 77 Table'!$A:$A),"ZZ"&amp;RIGHT($B376,4)),""),"")</f>
        <v/>
      </c>
      <c r="L376" s="396"/>
      <c r="O376" s="388"/>
      <c r="P376" s="388"/>
      <c r="AA376" s="421">
        <f t="shared" si="5"/>
        <v>0</v>
      </c>
    </row>
    <row r="377" spans="1:27" ht="16.5">
      <c r="A377" s="387">
        <f>'STAT 77 Table'!$I$357</f>
        <v>0</v>
      </c>
      <c r="B377"/>
      <c r="C377"/>
      <c r="D377" s="387" t="str">
        <f>IF($B377&lt;&gt;"",IFERROR(IF(LEFT($B377,3)=$Z$2,VLOOKUP($C377,Outbound!$B:$Z,4,FALSE),VLOOKUP($B377,Outbound!$B:$Z,4,FALSE)),"ON ROCS/NOT ON FILE"),"")</f>
        <v/>
      </c>
      <c r="E377" s="387" t="str">
        <f>IF($B377&lt;&gt;"",IFERROR(IF(LEFT($B377,4)=$Z$2,VLOOKUP($C377,Outbound!$B:$Z,5,FALSE),VLOOKUP($B377,Outbound!$B:$Z,5,FALSE)),"ON ROCS/NOT ON FILE"),"")</f>
        <v/>
      </c>
      <c r="F377" s="387" t="str">
        <f>IF(B377&lt;&gt;"",IFERROR(IF(LEFT($B377,3)=$Z$2,VLOOKUP($C377,Outbound!$B:$Z,11,FALSE),VLOOKUP($B377,Outbound!$B:$Z,11,FALSE)),"NON TROVATO"),"")</f>
        <v/>
      </c>
      <c r="G377" s="394" t="str">
        <f>IF(B377&lt;&gt;"",IFERROR(IF(LEFT($B377,3)=$Z$2,VLOOKUP($C377,Outbound!$B:$AAZ,16,FALSE),VLOOKUP($B377,Outbound!$B:$AAZ,16,FALSE)),"NON TROVATO"),"")</f>
        <v/>
      </c>
      <c r="H377" s="394" t="str">
        <f>IF(B377&lt;&gt;"",IFERROR(IF(LEFT($B377,3)=$Z$2,VLOOKUP($C377,Outbound!$B:$AAZ,6,FALSE),VLOOKUP($B377,Outbound!$B:$AAZ,6,FALSE)),"NON TROVATO"),"")</f>
        <v/>
      </c>
      <c r="I377" s="394" t="str">
        <f>IF(B377&lt;&gt;"",IFERROR(IF(LEFT($B377,3)=$Z$2,VLOOKUP($C377,Outbound!$B:$AAZ,52,FALSE),VLOOKUP($B377,Outbound!$B:$AAZ,52,FALSE)),"NON TROVATO"),"")</f>
        <v/>
      </c>
      <c r="J377" s="396"/>
      <c r="K377" s="387" t="str">
        <f>IF(B377&lt;&gt;"",IF($D377&lt;&gt;"ON ROCS/NOT ON FILE",IFERROR(_xlfn.XLOOKUP(LEFT($D377,3),'STAT 77 Table'!$B:$B,'STAT 77 Table'!$A:$A),"ZZ"&amp;RIGHT($B377,4)),""),"")</f>
        <v/>
      </c>
      <c r="L377" s="396"/>
      <c r="O377" s="388"/>
      <c r="P377" s="388"/>
      <c r="AA377" s="421">
        <f t="shared" si="5"/>
        <v>0</v>
      </c>
    </row>
    <row r="378" spans="1:27" ht="16.5">
      <c r="A378" s="387">
        <f>'STAT 77 Table'!$I$358</f>
        <v>0</v>
      </c>
      <c r="B378"/>
      <c r="C378"/>
      <c r="D378" s="387" t="str">
        <f>IF($B378&lt;&gt;"",IFERROR(IF(LEFT($B378,3)=$Z$2,VLOOKUP($C378,Outbound!$B:$Z,4,FALSE),VLOOKUP($B378,Outbound!$B:$Z,4,FALSE)),"ON ROCS/NOT ON FILE"),"")</f>
        <v/>
      </c>
      <c r="E378" s="387" t="str">
        <f>IF($B378&lt;&gt;"",IFERROR(IF(LEFT($B378,4)=$Z$2,VLOOKUP($C378,Outbound!$B:$Z,5,FALSE),VLOOKUP($B378,Outbound!$B:$Z,5,FALSE)),"ON ROCS/NOT ON FILE"),"")</f>
        <v/>
      </c>
      <c r="F378" s="387" t="str">
        <f>IF(B378&lt;&gt;"",IFERROR(IF(LEFT($B378,3)=$Z$2,VLOOKUP($C378,Outbound!$B:$Z,11,FALSE),VLOOKUP($B378,Outbound!$B:$Z,11,FALSE)),"NON TROVATO"),"")</f>
        <v/>
      </c>
      <c r="G378" s="394" t="str">
        <f>IF(B378&lt;&gt;"",IFERROR(IF(LEFT($B378,3)=$Z$2,VLOOKUP($C378,Outbound!$B:$AAZ,16,FALSE),VLOOKUP($B378,Outbound!$B:$AAZ,16,FALSE)),"NON TROVATO"),"")</f>
        <v/>
      </c>
      <c r="H378" s="394" t="str">
        <f>IF(B378&lt;&gt;"",IFERROR(IF(LEFT($B378,3)=$Z$2,VLOOKUP($C378,Outbound!$B:$AAZ,6,FALSE),VLOOKUP($B378,Outbound!$B:$AAZ,6,FALSE)),"NON TROVATO"),"")</f>
        <v/>
      </c>
      <c r="I378" s="394" t="str">
        <f>IF(B378&lt;&gt;"",IFERROR(IF(LEFT($B378,3)=$Z$2,VLOOKUP($C378,Outbound!$B:$AAZ,52,FALSE),VLOOKUP($B378,Outbound!$B:$AAZ,52,FALSE)),"NON TROVATO"),"")</f>
        <v/>
      </c>
      <c r="J378" s="396"/>
      <c r="K378" s="387" t="str">
        <f>IF(B378&lt;&gt;"",IF($D378&lt;&gt;"ON ROCS/NOT ON FILE",IFERROR(_xlfn.XLOOKUP(LEFT($D378,3),'STAT 77 Table'!$B:$B,'STAT 77 Table'!$A:$A),"ZZ"&amp;RIGHT($B378,4)),""),"")</f>
        <v/>
      </c>
      <c r="L378" s="396"/>
      <c r="O378" s="388"/>
      <c r="P378" s="388"/>
      <c r="AA378" s="421">
        <f t="shared" si="5"/>
        <v>0</v>
      </c>
    </row>
    <row r="379" spans="1:27" ht="16.5">
      <c r="A379" s="387">
        <f>'STAT 77 Table'!$I$359</f>
        <v>0</v>
      </c>
      <c r="B379"/>
      <c r="C379"/>
      <c r="D379" s="387" t="str">
        <f>IF($B379&lt;&gt;"",IFERROR(IF(LEFT($B379,3)=$Z$2,VLOOKUP($C379,Outbound!$B:$Z,4,FALSE),VLOOKUP($B379,Outbound!$B:$Z,4,FALSE)),"ON ROCS/NOT ON FILE"),"")</f>
        <v/>
      </c>
      <c r="E379" s="387" t="str">
        <f>IF($B379&lt;&gt;"",IFERROR(IF(LEFT($B379,4)=$Z$2,VLOOKUP($C379,Outbound!$B:$Z,5,FALSE),VLOOKUP($B379,Outbound!$B:$Z,5,FALSE)),"ON ROCS/NOT ON FILE"),"")</f>
        <v/>
      </c>
      <c r="F379" s="387" t="str">
        <f>IF(B379&lt;&gt;"",IFERROR(IF(LEFT($B379,3)=$Z$2,VLOOKUP($C379,Outbound!$B:$Z,11,FALSE),VLOOKUP($B379,Outbound!$B:$Z,11,FALSE)),"NON TROVATO"),"")</f>
        <v/>
      </c>
      <c r="G379" s="394" t="str">
        <f>IF(B379&lt;&gt;"",IFERROR(IF(LEFT($B379,3)=$Z$2,VLOOKUP($C379,Outbound!$B:$AAZ,16,FALSE),VLOOKUP($B379,Outbound!$B:$AAZ,16,FALSE)),"NON TROVATO"),"")</f>
        <v/>
      </c>
      <c r="H379" s="394" t="str">
        <f>IF(B379&lt;&gt;"",IFERROR(IF(LEFT($B379,3)=$Z$2,VLOOKUP($C379,Outbound!$B:$AAZ,6,FALSE),VLOOKUP($B379,Outbound!$B:$AAZ,6,FALSE)),"NON TROVATO"),"")</f>
        <v/>
      </c>
      <c r="I379" s="394" t="str">
        <f>IF(B379&lt;&gt;"",IFERROR(IF(LEFT($B379,3)=$Z$2,VLOOKUP($C379,Outbound!$B:$AAZ,52,FALSE),VLOOKUP($B379,Outbound!$B:$AAZ,52,FALSE)),"NON TROVATO"),"")</f>
        <v/>
      </c>
      <c r="J379" s="396"/>
      <c r="K379" s="387" t="str">
        <f>IF(B379&lt;&gt;"",IF($D379&lt;&gt;"ON ROCS/NOT ON FILE",IFERROR(_xlfn.XLOOKUP(LEFT($D379,3),'STAT 77 Table'!$B:$B,'STAT 77 Table'!$A:$A),"ZZ"&amp;RIGHT($B379,4)),""),"")</f>
        <v/>
      </c>
      <c r="L379" s="396"/>
      <c r="O379" s="388"/>
      <c r="P379" s="388"/>
      <c r="AA379" s="421">
        <f t="shared" si="5"/>
        <v>0</v>
      </c>
    </row>
    <row r="380" spans="1:27" ht="16.5">
      <c r="A380" s="387">
        <f>'STAT 77 Table'!$I$360</f>
        <v>0</v>
      </c>
      <c r="B380"/>
      <c r="C380"/>
      <c r="D380" s="387" t="str">
        <f>IF($B380&lt;&gt;"",IFERROR(IF(LEFT($B380,3)=$Z$2,VLOOKUP($C380,Outbound!$B:$Z,4,FALSE),VLOOKUP($B380,Outbound!$B:$Z,4,FALSE)),"ON ROCS/NOT ON FILE"),"")</f>
        <v/>
      </c>
      <c r="E380" s="387" t="str">
        <f>IF($B380&lt;&gt;"",IFERROR(IF(LEFT($B380,4)=$Z$2,VLOOKUP($C380,Outbound!$B:$Z,5,FALSE),VLOOKUP($B380,Outbound!$B:$Z,5,FALSE)),"ON ROCS/NOT ON FILE"),"")</f>
        <v/>
      </c>
      <c r="F380" s="387" t="str">
        <f>IF(B380&lt;&gt;"",IFERROR(IF(LEFT($B380,3)=$Z$2,VLOOKUP($C380,Outbound!$B:$Z,11,FALSE),VLOOKUP($B380,Outbound!$B:$Z,11,FALSE)),"NON TROVATO"),"")</f>
        <v/>
      </c>
      <c r="G380" s="394" t="str">
        <f>IF(B380&lt;&gt;"",IFERROR(IF(LEFT($B380,3)=$Z$2,VLOOKUP($C380,Outbound!$B:$AAZ,16,FALSE),VLOOKUP($B380,Outbound!$B:$AAZ,16,FALSE)),"NON TROVATO"),"")</f>
        <v/>
      </c>
      <c r="H380" s="394" t="str">
        <f>IF(B380&lt;&gt;"",IFERROR(IF(LEFT($B380,3)=$Z$2,VLOOKUP($C380,Outbound!$B:$AAZ,6,FALSE),VLOOKUP($B380,Outbound!$B:$AAZ,6,FALSE)),"NON TROVATO"),"")</f>
        <v/>
      </c>
      <c r="I380" s="394" t="str">
        <f>IF(B380&lt;&gt;"",IFERROR(IF(LEFT($B380,3)=$Z$2,VLOOKUP($C380,Outbound!$B:$AAZ,52,FALSE),VLOOKUP($B380,Outbound!$B:$AAZ,52,FALSE)),"NON TROVATO"),"")</f>
        <v/>
      </c>
      <c r="J380" s="396"/>
      <c r="K380" s="387" t="str">
        <f>IF(B380&lt;&gt;"",IF($D380&lt;&gt;"ON ROCS/NOT ON FILE",IFERROR(_xlfn.XLOOKUP(LEFT($D380,3),'STAT 77 Table'!$B:$B,'STAT 77 Table'!$A:$A),"ZZ"&amp;RIGHT($B380,4)),""),"")</f>
        <v/>
      </c>
      <c r="L380" s="396"/>
      <c r="O380" s="388"/>
      <c r="P380" s="388"/>
      <c r="AA380" s="421">
        <f t="shared" si="5"/>
        <v>0</v>
      </c>
    </row>
    <row r="381" spans="1:27" ht="16.5">
      <c r="A381" s="387">
        <f>'STAT 77 Table'!$I$361</f>
        <v>0</v>
      </c>
      <c r="B381"/>
      <c r="C381"/>
      <c r="D381" s="387" t="str">
        <f>IF($B381&lt;&gt;"",IFERROR(IF(LEFT($B381,3)=$Z$2,VLOOKUP($C381,Outbound!$B:$Z,4,FALSE),VLOOKUP($B381,Outbound!$B:$Z,4,FALSE)),"ON ROCS/NOT ON FILE"),"")</f>
        <v/>
      </c>
      <c r="E381" s="387" t="str">
        <f>IF($B381&lt;&gt;"",IFERROR(IF(LEFT($B381,4)=$Z$2,VLOOKUP($C381,Outbound!$B:$Z,5,FALSE),VLOOKUP($B381,Outbound!$B:$Z,5,FALSE)),"ON ROCS/NOT ON FILE"),"")</f>
        <v/>
      </c>
      <c r="F381" s="387" t="str">
        <f>IF(B381&lt;&gt;"",IFERROR(IF(LEFT($B381,3)=$Z$2,VLOOKUP($C381,Outbound!$B:$Z,11,FALSE),VLOOKUP($B381,Outbound!$B:$Z,11,FALSE)),"NON TROVATO"),"")</f>
        <v/>
      </c>
      <c r="G381" s="394" t="str">
        <f>IF(B381&lt;&gt;"",IFERROR(IF(LEFT($B381,3)=$Z$2,VLOOKUP($C381,Outbound!$B:$AAZ,16,FALSE),VLOOKUP($B381,Outbound!$B:$AAZ,16,FALSE)),"NON TROVATO"),"")</f>
        <v/>
      </c>
      <c r="H381" s="394" t="str">
        <f>IF(B381&lt;&gt;"",IFERROR(IF(LEFT($B381,3)=$Z$2,VLOOKUP($C381,Outbound!$B:$AAZ,6,FALSE),VLOOKUP($B381,Outbound!$B:$AAZ,6,FALSE)),"NON TROVATO"),"")</f>
        <v/>
      </c>
      <c r="I381" s="394" t="str">
        <f>IF(B381&lt;&gt;"",IFERROR(IF(LEFT($B381,3)=$Z$2,VLOOKUP($C381,Outbound!$B:$AAZ,52,FALSE),VLOOKUP($B381,Outbound!$B:$AAZ,52,FALSE)),"NON TROVATO"),"")</f>
        <v/>
      </c>
      <c r="J381" s="396"/>
      <c r="K381" s="387" t="str">
        <f>IF(B381&lt;&gt;"",IF($D381&lt;&gt;"ON ROCS/NOT ON FILE",IFERROR(_xlfn.XLOOKUP(LEFT($D381,3),'STAT 77 Table'!$B:$B,'STAT 77 Table'!$A:$A),"ZZ"&amp;RIGHT($B381,4)),""),"")</f>
        <v/>
      </c>
      <c r="L381" s="396"/>
      <c r="O381" s="388"/>
      <c r="P381" s="388"/>
      <c r="AA381" s="421">
        <f t="shared" si="5"/>
        <v>0</v>
      </c>
    </row>
    <row r="382" spans="1:27" ht="16.5">
      <c r="A382" s="387">
        <f>'STAT 77 Table'!$I$362</f>
        <v>0</v>
      </c>
      <c r="B382"/>
      <c r="C382"/>
      <c r="D382" s="387" t="str">
        <f>IF($B382&lt;&gt;"",IFERROR(IF(LEFT($B382,3)=$Z$2,VLOOKUP($C382,Outbound!$B:$Z,4,FALSE),VLOOKUP($B382,Outbound!$B:$Z,4,FALSE)),"ON ROCS/NOT ON FILE"),"")</f>
        <v/>
      </c>
      <c r="E382" s="387" t="str">
        <f>IF($B382&lt;&gt;"",IFERROR(IF(LEFT($B382,4)=$Z$2,VLOOKUP($C382,Outbound!$B:$Z,5,FALSE),VLOOKUP($B382,Outbound!$B:$Z,5,FALSE)),"ON ROCS/NOT ON FILE"),"")</f>
        <v/>
      </c>
      <c r="F382" s="387" t="str">
        <f>IF(B382&lt;&gt;"",IFERROR(IF(LEFT($B382,3)=$Z$2,VLOOKUP($C382,Outbound!$B:$Z,11,FALSE),VLOOKUP($B382,Outbound!$B:$Z,11,FALSE)),"NON TROVATO"),"")</f>
        <v/>
      </c>
      <c r="G382" s="394" t="str">
        <f>IF(B382&lt;&gt;"",IFERROR(IF(LEFT($B382,3)=$Z$2,VLOOKUP($C382,Outbound!$B:$AAZ,16,FALSE),VLOOKUP($B382,Outbound!$B:$AAZ,16,FALSE)),"NON TROVATO"),"")</f>
        <v/>
      </c>
      <c r="H382" s="394" t="str">
        <f>IF(B382&lt;&gt;"",IFERROR(IF(LEFT($B382,3)=$Z$2,VLOOKUP($C382,Outbound!$B:$AAZ,6,FALSE),VLOOKUP($B382,Outbound!$B:$AAZ,6,FALSE)),"NON TROVATO"),"")</f>
        <v/>
      </c>
      <c r="I382" s="394" t="str">
        <f>IF(B382&lt;&gt;"",IFERROR(IF(LEFT($B382,3)=$Z$2,VLOOKUP($C382,Outbound!$B:$AAZ,52,FALSE),VLOOKUP($B382,Outbound!$B:$AAZ,52,FALSE)),"NON TROVATO"),"")</f>
        <v/>
      </c>
      <c r="J382" s="396"/>
      <c r="K382" s="387" t="str">
        <f>IF(B382&lt;&gt;"",IF($D382&lt;&gt;"ON ROCS/NOT ON FILE",IFERROR(_xlfn.XLOOKUP(LEFT($D382,3),'STAT 77 Table'!$B:$B,'STAT 77 Table'!$A:$A),"ZZ"&amp;RIGHT($B382,4)),""),"")</f>
        <v/>
      </c>
      <c r="L382" s="396"/>
      <c r="O382" s="388"/>
      <c r="P382" s="388"/>
      <c r="AA382" s="421">
        <f t="shared" si="5"/>
        <v>0</v>
      </c>
    </row>
    <row r="383" spans="1:27" ht="16.5">
      <c r="A383" s="387">
        <f>'STAT 77 Table'!$I$363</f>
        <v>0</v>
      </c>
      <c r="B383"/>
      <c r="C383"/>
      <c r="D383" s="387" t="str">
        <f>IF($B383&lt;&gt;"",IFERROR(IF(LEFT($B383,3)=$Z$2,VLOOKUP($C383,Outbound!$B:$Z,4,FALSE),VLOOKUP($B383,Outbound!$B:$Z,4,FALSE)),"ON ROCS/NOT ON FILE"),"")</f>
        <v/>
      </c>
      <c r="E383" s="387" t="str">
        <f>IF($B383&lt;&gt;"",IFERROR(IF(LEFT($B383,4)=$Z$2,VLOOKUP($C383,Outbound!$B:$Z,5,FALSE),VLOOKUP($B383,Outbound!$B:$Z,5,FALSE)),"ON ROCS/NOT ON FILE"),"")</f>
        <v/>
      </c>
      <c r="F383" s="387" t="str">
        <f>IF(B383&lt;&gt;"",IFERROR(IF(LEFT($B383,3)=$Z$2,VLOOKUP($C383,Outbound!$B:$Z,11,FALSE),VLOOKUP($B383,Outbound!$B:$Z,11,FALSE)),"NON TROVATO"),"")</f>
        <v/>
      </c>
      <c r="G383" s="394" t="str">
        <f>IF(B383&lt;&gt;"",IFERROR(IF(LEFT($B383,3)=$Z$2,VLOOKUP($C383,Outbound!$B:$AAZ,16,FALSE),VLOOKUP($B383,Outbound!$B:$AAZ,16,FALSE)),"NON TROVATO"),"")</f>
        <v/>
      </c>
      <c r="H383" s="394" t="str">
        <f>IF(B383&lt;&gt;"",IFERROR(IF(LEFT($B383,3)=$Z$2,VLOOKUP($C383,Outbound!$B:$AAZ,6,FALSE),VLOOKUP($B383,Outbound!$B:$AAZ,6,FALSE)),"NON TROVATO"),"")</f>
        <v/>
      </c>
      <c r="I383" s="394" t="str">
        <f>IF(B383&lt;&gt;"",IFERROR(IF(LEFT($B383,3)=$Z$2,VLOOKUP($C383,Outbound!$B:$AAZ,52,FALSE),VLOOKUP($B383,Outbound!$B:$AAZ,52,FALSE)),"NON TROVATO"),"")</f>
        <v/>
      </c>
      <c r="J383" s="396"/>
      <c r="K383" s="387" t="str">
        <f>IF(B383&lt;&gt;"",IF($D383&lt;&gt;"ON ROCS/NOT ON FILE",IFERROR(_xlfn.XLOOKUP(LEFT($D383,3),'STAT 77 Table'!$B:$B,'STAT 77 Table'!$A:$A),"ZZ"&amp;RIGHT($B383,4)),""),"")</f>
        <v/>
      </c>
      <c r="L383" s="396"/>
      <c r="O383" s="388"/>
      <c r="P383" s="388"/>
      <c r="AA383" s="421">
        <f t="shared" si="5"/>
        <v>0</v>
      </c>
    </row>
    <row r="384" spans="1:27" ht="16.5">
      <c r="A384" s="387">
        <f>'STAT 77 Table'!$I$364</f>
        <v>0</v>
      </c>
      <c r="B384"/>
      <c r="C384"/>
      <c r="D384" s="387" t="str">
        <f>IF($B384&lt;&gt;"",IFERROR(IF(LEFT($B384,3)=$Z$2,VLOOKUP($C384,Outbound!$B:$Z,4,FALSE),VLOOKUP($B384,Outbound!$B:$Z,4,FALSE)),"ON ROCS/NOT ON FILE"),"")</f>
        <v/>
      </c>
      <c r="E384" s="387" t="str">
        <f>IF($B384&lt;&gt;"",IFERROR(IF(LEFT($B384,4)=$Z$2,VLOOKUP($C384,Outbound!$B:$Z,5,FALSE),VLOOKUP($B384,Outbound!$B:$Z,5,FALSE)),"ON ROCS/NOT ON FILE"),"")</f>
        <v/>
      </c>
      <c r="F384" s="387" t="str">
        <f>IF(B384&lt;&gt;"",IFERROR(IF(LEFT($B384,3)=$Z$2,VLOOKUP($C384,Outbound!$B:$Z,11,FALSE),VLOOKUP($B384,Outbound!$B:$Z,11,FALSE)),"NON TROVATO"),"")</f>
        <v/>
      </c>
      <c r="G384" s="394" t="str">
        <f>IF(B384&lt;&gt;"",IFERROR(IF(LEFT($B384,3)=$Z$2,VLOOKUP($C384,Outbound!$B:$AAZ,16,FALSE),VLOOKUP($B384,Outbound!$B:$AAZ,16,FALSE)),"NON TROVATO"),"")</f>
        <v/>
      </c>
      <c r="H384" s="394" t="str">
        <f>IF(B384&lt;&gt;"",IFERROR(IF(LEFT($B384,3)=$Z$2,VLOOKUP($C384,Outbound!$B:$AAZ,6,FALSE),VLOOKUP($B384,Outbound!$B:$AAZ,6,FALSE)),"NON TROVATO"),"")</f>
        <v/>
      </c>
      <c r="I384" s="394" t="str">
        <f>IF(B384&lt;&gt;"",IFERROR(IF(LEFT($B384,3)=$Z$2,VLOOKUP($C384,Outbound!$B:$AAZ,52,FALSE),VLOOKUP($B384,Outbound!$B:$AAZ,52,FALSE)),"NON TROVATO"),"")</f>
        <v/>
      </c>
      <c r="J384" s="396"/>
      <c r="K384" s="387" t="str">
        <f>IF(B384&lt;&gt;"",IF($D384&lt;&gt;"ON ROCS/NOT ON FILE",IFERROR(_xlfn.XLOOKUP(LEFT($D384,3),'STAT 77 Table'!$B:$B,'STAT 77 Table'!$A:$A),"ZZ"&amp;RIGHT($B384,4)),""),"")</f>
        <v/>
      </c>
      <c r="L384" s="396"/>
      <c r="O384" s="388"/>
      <c r="P384" s="388"/>
      <c r="AA384" s="421">
        <f t="shared" si="5"/>
        <v>0</v>
      </c>
    </row>
    <row r="385" spans="1:27" ht="16.5">
      <c r="A385" s="387">
        <f>'STAT 77 Table'!$I$365</f>
        <v>0</v>
      </c>
      <c r="B385"/>
      <c r="C385"/>
      <c r="D385" s="387" t="str">
        <f>IF($B385&lt;&gt;"",IFERROR(IF(LEFT($B385,3)=$Z$2,VLOOKUP($C385,Outbound!$B:$Z,4,FALSE),VLOOKUP($B385,Outbound!$B:$Z,4,FALSE)),"ON ROCS/NOT ON FILE"),"")</f>
        <v/>
      </c>
      <c r="E385" s="387" t="str">
        <f>IF($B385&lt;&gt;"",IFERROR(IF(LEFT($B385,4)=$Z$2,VLOOKUP($C385,Outbound!$B:$Z,5,FALSE),VLOOKUP($B385,Outbound!$B:$Z,5,FALSE)),"ON ROCS/NOT ON FILE"),"")</f>
        <v/>
      </c>
      <c r="F385" s="387" t="str">
        <f>IF(B385&lt;&gt;"",IFERROR(IF(LEFT($B385,3)=$Z$2,VLOOKUP($C385,Outbound!$B:$Z,11,FALSE),VLOOKUP($B385,Outbound!$B:$Z,11,FALSE)),"NON TROVATO"),"")</f>
        <v/>
      </c>
      <c r="G385" s="394" t="str">
        <f>IF(B385&lt;&gt;"",IFERROR(IF(LEFT($B385,3)=$Z$2,VLOOKUP($C385,Outbound!$B:$AAZ,16,FALSE),VLOOKUP($B385,Outbound!$B:$AAZ,16,FALSE)),"NON TROVATO"),"")</f>
        <v/>
      </c>
      <c r="H385" s="394" t="str">
        <f>IF(B385&lt;&gt;"",IFERROR(IF(LEFT($B385,3)=$Z$2,VLOOKUP($C385,Outbound!$B:$AAZ,6,FALSE),VLOOKUP($B385,Outbound!$B:$AAZ,6,FALSE)),"NON TROVATO"),"")</f>
        <v/>
      </c>
      <c r="I385" s="394" t="str">
        <f>IF(B385&lt;&gt;"",IFERROR(IF(LEFT($B385,3)=$Z$2,VLOOKUP($C385,Outbound!$B:$AAZ,52,FALSE),VLOOKUP($B385,Outbound!$B:$AAZ,52,FALSE)),"NON TROVATO"),"")</f>
        <v/>
      </c>
      <c r="J385" s="396"/>
      <c r="K385" s="387" t="str">
        <f>IF(B385&lt;&gt;"",IF($D385&lt;&gt;"ON ROCS/NOT ON FILE",IFERROR(_xlfn.XLOOKUP(LEFT($D385,3),'STAT 77 Table'!$B:$B,'STAT 77 Table'!$A:$A),"ZZ"&amp;RIGHT($B385,4)),""),"")</f>
        <v/>
      </c>
      <c r="L385" s="396"/>
      <c r="O385" s="388"/>
      <c r="P385" s="388"/>
      <c r="AA385" s="421">
        <f t="shared" si="5"/>
        <v>0</v>
      </c>
    </row>
    <row r="386" spans="1:27" ht="16.5">
      <c r="A386" s="387">
        <f>'STAT 77 Table'!$I$366</f>
        <v>0</v>
      </c>
      <c r="B386"/>
      <c r="C386"/>
      <c r="D386" s="387" t="str">
        <f>IF($B386&lt;&gt;"",IFERROR(IF(LEFT($B386,3)=$Z$2,VLOOKUP($C386,Outbound!$B:$Z,4,FALSE),VLOOKUP($B386,Outbound!$B:$Z,4,FALSE)),"ON ROCS/NOT ON FILE"),"")</f>
        <v/>
      </c>
      <c r="E386" s="387" t="str">
        <f>IF($B386&lt;&gt;"",IFERROR(IF(LEFT($B386,4)=$Z$2,VLOOKUP($C386,Outbound!$B:$Z,5,FALSE),VLOOKUP($B386,Outbound!$B:$Z,5,FALSE)),"ON ROCS/NOT ON FILE"),"")</f>
        <v/>
      </c>
      <c r="F386" s="387" t="str">
        <f>IF(B386&lt;&gt;"",IFERROR(IF(LEFT($B386,3)=$Z$2,VLOOKUP($C386,Outbound!$B:$Z,11,FALSE),VLOOKUP($B386,Outbound!$B:$Z,11,FALSE)),"NON TROVATO"),"")</f>
        <v/>
      </c>
      <c r="G386" s="394" t="str">
        <f>IF(B386&lt;&gt;"",IFERROR(IF(LEFT($B386,3)=$Z$2,VLOOKUP($C386,Outbound!$B:$AAZ,16,FALSE),VLOOKUP($B386,Outbound!$B:$AAZ,16,FALSE)),"NON TROVATO"),"")</f>
        <v/>
      </c>
      <c r="H386" s="394" t="str">
        <f>IF(B386&lt;&gt;"",IFERROR(IF(LEFT($B386,3)=$Z$2,VLOOKUP($C386,Outbound!$B:$AAZ,6,FALSE),VLOOKUP($B386,Outbound!$B:$AAZ,6,FALSE)),"NON TROVATO"),"")</f>
        <v/>
      </c>
      <c r="I386" s="394" t="str">
        <f>IF(B386&lt;&gt;"",IFERROR(IF(LEFT($B386,3)=$Z$2,VLOOKUP($C386,Outbound!$B:$AAZ,52,FALSE),VLOOKUP($B386,Outbound!$B:$AAZ,52,FALSE)),"NON TROVATO"),"")</f>
        <v/>
      </c>
      <c r="J386" s="396"/>
      <c r="K386" s="387" t="str">
        <f>IF(B386&lt;&gt;"",IF($D386&lt;&gt;"ON ROCS/NOT ON FILE",IFERROR(_xlfn.XLOOKUP(LEFT($D386,3),'STAT 77 Table'!$B:$B,'STAT 77 Table'!$A:$A),"ZZ"&amp;RIGHT($B386,4)),""),"")</f>
        <v/>
      </c>
      <c r="L386" s="396"/>
      <c r="O386" s="388"/>
      <c r="P386" s="388"/>
      <c r="AA386" s="421">
        <f t="shared" si="5"/>
        <v>0</v>
      </c>
    </row>
    <row r="387" spans="1:27" ht="16.5">
      <c r="A387" s="387">
        <f>'STAT 77 Table'!$I$367</f>
        <v>0</v>
      </c>
      <c r="B387"/>
      <c r="C387"/>
      <c r="D387" s="387" t="str">
        <f>IF($B387&lt;&gt;"",IFERROR(IF(LEFT($B387,3)=$Z$2,VLOOKUP($C387,Outbound!$B:$Z,4,FALSE),VLOOKUP($B387,Outbound!$B:$Z,4,FALSE)),"ON ROCS/NOT ON FILE"),"")</f>
        <v/>
      </c>
      <c r="E387" s="387" t="str">
        <f>IF($B387&lt;&gt;"",IFERROR(IF(LEFT($B387,4)=$Z$2,VLOOKUP($C387,Outbound!$B:$Z,5,FALSE),VLOOKUP($B387,Outbound!$B:$Z,5,FALSE)),"ON ROCS/NOT ON FILE"),"")</f>
        <v/>
      </c>
      <c r="F387" s="387" t="str">
        <f>IF(B387&lt;&gt;"",IFERROR(IF(LEFT($B387,3)=$Z$2,VLOOKUP($C387,Outbound!$B:$Z,11,FALSE),VLOOKUP($B387,Outbound!$B:$Z,11,FALSE)),"NON TROVATO"),"")</f>
        <v/>
      </c>
      <c r="G387" s="394" t="str">
        <f>IF(B387&lt;&gt;"",IFERROR(IF(LEFT($B387,3)=$Z$2,VLOOKUP($C387,Outbound!$B:$AAZ,16,FALSE),VLOOKUP($B387,Outbound!$B:$AAZ,16,FALSE)),"NON TROVATO"),"")</f>
        <v/>
      </c>
      <c r="H387" s="394" t="str">
        <f>IF(B387&lt;&gt;"",IFERROR(IF(LEFT($B387,3)=$Z$2,VLOOKUP($C387,Outbound!$B:$AAZ,6,FALSE),VLOOKUP($B387,Outbound!$B:$AAZ,6,FALSE)),"NON TROVATO"),"")</f>
        <v/>
      </c>
      <c r="I387" s="394" t="str">
        <f>IF(B387&lt;&gt;"",IFERROR(IF(LEFT($B387,3)=$Z$2,VLOOKUP($C387,Outbound!$B:$AAZ,52,FALSE),VLOOKUP($B387,Outbound!$B:$AAZ,52,FALSE)),"NON TROVATO"),"")</f>
        <v/>
      </c>
      <c r="J387" s="396"/>
      <c r="K387" s="387" t="str">
        <f>IF(B387&lt;&gt;"",IF($D387&lt;&gt;"ON ROCS/NOT ON FILE",IFERROR(_xlfn.XLOOKUP(LEFT($D387,3),'STAT 77 Table'!$B:$B,'STAT 77 Table'!$A:$A),"ZZ"&amp;RIGHT($B387,4)),""),"")</f>
        <v/>
      </c>
      <c r="L387" s="396"/>
      <c r="O387" s="388"/>
      <c r="P387" s="388"/>
      <c r="AA387" s="421">
        <f t="shared" si="5"/>
        <v>0</v>
      </c>
    </row>
    <row r="388" spans="1:27" ht="16.5">
      <c r="A388" s="387" t="str">
        <f>'STAT 77 Table'!$I$368</f>
        <v>ITD12267</v>
      </c>
      <c r="B388"/>
      <c r="C388"/>
      <c r="D388" s="387" t="str">
        <f>IF($B388&lt;&gt;"",IFERROR(IF(LEFT($B388,3)=$Z$2,VLOOKUP($C388,Outbound!$B:$Z,4,FALSE),VLOOKUP($B388,Outbound!$B:$Z,4,FALSE)),"ON ROCS/NOT ON FILE"),"")</f>
        <v/>
      </c>
      <c r="E388" s="387" t="str">
        <f>IF($B388&lt;&gt;"",IFERROR(IF(LEFT($B388,4)=$Z$2,VLOOKUP($C388,Outbound!$B:$Z,5,FALSE),VLOOKUP($B388,Outbound!$B:$Z,5,FALSE)),"ON ROCS/NOT ON FILE"),"")</f>
        <v/>
      </c>
      <c r="F388" s="387" t="str">
        <f>IF(B388&lt;&gt;"",IFERROR(IF(LEFT($B388,3)=$Z$2,VLOOKUP($C388,Outbound!$B:$Z,11,FALSE),VLOOKUP($B388,Outbound!$B:$Z,11,FALSE)),"NON TROVATO"),"")</f>
        <v/>
      </c>
      <c r="G388" s="394" t="str">
        <f>IF(B388&lt;&gt;"",IFERROR(IF(LEFT($B388,3)=$Z$2,VLOOKUP($C388,Outbound!$B:$AAZ,16,FALSE),VLOOKUP($B388,Outbound!$B:$AAZ,16,FALSE)),"NON TROVATO"),"")</f>
        <v/>
      </c>
      <c r="H388" s="394" t="str">
        <f>IF(B388&lt;&gt;"",IFERROR(IF(LEFT($B388,3)=$Z$2,VLOOKUP($C388,Outbound!$B:$AAZ,6,FALSE),VLOOKUP($B388,Outbound!$B:$AAZ,6,FALSE)),"NON TROVATO"),"")</f>
        <v/>
      </c>
      <c r="I388" s="394" t="str">
        <f>IF(B388&lt;&gt;"",IFERROR(IF(LEFT($B388,3)=$Z$2,VLOOKUP($C388,Outbound!$B:$AAZ,52,FALSE),VLOOKUP($B388,Outbound!$B:$AAZ,52,FALSE)),"NON TROVATO"),"")</f>
        <v/>
      </c>
      <c r="J388" s="396"/>
      <c r="K388" s="387" t="str">
        <f>IF(B388&lt;&gt;"",IF($D388&lt;&gt;"ON ROCS/NOT ON FILE",IFERROR(_xlfn.XLOOKUP(LEFT($D388,3),'STAT 77 Table'!$B:$B,'STAT 77 Table'!$A:$A),"ZZ"&amp;RIGHT($B388,4)),""),"")</f>
        <v/>
      </c>
      <c r="L388" s="396"/>
      <c r="O388" s="388"/>
      <c r="P388" s="388"/>
      <c r="AA388" s="421">
        <f t="shared" ref="AA388:AA451" si="6">IF(LEFT(A388,3)=$X$2,C388,B388)</f>
        <v>0</v>
      </c>
    </row>
    <row r="389" spans="1:27" ht="16.5">
      <c r="A389" s="387" t="str">
        <f>'STAT 77 Table'!$I$369</f>
        <v>ITD12075</v>
      </c>
      <c r="B389"/>
      <c r="C389"/>
      <c r="D389" s="387" t="str">
        <f>IF($B389&lt;&gt;"",IFERROR(IF(LEFT($B389,3)=$Z$2,VLOOKUP($C389,Outbound!$B:$Z,4,FALSE),VLOOKUP($B389,Outbound!$B:$Z,4,FALSE)),"ON ROCS/NOT ON FILE"),"")</f>
        <v/>
      </c>
      <c r="E389" s="387" t="str">
        <f>IF($B389&lt;&gt;"",IFERROR(IF(LEFT($B389,4)=$Z$2,VLOOKUP($C389,Outbound!$B:$Z,5,FALSE),VLOOKUP($B389,Outbound!$B:$Z,5,FALSE)),"ON ROCS/NOT ON FILE"),"")</f>
        <v/>
      </c>
      <c r="F389" s="387" t="str">
        <f>IF(B389&lt;&gt;"",IFERROR(IF(LEFT($B389,3)=$Z$2,VLOOKUP($C389,Outbound!$B:$Z,11,FALSE),VLOOKUP($B389,Outbound!$B:$Z,11,FALSE)),"NON TROVATO"),"")</f>
        <v/>
      </c>
      <c r="G389" s="394" t="str">
        <f>IF(B389&lt;&gt;"",IFERROR(IF(LEFT($B389,3)=$Z$2,VLOOKUP($C389,Outbound!$B:$AAZ,16,FALSE),VLOOKUP($B389,Outbound!$B:$AAZ,16,FALSE)),"NON TROVATO"),"")</f>
        <v/>
      </c>
      <c r="H389" s="394" t="str">
        <f>IF(B389&lt;&gt;"",IFERROR(IF(LEFT($B389,3)=$Z$2,VLOOKUP($C389,Outbound!$B:$AAZ,6,FALSE),VLOOKUP($B389,Outbound!$B:$AAZ,6,FALSE)),"NON TROVATO"),"")</f>
        <v/>
      </c>
      <c r="I389" s="394" t="str">
        <f>IF(B389&lt;&gt;"",IFERROR(IF(LEFT($B389,3)=$Z$2,VLOOKUP($C389,Outbound!$B:$AAZ,52,FALSE),VLOOKUP($B389,Outbound!$B:$AAZ,52,FALSE)),"NON TROVATO"),"")</f>
        <v/>
      </c>
      <c r="J389" s="396"/>
      <c r="K389" s="387" t="str">
        <f>IF(B389&lt;&gt;"",IF($D389&lt;&gt;"ON ROCS/NOT ON FILE",IFERROR(_xlfn.XLOOKUP(LEFT($D389,3),'STAT 77 Table'!$B:$B,'STAT 77 Table'!$A:$A),"ZZ"&amp;RIGHT($B389,4)),""),"")</f>
        <v/>
      </c>
      <c r="L389" s="396"/>
      <c r="O389" s="388"/>
      <c r="P389" s="388"/>
      <c r="AA389" s="421">
        <f t="shared" si="6"/>
        <v>0</v>
      </c>
    </row>
    <row r="390" spans="1:27" ht="16.5">
      <c r="A390" s="387" t="str">
        <f>'STAT 77 Table'!$I$370</f>
        <v>ITD12281</v>
      </c>
      <c r="B390"/>
      <c r="C390"/>
      <c r="D390" s="387" t="str">
        <f>IF($B390&lt;&gt;"",IFERROR(IF(LEFT($B390,3)=$Z$2,VLOOKUP($C390,Outbound!$B:$Z,4,FALSE),VLOOKUP($B390,Outbound!$B:$Z,4,FALSE)),"ON ROCS/NOT ON FILE"),"")</f>
        <v/>
      </c>
      <c r="E390" s="387" t="str">
        <f>IF($B390&lt;&gt;"",IFERROR(IF(LEFT($B390,4)=$Z$2,VLOOKUP($C390,Outbound!$B:$Z,5,FALSE),VLOOKUP($B390,Outbound!$B:$Z,5,FALSE)),"ON ROCS/NOT ON FILE"),"")</f>
        <v/>
      </c>
      <c r="F390" s="387" t="str">
        <f>IF(B390&lt;&gt;"",IFERROR(IF(LEFT($B390,3)=$Z$2,VLOOKUP($C390,Outbound!$B:$Z,11,FALSE),VLOOKUP($B390,Outbound!$B:$Z,11,FALSE)),"NON TROVATO"),"")</f>
        <v/>
      </c>
      <c r="G390" s="394" t="str">
        <f>IF(B390&lt;&gt;"",IFERROR(IF(LEFT($B390,3)=$Z$2,VLOOKUP($C390,Outbound!$B:$AAZ,16,FALSE),VLOOKUP($B390,Outbound!$B:$AAZ,16,FALSE)),"NON TROVATO"),"")</f>
        <v/>
      </c>
      <c r="H390" s="394" t="str">
        <f>IF(B390&lt;&gt;"",IFERROR(IF(LEFT($B390,3)=$Z$2,VLOOKUP($C390,Outbound!$B:$AAZ,6,FALSE),VLOOKUP($B390,Outbound!$B:$AAZ,6,FALSE)),"NON TROVATO"),"")</f>
        <v/>
      </c>
      <c r="I390" s="394" t="str">
        <f>IF(B390&lt;&gt;"",IFERROR(IF(LEFT($B390,3)=$Z$2,VLOOKUP($C390,Outbound!$B:$AAZ,52,FALSE),VLOOKUP($B390,Outbound!$B:$AAZ,52,FALSE)),"NON TROVATO"),"")</f>
        <v/>
      </c>
      <c r="J390" s="396"/>
      <c r="K390" s="387" t="str">
        <f>IF(B390&lt;&gt;"",IF($D390&lt;&gt;"ON ROCS/NOT ON FILE",IFERROR(_xlfn.XLOOKUP(LEFT($D390,3),'STAT 77 Table'!$B:$B,'STAT 77 Table'!$A:$A),"ZZ"&amp;RIGHT($B390,4)),""),"")</f>
        <v/>
      </c>
      <c r="L390" s="396"/>
      <c r="O390" s="388"/>
      <c r="P390" s="388"/>
      <c r="AA390" s="421">
        <f t="shared" si="6"/>
        <v>0</v>
      </c>
    </row>
    <row r="391" spans="1:27" ht="16.5">
      <c r="A391" s="387" t="str">
        <f>'STAT 77 Table'!$I$371</f>
        <v>ITD12340</v>
      </c>
      <c r="B391"/>
      <c r="C391"/>
      <c r="D391" s="387" t="str">
        <f>IF($B391&lt;&gt;"",IFERROR(IF(LEFT($B391,3)=$Z$2,VLOOKUP($C391,Outbound!$B:$Z,4,FALSE),VLOOKUP($B391,Outbound!$B:$Z,4,FALSE)),"ON ROCS/NOT ON FILE"),"")</f>
        <v/>
      </c>
      <c r="E391" s="387" t="str">
        <f>IF($B391&lt;&gt;"",IFERROR(IF(LEFT($B391,4)=$Z$2,VLOOKUP($C391,Outbound!$B:$Z,5,FALSE),VLOOKUP($B391,Outbound!$B:$Z,5,FALSE)),"ON ROCS/NOT ON FILE"),"")</f>
        <v/>
      </c>
      <c r="F391" s="387" t="str">
        <f>IF(B391&lt;&gt;"",IFERROR(IF(LEFT($B391,3)=$Z$2,VLOOKUP($C391,Outbound!$B:$Z,11,FALSE),VLOOKUP($B391,Outbound!$B:$Z,11,FALSE)),"NON TROVATO"),"")</f>
        <v/>
      </c>
      <c r="G391" s="394" t="str">
        <f>IF(B391&lt;&gt;"",IFERROR(IF(LEFT($B391,3)=$Z$2,VLOOKUP($C391,Outbound!$B:$AAZ,16,FALSE),VLOOKUP($B391,Outbound!$B:$AAZ,16,FALSE)),"NON TROVATO"),"")</f>
        <v/>
      </c>
      <c r="H391" s="394" t="str">
        <f>IF(B391&lt;&gt;"",IFERROR(IF(LEFT($B391,3)=$Z$2,VLOOKUP($C391,Outbound!$B:$AAZ,6,FALSE),VLOOKUP($B391,Outbound!$B:$AAZ,6,FALSE)),"NON TROVATO"),"")</f>
        <v/>
      </c>
      <c r="I391" s="394" t="str">
        <f>IF(B391&lt;&gt;"",IFERROR(IF(LEFT($B391,3)=$Z$2,VLOOKUP($C391,Outbound!$B:$AAZ,52,FALSE),VLOOKUP($B391,Outbound!$B:$AAZ,52,FALSE)),"NON TROVATO"),"")</f>
        <v/>
      </c>
      <c r="J391" s="396"/>
      <c r="K391" s="387" t="str">
        <f>IF(B391&lt;&gt;"",IF($D391&lt;&gt;"ON ROCS/NOT ON FILE",IFERROR(_xlfn.XLOOKUP(LEFT($D391,3),'STAT 77 Table'!$B:$B,'STAT 77 Table'!$A:$A),"ZZ"&amp;RIGHT($B391,4)),""),"")</f>
        <v/>
      </c>
      <c r="L391" s="396"/>
      <c r="O391" s="388"/>
      <c r="P391" s="388"/>
      <c r="AA391" s="421">
        <f t="shared" si="6"/>
        <v>0</v>
      </c>
    </row>
    <row r="392" spans="1:27" ht="16.5">
      <c r="A392" s="387" t="str">
        <f>'STAT 77 Table'!$I$372</f>
        <v>ITD12360</v>
      </c>
      <c r="B392"/>
      <c r="C392"/>
      <c r="D392" s="387" t="str">
        <f>IF($B392&lt;&gt;"",IFERROR(IF(LEFT($B392,3)=$Z$2,VLOOKUP($C392,Outbound!$B:$Z,4,FALSE),VLOOKUP($B392,Outbound!$B:$Z,4,FALSE)),"ON ROCS/NOT ON FILE"),"")</f>
        <v/>
      </c>
      <c r="E392" s="387" t="str">
        <f>IF($B392&lt;&gt;"",IFERROR(IF(LEFT($B392,4)=$Z$2,VLOOKUP($C392,Outbound!$B:$Z,5,FALSE),VLOOKUP($B392,Outbound!$B:$Z,5,FALSE)),"ON ROCS/NOT ON FILE"),"")</f>
        <v/>
      </c>
      <c r="F392" s="387" t="str">
        <f>IF(B392&lt;&gt;"",IFERROR(IF(LEFT($B392,3)=$Z$2,VLOOKUP($C392,Outbound!$B:$Z,11,FALSE),VLOOKUP($B392,Outbound!$B:$Z,11,FALSE)),"NON TROVATO"),"")</f>
        <v/>
      </c>
      <c r="G392" s="394" t="str">
        <f>IF(B392&lt;&gt;"",IFERROR(IF(LEFT($B392,3)=$Z$2,VLOOKUP($C392,Outbound!$B:$AAZ,16,FALSE),VLOOKUP($B392,Outbound!$B:$AAZ,16,FALSE)),"NON TROVATO"),"")</f>
        <v/>
      </c>
      <c r="H392" s="394" t="str">
        <f>IF(B392&lt;&gt;"",IFERROR(IF(LEFT($B392,3)=$Z$2,VLOOKUP($C392,Outbound!$B:$AAZ,6,FALSE),VLOOKUP($B392,Outbound!$B:$AAZ,6,FALSE)),"NON TROVATO"),"")</f>
        <v/>
      </c>
      <c r="I392" s="394" t="str">
        <f>IF(B392&lt;&gt;"",IFERROR(IF(LEFT($B392,3)=$Z$2,VLOOKUP($C392,Outbound!$B:$AAZ,52,FALSE),VLOOKUP($B392,Outbound!$B:$AAZ,52,FALSE)),"NON TROVATO"),"")</f>
        <v/>
      </c>
      <c r="J392" s="396"/>
      <c r="K392" s="387" t="str">
        <f>IF(B392&lt;&gt;"",IF($D392&lt;&gt;"ON ROCS/NOT ON FILE",IFERROR(_xlfn.XLOOKUP(LEFT($D392,3),'STAT 77 Table'!$B:$B,'STAT 77 Table'!$A:$A),"ZZ"&amp;RIGHT($B392,4)),""),"")</f>
        <v/>
      </c>
      <c r="L392" s="396"/>
      <c r="O392" s="388"/>
      <c r="P392" s="388"/>
      <c r="AA392" s="421">
        <f t="shared" si="6"/>
        <v>0</v>
      </c>
    </row>
    <row r="393" spans="1:27" ht="16.5">
      <c r="A393" s="387" t="str">
        <f>'STAT 77 Table'!$I$373</f>
        <v>ITD12278</v>
      </c>
      <c r="B393"/>
      <c r="C393"/>
      <c r="D393" s="387" t="str">
        <f>IF($B393&lt;&gt;"",IFERROR(IF(LEFT($B393,3)=$Z$2,VLOOKUP($C393,Outbound!$B:$Z,4,FALSE),VLOOKUP($B393,Outbound!$B:$Z,4,FALSE)),"ON ROCS/NOT ON FILE"),"")</f>
        <v/>
      </c>
      <c r="E393" s="387" t="str">
        <f>IF($B393&lt;&gt;"",IFERROR(IF(LEFT($B393,4)=$Z$2,VLOOKUP($C393,Outbound!$B:$Z,5,FALSE),VLOOKUP($B393,Outbound!$B:$Z,5,FALSE)),"ON ROCS/NOT ON FILE"),"")</f>
        <v/>
      </c>
      <c r="F393" s="387" t="str">
        <f>IF(B393&lt;&gt;"",IFERROR(IF(LEFT($B393,3)=$Z$2,VLOOKUP($C393,Outbound!$B:$Z,11,FALSE),VLOOKUP($B393,Outbound!$B:$Z,11,FALSE)),"NON TROVATO"),"")</f>
        <v/>
      </c>
      <c r="G393" s="394" t="str">
        <f>IF(B393&lt;&gt;"",IFERROR(IF(LEFT($B393,3)=$Z$2,VLOOKUP($C393,Outbound!$B:$AAZ,16,FALSE),VLOOKUP($B393,Outbound!$B:$AAZ,16,FALSE)),"NON TROVATO"),"")</f>
        <v/>
      </c>
      <c r="H393" s="394" t="str">
        <f>IF(B393&lt;&gt;"",IFERROR(IF(LEFT($B393,3)=$Z$2,VLOOKUP($C393,Outbound!$B:$AAZ,6,FALSE),VLOOKUP($B393,Outbound!$B:$AAZ,6,FALSE)),"NON TROVATO"),"")</f>
        <v/>
      </c>
      <c r="I393" s="394" t="str">
        <f>IF(B393&lt;&gt;"",IFERROR(IF(LEFT($B393,3)=$Z$2,VLOOKUP($C393,Outbound!$B:$AAZ,52,FALSE),VLOOKUP($B393,Outbound!$B:$AAZ,52,FALSE)),"NON TROVATO"),"")</f>
        <v/>
      </c>
      <c r="J393" s="396"/>
      <c r="K393" s="387" t="str">
        <f>IF(B393&lt;&gt;"",IF($D393&lt;&gt;"ON ROCS/NOT ON FILE",IFERROR(_xlfn.XLOOKUP(LEFT($D393,3),'STAT 77 Table'!$B:$B,'STAT 77 Table'!$A:$A),"ZZ"&amp;RIGHT($B393,4)),""),"")</f>
        <v/>
      </c>
      <c r="L393" s="396"/>
      <c r="O393" s="388"/>
      <c r="P393" s="388"/>
      <c r="AA393" s="421">
        <f t="shared" si="6"/>
        <v>0</v>
      </c>
    </row>
    <row r="394" spans="1:27" ht="16.5">
      <c r="A394" s="387" t="str">
        <f>'STAT 77 Table'!$I$374</f>
        <v>ITD12096</v>
      </c>
      <c r="B394"/>
      <c r="C394"/>
      <c r="D394" s="387" t="str">
        <f>IF($B394&lt;&gt;"",IFERROR(IF(LEFT($B394,3)=$Z$2,VLOOKUP($C394,Outbound!$B:$Z,4,FALSE),VLOOKUP($B394,Outbound!$B:$Z,4,FALSE)),"ON ROCS/NOT ON FILE"),"")</f>
        <v/>
      </c>
      <c r="E394" s="387" t="str">
        <f>IF($B394&lt;&gt;"",IFERROR(IF(LEFT($B394,4)=$Z$2,VLOOKUP($C394,Outbound!$B:$Z,5,FALSE),VLOOKUP($B394,Outbound!$B:$Z,5,FALSE)),"ON ROCS/NOT ON FILE"),"")</f>
        <v/>
      </c>
      <c r="F394" s="387" t="str">
        <f>IF(B394&lt;&gt;"",IFERROR(IF(LEFT($B394,3)=$Z$2,VLOOKUP($C394,Outbound!$B:$Z,11,FALSE),VLOOKUP($B394,Outbound!$B:$Z,11,FALSE)),"NON TROVATO"),"")</f>
        <v/>
      </c>
      <c r="G394" s="394" t="str">
        <f>IF(B394&lt;&gt;"",IFERROR(IF(LEFT($B394,3)=$Z$2,VLOOKUP($C394,Outbound!$B:$AAZ,16,FALSE),VLOOKUP($B394,Outbound!$B:$AAZ,16,FALSE)),"NON TROVATO"),"")</f>
        <v/>
      </c>
      <c r="H394" s="394" t="str">
        <f>IF(B394&lt;&gt;"",IFERROR(IF(LEFT($B394,3)=$Z$2,VLOOKUP($C394,Outbound!$B:$AAZ,6,FALSE),VLOOKUP($B394,Outbound!$B:$AAZ,6,FALSE)),"NON TROVATO"),"")</f>
        <v/>
      </c>
      <c r="I394" s="394" t="str">
        <f>IF(B394&lt;&gt;"",IFERROR(IF(LEFT($B394,3)=$Z$2,VLOOKUP($C394,Outbound!$B:$AAZ,52,FALSE),VLOOKUP($B394,Outbound!$B:$AAZ,52,FALSE)),"NON TROVATO"),"")</f>
        <v/>
      </c>
      <c r="J394" s="396"/>
      <c r="K394" s="387" t="str">
        <f>IF(B394&lt;&gt;"",IF($D394&lt;&gt;"ON ROCS/NOT ON FILE",IFERROR(_xlfn.XLOOKUP(LEFT($D394,3),'STAT 77 Table'!$B:$B,'STAT 77 Table'!$A:$A),"ZZ"&amp;RIGHT($B394,4)),""),"")</f>
        <v/>
      </c>
      <c r="L394" s="396"/>
      <c r="O394" s="388"/>
      <c r="P394" s="388"/>
      <c r="AA394" s="421">
        <f t="shared" si="6"/>
        <v>0</v>
      </c>
    </row>
    <row r="395" spans="1:27" ht="16.5">
      <c r="A395" s="387" t="str">
        <f>'STAT 77 Table'!$I$375</f>
        <v>ITD12665</v>
      </c>
      <c r="B395"/>
      <c r="C395"/>
      <c r="D395" s="387" t="str">
        <f>IF($B395&lt;&gt;"",IFERROR(IF(LEFT($B395,3)=$Z$2,VLOOKUP($C395,Outbound!$B:$Z,4,FALSE),VLOOKUP($B395,Outbound!$B:$Z,4,FALSE)),"ON ROCS/NOT ON FILE"),"")</f>
        <v/>
      </c>
      <c r="E395" s="387" t="str">
        <f>IF($B395&lt;&gt;"",IFERROR(IF(LEFT($B395,4)=$Z$2,VLOOKUP($C395,Outbound!$B:$Z,5,FALSE),VLOOKUP($B395,Outbound!$B:$Z,5,FALSE)),"ON ROCS/NOT ON FILE"),"")</f>
        <v/>
      </c>
      <c r="F395" s="387" t="str">
        <f>IF(B395&lt;&gt;"",IFERROR(IF(LEFT($B395,3)=$Z$2,VLOOKUP($C395,Outbound!$B:$Z,11,FALSE),VLOOKUP($B395,Outbound!$B:$Z,11,FALSE)),"NON TROVATO"),"")</f>
        <v/>
      </c>
      <c r="G395" s="394" t="str">
        <f>IF(B395&lt;&gt;"",IFERROR(IF(LEFT($B395,3)=$Z$2,VLOOKUP($C395,Outbound!$B:$AAZ,16,FALSE),VLOOKUP($B395,Outbound!$B:$AAZ,16,FALSE)),"NON TROVATO"),"")</f>
        <v/>
      </c>
      <c r="H395" s="394" t="str">
        <f>IF(B395&lt;&gt;"",IFERROR(IF(LEFT($B395,3)=$Z$2,VLOOKUP($C395,Outbound!$B:$AAZ,6,FALSE),VLOOKUP($B395,Outbound!$B:$AAZ,6,FALSE)),"NON TROVATO"),"")</f>
        <v/>
      </c>
      <c r="I395" s="394" t="str">
        <f>IF(B395&lt;&gt;"",IFERROR(IF(LEFT($B395,3)=$Z$2,VLOOKUP($C395,Outbound!$B:$AAZ,52,FALSE),VLOOKUP($B395,Outbound!$B:$AAZ,52,FALSE)),"NON TROVATO"),"")</f>
        <v/>
      </c>
      <c r="J395" s="396"/>
      <c r="K395" s="387" t="str">
        <f>IF(B395&lt;&gt;"",IF($D395&lt;&gt;"ON ROCS/NOT ON FILE",IFERROR(_xlfn.XLOOKUP(LEFT($D395,3),'STAT 77 Table'!$B:$B,'STAT 77 Table'!$A:$A),"ZZ"&amp;RIGHT($B395,4)),""),"")</f>
        <v/>
      </c>
      <c r="L395" s="396"/>
      <c r="O395" s="388"/>
      <c r="P395" s="388"/>
      <c r="AA395" s="421">
        <f t="shared" si="6"/>
        <v>0</v>
      </c>
    </row>
    <row r="396" spans="1:27" ht="16.5">
      <c r="A396" s="387" t="str">
        <f>'STAT 77 Table'!$I$376</f>
        <v>ITD12752</v>
      </c>
      <c r="B396"/>
      <c r="C396"/>
      <c r="D396" s="387" t="str">
        <f>IF($B396&lt;&gt;"",IFERROR(IF(LEFT($B396,3)=$Z$2,VLOOKUP($C396,Outbound!$B:$Z,4,FALSE),VLOOKUP($B396,Outbound!$B:$Z,4,FALSE)),"ON ROCS/NOT ON FILE"),"")</f>
        <v/>
      </c>
      <c r="E396" s="387" t="str">
        <f>IF($B396&lt;&gt;"",IFERROR(IF(LEFT($B396,4)=$Z$2,VLOOKUP($C396,Outbound!$B:$Z,5,FALSE),VLOOKUP($B396,Outbound!$B:$Z,5,FALSE)),"ON ROCS/NOT ON FILE"),"")</f>
        <v/>
      </c>
      <c r="F396" s="387" t="str">
        <f>IF(B396&lt;&gt;"",IFERROR(IF(LEFT($B396,3)=$Z$2,VLOOKUP($C396,Outbound!$B:$Z,11,FALSE),VLOOKUP($B396,Outbound!$B:$Z,11,FALSE)),"NON TROVATO"),"")</f>
        <v/>
      </c>
      <c r="G396" s="394" t="str">
        <f>IF(B396&lt;&gt;"",IFERROR(IF(LEFT($B396,3)=$Z$2,VLOOKUP($C396,Outbound!$B:$AAZ,16,FALSE),VLOOKUP($B396,Outbound!$B:$AAZ,16,FALSE)),"NON TROVATO"),"")</f>
        <v/>
      </c>
      <c r="H396" s="394" t="str">
        <f>IF(B396&lt;&gt;"",IFERROR(IF(LEFT($B396,3)=$Z$2,VLOOKUP($C396,Outbound!$B:$AAZ,6,FALSE),VLOOKUP($B396,Outbound!$B:$AAZ,6,FALSE)),"NON TROVATO"),"")</f>
        <v/>
      </c>
      <c r="I396" s="394" t="str">
        <f>IF(B396&lt;&gt;"",IFERROR(IF(LEFT($B396,3)=$Z$2,VLOOKUP($C396,Outbound!$B:$AAZ,52,FALSE),VLOOKUP($B396,Outbound!$B:$AAZ,52,FALSE)),"NON TROVATO"),"")</f>
        <v/>
      </c>
      <c r="J396" s="396"/>
      <c r="K396" s="387" t="str">
        <f>IF(B396&lt;&gt;"",IF($D396&lt;&gt;"ON ROCS/NOT ON FILE",IFERROR(_xlfn.XLOOKUP(LEFT($D396,3),'STAT 77 Table'!$B:$B,'STAT 77 Table'!$A:$A),"ZZ"&amp;RIGHT($B396,4)),""),"")</f>
        <v/>
      </c>
      <c r="L396" s="396"/>
      <c r="O396" s="388"/>
      <c r="P396" s="388"/>
      <c r="AA396" s="421">
        <f t="shared" si="6"/>
        <v>0</v>
      </c>
    </row>
    <row r="397" spans="1:27" ht="16.5">
      <c r="A397" s="387" t="str">
        <f>'STAT 77 Table'!$I$377</f>
        <v>ITD12365</v>
      </c>
      <c r="B397"/>
      <c r="C397"/>
      <c r="D397" s="387" t="str">
        <f>IF($B397&lt;&gt;"",IFERROR(IF(LEFT($B397,3)=$Z$2,VLOOKUP($C397,Outbound!$B:$Z,4,FALSE),VLOOKUP($B397,Outbound!$B:$Z,4,FALSE)),"ON ROCS/NOT ON FILE"),"")</f>
        <v/>
      </c>
      <c r="E397" s="387" t="str">
        <f>IF($B397&lt;&gt;"",IFERROR(IF(LEFT($B397,4)=$Z$2,VLOOKUP($C397,Outbound!$B:$Z,5,FALSE),VLOOKUP($B397,Outbound!$B:$Z,5,FALSE)),"ON ROCS/NOT ON FILE"),"")</f>
        <v/>
      </c>
      <c r="F397" s="387" t="str">
        <f>IF(B397&lt;&gt;"",IFERROR(IF(LEFT($B397,3)=$Z$2,VLOOKUP($C397,Outbound!$B:$Z,11,FALSE),VLOOKUP($B397,Outbound!$B:$Z,11,FALSE)),"NON TROVATO"),"")</f>
        <v/>
      </c>
      <c r="G397" s="394" t="str">
        <f>IF(B397&lt;&gt;"",IFERROR(IF(LEFT($B397,3)=$Z$2,VLOOKUP($C397,Outbound!$B:$AAZ,16,FALSE),VLOOKUP($B397,Outbound!$B:$AAZ,16,FALSE)),"NON TROVATO"),"")</f>
        <v/>
      </c>
      <c r="H397" s="394" t="str">
        <f>IF(B397&lt;&gt;"",IFERROR(IF(LEFT($B397,3)=$Z$2,VLOOKUP($C397,Outbound!$B:$AAZ,6,FALSE),VLOOKUP($B397,Outbound!$B:$AAZ,6,FALSE)),"NON TROVATO"),"")</f>
        <v/>
      </c>
      <c r="I397" s="394" t="str">
        <f>IF(B397&lt;&gt;"",IFERROR(IF(LEFT($B397,3)=$Z$2,VLOOKUP($C397,Outbound!$B:$AAZ,52,FALSE),VLOOKUP($B397,Outbound!$B:$AAZ,52,FALSE)),"NON TROVATO"),"")</f>
        <v/>
      </c>
      <c r="J397" s="396"/>
      <c r="K397" s="387" t="str">
        <f>IF(B397&lt;&gt;"",IF($D397&lt;&gt;"ON ROCS/NOT ON FILE",IFERROR(_xlfn.XLOOKUP(LEFT($D397,3),'STAT 77 Table'!$B:$B,'STAT 77 Table'!$A:$A),"ZZ"&amp;RIGHT($B397,4)),""),"")</f>
        <v/>
      </c>
      <c r="L397" s="396"/>
      <c r="O397" s="388"/>
      <c r="P397" s="388"/>
      <c r="AA397" s="421">
        <f t="shared" si="6"/>
        <v>0</v>
      </c>
    </row>
    <row r="398" spans="1:27" ht="16.5">
      <c r="A398" s="387" t="str">
        <f>'STAT 77 Table'!$I$378</f>
        <v>ITD12006</v>
      </c>
      <c r="B398"/>
      <c r="C398"/>
      <c r="D398" s="387" t="str">
        <f>IF($B398&lt;&gt;"",IFERROR(IF(LEFT($B398,3)=$Z$2,VLOOKUP($C398,Outbound!$B:$Z,4,FALSE),VLOOKUP($B398,Outbound!$B:$Z,4,FALSE)),"ON ROCS/NOT ON FILE"),"")</f>
        <v/>
      </c>
      <c r="E398" s="387" t="str">
        <f>IF($B398&lt;&gt;"",IFERROR(IF(LEFT($B398,4)=$Z$2,VLOOKUP($C398,Outbound!$B:$Z,5,FALSE),VLOOKUP($B398,Outbound!$B:$Z,5,FALSE)),"ON ROCS/NOT ON FILE"),"")</f>
        <v/>
      </c>
      <c r="F398" s="387" t="str">
        <f>IF(B398&lt;&gt;"",IFERROR(IF(LEFT($B398,3)=$Z$2,VLOOKUP($C398,Outbound!$B:$Z,11,FALSE),VLOOKUP($B398,Outbound!$B:$Z,11,FALSE)),"NON TROVATO"),"")</f>
        <v/>
      </c>
      <c r="G398" s="394" t="str">
        <f>IF(B398&lt;&gt;"",IFERROR(IF(LEFT($B398,3)=$Z$2,VLOOKUP($C398,Outbound!$B:$AAZ,16,FALSE),VLOOKUP($B398,Outbound!$B:$AAZ,16,FALSE)),"NON TROVATO"),"")</f>
        <v/>
      </c>
      <c r="H398" s="394" t="str">
        <f>IF(B398&lt;&gt;"",IFERROR(IF(LEFT($B398,3)=$Z$2,VLOOKUP($C398,Outbound!$B:$AAZ,6,FALSE),VLOOKUP($B398,Outbound!$B:$AAZ,6,FALSE)),"NON TROVATO"),"")</f>
        <v/>
      </c>
      <c r="I398" s="394" t="str">
        <f>IF(B398&lt;&gt;"",IFERROR(IF(LEFT($B398,3)=$Z$2,VLOOKUP($C398,Outbound!$B:$AAZ,52,FALSE),VLOOKUP($B398,Outbound!$B:$AAZ,52,FALSE)),"NON TROVATO"),"")</f>
        <v/>
      </c>
      <c r="J398" s="396"/>
      <c r="K398" s="387" t="str">
        <f>IF(B398&lt;&gt;"",IF($D398&lt;&gt;"ON ROCS/NOT ON FILE",IFERROR(_xlfn.XLOOKUP(LEFT($D398,3),'STAT 77 Table'!$B:$B,'STAT 77 Table'!$A:$A),"ZZ"&amp;RIGHT($B398,4)),""),"")</f>
        <v/>
      </c>
      <c r="L398" s="396"/>
      <c r="O398" s="388"/>
      <c r="P398" s="388"/>
      <c r="AA398" s="421">
        <f t="shared" si="6"/>
        <v>0</v>
      </c>
    </row>
    <row r="399" spans="1:27" ht="16.5">
      <c r="A399" s="387" t="str">
        <f>'STAT 77 Table'!$I$379</f>
        <v>ITD12257</v>
      </c>
      <c r="B399"/>
      <c r="C399"/>
      <c r="D399" s="387" t="str">
        <f>IF($B399&lt;&gt;"",IFERROR(IF(LEFT($B399,3)=$Z$2,VLOOKUP($C399,Outbound!$B:$Z,4,FALSE),VLOOKUP($B399,Outbound!$B:$Z,4,FALSE)),"ON ROCS/NOT ON FILE"),"")</f>
        <v/>
      </c>
      <c r="E399" s="387" t="str">
        <f>IF($B399&lt;&gt;"",IFERROR(IF(LEFT($B399,4)=$Z$2,VLOOKUP($C399,Outbound!$B:$Z,5,FALSE),VLOOKUP($B399,Outbound!$B:$Z,5,FALSE)),"ON ROCS/NOT ON FILE"),"")</f>
        <v/>
      </c>
      <c r="F399" s="387" t="str">
        <f>IF(B399&lt;&gt;"",IFERROR(IF(LEFT($B399,3)=$Z$2,VLOOKUP($C399,Outbound!$B:$Z,11,FALSE),VLOOKUP($B399,Outbound!$B:$Z,11,FALSE)),"NON TROVATO"),"")</f>
        <v/>
      </c>
      <c r="G399" s="394" t="str">
        <f>IF(B399&lt;&gt;"",IFERROR(IF(LEFT($B399,3)=$Z$2,VLOOKUP($C399,Outbound!$B:$AAZ,16,FALSE),VLOOKUP($B399,Outbound!$B:$AAZ,16,FALSE)),"NON TROVATO"),"")</f>
        <v/>
      </c>
      <c r="H399" s="394" t="str">
        <f>IF(B399&lt;&gt;"",IFERROR(IF(LEFT($B399,3)=$Z$2,VLOOKUP($C399,Outbound!$B:$AAZ,6,FALSE),VLOOKUP($B399,Outbound!$B:$AAZ,6,FALSE)),"NON TROVATO"),"")</f>
        <v/>
      </c>
      <c r="I399" s="394" t="str">
        <f>IF(B399&lt;&gt;"",IFERROR(IF(LEFT($B399,3)=$Z$2,VLOOKUP($C399,Outbound!$B:$AAZ,52,FALSE),VLOOKUP($B399,Outbound!$B:$AAZ,52,FALSE)),"NON TROVATO"),"")</f>
        <v/>
      </c>
      <c r="J399" s="396"/>
      <c r="K399" s="387" t="str">
        <f>IF(B399&lt;&gt;"",IF($D399&lt;&gt;"ON ROCS/NOT ON FILE",IFERROR(_xlfn.XLOOKUP(LEFT($D399,3),'STAT 77 Table'!$B:$B,'STAT 77 Table'!$A:$A),"ZZ"&amp;RIGHT($B399,4)),""),"")</f>
        <v/>
      </c>
      <c r="L399" s="396"/>
      <c r="O399" s="388"/>
      <c r="P399" s="388"/>
      <c r="AA399" s="421">
        <f t="shared" si="6"/>
        <v>0</v>
      </c>
    </row>
    <row r="400" spans="1:27" ht="16.5">
      <c r="A400" s="387" t="str">
        <f>'STAT 77 Table'!$I$380</f>
        <v>ERN92518</v>
      </c>
      <c r="B400"/>
      <c r="C400"/>
      <c r="D400" s="387" t="str">
        <f>IF($B400&lt;&gt;"",IFERROR(IF(LEFT($B400,3)=$Z$2,VLOOKUP($C400,Outbound!$B:$Z,4,FALSE),VLOOKUP($B400,Outbound!$B:$Z,4,FALSE)),"ON ROCS/NOT ON FILE"),"")</f>
        <v/>
      </c>
      <c r="E400" s="387" t="str">
        <f>IF($B400&lt;&gt;"",IFERROR(IF(LEFT($B400,4)=$Z$2,VLOOKUP($C400,Outbound!$B:$Z,5,FALSE),VLOOKUP($B400,Outbound!$B:$Z,5,FALSE)),"ON ROCS/NOT ON FILE"),"")</f>
        <v/>
      </c>
      <c r="F400" s="387" t="str">
        <f>IF(B400&lt;&gt;"",IFERROR(IF(LEFT($B400,3)=$Z$2,VLOOKUP($C400,Outbound!$B:$Z,11,FALSE),VLOOKUP($B400,Outbound!$B:$Z,11,FALSE)),"NON TROVATO"),"")</f>
        <v/>
      </c>
      <c r="G400" s="394" t="str">
        <f>IF(B400&lt;&gt;"",IFERROR(IF(LEFT($B400,3)=$Z$2,VLOOKUP($C400,Outbound!$B:$AAZ,16,FALSE),VLOOKUP($B400,Outbound!$B:$AAZ,16,FALSE)),"NON TROVATO"),"")</f>
        <v/>
      </c>
      <c r="H400" s="394" t="str">
        <f>IF(B400&lt;&gt;"",IFERROR(IF(LEFT($B400,3)=$Z$2,VLOOKUP($C400,Outbound!$B:$AAZ,6,FALSE),VLOOKUP($B400,Outbound!$B:$AAZ,6,FALSE)),"NON TROVATO"),"")</f>
        <v/>
      </c>
      <c r="I400" s="394" t="str">
        <f>IF(B400&lt;&gt;"",IFERROR(IF(LEFT($B400,3)=$Z$2,VLOOKUP($C400,Outbound!$B:$AAZ,52,FALSE),VLOOKUP($B400,Outbound!$B:$AAZ,52,FALSE)),"NON TROVATO"),"")</f>
        <v/>
      </c>
      <c r="J400" s="396"/>
      <c r="K400" s="387" t="str">
        <f>IF(B400&lt;&gt;"",IF($D400&lt;&gt;"ON ROCS/NOT ON FILE",IFERROR(_xlfn.XLOOKUP(LEFT($D400,3),'STAT 77 Table'!$B:$B,'STAT 77 Table'!$A:$A),"ZZ"&amp;RIGHT($B400,4)),""),"")</f>
        <v/>
      </c>
      <c r="L400" s="396"/>
      <c r="O400" s="388"/>
      <c r="P400" s="388"/>
      <c r="AA400" s="421">
        <f t="shared" si="6"/>
        <v>0</v>
      </c>
    </row>
    <row r="401" spans="1:27" ht="16.5">
      <c r="A401" s="387" t="str">
        <f>'STAT 77 Table'!$I$381</f>
        <v>ERN10067</v>
      </c>
      <c r="B401"/>
      <c r="C401"/>
      <c r="D401" s="387" t="str">
        <f>IF($B401&lt;&gt;"",IFERROR(IF(LEFT($B401,3)=$Z$2,VLOOKUP($C401,Outbound!$B:$Z,4,FALSE),VLOOKUP($B401,Outbound!$B:$Z,4,FALSE)),"ON ROCS/NOT ON FILE"),"")</f>
        <v/>
      </c>
      <c r="E401" s="387" t="str">
        <f>IF($B401&lt;&gt;"",IFERROR(IF(LEFT($B401,4)=$Z$2,VLOOKUP($C401,Outbound!$B:$Z,5,FALSE),VLOOKUP($B401,Outbound!$B:$Z,5,FALSE)),"ON ROCS/NOT ON FILE"),"")</f>
        <v/>
      </c>
      <c r="F401" s="387" t="str">
        <f>IF(B401&lt;&gt;"",IFERROR(IF(LEFT($B401,3)=$Z$2,VLOOKUP($C401,Outbound!$B:$Z,11,FALSE),VLOOKUP($B401,Outbound!$B:$Z,11,FALSE)),"NON TROVATO"),"")</f>
        <v/>
      </c>
      <c r="G401" s="394" t="str">
        <f>IF(B401&lt;&gt;"",IFERROR(IF(LEFT($B401,3)=$Z$2,VLOOKUP($C401,Outbound!$B:$AAZ,16,FALSE),VLOOKUP($B401,Outbound!$B:$AAZ,16,FALSE)),"NON TROVATO"),"")</f>
        <v/>
      </c>
      <c r="H401" s="394" t="str">
        <f>IF(B401&lt;&gt;"",IFERROR(IF(LEFT($B401,3)=$Z$2,VLOOKUP($C401,Outbound!$B:$AAZ,6,FALSE),VLOOKUP($B401,Outbound!$B:$AAZ,6,FALSE)),"NON TROVATO"),"")</f>
        <v/>
      </c>
      <c r="I401" s="394" t="str">
        <f>IF(B401&lt;&gt;"",IFERROR(IF(LEFT($B401,3)=$Z$2,VLOOKUP($C401,Outbound!$B:$AAZ,52,FALSE),VLOOKUP($B401,Outbound!$B:$AAZ,52,FALSE)),"NON TROVATO"),"")</f>
        <v/>
      </c>
      <c r="J401" s="396"/>
      <c r="K401" s="387" t="str">
        <f>IF(B401&lt;&gt;"",IF($D401&lt;&gt;"ON ROCS/NOT ON FILE",IFERROR(_xlfn.XLOOKUP(LEFT($D401,3),'STAT 77 Table'!$B:$B,'STAT 77 Table'!$A:$A),"ZZ"&amp;RIGHT($B401,4)),""),"")</f>
        <v/>
      </c>
      <c r="L401" s="396"/>
      <c r="O401" s="388"/>
      <c r="P401" s="388"/>
      <c r="AA401" s="421">
        <f t="shared" si="6"/>
        <v>0</v>
      </c>
    </row>
    <row r="402" spans="1:27" ht="16.5">
      <c r="A402" s="387" t="str">
        <f>'STAT 77 Table'!$I$382</f>
        <v>ERN18033</v>
      </c>
      <c r="B402"/>
      <c r="C402"/>
      <c r="D402" s="387" t="str">
        <f>IF($B402&lt;&gt;"",IFERROR(IF(LEFT($B402,3)=$Z$2,VLOOKUP($C402,Outbound!$B:$Z,4,FALSE),VLOOKUP($B402,Outbound!$B:$Z,4,FALSE)),"ON ROCS/NOT ON FILE"),"")</f>
        <v/>
      </c>
      <c r="E402" s="387" t="str">
        <f>IF($B402&lt;&gt;"",IFERROR(IF(LEFT($B402,4)=$Z$2,VLOOKUP($C402,Outbound!$B:$Z,5,FALSE),VLOOKUP($B402,Outbound!$B:$Z,5,FALSE)),"ON ROCS/NOT ON FILE"),"")</f>
        <v/>
      </c>
      <c r="F402" s="387" t="str">
        <f>IF(B402&lt;&gt;"",IFERROR(IF(LEFT($B402,3)=$Z$2,VLOOKUP($C402,Outbound!$B:$Z,11,FALSE),VLOOKUP($B402,Outbound!$B:$Z,11,FALSE)),"NON TROVATO"),"")</f>
        <v/>
      </c>
      <c r="G402" s="394" t="str">
        <f>IF(B402&lt;&gt;"",IFERROR(IF(LEFT($B402,3)=$Z$2,VLOOKUP($C402,Outbound!$B:$AAZ,16,FALSE),VLOOKUP($B402,Outbound!$B:$AAZ,16,FALSE)),"NON TROVATO"),"")</f>
        <v/>
      </c>
      <c r="H402" s="394" t="str">
        <f>IF(B402&lt;&gt;"",IFERROR(IF(LEFT($B402,3)=$Z$2,VLOOKUP($C402,Outbound!$B:$AAZ,6,FALSE),VLOOKUP($B402,Outbound!$B:$AAZ,6,FALSE)),"NON TROVATO"),"")</f>
        <v/>
      </c>
      <c r="I402" s="394" t="str">
        <f>IF(B402&lt;&gt;"",IFERROR(IF(LEFT($B402,3)=$Z$2,VLOOKUP($C402,Outbound!$B:$AAZ,52,FALSE),VLOOKUP($B402,Outbound!$B:$AAZ,52,FALSE)),"NON TROVATO"),"")</f>
        <v/>
      </c>
      <c r="J402" s="396"/>
      <c r="K402" s="387" t="str">
        <f>IF(B402&lt;&gt;"",IF($D402&lt;&gt;"ON ROCS/NOT ON FILE",IFERROR(_xlfn.XLOOKUP(LEFT($D402,3),'STAT 77 Table'!$B:$B,'STAT 77 Table'!$A:$A),"ZZ"&amp;RIGHT($B402,4)),""),"")</f>
        <v/>
      </c>
      <c r="L402" s="396"/>
      <c r="O402" s="388"/>
      <c r="P402" s="388"/>
      <c r="AA402" s="421">
        <f t="shared" si="6"/>
        <v>0</v>
      </c>
    </row>
    <row r="403" spans="1:27" ht="16.5">
      <c r="A403" s="387" t="str">
        <f>'STAT 77 Table'!$I$383</f>
        <v>ERN18370</v>
      </c>
      <c r="B403"/>
      <c r="C403"/>
      <c r="D403" s="387" t="str">
        <f>IF($B403&lt;&gt;"",IFERROR(IF(LEFT($B403,3)=$Z$2,VLOOKUP($C403,Outbound!$B:$Z,4,FALSE),VLOOKUP($B403,Outbound!$B:$Z,4,FALSE)),"ON ROCS/NOT ON FILE"),"")</f>
        <v/>
      </c>
      <c r="E403" s="387" t="str">
        <f>IF($B403&lt;&gt;"",IFERROR(IF(LEFT($B403,4)=$Z$2,VLOOKUP($C403,Outbound!$B:$Z,5,FALSE),VLOOKUP($B403,Outbound!$B:$Z,5,FALSE)),"ON ROCS/NOT ON FILE"),"")</f>
        <v/>
      </c>
      <c r="F403" s="387" t="str">
        <f>IF(B403&lt;&gt;"",IFERROR(IF(LEFT($B403,3)=$Z$2,VLOOKUP($C403,Outbound!$B:$Z,11,FALSE),VLOOKUP($B403,Outbound!$B:$Z,11,FALSE)),"NON TROVATO"),"")</f>
        <v/>
      </c>
      <c r="G403" s="394" t="str">
        <f>IF(B403&lt;&gt;"",IFERROR(IF(LEFT($B403,3)=$Z$2,VLOOKUP($C403,Outbound!$B:$AAZ,16,FALSE),VLOOKUP($B403,Outbound!$B:$AAZ,16,FALSE)),"NON TROVATO"),"")</f>
        <v/>
      </c>
      <c r="H403" s="394" t="str">
        <f>IF(B403&lt;&gt;"",IFERROR(IF(LEFT($B403,3)=$Z$2,VLOOKUP($C403,Outbound!$B:$AAZ,6,FALSE),VLOOKUP($B403,Outbound!$B:$AAZ,6,FALSE)),"NON TROVATO"),"")</f>
        <v/>
      </c>
      <c r="I403" s="394" t="str">
        <f>IF(B403&lt;&gt;"",IFERROR(IF(LEFT($B403,3)=$Z$2,VLOOKUP($C403,Outbound!$B:$AAZ,52,FALSE),VLOOKUP($B403,Outbound!$B:$AAZ,52,FALSE)),"NON TROVATO"),"")</f>
        <v/>
      </c>
      <c r="J403" s="396"/>
      <c r="K403" s="387" t="str">
        <f>IF(B403&lt;&gt;"",IF($D403&lt;&gt;"ON ROCS/NOT ON FILE",IFERROR(_xlfn.XLOOKUP(LEFT($D403,3),'STAT 77 Table'!$B:$B,'STAT 77 Table'!$A:$A),"ZZ"&amp;RIGHT($B403,4)),""),"")</f>
        <v/>
      </c>
      <c r="L403" s="396"/>
      <c r="O403" s="388"/>
      <c r="P403" s="388"/>
      <c r="AA403" s="421">
        <f t="shared" si="6"/>
        <v>0</v>
      </c>
    </row>
    <row r="404" spans="1:27" ht="16.5">
      <c r="A404" s="387" t="str">
        <f>'STAT 77 Table'!$I$384</f>
        <v>ERN92354</v>
      </c>
      <c r="B404"/>
      <c r="C404"/>
      <c r="D404" s="387" t="str">
        <f>IF($B404&lt;&gt;"",IFERROR(IF(LEFT($B404,3)=$Z$2,VLOOKUP($C404,Outbound!$B:$Z,4,FALSE),VLOOKUP($B404,Outbound!$B:$Z,4,FALSE)),"ON ROCS/NOT ON FILE"),"")</f>
        <v/>
      </c>
      <c r="E404" s="387" t="str">
        <f>IF($B404&lt;&gt;"",IFERROR(IF(LEFT($B404,4)=$Z$2,VLOOKUP($C404,Outbound!$B:$Z,5,FALSE),VLOOKUP($B404,Outbound!$B:$Z,5,FALSE)),"ON ROCS/NOT ON FILE"),"")</f>
        <v/>
      </c>
      <c r="F404" s="387" t="str">
        <f>IF(B404&lt;&gt;"",IFERROR(IF(LEFT($B404,3)=$Z$2,VLOOKUP($C404,Outbound!$B:$Z,11,FALSE),VLOOKUP($B404,Outbound!$B:$Z,11,FALSE)),"NON TROVATO"),"")</f>
        <v/>
      </c>
      <c r="G404" s="394" t="str">
        <f>IF(B404&lt;&gt;"",IFERROR(IF(LEFT($B404,3)=$Z$2,VLOOKUP($C404,Outbound!$B:$AAZ,16,FALSE),VLOOKUP($B404,Outbound!$B:$AAZ,16,FALSE)),"NON TROVATO"),"")</f>
        <v/>
      </c>
      <c r="H404" s="394" t="str">
        <f>IF(B404&lt;&gt;"",IFERROR(IF(LEFT($B404,3)=$Z$2,VLOOKUP($C404,Outbound!$B:$AAZ,6,FALSE),VLOOKUP($B404,Outbound!$B:$AAZ,6,FALSE)),"NON TROVATO"),"")</f>
        <v/>
      </c>
      <c r="I404" s="394" t="str">
        <f>IF(B404&lt;&gt;"",IFERROR(IF(LEFT($B404,3)=$Z$2,VLOOKUP($C404,Outbound!$B:$AAZ,52,FALSE),VLOOKUP($B404,Outbound!$B:$AAZ,52,FALSE)),"NON TROVATO"),"")</f>
        <v/>
      </c>
      <c r="J404" s="396"/>
      <c r="K404" s="387" t="str">
        <f>IF(B404&lt;&gt;"",IF($D404&lt;&gt;"ON ROCS/NOT ON FILE",IFERROR(_xlfn.XLOOKUP(LEFT($D404,3),'STAT 77 Table'!$B:$B,'STAT 77 Table'!$A:$A),"ZZ"&amp;RIGHT($B404,4)),""),"")</f>
        <v/>
      </c>
      <c r="L404" s="396"/>
      <c r="O404" s="388"/>
      <c r="P404" s="388"/>
      <c r="AA404" s="421">
        <f t="shared" si="6"/>
        <v>0</v>
      </c>
    </row>
    <row r="405" spans="1:27" ht="16.5">
      <c r="A405" s="387" t="str">
        <f>'STAT 77 Table'!$I$385</f>
        <v>ERN92355</v>
      </c>
      <c r="B405"/>
      <c r="C405"/>
      <c r="D405" s="387" t="str">
        <f>IF($B405&lt;&gt;"",IFERROR(IF(LEFT($B405,3)=$Z$2,VLOOKUP($C405,Outbound!$B:$Z,4,FALSE),VLOOKUP($B405,Outbound!$B:$Z,4,FALSE)),"ON ROCS/NOT ON FILE"),"")</f>
        <v/>
      </c>
      <c r="E405" s="387" t="str">
        <f>IF($B405&lt;&gt;"",IFERROR(IF(LEFT($B405,4)=$Z$2,VLOOKUP($C405,Outbound!$B:$Z,5,FALSE),VLOOKUP($B405,Outbound!$B:$Z,5,FALSE)),"ON ROCS/NOT ON FILE"),"")</f>
        <v/>
      </c>
      <c r="F405" s="387" t="str">
        <f>IF(B405&lt;&gt;"",IFERROR(IF(LEFT($B405,3)=$Z$2,VLOOKUP($C405,Outbound!$B:$Z,11,FALSE),VLOOKUP($B405,Outbound!$B:$Z,11,FALSE)),"NON TROVATO"),"")</f>
        <v/>
      </c>
      <c r="G405" s="394" t="str">
        <f>IF(B405&lt;&gt;"",IFERROR(IF(LEFT($B405,3)=$Z$2,VLOOKUP($C405,Outbound!$B:$AAZ,16,FALSE),VLOOKUP($B405,Outbound!$B:$AAZ,16,FALSE)),"NON TROVATO"),"")</f>
        <v/>
      </c>
      <c r="H405" s="394" t="str">
        <f>IF(B405&lt;&gt;"",IFERROR(IF(LEFT($B405,3)=$Z$2,VLOOKUP($C405,Outbound!$B:$AAZ,6,FALSE),VLOOKUP($B405,Outbound!$B:$AAZ,6,FALSE)),"NON TROVATO"),"")</f>
        <v/>
      </c>
      <c r="I405" s="394" t="str">
        <f>IF(B405&lt;&gt;"",IFERROR(IF(LEFT($B405,3)=$Z$2,VLOOKUP($C405,Outbound!$B:$AAZ,52,FALSE),VLOOKUP($B405,Outbound!$B:$AAZ,52,FALSE)),"NON TROVATO"),"")</f>
        <v/>
      </c>
      <c r="J405" s="396"/>
      <c r="K405" s="387" t="str">
        <f>IF(B405&lt;&gt;"",IF($D405&lt;&gt;"ON ROCS/NOT ON FILE",IFERROR(_xlfn.XLOOKUP(LEFT($D405,3),'STAT 77 Table'!$B:$B,'STAT 77 Table'!$A:$A),"ZZ"&amp;RIGHT($B405,4)),""),"")</f>
        <v/>
      </c>
      <c r="L405" s="396"/>
      <c r="O405" s="388"/>
      <c r="P405" s="388"/>
      <c r="AA405" s="421">
        <f t="shared" si="6"/>
        <v>0</v>
      </c>
    </row>
    <row r="406" spans="1:27" ht="16.5">
      <c r="A406" s="387" t="str">
        <f>'STAT 77 Table'!$I$386</f>
        <v>ERN04154</v>
      </c>
      <c r="B406"/>
      <c r="C406"/>
      <c r="D406" s="387" t="str">
        <f>IF($B406&lt;&gt;"",IFERROR(IF(LEFT($B406,3)=$Z$2,VLOOKUP($C406,Outbound!$B:$Z,4,FALSE),VLOOKUP($B406,Outbound!$B:$Z,4,FALSE)),"ON ROCS/NOT ON FILE"),"")</f>
        <v/>
      </c>
      <c r="E406" s="387" t="str">
        <f>IF($B406&lt;&gt;"",IFERROR(IF(LEFT($B406,4)=$Z$2,VLOOKUP($C406,Outbound!$B:$Z,5,FALSE),VLOOKUP($B406,Outbound!$B:$Z,5,FALSE)),"ON ROCS/NOT ON FILE"),"")</f>
        <v/>
      </c>
      <c r="F406" s="387" t="str">
        <f>IF(B406&lt;&gt;"",IFERROR(IF(LEFT($B406,3)=$Z$2,VLOOKUP($C406,Outbound!$B:$Z,11,FALSE),VLOOKUP($B406,Outbound!$B:$Z,11,FALSE)),"NON TROVATO"),"")</f>
        <v/>
      </c>
      <c r="G406" s="394" t="str">
        <f>IF(B406&lt;&gt;"",IFERROR(IF(LEFT($B406,3)=$Z$2,VLOOKUP($C406,Outbound!$B:$AAZ,16,FALSE),VLOOKUP($B406,Outbound!$B:$AAZ,16,FALSE)),"NON TROVATO"),"")</f>
        <v/>
      </c>
      <c r="H406" s="394" t="str">
        <f>IF(B406&lt;&gt;"",IFERROR(IF(LEFT($B406,3)=$Z$2,VLOOKUP($C406,Outbound!$B:$AAZ,6,FALSE),VLOOKUP($B406,Outbound!$B:$AAZ,6,FALSE)),"NON TROVATO"),"")</f>
        <v/>
      </c>
      <c r="I406" s="394" t="str">
        <f>IF(B406&lt;&gt;"",IFERROR(IF(LEFT($B406,3)=$Z$2,VLOOKUP($C406,Outbound!$B:$AAZ,52,FALSE),VLOOKUP($B406,Outbound!$B:$AAZ,52,FALSE)),"NON TROVATO"),"")</f>
        <v/>
      </c>
      <c r="J406" s="396"/>
      <c r="K406" s="387" t="str">
        <f>IF(B406&lt;&gt;"",IF($D406&lt;&gt;"ON ROCS/NOT ON FILE",IFERROR(_xlfn.XLOOKUP(LEFT($D406,3),'STAT 77 Table'!$B:$B,'STAT 77 Table'!$A:$A),"ZZ"&amp;RIGHT($B406,4)),""),"")</f>
        <v/>
      </c>
      <c r="L406" s="396"/>
      <c r="O406" s="388"/>
      <c r="P406" s="388"/>
      <c r="AA406" s="421">
        <f t="shared" si="6"/>
        <v>0</v>
      </c>
    </row>
    <row r="407" spans="1:27" ht="16.5">
      <c r="A407" s="387" t="str">
        <f>'STAT 77 Table'!$I$387</f>
        <v>ERN92400</v>
      </c>
      <c r="B407"/>
      <c r="C407"/>
      <c r="D407" s="387" t="str">
        <f>IF($B407&lt;&gt;"",IFERROR(IF(LEFT($B407,3)=$Z$2,VLOOKUP($C407,Outbound!$B:$Z,4,FALSE),VLOOKUP($B407,Outbound!$B:$Z,4,FALSE)),"ON ROCS/NOT ON FILE"),"")</f>
        <v/>
      </c>
      <c r="E407" s="387" t="str">
        <f>IF($B407&lt;&gt;"",IFERROR(IF(LEFT($B407,4)=$Z$2,VLOOKUP($C407,Outbound!$B:$Z,5,FALSE),VLOOKUP($B407,Outbound!$B:$Z,5,FALSE)),"ON ROCS/NOT ON FILE"),"")</f>
        <v/>
      </c>
      <c r="F407" s="387" t="str">
        <f>IF(B407&lt;&gt;"",IFERROR(IF(LEFT($B407,3)=$Z$2,VLOOKUP($C407,Outbound!$B:$Z,11,FALSE),VLOOKUP($B407,Outbound!$B:$Z,11,FALSE)),"NON TROVATO"),"")</f>
        <v/>
      </c>
      <c r="G407" s="394" t="str">
        <f>IF(B407&lt;&gt;"",IFERROR(IF(LEFT($B407,3)=$Z$2,VLOOKUP($C407,Outbound!$B:$AAZ,16,FALSE),VLOOKUP($B407,Outbound!$B:$AAZ,16,FALSE)),"NON TROVATO"),"")</f>
        <v/>
      </c>
      <c r="H407" s="394" t="str">
        <f>IF(B407&lt;&gt;"",IFERROR(IF(LEFT($B407,3)=$Z$2,VLOOKUP($C407,Outbound!$B:$AAZ,6,FALSE),VLOOKUP($B407,Outbound!$B:$AAZ,6,FALSE)),"NON TROVATO"),"")</f>
        <v/>
      </c>
      <c r="I407" s="394" t="str">
        <f>IF(B407&lt;&gt;"",IFERROR(IF(LEFT($B407,3)=$Z$2,VLOOKUP($C407,Outbound!$B:$AAZ,52,FALSE),VLOOKUP($B407,Outbound!$B:$AAZ,52,FALSE)),"NON TROVATO"),"")</f>
        <v/>
      </c>
      <c r="J407" s="396"/>
      <c r="K407" s="387" t="str">
        <f>IF(B407&lt;&gt;"",IF($D407&lt;&gt;"ON ROCS/NOT ON FILE",IFERROR(_xlfn.XLOOKUP(LEFT($D407,3),'STAT 77 Table'!$B:$B,'STAT 77 Table'!$A:$A),"ZZ"&amp;RIGHT($B407,4)),""),"")</f>
        <v/>
      </c>
      <c r="L407" s="396"/>
      <c r="O407" s="388"/>
      <c r="P407" s="388"/>
      <c r="AA407" s="421">
        <f t="shared" si="6"/>
        <v>0</v>
      </c>
    </row>
    <row r="408" spans="1:27" ht="16.5">
      <c r="A408" s="387" t="str">
        <f>'STAT 77 Table'!$I$388</f>
        <v>ERN92358</v>
      </c>
      <c r="B408"/>
      <c r="C408"/>
      <c r="D408" s="387" t="str">
        <f>IF($B408&lt;&gt;"",IFERROR(IF(LEFT($B408,3)=$Z$2,VLOOKUP($C408,Outbound!$B:$Z,4,FALSE),VLOOKUP($B408,Outbound!$B:$Z,4,FALSE)),"ON ROCS/NOT ON FILE"),"")</f>
        <v/>
      </c>
      <c r="E408" s="387" t="str">
        <f>IF($B408&lt;&gt;"",IFERROR(IF(LEFT($B408,4)=$Z$2,VLOOKUP($C408,Outbound!$B:$Z,5,FALSE),VLOOKUP($B408,Outbound!$B:$Z,5,FALSE)),"ON ROCS/NOT ON FILE"),"")</f>
        <v/>
      </c>
      <c r="F408" s="387" t="str">
        <f>IF(B408&lt;&gt;"",IFERROR(IF(LEFT($B408,3)=$Z$2,VLOOKUP($C408,Outbound!$B:$Z,11,FALSE),VLOOKUP($B408,Outbound!$B:$Z,11,FALSE)),"NON TROVATO"),"")</f>
        <v/>
      </c>
      <c r="G408" s="394" t="str">
        <f>IF(B408&lt;&gt;"",IFERROR(IF(LEFT($B408,3)=$Z$2,VLOOKUP($C408,Outbound!$B:$AAZ,16,FALSE),VLOOKUP($B408,Outbound!$B:$AAZ,16,FALSE)),"NON TROVATO"),"")</f>
        <v/>
      </c>
      <c r="H408" s="394" t="str">
        <f>IF(B408&lt;&gt;"",IFERROR(IF(LEFT($B408,3)=$Z$2,VLOOKUP($C408,Outbound!$B:$AAZ,6,FALSE),VLOOKUP($B408,Outbound!$B:$AAZ,6,FALSE)),"NON TROVATO"),"")</f>
        <v/>
      </c>
      <c r="I408" s="394" t="str">
        <f>IF(B408&lt;&gt;"",IFERROR(IF(LEFT($B408,3)=$Z$2,VLOOKUP($C408,Outbound!$B:$AAZ,52,FALSE),VLOOKUP($B408,Outbound!$B:$AAZ,52,FALSE)),"NON TROVATO"),"")</f>
        <v/>
      </c>
      <c r="J408" s="396"/>
      <c r="K408" s="387" t="str">
        <f>IF(B408&lt;&gt;"",IF($D408&lt;&gt;"ON ROCS/NOT ON FILE",IFERROR(_xlfn.XLOOKUP(LEFT($D408,3),'STAT 77 Table'!$B:$B,'STAT 77 Table'!$A:$A),"ZZ"&amp;RIGHT($B408,4)),""),"")</f>
        <v/>
      </c>
      <c r="L408" s="396"/>
      <c r="O408" s="388"/>
      <c r="P408" s="388"/>
      <c r="AA408" s="421">
        <f t="shared" si="6"/>
        <v>0</v>
      </c>
    </row>
    <row r="409" spans="1:27" ht="16.5">
      <c r="A409" s="387" t="str">
        <f>'STAT 77 Table'!$I$389</f>
        <v>ERN08176</v>
      </c>
      <c r="B409"/>
      <c r="C409"/>
      <c r="D409" s="387" t="str">
        <f>IF($B409&lt;&gt;"",IFERROR(IF(LEFT($B409,3)=$Z$2,VLOOKUP($C409,Outbound!$B:$Z,4,FALSE),VLOOKUP($B409,Outbound!$B:$Z,4,FALSE)),"ON ROCS/NOT ON FILE"),"")</f>
        <v/>
      </c>
      <c r="E409" s="387" t="str">
        <f>IF($B409&lt;&gt;"",IFERROR(IF(LEFT($B409,4)=$Z$2,VLOOKUP($C409,Outbound!$B:$Z,5,FALSE),VLOOKUP($B409,Outbound!$B:$Z,5,FALSE)),"ON ROCS/NOT ON FILE"),"")</f>
        <v/>
      </c>
      <c r="F409" s="387" t="str">
        <f>IF(B409&lt;&gt;"",IFERROR(IF(LEFT($B409,3)=$Z$2,VLOOKUP($C409,Outbound!$B:$Z,11,FALSE),VLOOKUP($B409,Outbound!$B:$Z,11,FALSE)),"NON TROVATO"),"")</f>
        <v/>
      </c>
      <c r="G409" s="394" t="str">
        <f>IF(B409&lt;&gt;"",IFERROR(IF(LEFT($B409,3)=$Z$2,VLOOKUP($C409,Outbound!$B:$AAZ,16,FALSE),VLOOKUP($B409,Outbound!$B:$AAZ,16,FALSE)),"NON TROVATO"),"")</f>
        <v/>
      </c>
      <c r="H409" s="394" t="str">
        <f>IF(B409&lt;&gt;"",IFERROR(IF(LEFT($B409,3)=$Z$2,VLOOKUP($C409,Outbound!$B:$AAZ,6,FALSE),VLOOKUP($B409,Outbound!$B:$AAZ,6,FALSE)),"NON TROVATO"),"")</f>
        <v/>
      </c>
      <c r="I409" s="394" t="str">
        <f>IF(B409&lt;&gt;"",IFERROR(IF(LEFT($B409,3)=$Z$2,VLOOKUP($C409,Outbound!$B:$AAZ,52,FALSE),VLOOKUP($B409,Outbound!$B:$AAZ,52,FALSE)),"NON TROVATO"),"")</f>
        <v/>
      </c>
      <c r="J409" s="396"/>
      <c r="K409" s="387" t="str">
        <f>IF(B409&lt;&gt;"",IF($D409&lt;&gt;"ON ROCS/NOT ON FILE",IFERROR(_xlfn.XLOOKUP(LEFT($D409,3),'STAT 77 Table'!$B:$B,'STAT 77 Table'!$A:$A),"ZZ"&amp;RIGHT($B409,4)),""),"")</f>
        <v/>
      </c>
      <c r="L409" s="396"/>
      <c r="O409" s="388"/>
      <c r="P409" s="388"/>
      <c r="AA409" s="421">
        <f t="shared" si="6"/>
        <v>0</v>
      </c>
    </row>
    <row r="410" spans="1:27" ht="16.5">
      <c r="A410" s="387" t="str">
        <f>'STAT 77 Table'!$I$390</f>
        <v>ERN92385</v>
      </c>
      <c r="B410"/>
      <c r="C410"/>
      <c r="D410" s="387" t="str">
        <f>IF($B410&lt;&gt;"",IFERROR(IF(LEFT($B410,3)=$Z$2,VLOOKUP($C410,Outbound!$B:$Z,4,FALSE),VLOOKUP($B410,Outbound!$B:$Z,4,FALSE)),"ON ROCS/NOT ON FILE"),"")</f>
        <v/>
      </c>
      <c r="E410" s="387" t="str">
        <f>IF($B410&lt;&gt;"",IFERROR(IF(LEFT($B410,4)=$Z$2,VLOOKUP($C410,Outbound!$B:$Z,5,FALSE),VLOOKUP($B410,Outbound!$B:$Z,5,FALSE)),"ON ROCS/NOT ON FILE"),"")</f>
        <v/>
      </c>
      <c r="F410" s="387" t="str">
        <f>IF(B410&lt;&gt;"",IFERROR(IF(LEFT($B410,3)=$Z$2,VLOOKUP($C410,Outbound!$B:$Z,11,FALSE),VLOOKUP($B410,Outbound!$B:$Z,11,FALSE)),"NON TROVATO"),"")</f>
        <v/>
      </c>
      <c r="G410" s="394" t="str">
        <f>IF(B410&lt;&gt;"",IFERROR(IF(LEFT($B410,3)=$Z$2,VLOOKUP($C410,Outbound!$B:$AAZ,16,FALSE),VLOOKUP($B410,Outbound!$B:$AAZ,16,FALSE)),"NON TROVATO"),"")</f>
        <v/>
      </c>
      <c r="H410" s="394" t="str">
        <f>IF(B410&lt;&gt;"",IFERROR(IF(LEFT($B410,3)=$Z$2,VLOOKUP($C410,Outbound!$B:$AAZ,6,FALSE),VLOOKUP($B410,Outbound!$B:$AAZ,6,FALSE)),"NON TROVATO"),"")</f>
        <v/>
      </c>
      <c r="I410" s="394" t="str">
        <f>IF(B410&lt;&gt;"",IFERROR(IF(LEFT($B410,3)=$Z$2,VLOOKUP($C410,Outbound!$B:$AAZ,52,FALSE),VLOOKUP($B410,Outbound!$B:$AAZ,52,FALSE)),"NON TROVATO"),"")</f>
        <v/>
      </c>
      <c r="J410" s="396"/>
      <c r="K410" s="387" t="str">
        <f>IF(B410&lt;&gt;"",IF($D410&lt;&gt;"ON ROCS/NOT ON FILE",IFERROR(_xlfn.XLOOKUP(LEFT($D410,3),'STAT 77 Table'!$B:$B,'STAT 77 Table'!$A:$A),"ZZ"&amp;RIGHT($B410,4)),""),"")</f>
        <v/>
      </c>
      <c r="L410" s="396"/>
      <c r="O410" s="388"/>
      <c r="P410" s="388"/>
      <c r="AA410" s="421">
        <f t="shared" si="6"/>
        <v>0</v>
      </c>
    </row>
    <row r="411" spans="1:27" ht="16.5">
      <c r="A411" s="387" t="str">
        <f>'STAT 77 Table'!$I$391</f>
        <v>ERN92361</v>
      </c>
      <c r="B411"/>
      <c r="C411"/>
      <c r="D411" s="387" t="str">
        <f>IF($B411&lt;&gt;"",IFERROR(IF(LEFT($B411,3)=$Z$2,VLOOKUP($C411,Outbound!$B:$Z,4,FALSE),VLOOKUP($B411,Outbound!$B:$Z,4,FALSE)),"ON ROCS/NOT ON FILE"),"")</f>
        <v/>
      </c>
      <c r="E411" s="387" t="str">
        <f>IF($B411&lt;&gt;"",IFERROR(IF(LEFT($B411,4)=$Z$2,VLOOKUP($C411,Outbound!$B:$Z,5,FALSE),VLOOKUP($B411,Outbound!$B:$Z,5,FALSE)),"ON ROCS/NOT ON FILE"),"")</f>
        <v/>
      </c>
      <c r="F411" s="387" t="str">
        <f>IF(B411&lt;&gt;"",IFERROR(IF(LEFT($B411,3)=$Z$2,VLOOKUP($C411,Outbound!$B:$Z,11,FALSE),VLOOKUP($B411,Outbound!$B:$Z,11,FALSE)),"NON TROVATO"),"")</f>
        <v/>
      </c>
      <c r="G411" s="394" t="str">
        <f>IF(B411&lt;&gt;"",IFERROR(IF(LEFT($B411,3)=$Z$2,VLOOKUP($C411,Outbound!$B:$AAZ,16,FALSE),VLOOKUP($B411,Outbound!$B:$AAZ,16,FALSE)),"NON TROVATO"),"")</f>
        <v/>
      </c>
      <c r="H411" s="394" t="str">
        <f>IF(B411&lt;&gt;"",IFERROR(IF(LEFT($B411,3)=$Z$2,VLOOKUP($C411,Outbound!$B:$AAZ,6,FALSE),VLOOKUP($B411,Outbound!$B:$AAZ,6,FALSE)),"NON TROVATO"),"")</f>
        <v/>
      </c>
      <c r="I411" s="394" t="str">
        <f>IF(B411&lt;&gt;"",IFERROR(IF(LEFT($B411,3)=$Z$2,VLOOKUP($C411,Outbound!$B:$AAZ,52,FALSE),VLOOKUP($B411,Outbound!$B:$AAZ,52,FALSE)),"NON TROVATO"),"")</f>
        <v/>
      </c>
      <c r="J411" s="396"/>
      <c r="K411" s="387" t="str">
        <f>IF(B411&lt;&gt;"",IF($D411&lt;&gt;"ON ROCS/NOT ON FILE",IFERROR(_xlfn.XLOOKUP(LEFT($D411,3),'STAT 77 Table'!$B:$B,'STAT 77 Table'!$A:$A),"ZZ"&amp;RIGHT($B411,4)),""),"")</f>
        <v/>
      </c>
      <c r="L411" s="396"/>
      <c r="O411" s="388"/>
      <c r="P411" s="388"/>
      <c r="AA411" s="421">
        <f t="shared" si="6"/>
        <v>0</v>
      </c>
    </row>
    <row r="412" spans="1:27" ht="16.5">
      <c r="A412" s="387" t="str">
        <f>'STAT 77 Table'!$I$392</f>
        <v>ERN92363</v>
      </c>
      <c r="B412"/>
      <c r="C412"/>
      <c r="D412" s="387" t="str">
        <f>IF($B412&lt;&gt;"",IFERROR(IF(LEFT($B412,3)=$Z$2,VLOOKUP($C412,Outbound!$B:$Z,4,FALSE),VLOOKUP($B412,Outbound!$B:$Z,4,FALSE)),"ON ROCS/NOT ON FILE"),"")</f>
        <v/>
      </c>
      <c r="E412" s="387" t="str">
        <f>IF($B412&lt;&gt;"",IFERROR(IF(LEFT($B412,4)=$Z$2,VLOOKUP($C412,Outbound!$B:$Z,5,FALSE),VLOOKUP($B412,Outbound!$B:$Z,5,FALSE)),"ON ROCS/NOT ON FILE"),"")</f>
        <v/>
      </c>
      <c r="F412" s="387" t="str">
        <f>IF(B412&lt;&gt;"",IFERROR(IF(LEFT($B412,3)=$Z$2,VLOOKUP($C412,Outbound!$B:$Z,11,FALSE),VLOOKUP($B412,Outbound!$B:$Z,11,FALSE)),"NON TROVATO"),"")</f>
        <v/>
      </c>
      <c r="G412" s="394" t="str">
        <f>IF(B412&lt;&gt;"",IFERROR(IF(LEFT($B412,3)=$Z$2,VLOOKUP($C412,Outbound!$B:$AAZ,16,FALSE),VLOOKUP($B412,Outbound!$B:$AAZ,16,FALSE)),"NON TROVATO"),"")</f>
        <v/>
      </c>
      <c r="H412" s="394" t="str">
        <f>IF(B412&lt;&gt;"",IFERROR(IF(LEFT($B412,3)=$Z$2,VLOOKUP($C412,Outbound!$B:$AAZ,6,FALSE),VLOOKUP($B412,Outbound!$B:$AAZ,6,FALSE)),"NON TROVATO"),"")</f>
        <v/>
      </c>
      <c r="I412" s="394" t="str">
        <f>IF(B412&lt;&gt;"",IFERROR(IF(LEFT($B412,3)=$Z$2,VLOOKUP($C412,Outbound!$B:$AAZ,52,FALSE),VLOOKUP($B412,Outbound!$B:$AAZ,52,FALSE)),"NON TROVATO"),"")</f>
        <v/>
      </c>
      <c r="J412" s="396"/>
      <c r="K412" s="387" t="str">
        <f>IF(B412&lt;&gt;"",IF($D412&lt;&gt;"ON ROCS/NOT ON FILE",IFERROR(_xlfn.XLOOKUP(LEFT($D412,3),'STAT 77 Table'!$B:$B,'STAT 77 Table'!$A:$A),"ZZ"&amp;RIGHT($B412,4)),""),"")</f>
        <v/>
      </c>
      <c r="L412" s="396"/>
      <c r="O412" s="388"/>
      <c r="P412" s="388"/>
      <c r="AA412" s="421">
        <f t="shared" si="6"/>
        <v>0</v>
      </c>
    </row>
    <row r="413" spans="1:27" ht="16.5">
      <c r="A413" s="387">
        <f>'STAT 77 Table'!$I$412</f>
        <v>0</v>
      </c>
      <c r="B413"/>
      <c r="C413"/>
      <c r="D413" s="387" t="str">
        <f>IF($B413&lt;&gt;"",IFERROR(IF(LEFT($B413,3)=$Z$2,VLOOKUP($C413,Outbound!$B:$Z,4,FALSE),VLOOKUP($B413,Outbound!$B:$Z,4,FALSE)),"ON ROCS/NOT ON FILE"),"")</f>
        <v/>
      </c>
      <c r="E413" s="387" t="str">
        <f>IF($B413&lt;&gt;"",IFERROR(IF(LEFT($B413,4)=$Z$2,VLOOKUP($C413,Outbound!$B:$Z,5,FALSE),VLOOKUP($B413,Outbound!$B:$Z,5,FALSE)),"ON ROCS/NOT ON FILE"),"")</f>
        <v/>
      </c>
      <c r="F413" s="387" t="str">
        <f>IF(B413&lt;&gt;"",IFERROR(IF(LEFT($B413,3)=$Z$2,VLOOKUP($C413,Outbound!$B:$Z,11,FALSE),VLOOKUP($B413,Outbound!$B:$Z,11,FALSE)),"NON TROVATO"),"")</f>
        <v/>
      </c>
      <c r="G413" s="394" t="str">
        <f>IF(B413&lt;&gt;"",IFERROR(IF(LEFT($B413,3)=$Z$2,VLOOKUP($C413,Outbound!$B:$AAZ,16,FALSE),VLOOKUP($B413,Outbound!$B:$AAZ,16,FALSE)),"NON TROVATO"),"")</f>
        <v/>
      </c>
      <c r="H413" s="394" t="str">
        <f>IF(B413&lt;&gt;"",IFERROR(IF(LEFT($B413,3)=$Z$2,VLOOKUP($C413,Outbound!$B:$AAZ,6,FALSE),VLOOKUP($B413,Outbound!$B:$AAZ,6,FALSE)),"NON TROVATO"),"")</f>
        <v/>
      </c>
      <c r="I413" s="394" t="str">
        <f>IF(B413&lt;&gt;"",IFERROR(IF(LEFT($B413,3)=$Z$2,VLOOKUP($C413,Outbound!$B:$AAZ,52,FALSE),VLOOKUP($B413,Outbound!$B:$AAZ,52,FALSE)),"NON TROVATO"),"")</f>
        <v/>
      </c>
      <c r="J413" s="396"/>
      <c r="K413" s="387" t="str">
        <f>IF(B413&lt;&gt;"",IF($D413&lt;&gt;"ON ROCS/NOT ON FILE",IFERROR(_xlfn.XLOOKUP(LEFT($D413,3),'STAT 77 Table'!$B:$B,'STAT 77 Table'!$A:$A),"ZZ"&amp;RIGHT($B413,4)),""),"")</f>
        <v/>
      </c>
      <c r="L413" s="396"/>
      <c r="O413" s="388"/>
      <c r="P413" s="388"/>
      <c r="AA413" s="421">
        <f t="shared" si="6"/>
        <v>0</v>
      </c>
    </row>
    <row r="414" spans="1:27" ht="16.5">
      <c r="A414" s="387">
        <f>'STAT 77 Table'!$I$413</f>
        <v>0</v>
      </c>
      <c r="B414"/>
      <c r="C414"/>
      <c r="D414" s="387" t="str">
        <f>IF($B414&lt;&gt;"",IFERROR(IF(LEFT($B414,3)=$Z$2,VLOOKUP($C414,Outbound!$B:$Z,4,FALSE),VLOOKUP($B414,Outbound!$B:$Z,4,FALSE)),"ON ROCS/NOT ON FILE"),"")</f>
        <v/>
      </c>
      <c r="E414" s="387" t="str">
        <f>IF($B414&lt;&gt;"",IFERROR(IF(LEFT($B414,4)=$Z$2,VLOOKUP($C414,Outbound!$B:$Z,5,FALSE),VLOOKUP($B414,Outbound!$B:$Z,5,FALSE)),"ON ROCS/NOT ON FILE"),"")</f>
        <v/>
      </c>
      <c r="F414" s="387" t="str">
        <f>IF(B414&lt;&gt;"",IFERROR(IF(LEFT($B414,3)=$Z$2,VLOOKUP($C414,Outbound!$B:$Z,11,FALSE),VLOOKUP($B414,Outbound!$B:$Z,11,FALSE)),"NON TROVATO"),"")</f>
        <v/>
      </c>
      <c r="G414" s="394" t="str">
        <f>IF(B414&lt;&gt;"",IFERROR(IF(LEFT($B414,3)=$Z$2,VLOOKUP($C414,Outbound!$B:$AAZ,16,FALSE),VLOOKUP($B414,Outbound!$B:$AAZ,16,FALSE)),"NON TROVATO"),"")</f>
        <v/>
      </c>
      <c r="H414" s="394" t="str">
        <f>IF(B414&lt;&gt;"",IFERROR(IF(LEFT($B414,3)=$Z$2,VLOOKUP($C414,Outbound!$B:$AAZ,6,FALSE),VLOOKUP($B414,Outbound!$B:$AAZ,6,FALSE)),"NON TROVATO"),"")</f>
        <v/>
      </c>
      <c r="I414" s="394" t="str">
        <f>IF(B414&lt;&gt;"",IFERROR(IF(LEFT($B414,3)=$Z$2,VLOOKUP($C414,Outbound!$B:$AAZ,52,FALSE),VLOOKUP($B414,Outbound!$B:$AAZ,52,FALSE)),"NON TROVATO"),"")</f>
        <v/>
      </c>
      <c r="J414" s="396"/>
      <c r="K414" s="387" t="str">
        <f>IF(B414&lt;&gt;"",IF($D414&lt;&gt;"ON ROCS/NOT ON FILE",IFERROR(_xlfn.XLOOKUP(LEFT($D414,3),'STAT 77 Table'!$B:$B,'STAT 77 Table'!$A:$A),"ZZ"&amp;RIGHT($B414,4)),""),"")</f>
        <v/>
      </c>
      <c r="L414" s="396"/>
      <c r="O414" s="388"/>
      <c r="P414" s="388"/>
      <c r="AA414" s="421">
        <f t="shared" si="6"/>
        <v>0</v>
      </c>
    </row>
    <row r="415" spans="1:27" ht="16.5">
      <c r="A415" s="387">
        <f>'STAT 77 Table'!$I$414</f>
        <v>0</v>
      </c>
      <c r="B415"/>
      <c r="C415"/>
      <c r="D415" s="387" t="str">
        <f>IF($B415&lt;&gt;"",IFERROR(IF(LEFT($B415,3)=$Z$2,VLOOKUP($C415,Outbound!$B:$Z,4,FALSE),VLOOKUP($B415,Outbound!$B:$Z,4,FALSE)),"ON ROCS/NOT ON FILE"),"")</f>
        <v/>
      </c>
      <c r="E415" s="387" t="str">
        <f>IF($B415&lt;&gt;"",IFERROR(IF(LEFT($B415,4)=$Z$2,VLOOKUP($C415,Outbound!$B:$Z,5,FALSE),VLOOKUP($B415,Outbound!$B:$Z,5,FALSE)),"ON ROCS/NOT ON FILE"),"")</f>
        <v/>
      </c>
      <c r="F415" s="387" t="str">
        <f>IF(B415&lt;&gt;"",IFERROR(IF(LEFT($B415,3)=$Z$2,VLOOKUP($C415,Outbound!$B:$Z,11,FALSE),VLOOKUP($B415,Outbound!$B:$Z,11,FALSE)),"NON TROVATO"),"")</f>
        <v/>
      </c>
      <c r="G415" s="394" t="str">
        <f>IF(B415&lt;&gt;"",IFERROR(IF(LEFT($B415,3)=$Z$2,VLOOKUP($C415,Outbound!$B:$AAZ,16,FALSE),VLOOKUP($B415,Outbound!$B:$AAZ,16,FALSE)),"NON TROVATO"),"")</f>
        <v/>
      </c>
      <c r="H415" s="394" t="str">
        <f>IF(B415&lt;&gt;"",IFERROR(IF(LEFT($B415,3)=$Z$2,VLOOKUP($C415,Outbound!$B:$AAZ,6,FALSE),VLOOKUP($B415,Outbound!$B:$AAZ,6,FALSE)),"NON TROVATO"),"")</f>
        <v/>
      </c>
      <c r="I415" s="394" t="str">
        <f>IF(B415&lt;&gt;"",IFERROR(IF(LEFT($B415,3)=$Z$2,VLOOKUP($C415,Outbound!$B:$AAZ,52,FALSE),VLOOKUP($B415,Outbound!$B:$AAZ,52,FALSE)),"NON TROVATO"),"")</f>
        <v/>
      </c>
      <c r="J415" s="396"/>
      <c r="K415" s="387" t="str">
        <f>IF(B415&lt;&gt;"",IF($D415&lt;&gt;"ON ROCS/NOT ON FILE",IFERROR(_xlfn.XLOOKUP(LEFT($D415,3),'STAT 77 Table'!$B:$B,'STAT 77 Table'!$A:$A),"ZZ"&amp;RIGHT($B415,4)),""),"")</f>
        <v/>
      </c>
      <c r="L415" s="396"/>
      <c r="O415" s="388"/>
      <c r="P415" s="388"/>
      <c r="AA415" s="421">
        <f t="shared" si="6"/>
        <v>0</v>
      </c>
    </row>
    <row r="416" spans="1:27" ht="16.5">
      <c r="A416" s="387">
        <f>'STAT 77 Table'!$I$415</f>
        <v>0</v>
      </c>
      <c r="B416"/>
      <c r="C416"/>
      <c r="D416" s="387" t="str">
        <f>IF($B416&lt;&gt;"",IFERROR(IF(LEFT($B416,3)=$Z$2,VLOOKUP($C416,Outbound!$B:$Z,4,FALSE),VLOOKUP($B416,Outbound!$B:$Z,4,FALSE)),"ON ROCS/NOT ON FILE"),"")</f>
        <v/>
      </c>
      <c r="E416" s="387" t="str">
        <f>IF($B416&lt;&gt;"",IFERROR(IF(LEFT($B416,4)=$Z$2,VLOOKUP($C416,Outbound!$B:$Z,5,FALSE),VLOOKUP($B416,Outbound!$B:$Z,5,FALSE)),"ON ROCS/NOT ON FILE"),"")</f>
        <v/>
      </c>
      <c r="F416" s="387" t="str">
        <f>IF(B416&lt;&gt;"",IFERROR(IF(LEFT($B416,3)=$Z$2,VLOOKUP($C416,Outbound!$B:$Z,11,FALSE),VLOOKUP($B416,Outbound!$B:$Z,11,FALSE)),"NON TROVATO"),"")</f>
        <v/>
      </c>
      <c r="G416" s="394" t="str">
        <f>IF(B416&lt;&gt;"",IFERROR(IF(LEFT($B416,3)=$Z$2,VLOOKUP($C416,Outbound!$B:$AAZ,16,FALSE),VLOOKUP($B416,Outbound!$B:$AAZ,16,FALSE)),"NON TROVATO"),"")</f>
        <v/>
      </c>
      <c r="H416" s="394" t="str">
        <f>IF(B416&lt;&gt;"",IFERROR(IF(LEFT($B416,3)=$Z$2,VLOOKUP($C416,Outbound!$B:$AAZ,6,FALSE),VLOOKUP($B416,Outbound!$B:$AAZ,6,FALSE)),"NON TROVATO"),"")</f>
        <v/>
      </c>
      <c r="I416" s="394" t="str">
        <f>IF(B416&lt;&gt;"",IFERROR(IF(LEFT($B416,3)=$Z$2,VLOOKUP($C416,Outbound!$B:$AAZ,52,FALSE),VLOOKUP($B416,Outbound!$B:$AAZ,52,FALSE)),"NON TROVATO"),"")</f>
        <v/>
      </c>
      <c r="J416" s="396"/>
      <c r="K416" s="387" t="str">
        <f>IF(B416&lt;&gt;"",IF($D416&lt;&gt;"ON ROCS/NOT ON FILE",IFERROR(_xlfn.XLOOKUP(LEFT($D416,3),'STAT 77 Table'!$B:$B,'STAT 77 Table'!$A:$A),"ZZ"&amp;RIGHT($B416,4)),""),"")</f>
        <v/>
      </c>
      <c r="L416" s="396"/>
      <c r="O416" s="388"/>
      <c r="P416" s="388"/>
      <c r="AA416" s="421">
        <f t="shared" si="6"/>
        <v>0</v>
      </c>
    </row>
    <row r="417" spans="1:27" ht="16.5">
      <c r="A417" s="387">
        <f>'STAT 77 Table'!$I$416</f>
        <v>0</v>
      </c>
      <c r="B417"/>
      <c r="C417"/>
      <c r="D417" s="387" t="str">
        <f>IF($B417&lt;&gt;"",IFERROR(IF(LEFT($B417,3)=$Z$2,VLOOKUP($C417,Outbound!$B:$Z,4,FALSE),VLOOKUP($B417,Outbound!$B:$Z,4,FALSE)),"ON ROCS/NOT ON FILE"),"")</f>
        <v/>
      </c>
      <c r="E417" s="387" t="str">
        <f>IF($B417&lt;&gt;"",IFERROR(IF(LEFT($B417,4)=$Z$2,VLOOKUP($C417,Outbound!$B:$Z,5,FALSE),VLOOKUP($B417,Outbound!$B:$Z,5,FALSE)),"ON ROCS/NOT ON FILE"),"")</f>
        <v/>
      </c>
      <c r="F417" s="387" t="str">
        <f>IF(B417&lt;&gt;"",IFERROR(IF(LEFT($B417,3)=$Z$2,VLOOKUP($C417,Outbound!$B:$Z,11,FALSE),VLOOKUP($B417,Outbound!$B:$Z,11,FALSE)),"NON TROVATO"),"")</f>
        <v/>
      </c>
      <c r="G417" s="394" t="str">
        <f>IF(B417&lt;&gt;"",IFERROR(IF(LEFT($B417,3)=$Z$2,VLOOKUP($C417,Outbound!$B:$AAZ,16,FALSE),VLOOKUP($B417,Outbound!$B:$AAZ,16,FALSE)),"NON TROVATO"),"")</f>
        <v/>
      </c>
      <c r="H417" s="394" t="str">
        <f>IF(B417&lt;&gt;"",IFERROR(IF(LEFT($B417,3)=$Z$2,VLOOKUP($C417,Outbound!$B:$AAZ,6,FALSE),VLOOKUP($B417,Outbound!$B:$AAZ,6,FALSE)),"NON TROVATO"),"")</f>
        <v/>
      </c>
      <c r="I417" s="394" t="str">
        <f>IF(B417&lt;&gt;"",IFERROR(IF(LEFT($B417,3)=$Z$2,VLOOKUP($C417,Outbound!$B:$AAZ,52,FALSE),VLOOKUP($B417,Outbound!$B:$AAZ,52,FALSE)),"NON TROVATO"),"")</f>
        <v/>
      </c>
      <c r="J417" s="396"/>
      <c r="K417" s="387" t="str">
        <f>IF(B417&lt;&gt;"",IF($D417&lt;&gt;"ON ROCS/NOT ON FILE",IFERROR(_xlfn.XLOOKUP(LEFT($D417,3),'STAT 77 Table'!$B:$B,'STAT 77 Table'!$A:$A),"ZZ"&amp;RIGHT($B417,4)),""),"")</f>
        <v/>
      </c>
      <c r="L417" s="396"/>
      <c r="O417" s="388"/>
      <c r="P417" s="388"/>
      <c r="AA417" s="421">
        <f t="shared" si="6"/>
        <v>0</v>
      </c>
    </row>
    <row r="418" spans="1:27" ht="16.5">
      <c r="A418" s="387">
        <f>'STAT 77 Table'!$I$417</f>
        <v>0</v>
      </c>
      <c r="B418"/>
      <c r="C418"/>
      <c r="D418" s="387" t="str">
        <f>IF($B418&lt;&gt;"",IFERROR(IF(LEFT($B418,3)=$Z$2,VLOOKUP($C418,Outbound!$B:$Z,4,FALSE),VLOOKUP($B418,Outbound!$B:$Z,4,FALSE)),"ON ROCS/NOT ON FILE"),"")</f>
        <v/>
      </c>
      <c r="E418" s="387" t="str">
        <f>IF($B418&lt;&gt;"",IFERROR(IF(LEFT($B418,4)=$Z$2,VLOOKUP($C418,Outbound!$B:$Z,5,FALSE),VLOOKUP($B418,Outbound!$B:$Z,5,FALSE)),"ON ROCS/NOT ON FILE"),"")</f>
        <v/>
      </c>
      <c r="F418" s="387" t="str">
        <f>IF(B418&lt;&gt;"",IFERROR(IF(LEFT($B418,3)=$Z$2,VLOOKUP($C418,Outbound!$B:$Z,11,FALSE),VLOOKUP($B418,Outbound!$B:$Z,11,FALSE)),"NON TROVATO"),"")</f>
        <v/>
      </c>
      <c r="G418" s="394" t="str">
        <f>IF(B418&lt;&gt;"",IFERROR(IF(LEFT($B418,3)=$Z$2,VLOOKUP($C418,Outbound!$B:$AAZ,16,FALSE),VLOOKUP($B418,Outbound!$B:$AAZ,16,FALSE)),"NON TROVATO"),"")</f>
        <v/>
      </c>
      <c r="H418" s="394" t="str">
        <f>IF(B418&lt;&gt;"",IFERROR(IF(LEFT($B418,3)=$Z$2,VLOOKUP($C418,Outbound!$B:$AAZ,6,FALSE),VLOOKUP($B418,Outbound!$B:$AAZ,6,FALSE)),"NON TROVATO"),"")</f>
        <v/>
      </c>
      <c r="I418" s="394" t="str">
        <f>IF(B418&lt;&gt;"",IFERROR(IF(LEFT($B418,3)=$Z$2,VLOOKUP($C418,Outbound!$B:$AAZ,52,FALSE),VLOOKUP($B418,Outbound!$B:$AAZ,52,FALSE)),"NON TROVATO"),"")</f>
        <v/>
      </c>
      <c r="J418" s="396"/>
      <c r="K418" s="387" t="str">
        <f>IF(B418&lt;&gt;"",IF($D418&lt;&gt;"ON ROCS/NOT ON FILE",IFERROR(_xlfn.XLOOKUP(LEFT($D418,3),'STAT 77 Table'!$B:$B,'STAT 77 Table'!$A:$A),"ZZ"&amp;RIGHT($B418,4)),""),"")</f>
        <v/>
      </c>
      <c r="L418" s="396"/>
      <c r="O418" s="388"/>
      <c r="P418" s="388"/>
      <c r="AA418" s="421">
        <f t="shared" si="6"/>
        <v>0</v>
      </c>
    </row>
    <row r="419" spans="1:27" ht="16.5">
      <c r="A419" s="387">
        <f>'STAT 77 Table'!$I$418</f>
        <v>0</v>
      </c>
      <c r="B419"/>
      <c r="C419"/>
      <c r="D419" s="387" t="str">
        <f>IF($B419&lt;&gt;"",IFERROR(IF(LEFT($B419,3)=$Z$2,VLOOKUP($C419,Outbound!$B:$Z,4,FALSE),VLOOKUP($B419,Outbound!$B:$Z,4,FALSE)),"ON ROCS/NOT ON FILE"),"")</f>
        <v/>
      </c>
      <c r="E419" s="387" t="str">
        <f>IF($B419&lt;&gt;"",IFERROR(IF(LEFT($B419,4)=$Z$2,VLOOKUP($C419,Outbound!$B:$Z,5,FALSE),VLOOKUP($B419,Outbound!$B:$Z,5,FALSE)),"ON ROCS/NOT ON FILE"),"")</f>
        <v/>
      </c>
      <c r="F419" s="387" t="str">
        <f>IF(B419&lt;&gt;"",IFERROR(IF(LEFT($B419,3)=$Z$2,VLOOKUP($C419,Outbound!$B:$Z,11,FALSE),VLOOKUP($B419,Outbound!$B:$Z,11,FALSE)),"NON TROVATO"),"")</f>
        <v/>
      </c>
      <c r="G419" s="394" t="str">
        <f>IF(B419&lt;&gt;"",IFERROR(IF(LEFT($B419,3)=$Z$2,VLOOKUP($C419,Outbound!$B:$AAZ,16,FALSE),VLOOKUP($B419,Outbound!$B:$AAZ,16,FALSE)),"NON TROVATO"),"")</f>
        <v/>
      </c>
      <c r="H419" s="394" t="str">
        <f>IF(B419&lt;&gt;"",IFERROR(IF(LEFT($B419,3)=$Z$2,VLOOKUP($C419,Outbound!$B:$AAZ,6,FALSE),VLOOKUP($B419,Outbound!$B:$AAZ,6,FALSE)),"NON TROVATO"),"")</f>
        <v/>
      </c>
      <c r="I419" s="394" t="str">
        <f>IF(B419&lt;&gt;"",IFERROR(IF(LEFT($B419,3)=$Z$2,VLOOKUP($C419,Outbound!$B:$AAZ,52,FALSE),VLOOKUP($B419,Outbound!$B:$AAZ,52,FALSE)),"NON TROVATO"),"")</f>
        <v/>
      </c>
      <c r="J419" s="396"/>
      <c r="K419" s="387" t="str">
        <f>IF(B419&lt;&gt;"",IF($D419&lt;&gt;"ON ROCS/NOT ON FILE",IFERROR(_xlfn.XLOOKUP(LEFT($D419,3),'STAT 77 Table'!$B:$B,'STAT 77 Table'!$A:$A),"ZZ"&amp;RIGHT($B419,4)),""),"")</f>
        <v/>
      </c>
      <c r="L419" s="396"/>
      <c r="O419" s="388"/>
      <c r="P419" s="388"/>
      <c r="AA419" s="421">
        <f t="shared" si="6"/>
        <v>0</v>
      </c>
    </row>
    <row r="420" spans="1:27" ht="16.5">
      <c r="A420" s="387">
        <f>'STAT 77 Table'!$I$419</f>
        <v>0</v>
      </c>
      <c r="B420"/>
      <c r="C420"/>
      <c r="D420" s="387" t="str">
        <f>IF($B420&lt;&gt;"",IFERROR(IF(LEFT($B420,3)=$Z$2,VLOOKUP($C420,Outbound!$B:$Z,4,FALSE),VLOOKUP($B420,Outbound!$B:$Z,4,FALSE)),"ON ROCS/NOT ON FILE"),"")</f>
        <v/>
      </c>
      <c r="E420" s="387" t="str">
        <f>IF($B420&lt;&gt;"",IFERROR(IF(LEFT($B420,4)=$Z$2,VLOOKUP($C420,Outbound!$B:$Z,5,FALSE),VLOOKUP($B420,Outbound!$B:$Z,5,FALSE)),"ON ROCS/NOT ON FILE"),"")</f>
        <v/>
      </c>
      <c r="F420" s="387" t="str">
        <f>IF(B420&lt;&gt;"",IFERROR(IF(LEFT($B420,3)=$Z$2,VLOOKUP($C420,Outbound!$B:$Z,11,FALSE),VLOOKUP($B420,Outbound!$B:$Z,11,FALSE)),"NON TROVATO"),"")</f>
        <v/>
      </c>
      <c r="G420" s="394" t="str">
        <f>IF(B420&lt;&gt;"",IFERROR(IF(LEFT($B420,3)=$Z$2,VLOOKUP($C420,Outbound!$B:$AAZ,16,FALSE),VLOOKUP($B420,Outbound!$B:$AAZ,16,FALSE)),"NON TROVATO"),"")</f>
        <v/>
      </c>
      <c r="H420" s="394" t="str">
        <f>IF(B420&lt;&gt;"",IFERROR(IF(LEFT($B420,3)=$Z$2,VLOOKUP($C420,Outbound!$B:$AAZ,6,FALSE),VLOOKUP($B420,Outbound!$B:$AAZ,6,FALSE)),"NON TROVATO"),"")</f>
        <v/>
      </c>
      <c r="I420" s="394" t="str">
        <f>IF(B420&lt;&gt;"",IFERROR(IF(LEFT($B420,3)=$Z$2,VLOOKUP($C420,Outbound!$B:$AAZ,52,FALSE),VLOOKUP($B420,Outbound!$B:$AAZ,52,FALSE)),"NON TROVATO"),"")</f>
        <v/>
      </c>
      <c r="J420" s="396"/>
      <c r="K420" s="387" t="str">
        <f>IF(B420&lt;&gt;"",IF($D420&lt;&gt;"ON ROCS/NOT ON FILE",IFERROR(_xlfn.XLOOKUP(LEFT($D420,3),'STAT 77 Table'!$B:$B,'STAT 77 Table'!$A:$A),"ZZ"&amp;RIGHT($B420,4)),""),"")</f>
        <v/>
      </c>
      <c r="L420" s="396"/>
      <c r="O420" s="388"/>
      <c r="P420" s="388"/>
      <c r="AA420" s="421">
        <f t="shared" si="6"/>
        <v>0</v>
      </c>
    </row>
    <row r="421" spans="1:27" ht="16.5">
      <c r="A421" s="387">
        <f>'STAT 77 Table'!$I$420</f>
        <v>0</v>
      </c>
      <c r="B421"/>
      <c r="C421"/>
      <c r="D421" s="387" t="str">
        <f>IF($B421&lt;&gt;"",IFERROR(IF(LEFT($B421,3)=$Z$2,VLOOKUP($C421,Outbound!$B:$Z,4,FALSE),VLOOKUP($B421,Outbound!$B:$Z,4,FALSE)),"ON ROCS/NOT ON FILE"),"")</f>
        <v/>
      </c>
      <c r="E421" s="387" t="str">
        <f>IF($B421&lt;&gt;"",IFERROR(IF(LEFT($B421,4)=$Z$2,VLOOKUP($C421,Outbound!$B:$Z,5,FALSE),VLOOKUP($B421,Outbound!$B:$Z,5,FALSE)),"ON ROCS/NOT ON FILE"),"")</f>
        <v/>
      </c>
      <c r="F421" s="387" t="str">
        <f>IF(B421&lt;&gt;"",IFERROR(IF(LEFT($B421,3)=$Z$2,VLOOKUP($C421,Outbound!$B:$Z,11,FALSE),VLOOKUP($B421,Outbound!$B:$Z,11,FALSE)),"NON TROVATO"),"")</f>
        <v/>
      </c>
      <c r="G421" s="394" t="str">
        <f>IF(B421&lt;&gt;"",IFERROR(IF(LEFT($B421,3)=$Z$2,VLOOKUP($C421,Outbound!$B:$AAZ,16,FALSE),VLOOKUP($B421,Outbound!$B:$AAZ,16,FALSE)),"NON TROVATO"),"")</f>
        <v/>
      </c>
      <c r="H421" s="394" t="str">
        <f>IF(B421&lt;&gt;"",IFERROR(IF(LEFT($B421,3)=$Z$2,VLOOKUP($C421,Outbound!$B:$AAZ,6,FALSE),VLOOKUP($B421,Outbound!$B:$AAZ,6,FALSE)),"NON TROVATO"),"")</f>
        <v/>
      </c>
      <c r="I421" s="394" t="str">
        <f>IF(B421&lt;&gt;"",IFERROR(IF(LEFT($B421,3)=$Z$2,VLOOKUP($C421,Outbound!$B:$AAZ,52,FALSE),VLOOKUP($B421,Outbound!$B:$AAZ,52,FALSE)),"NON TROVATO"),"")</f>
        <v/>
      </c>
      <c r="J421" s="396"/>
      <c r="K421" s="387" t="str">
        <f>IF(B421&lt;&gt;"",IF($D421&lt;&gt;"ON ROCS/NOT ON FILE",IFERROR(_xlfn.XLOOKUP(LEFT($D421,3),'STAT 77 Table'!$B:$B,'STAT 77 Table'!$A:$A),"ZZ"&amp;RIGHT($B421,4)),""),"")</f>
        <v/>
      </c>
      <c r="L421" s="396"/>
      <c r="O421" s="388"/>
      <c r="P421" s="388"/>
      <c r="AA421" s="421">
        <f t="shared" si="6"/>
        <v>0</v>
      </c>
    </row>
    <row r="422" spans="1:27" ht="16.5">
      <c r="A422" s="387">
        <f>'STAT 77 Table'!$I$421</f>
        <v>0</v>
      </c>
      <c r="B422"/>
      <c r="C422"/>
      <c r="D422" s="387" t="str">
        <f>IF($B422&lt;&gt;"",IFERROR(IF(LEFT($B422,3)=$Z$2,VLOOKUP($C422,Outbound!$B:$Z,4,FALSE),VLOOKUP($B422,Outbound!$B:$Z,4,FALSE)),"ON ROCS/NOT ON FILE"),"")</f>
        <v/>
      </c>
      <c r="E422" s="387" t="str">
        <f>IF($B422&lt;&gt;"",IFERROR(IF(LEFT($B422,4)=$Z$2,VLOOKUP($C422,Outbound!$B:$Z,5,FALSE),VLOOKUP($B422,Outbound!$B:$Z,5,FALSE)),"ON ROCS/NOT ON FILE"),"")</f>
        <v/>
      </c>
      <c r="F422" s="387" t="str">
        <f>IF(B422&lt;&gt;"",IFERROR(IF(LEFT($B422,3)=$Z$2,VLOOKUP($C422,Outbound!$B:$Z,11,FALSE),VLOOKUP($B422,Outbound!$B:$Z,11,FALSE)),"NON TROVATO"),"")</f>
        <v/>
      </c>
      <c r="G422" s="394" t="str">
        <f>IF(B422&lt;&gt;"",IFERROR(IF(LEFT($B422,3)=$Z$2,VLOOKUP($C422,Outbound!$B:$AAZ,16,FALSE),VLOOKUP($B422,Outbound!$B:$AAZ,16,FALSE)),"NON TROVATO"),"")</f>
        <v/>
      </c>
      <c r="H422" s="394" t="str">
        <f>IF(B422&lt;&gt;"",IFERROR(IF(LEFT($B422,3)=$Z$2,VLOOKUP($C422,Outbound!$B:$AAZ,6,FALSE),VLOOKUP($B422,Outbound!$B:$AAZ,6,FALSE)),"NON TROVATO"),"")</f>
        <v/>
      </c>
      <c r="I422" s="394" t="str">
        <f>IF(B422&lt;&gt;"",IFERROR(IF(LEFT($B422,3)=$Z$2,VLOOKUP($C422,Outbound!$B:$AAZ,52,FALSE),VLOOKUP($B422,Outbound!$B:$AAZ,52,FALSE)),"NON TROVATO"),"")</f>
        <v/>
      </c>
      <c r="J422" s="396"/>
      <c r="K422" s="387" t="str">
        <f>IF(B422&lt;&gt;"",IF($D422&lt;&gt;"ON ROCS/NOT ON FILE",IFERROR(_xlfn.XLOOKUP(LEFT($D422,3),'STAT 77 Table'!$B:$B,'STAT 77 Table'!$A:$A),"ZZ"&amp;RIGHT($B422,4)),""),"")</f>
        <v/>
      </c>
      <c r="L422" s="396"/>
      <c r="O422" s="388"/>
      <c r="P422" s="388"/>
      <c r="AA422" s="421">
        <f t="shared" si="6"/>
        <v>0</v>
      </c>
    </row>
    <row r="423" spans="1:27" ht="16.5">
      <c r="A423" s="387">
        <f>'STAT 77 Table'!$I$422</f>
        <v>0</v>
      </c>
      <c r="B423"/>
      <c r="C423"/>
      <c r="D423" s="387" t="str">
        <f>IF($B423&lt;&gt;"",IFERROR(IF(LEFT($B423,3)=$Z$2,VLOOKUP($C423,Outbound!$B:$Z,4,FALSE),VLOOKUP($B423,Outbound!$B:$Z,4,FALSE)),"ON ROCS/NOT ON FILE"),"")</f>
        <v/>
      </c>
      <c r="E423" s="387" t="str">
        <f>IF($B423&lt;&gt;"",IFERROR(IF(LEFT($B423,4)=$Z$2,VLOOKUP($C423,Outbound!$B:$Z,5,FALSE),VLOOKUP($B423,Outbound!$B:$Z,5,FALSE)),"ON ROCS/NOT ON FILE"),"")</f>
        <v/>
      </c>
      <c r="F423" s="387" t="str">
        <f>IF(B423&lt;&gt;"",IFERROR(IF(LEFT($B423,3)=$Z$2,VLOOKUP($C423,Outbound!$B:$Z,11,FALSE),VLOOKUP($B423,Outbound!$B:$Z,11,FALSE)),"NON TROVATO"),"")</f>
        <v/>
      </c>
      <c r="G423" s="394" t="str">
        <f>IF(B423&lt;&gt;"",IFERROR(IF(LEFT($B423,3)=$Z$2,VLOOKUP($C423,Outbound!$B:$AAZ,16,FALSE),VLOOKUP($B423,Outbound!$B:$AAZ,16,FALSE)),"NON TROVATO"),"")</f>
        <v/>
      </c>
      <c r="H423" s="394" t="str">
        <f>IF(B423&lt;&gt;"",IFERROR(IF(LEFT($B423,3)=$Z$2,VLOOKUP($C423,Outbound!$B:$AAZ,6,FALSE),VLOOKUP($B423,Outbound!$B:$AAZ,6,FALSE)),"NON TROVATO"),"")</f>
        <v/>
      </c>
      <c r="I423" s="394" t="str">
        <f>IF(B423&lt;&gt;"",IFERROR(IF(LEFT($B423,3)=$Z$2,VLOOKUP($C423,Outbound!$B:$AAZ,52,FALSE),VLOOKUP($B423,Outbound!$B:$AAZ,52,FALSE)),"NON TROVATO"),"")</f>
        <v/>
      </c>
      <c r="J423" s="396"/>
      <c r="K423" s="387" t="str">
        <f>IF(B423&lt;&gt;"",IF($D423&lt;&gt;"ON ROCS/NOT ON FILE",IFERROR(_xlfn.XLOOKUP(LEFT($D423,3),'STAT 77 Table'!$B:$B,'STAT 77 Table'!$A:$A),"ZZ"&amp;RIGHT($B423,4)),""),"")</f>
        <v/>
      </c>
      <c r="L423" s="396"/>
      <c r="O423" s="388"/>
      <c r="P423" s="388"/>
      <c r="AA423" s="421">
        <f t="shared" si="6"/>
        <v>0</v>
      </c>
    </row>
    <row r="424" spans="1:27" ht="16.5">
      <c r="A424" s="387">
        <f>'STAT 77 Table'!$I$423</f>
        <v>0</v>
      </c>
      <c r="B424"/>
      <c r="C424"/>
      <c r="D424" s="387" t="str">
        <f>IF($B424&lt;&gt;"",IFERROR(IF(LEFT($B424,3)=$Z$2,VLOOKUP($C424,Outbound!$B:$Z,4,FALSE),VLOOKUP($B424,Outbound!$B:$Z,4,FALSE)),"ON ROCS/NOT ON FILE"),"")</f>
        <v/>
      </c>
      <c r="E424" s="387" t="str">
        <f>IF($B424&lt;&gt;"",IFERROR(IF(LEFT($B424,4)=$Z$2,VLOOKUP($C424,Outbound!$B:$Z,5,FALSE),VLOOKUP($B424,Outbound!$B:$Z,5,FALSE)),"ON ROCS/NOT ON FILE"),"")</f>
        <v/>
      </c>
      <c r="F424" s="387" t="str">
        <f>IF(B424&lt;&gt;"",IFERROR(IF(LEFT($B424,3)=$Z$2,VLOOKUP($C424,Outbound!$B:$Z,11,FALSE),VLOOKUP($B424,Outbound!$B:$Z,11,FALSE)),"NON TROVATO"),"")</f>
        <v/>
      </c>
      <c r="G424" s="394" t="str">
        <f>IF(B424&lt;&gt;"",IFERROR(IF(LEFT($B424,3)=$Z$2,VLOOKUP($C424,Outbound!$B:$AAZ,16,FALSE),VLOOKUP($B424,Outbound!$B:$AAZ,16,FALSE)),"NON TROVATO"),"")</f>
        <v/>
      </c>
      <c r="H424" s="394" t="str">
        <f>IF(B424&lt;&gt;"",IFERROR(IF(LEFT($B424,3)=$Z$2,VLOOKUP($C424,Outbound!$B:$AAZ,6,FALSE),VLOOKUP($B424,Outbound!$B:$AAZ,6,FALSE)),"NON TROVATO"),"")</f>
        <v/>
      </c>
      <c r="I424" s="394" t="str">
        <f>IF(B424&lt;&gt;"",IFERROR(IF(LEFT($B424,3)=$Z$2,VLOOKUP($C424,Outbound!$B:$AAZ,52,FALSE),VLOOKUP($B424,Outbound!$B:$AAZ,52,FALSE)),"NON TROVATO"),"")</f>
        <v/>
      </c>
      <c r="J424" s="396"/>
      <c r="K424" s="387" t="str">
        <f>IF(B424&lt;&gt;"",IF($D424&lt;&gt;"ON ROCS/NOT ON FILE",IFERROR(_xlfn.XLOOKUP(LEFT($D424,3),'STAT 77 Table'!$B:$B,'STAT 77 Table'!$A:$A),"ZZ"&amp;RIGHT($B424,4)),""),"")</f>
        <v/>
      </c>
      <c r="L424" s="396"/>
      <c r="O424" s="388"/>
      <c r="P424" s="388"/>
      <c r="AA424" s="421">
        <f t="shared" si="6"/>
        <v>0</v>
      </c>
    </row>
    <row r="425" spans="1:27" ht="16.5">
      <c r="A425" s="387">
        <f>'STAT 77 Table'!$I$424</f>
        <v>0</v>
      </c>
      <c r="B425"/>
      <c r="C425"/>
      <c r="D425" s="387" t="str">
        <f>IF($B425&lt;&gt;"",IFERROR(IF(LEFT($B425,3)=$Z$2,VLOOKUP($C425,Outbound!$B:$Z,4,FALSE),VLOOKUP($B425,Outbound!$B:$Z,4,FALSE)),"ON ROCS/NOT ON FILE"),"")</f>
        <v/>
      </c>
      <c r="E425" s="387" t="str">
        <f>IF($B425&lt;&gt;"",IFERROR(IF(LEFT($B425,4)=$Z$2,VLOOKUP($C425,Outbound!$B:$Z,5,FALSE),VLOOKUP($B425,Outbound!$B:$Z,5,FALSE)),"ON ROCS/NOT ON FILE"),"")</f>
        <v/>
      </c>
      <c r="F425" s="387" t="str">
        <f>IF(B425&lt;&gt;"",IFERROR(IF(LEFT($B425,3)=$Z$2,VLOOKUP($C425,Outbound!$B:$Z,11,FALSE),VLOOKUP($B425,Outbound!$B:$Z,11,FALSE)),"NON TROVATO"),"")</f>
        <v/>
      </c>
      <c r="G425" s="394" t="str">
        <f>IF(B425&lt;&gt;"",IFERROR(IF(LEFT($B425,3)=$Z$2,VLOOKUP($C425,Outbound!$B:$AAZ,16,FALSE),VLOOKUP($B425,Outbound!$B:$AAZ,16,FALSE)),"NON TROVATO"),"")</f>
        <v/>
      </c>
      <c r="H425" s="394" t="str">
        <f>IF(B425&lt;&gt;"",IFERROR(IF(LEFT($B425,3)=$Z$2,VLOOKUP($C425,Outbound!$B:$AAZ,6,FALSE),VLOOKUP($B425,Outbound!$B:$AAZ,6,FALSE)),"NON TROVATO"),"")</f>
        <v/>
      </c>
      <c r="I425" s="394" t="str">
        <f>IF(B425&lt;&gt;"",IFERROR(IF(LEFT($B425,3)=$Z$2,VLOOKUP($C425,Outbound!$B:$AAZ,52,FALSE),VLOOKUP($B425,Outbound!$B:$AAZ,52,FALSE)),"NON TROVATO"),"")</f>
        <v/>
      </c>
      <c r="J425" s="396"/>
      <c r="K425" s="387" t="str">
        <f>IF(B425&lt;&gt;"",IF($D425&lt;&gt;"ON ROCS/NOT ON FILE",IFERROR(_xlfn.XLOOKUP(LEFT($D425,3),'STAT 77 Table'!$B:$B,'STAT 77 Table'!$A:$A),"ZZ"&amp;RIGHT($B425,4)),""),"")</f>
        <v/>
      </c>
      <c r="L425" s="396"/>
      <c r="O425" s="388"/>
      <c r="P425" s="388"/>
      <c r="AA425" s="421">
        <f t="shared" si="6"/>
        <v>0</v>
      </c>
    </row>
    <row r="426" spans="1:27" ht="16.5">
      <c r="A426" s="387">
        <f>'STAT 77 Table'!$I$425</f>
        <v>0</v>
      </c>
      <c r="B426"/>
      <c r="C426"/>
      <c r="D426" s="387" t="str">
        <f>IF($B426&lt;&gt;"",IFERROR(IF(LEFT($B426,3)=$Z$2,VLOOKUP($C426,Outbound!$B:$Z,4,FALSE),VLOOKUP($B426,Outbound!$B:$Z,4,FALSE)),"ON ROCS/NOT ON FILE"),"")</f>
        <v/>
      </c>
      <c r="E426" s="387" t="str">
        <f>IF($B426&lt;&gt;"",IFERROR(IF(LEFT($B426,4)=$Z$2,VLOOKUP($C426,Outbound!$B:$Z,5,FALSE),VLOOKUP($B426,Outbound!$B:$Z,5,FALSE)),"ON ROCS/NOT ON FILE"),"")</f>
        <v/>
      </c>
      <c r="F426" s="387" t="str">
        <f>IF(B426&lt;&gt;"",IFERROR(IF(LEFT($B426,3)=$Z$2,VLOOKUP($C426,Outbound!$B:$Z,11,FALSE),VLOOKUP($B426,Outbound!$B:$Z,11,FALSE)),"NON TROVATO"),"")</f>
        <v/>
      </c>
      <c r="G426" s="394" t="str">
        <f>IF(B426&lt;&gt;"",IFERROR(IF(LEFT($B426,3)=$Z$2,VLOOKUP($C426,Outbound!$B:$AAZ,16,FALSE),VLOOKUP($B426,Outbound!$B:$AAZ,16,FALSE)),"NON TROVATO"),"")</f>
        <v/>
      </c>
      <c r="H426" s="394" t="str">
        <f>IF(B426&lt;&gt;"",IFERROR(IF(LEFT($B426,3)=$Z$2,VLOOKUP($C426,Outbound!$B:$AAZ,6,FALSE),VLOOKUP($B426,Outbound!$B:$AAZ,6,FALSE)),"NON TROVATO"),"")</f>
        <v/>
      </c>
      <c r="I426" s="394" t="str">
        <f>IF(B426&lt;&gt;"",IFERROR(IF(LEFT($B426,3)=$Z$2,VLOOKUP($C426,Outbound!$B:$AAZ,52,FALSE),VLOOKUP($B426,Outbound!$B:$AAZ,52,FALSE)),"NON TROVATO"),"")</f>
        <v/>
      </c>
      <c r="J426" s="396"/>
      <c r="K426" s="387" t="str">
        <f>IF(B426&lt;&gt;"",IF($D426&lt;&gt;"ON ROCS/NOT ON FILE",IFERROR(_xlfn.XLOOKUP(LEFT($D426,3),'STAT 77 Table'!$B:$B,'STAT 77 Table'!$A:$A),"ZZ"&amp;RIGHT($B426,4)),""),"")</f>
        <v/>
      </c>
      <c r="L426" s="396"/>
      <c r="O426" s="388"/>
      <c r="P426" s="388"/>
      <c r="AA426" s="421">
        <f t="shared" si="6"/>
        <v>0</v>
      </c>
    </row>
    <row r="427" spans="1:27" ht="16.5">
      <c r="A427" s="387">
        <f>'STAT 77 Table'!$I$426</f>
        <v>0</v>
      </c>
      <c r="B427"/>
      <c r="C427"/>
      <c r="D427" s="387" t="str">
        <f>IF($B427&lt;&gt;"",IFERROR(IF(LEFT($B427,3)=$Z$2,VLOOKUP($C427,Outbound!$B:$Z,4,FALSE),VLOOKUP($B427,Outbound!$B:$Z,4,FALSE)),"ON ROCS/NOT ON FILE"),"")</f>
        <v/>
      </c>
      <c r="E427" s="387" t="str">
        <f>IF($B427&lt;&gt;"",IFERROR(IF(LEFT($B427,4)=$Z$2,VLOOKUP($C427,Outbound!$B:$Z,5,FALSE),VLOOKUP($B427,Outbound!$B:$Z,5,FALSE)),"ON ROCS/NOT ON FILE"),"")</f>
        <v/>
      </c>
      <c r="F427" s="387" t="str">
        <f>IF(B427&lt;&gt;"",IFERROR(IF(LEFT($B427,3)=$Z$2,VLOOKUP($C427,Outbound!$B:$Z,11,FALSE),VLOOKUP($B427,Outbound!$B:$Z,11,FALSE)),"NON TROVATO"),"")</f>
        <v/>
      </c>
      <c r="G427" s="394" t="str">
        <f>IF(B427&lt;&gt;"",IFERROR(IF(LEFT($B427,3)=$Z$2,VLOOKUP($C427,Outbound!$B:$AAZ,16,FALSE),VLOOKUP($B427,Outbound!$B:$AAZ,16,FALSE)),"NON TROVATO"),"")</f>
        <v/>
      </c>
      <c r="H427" s="394" t="str">
        <f>IF(B427&lt;&gt;"",IFERROR(IF(LEFT($B427,3)=$Z$2,VLOOKUP($C427,Outbound!$B:$AAZ,6,FALSE),VLOOKUP($B427,Outbound!$B:$AAZ,6,FALSE)),"NON TROVATO"),"")</f>
        <v/>
      </c>
      <c r="I427" s="394" t="str">
        <f>IF(B427&lt;&gt;"",IFERROR(IF(LEFT($B427,3)=$Z$2,VLOOKUP($C427,Outbound!$B:$AAZ,52,FALSE),VLOOKUP($B427,Outbound!$B:$AAZ,52,FALSE)),"NON TROVATO"),"")</f>
        <v/>
      </c>
      <c r="J427" s="396"/>
      <c r="K427" s="387" t="str">
        <f>IF(B427&lt;&gt;"",IF($D427&lt;&gt;"ON ROCS/NOT ON FILE",IFERROR(_xlfn.XLOOKUP(LEFT($D427,3),'STAT 77 Table'!$B:$B,'STAT 77 Table'!$A:$A),"ZZ"&amp;RIGHT($B427,4)),""),"")</f>
        <v/>
      </c>
      <c r="L427" s="396"/>
      <c r="O427" s="388"/>
      <c r="P427" s="388"/>
      <c r="AA427" s="421">
        <f t="shared" si="6"/>
        <v>0</v>
      </c>
    </row>
    <row r="428" spans="1:27" ht="16.5">
      <c r="A428" s="387">
        <f>'STAT 77 Table'!$I$427</f>
        <v>0</v>
      </c>
      <c r="B428"/>
      <c r="C428"/>
      <c r="D428" s="387" t="str">
        <f>IF($B428&lt;&gt;"",IFERROR(IF(LEFT($B428,3)=$Z$2,VLOOKUP($C428,Outbound!$B:$Z,4,FALSE),VLOOKUP($B428,Outbound!$B:$Z,4,FALSE)),"ON ROCS/NOT ON FILE"),"")</f>
        <v/>
      </c>
      <c r="E428" s="387" t="str">
        <f>IF($B428&lt;&gt;"",IFERROR(IF(LEFT($B428,4)=$Z$2,VLOOKUP($C428,Outbound!$B:$Z,5,FALSE),VLOOKUP($B428,Outbound!$B:$Z,5,FALSE)),"ON ROCS/NOT ON FILE"),"")</f>
        <v/>
      </c>
      <c r="F428" s="387" t="str">
        <f>IF(B428&lt;&gt;"",IFERROR(IF(LEFT($B428,3)=$Z$2,VLOOKUP($C428,Outbound!$B:$Z,11,FALSE),VLOOKUP($B428,Outbound!$B:$Z,11,FALSE)),"NON TROVATO"),"")</f>
        <v/>
      </c>
      <c r="G428" s="394" t="str">
        <f>IF(B428&lt;&gt;"",IFERROR(IF(LEFT($B428,3)=$Z$2,VLOOKUP($C428,Outbound!$B:$AAZ,16,FALSE),VLOOKUP($B428,Outbound!$B:$AAZ,16,FALSE)),"NON TROVATO"),"")</f>
        <v/>
      </c>
      <c r="H428" s="394" t="str">
        <f>IF(B428&lt;&gt;"",IFERROR(IF(LEFT($B428,3)=$Z$2,VLOOKUP($C428,Outbound!$B:$AAZ,6,FALSE),VLOOKUP($B428,Outbound!$B:$AAZ,6,FALSE)),"NON TROVATO"),"")</f>
        <v/>
      </c>
      <c r="I428" s="394" t="str">
        <f>IF(B428&lt;&gt;"",IFERROR(IF(LEFT($B428,3)=$Z$2,VLOOKUP($C428,Outbound!$B:$AAZ,52,FALSE),VLOOKUP($B428,Outbound!$B:$AAZ,52,FALSE)),"NON TROVATO"),"")</f>
        <v/>
      </c>
      <c r="J428" s="396"/>
      <c r="K428" s="387" t="str">
        <f>IF(B428&lt;&gt;"",IF($D428&lt;&gt;"ON ROCS/NOT ON FILE",IFERROR(_xlfn.XLOOKUP(LEFT($D428,3),'STAT 77 Table'!$B:$B,'STAT 77 Table'!$A:$A),"ZZ"&amp;RIGHT($B428,4)),""),"")</f>
        <v/>
      </c>
      <c r="L428" s="396"/>
      <c r="O428" s="388"/>
      <c r="P428" s="388"/>
      <c r="AA428" s="421">
        <f t="shared" si="6"/>
        <v>0</v>
      </c>
    </row>
    <row r="429" spans="1:27" ht="16.5">
      <c r="A429" s="387">
        <f>'STAT 77 Table'!$I$428</f>
        <v>0</v>
      </c>
      <c r="B429"/>
      <c r="C429"/>
      <c r="D429" s="387" t="str">
        <f>IF($B429&lt;&gt;"",IFERROR(IF(LEFT($B429,3)=$Z$2,VLOOKUP($C429,Outbound!$B:$Z,4,FALSE),VLOOKUP($B429,Outbound!$B:$Z,4,FALSE)),"ON ROCS/NOT ON FILE"),"")</f>
        <v/>
      </c>
      <c r="E429" s="387" t="str">
        <f>IF($B429&lt;&gt;"",IFERROR(IF(LEFT($B429,4)=$Z$2,VLOOKUP($C429,Outbound!$B:$Z,5,FALSE),VLOOKUP($B429,Outbound!$B:$Z,5,FALSE)),"ON ROCS/NOT ON FILE"),"")</f>
        <v/>
      </c>
      <c r="F429" s="387" t="str">
        <f>IF(B429&lt;&gt;"",IFERROR(IF(LEFT($B429,3)=$Z$2,VLOOKUP($C429,Outbound!$B:$Z,11,FALSE),VLOOKUP($B429,Outbound!$B:$Z,11,FALSE)),"NON TROVATO"),"")</f>
        <v/>
      </c>
      <c r="G429" s="394" t="str">
        <f>IF(B429&lt;&gt;"",IFERROR(IF(LEFT($B429,3)=$Z$2,VLOOKUP($C429,Outbound!$B:$AAZ,16,FALSE),VLOOKUP($B429,Outbound!$B:$AAZ,16,FALSE)),"NON TROVATO"),"")</f>
        <v/>
      </c>
      <c r="H429" s="394" t="str">
        <f>IF(B429&lt;&gt;"",IFERROR(IF(LEFT($B429,3)=$Z$2,VLOOKUP($C429,Outbound!$B:$AAZ,6,FALSE),VLOOKUP($B429,Outbound!$B:$AAZ,6,FALSE)),"NON TROVATO"),"")</f>
        <v/>
      </c>
      <c r="I429" s="394" t="str">
        <f>IF(B429&lt;&gt;"",IFERROR(IF(LEFT($B429,3)=$Z$2,VLOOKUP($C429,Outbound!$B:$AAZ,52,FALSE),VLOOKUP($B429,Outbound!$B:$AAZ,52,FALSE)),"NON TROVATO"),"")</f>
        <v/>
      </c>
      <c r="J429" s="396"/>
      <c r="K429" s="387" t="str">
        <f>IF(B429&lt;&gt;"",IF($D429&lt;&gt;"ON ROCS/NOT ON FILE",IFERROR(_xlfn.XLOOKUP(LEFT($D429,3),'STAT 77 Table'!$B:$B,'STAT 77 Table'!$A:$A),"ZZ"&amp;RIGHT($B429,4)),""),"")</f>
        <v/>
      </c>
      <c r="L429" s="396"/>
      <c r="O429" s="388"/>
      <c r="P429" s="388"/>
      <c r="AA429" s="421">
        <f t="shared" si="6"/>
        <v>0</v>
      </c>
    </row>
    <row r="430" spans="1:27" ht="16.5">
      <c r="A430" s="387">
        <f>'STAT 77 Table'!$I$429</f>
        <v>0</v>
      </c>
      <c r="B430"/>
      <c r="C430"/>
      <c r="D430" s="387" t="str">
        <f>IF($B430&lt;&gt;"",IFERROR(IF(LEFT($B430,3)=$Z$2,VLOOKUP($C430,Outbound!$B:$Z,4,FALSE),VLOOKUP($B430,Outbound!$B:$Z,4,FALSE)),"ON ROCS/NOT ON FILE"),"")</f>
        <v/>
      </c>
      <c r="E430" s="387" t="str">
        <f>IF($B430&lt;&gt;"",IFERROR(IF(LEFT($B430,4)=$Z$2,VLOOKUP($C430,Outbound!$B:$Z,5,FALSE),VLOOKUP($B430,Outbound!$B:$Z,5,FALSE)),"ON ROCS/NOT ON FILE"),"")</f>
        <v/>
      </c>
      <c r="F430" s="387" t="str">
        <f>IF(B430&lt;&gt;"",IFERROR(IF(LEFT($B430,3)=$Z$2,VLOOKUP($C430,Outbound!$B:$Z,11,FALSE),VLOOKUP($B430,Outbound!$B:$Z,11,FALSE)),"NON TROVATO"),"")</f>
        <v/>
      </c>
      <c r="G430" s="394" t="str">
        <f>IF(B430&lt;&gt;"",IFERROR(IF(LEFT($B430,3)=$Z$2,VLOOKUP($C430,Outbound!$B:$AAZ,16,FALSE),VLOOKUP($B430,Outbound!$B:$AAZ,16,FALSE)),"NON TROVATO"),"")</f>
        <v/>
      </c>
      <c r="H430" s="394" t="str">
        <f>IF(B430&lt;&gt;"",IFERROR(IF(LEFT($B430,3)=$Z$2,VLOOKUP($C430,Outbound!$B:$AAZ,6,FALSE),VLOOKUP($B430,Outbound!$B:$AAZ,6,FALSE)),"NON TROVATO"),"")</f>
        <v/>
      </c>
      <c r="I430" s="394" t="str">
        <f>IF(B430&lt;&gt;"",IFERROR(IF(LEFT($B430,3)=$Z$2,VLOOKUP($C430,Outbound!$B:$AAZ,52,FALSE),VLOOKUP($B430,Outbound!$B:$AAZ,52,FALSE)),"NON TROVATO"),"")</f>
        <v/>
      </c>
      <c r="J430" s="396"/>
      <c r="K430" s="387" t="str">
        <f>IF(B430&lt;&gt;"",IF($D430&lt;&gt;"ON ROCS/NOT ON FILE",IFERROR(_xlfn.XLOOKUP(LEFT($D430,3),'STAT 77 Table'!$B:$B,'STAT 77 Table'!$A:$A),"ZZ"&amp;RIGHT($B430,4)),""),"")</f>
        <v/>
      </c>
      <c r="L430" s="396"/>
      <c r="O430" s="388"/>
      <c r="P430" s="388"/>
      <c r="AA430" s="421">
        <f t="shared" si="6"/>
        <v>0</v>
      </c>
    </row>
    <row r="431" spans="1:27" ht="16.5">
      <c r="A431" s="387">
        <f>'STAT 77 Table'!$I$430</f>
        <v>0</v>
      </c>
      <c r="B431"/>
      <c r="C431"/>
      <c r="D431" s="387" t="str">
        <f>IF($B431&lt;&gt;"",IFERROR(IF(LEFT($B431,3)=$Z$2,VLOOKUP($C431,Outbound!$B:$Z,4,FALSE),VLOOKUP($B431,Outbound!$B:$Z,4,FALSE)),"ON ROCS/NOT ON FILE"),"")</f>
        <v/>
      </c>
      <c r="E431" s="387" t="str">
        <f>IF($B431&lt;&gt;"",IFERROR(IF(LEFT($B431,4)=$Z$2,VLOOKUP($C431,Outbound!$B:$Z,5,FALSE),VLOOKUP($B431,Outbound!$B:$Z,5,FALSE)),"ON ROCS/NOT ON FILE"),"")</f>
        <v/>
      </c>
      <c r="F431" s="387" t="str">
        <f>IF(B431&lt;&gt;"",IFERROR(IF(LEFT($B431,3)=$Z$2,VLOOKUP($C431,Outbound!$B:$Z,11,FALSE),VLOOKUP($B431,Outbound!$B:$Z,11,FALSE)),"NON TROVATO"),"")</f>
        <v/>
      </c>
      <c r="G431" s="394" t="str">
        <f>IF(B431&lt;&gt;"",IFERROR(IF(LEFT($B431,3)=$Z$2,VLOOKUP($C431,Outbound!$B:$AAZ,16,FALSE),VLOOKUP($B431,Outbound!$B:$AAZ,16,FALSE)),"NON TROVATO"),"")</f>
        <v/>
      </c>
      <c r="H431" s="394" t="str">
        <f>IF(B431&lt;&gt;"",IFERROR(IF(LEFT($B431,3)=$Z$2,VLOOKUP($C431,Outbound!$B:$AAZ,6,FALSE),VLOOKUP($B431,Outbound!$B:$AAZ,6,FALSE)),"NON TROVATO"),"")</f>
        <v/>
      </c>
      <c r="I431" s="394" t="str">
        <f>IF(B431&lt;&gt;"",IFERROR(IF(LEFT($B431,3)=$Z$2,VLOOKUP($C431,Outbound!$B:$AAZ,52,FALSE),VLOOKUP($B431,Outbound!$B:$AAZ,52,FALSE)),"NON TROVATO"),"")</f>
        <v/>
      </c>
      <c r="J431" s="396"/>
      <c r="K431" s="387" t="str">
        <f>IF(B431&lt;&gt;"",IF($D431&lt;&gt;"ON ROCS/NOT ON FILE",IFERROR(_xlfn.XLOOKUP(LEFT($D431,3),'STAT 77 Table'!$B:$B,'STAT 77 Table'!$A:$A),"ZZ"&amp;RIGHT($B431,4)),""),"")</f>
        <v/>
      </c>
      <c r="L431" s="396"/>
      <c r="O431" s="388"/>
      <c r="P431" s="388"/>
      <c r="AA431" s="421">
        <f t="shared" si="6"/>
        <v>0</v>
      </c>
    </row>
    <row r="432" spans="1:27" ht="16.5">
      <c r="A432" s="387">
        <f>'STAT 77 Table'!$I$431</f>
        <v>0</v>
      </c>
      <c r="B432"/>
      <c r="C432"/>
      <c r="D432" s="387" t="str">
        <f>IF($B432&lt;&gt;"",IFERROR(IF(LEFT($B432,3)=$Z$2,VLOOKUP($C432,Outbound!$B:$Z,4,FALSE),VLOOKUP($B432,Outbound!$B:$Z,4,FALSE)),"ON ROCS/NOT ON FILE"),"")</f>
        <v/>
      </c>
      <c r="E432" s="387" t="str">
        <f>IF($B432&lt;&gt;"",IFERROR(IF(LEFT($B432,4)=$Z$2,VLOOKUP($C432,Outbound!$B:$Z,5,FALSE),VLOOKUP($B432,Outbound!$B:$Z,5,FALSE)),"ON ROCS/NOT ON FILE"),"")</f>
        <v/>
      </c>
      <c r="F432" s="387" t="str">
        <f>IF(B432&lt;&gt;"",IFERROR(IF(LEFT($B432,3)=$Z$2,VLOOKUP($C432,Outbound!$B:$Z,11,FALSE),VLOOKUP($B432,Outbound!$B:$Z,11,FALSE)),"NON TROVATO"),"")</f>
        <v/>
      </c>
      <c r="G432" s="394" t="str">
        <f>IF(B432&lt;&gt;"",IFERROR(IF(LEFT($B432,3)=$Z$2,VLOOKUP($C432,Outbound!$B:$AAZ,16,FALSE),VLOOKUP($B432,Outbound!$B:$AAZ,16,FALSE)),"NON TROVATO"),"")</f>
        <v/>
      </c>
      <c r="H432" s="394" t="str">
        <f>IF(B432&lt;&gt;"",IFERROR(IF(LEFT($B432,3)=$Z$2,VLOOKUP($C432,Outbound!$B:$AAZ,6,FALSE),VLOOKUP($B432,Outbound!$B:$AAZ,6,FALSE)),"NON TROVATO"),"")</f>
        <v/>
      </c>
      <c r="I432" s="394" t="str">
        <f>IF(B432&lt;&gt;"",IFERROR(IF(LEFT($B432,3)=$Z$2,VLOOKUP($C432,Outbound!$B:$AAZ,52,FALSE),VLOOKUP($B432,Outbound!$B:$AAZ,52,FALSE)),"NON TROVATO"),"")</f>
        <v/>
      </c>
      <c r="J432" s="396"/>
      <c r="K432" s="387" t="str">
        <f>IF(B432&lt;&gt;"",IF($D432&lt;&gt;"ON ROCS/NOT ON FILE",IFERROR(_xlfn.XLOOKUP(LEFT($D432,3),'STAT 77 Table'!$B:$B,'STAT 77 Table'!$A:$A),"ZZ"&amp;RIGHT($B432,4)),""),"")</f>
        <v/>
      </c>
      <c r="L432" s="396"/>
      <c r="O432" s="388"/>
      <c r="P432" s="388"/>
      <c r="AA432" s="421">
        <f t="shared" si="6"/>
        <v>0</v>
      </c>
    </row>
    <row r="433" spans="1:27" ht="16.5">
      <c r="A433" s="387">
        <f>'STAT 77 Table'!$I$432</f>
        <v>0</v>
      </c>
      <c r="B433"/>
      <c r="C433"/>
      <c r="D433" s="387" t="str">
        <f>IF($B433&lt;&gt;"",IFERROR(IF(LEFT($B433,3)=$Z$2,VLOOKUP($C433,Outbound!$B:$Z,4,FALSE),VLOOKUP($B433,Outbound!$B:$Z,4,FALSE)),"ON ROCS/NOT ON FILE"),"")</f>
        <v/>
      </c>
      <c r="E433" s="387" t="str">
        <f>IF($B433&lt;&gt;"",IFERROR(IF(LEFT($B433,4)=$Z$2,VLOOKUP($C433,Outbound!$B:$Z,5,FALSE),VLOOKUP($B433,Outbound!$B:$Z,5,FALSE)),"ON ROCS/NOT ON FILE"),"")</f>
        <v/>
      </c>
      <c r="F433" s="387" t="str">
        <f>IF(B433&lt;&gt;"",IFERROR(IF(LEFT($B433,3)=$Z$2,VLOOKUP($C433,Outbound!$B:$Z,11,FALSE),VLOOKUP($B433,Outbound!$B:$Z,11,FALSE)),"NON TROVATO"),"")</f>
        <v/>
      </c>
      <c r="G433" s="394" t="str">
        <f>IF(B433&lt;&gt;"",IFERROR(IF(LEFT($B433,3)=$Z$2,VLOOKUP($C433,Outbound!$B:$AAZ,16,FALSE),VLOOKUP($B433,Outbound!$B:$AAZ,16,FALSE)),"NON TROVATO"),"")</f>
        <v/>
      </c>
      <c r="H433" s="394" t="str">
        <f>IF(B433&lt;&gt;"",IFERROR(IF(LEFT($B433,3)=$Z$2,VLOOKUP($C433,Outbound!$B:$AAZ,6,FALSE),VLOOKUP($B433,Outbound!$B:$AAZ,6,FALSE)),"NON TROVATO"),"")</f>
        <v/>
      </c>
      <c r="I433" s="394" t="str">
        <f>IF(B433&lt;&gt;"",IFERROR(IF(LEFT($B433,3)=$Z$2,VLOOKUP($C433,Outbound!$B:$AAZ,52,FALSE),VLOOKUP($B433,Outbound!$B:$AAZ,52,FALSE)),"NON TROVATO"),"")</f>
        <v/>
      </c>
      <c r="J433" s="396"/>
      <c r="K433" s="387" t="str">
        <f>IF(B433&lt;&gt;"",IF($D433&lt;&gt;"ON ROCS/NOT ON FILE",IFERROR(_xlfn.XLOOKUP(LEFT($D433,3),'STAT 77 Table'!$B:$B,'STAT 77 Table'!$A:$A),"ZZ"&amp;RIGHT($B433,4)),""),"")</f>
        <v/>
      </c>
      <c r="L433" s="396"/>
      <c r="O433" s="388"/>
      <c r="P433" s="388"/>
      <c r="AA433" s="421">
        <f t="shared" si="6"/>
        <v>0</v>
      </c>
    </row>
    <row r="434" spans="1:27" ht="16.5">
      <c r="A434" s="387">
        <f>'STAT 77 Table'!$I$433</f>
        <v>0</v>
      </c>
      <c r="B434"/>
      <c r="C434"/>
      <c r="D434" s="387" t="str">
        <f>IF($B434&lt;&gt;"",IFERROR(IF(LEFT($B434,3)=$Z$2,VLOOKUP($C434,Outbound!$B:$Z,4,FALSE),VLOOKUP($B434,Outbound!$B:$Z,4,FALSE)),"ON ROCS/NOT ON FILE"),"")</f>
        <v/>
      </c>
      <c r="E434" s="387" t="str">
        <f>IF($B434&lt;&gt;"",IFERROR(IF(LEFT($B434,4)=$Z$2,VLOOKUP($C434,Outbound!$B:$Z,5,FALSE),VLOOKUP($B434,Outbound!$B:$Z,5,FALSE)),"ON ROCS/NOT ON FILE"),"")</f>
        <v/>
      </c>
      <c r="F434" s="387" t="str">
        <f>IF(B434&lt;&gt;"",IFERROR(IF(LEFT($B434,3)=$Z$2,VLOOKUP($C434,Outbound!$B:$Z,11,FALSE),VLOOKUP($B434,Outbound!$B:$Z,11,FALSE)),"NON TROVATO"),"")</f>
        <v/>
      </c>
      <c r="G434" s="394" t="str">
        <f>IF(B434&lt;&gt;"",IFERROR(IF(LEFT($B434,3)=$Z$2,VLOOKUP($C434,Outbound!$B:$AAZ,16,FALSE),VLOOKUP($B434,Outbound!$B:$AAZ,16,FALSE)),"NON TROVATO"),"")</f>
        <v/>
      </c>
      <c r="H434" s="394" t="str">
        <f>IF(B434&lt;&gt;"",IFERROR(IF(LEFT($B434,3)=$Z$2,VLOOKUP($C434,Outbound!$B:$AAZ,6,FALSE),VLOOKUP($B434,Outbound!$B:$AAZ,6,FALSE)),"NON TROVATO"),"")</f>
        <v/>
      </c>
      <c r="I434" s="394" t="str">
        <f>IF(B434&lt;&gt;"",IFERROR(IF(LEFT($B434,3)=$Z$2,VLOOKUP($C434,Outbound!$B:$AAZ,52,FALSE),VLOOKUP($B434,Outbound!$B:$AAZ,52,FALSE)),"NON TROVATO"),"")</f>
        <v/>
      </c>
      <c r="J434" s="396"/>
      <c r="K434" s="387" t="str">
        <f>IF(B434&lt;&gt;"",IF($D434&lt;&gt;"ON ROCS/NOT ON FILE",IFERROR(_xlfn.XLOOKUP(LEFT($D434,3),'STAT 77 Table'!$B:$B,'STAT 77 Table'!$A:$A),"ZZ"&amp;RIGHT($B434,4)),""),"")</f>
        <v/>
      </c>
      <c r="L434" s="396"/>
      <c r="O434" s="388"/>
      <c r="P434" s="388"/>
      <c r="AA434" s="421">
        <f t="shared" si="6"/>
        <v>0</v>
      </c>
    </row>
    <row r="435" spans="1:27" ht="16.5">
      <c r="A435" s="387">
        <f>'STAT 77 Table'!$I$434</f>
        <v>0</v>
      </c>
      <c r="B435"/>
      <c r="C435"/>
      <c r="D435" s="387" t="str">
        <f>IF($B435&lt;&gt;"",IFERROR(IF(LEFT($B435,3)=$Z$2,VLOOKUP($C435,Outbound!$B:$Z,4,FALSE),VLOOKUP($B435,Outbound!$B:$Z,4,FALSE)),"ON ROCS/NOT ON FILE"),"")</f>
        <v/>
      </c>
      <c r="E435" s="387" t="str">
        <f>IF($B435&lt;&gt;"",IFERROR(IF(LEFT($B435,4)=$Z$2,VLOOKUP($C435,Outbound!$B:$Z,5,FALSE),VLOOKUP($B435,Outbound!$B:$Z,5,FALSE)),"ON ROCS/NOT ON FILE"),"")</f>
        <v/>
      </c>
      <c r="F435" s="387" t="str">
        <f>IF(B435&lt;&gt;"",IFERROR(IF(LEFT($B435,3)=$Z$2,VLOOKUP($C435,Outbound!$B:$Z,11,FALSE),VLOOKUP($B435,Outbound!$B:$Z,11,FALSE)),"NON TROVATO"),"")</f>
        <v/>
      </c>
      <c r="G435" s="394" t="str">
        <f>IF(B435&lt;&gt;"",IFERROR(IF(LEFT($B435,3)=$Z$2,VLOOKUP($C435,Outbound!$B:$AAZ,16,FALSE),VLOOKUP($B435,Outbound!$B:$AAZ,16,FALSE)),"NON TROVATO"),"")</f>
        <v/>
      </c>
      <c r="H435" s="394" t="str">
        <f>IF(B435&lt;&gt;"",IFERROR(IF(LEFT($B435,3)=$Z$2,VLOOKUP($C435,Outbound!$B:$AAZ,6,FALSE),VLOOKUP($B435,Outbound!$B:$AAZ,6,FALSE)),"NON TROVATO"),"")</f>
        <v/>
      </c>
      <c r="I435" s="394" t="str">
        <f>IF(B435&lt;&gt;"",IFERROR(IF(LEFT($B435,3)=$Z$2,VLOOKUP($C435,Outbound!$B:$AAZ,52,FALSE),VLOOKUP($B435,Outbound!$B:$AAZ,52,FALSE)),"NON TROVATO"),"")</f>
        <v/>
      </c>
      <c r="J435" s="396"/>
      <c r="K435" s="387" t="str">
        <f>IF(B435&lt;&gt;"",IF($D435&lt;&gt;"ON ROCS/NOT ON FILE",IFERROR(_xlfn.XLOOKUP(LEFT($D435,3),'STAT 77 Table'!$B:$B,'STAT 77 Table'!$A:$A),"ZZ"&amp;RIGHT($B435,4)),""),"")</f>
        <v/>
      </c>
      <c r="L435" s="396"/>
      <c r="O435" s="388"/>
      <c r="P435" s="388"/>
      <c r="AA435" s="421">
        <f t="shared" si="6"/>
        <v>0</v>
      </c>
    </row>
    <row r="436" spans="1:27" ht="16.5">
      <c r="A436" s="387">
        <f>'STAT 77 Table'!$I$435</f>
        <v>0</v>
      </c>
      <c r="B436"/>
      <c r="C436"/>
      <c r="D436" s="387" t="str">
        <f>IF($B436&lt;&gt;"",IFERROR(IF(LEFT($B436,3)=$Z$2,VLOOKUP($C436,Outbound!$B:$Z,4,FALSE),VLOOKUP($B436,Outbound!$B:$Z,4,FALSE)),"ON ROCS/NOT ON FILE"),"")</f>
        <v/>
      </c>
      <c r="E436" s="387" t="str">
        <f>IF($B436&lt;&gt;"",IFERROR(IF(LEFT($B436,4)=$Z$2,VLOOKUP($C436,Outbound!$B:$Z,5,FALSE),VLOOKUP($B436,Outbound!$B:$Z,5,FALSE)),"ON ROCS/NOT ON FILE"),"")</f>
        <v/>
      </c>
      <c r="F436" s="387" t="str">
        <f>IF(B436&lt;&gt;"",IFERROR(IF(LEFT($B436,3)=$Z$2,VLOOKUP($C436,Outbound!$B:$Z,11,FALSE),VLOOKUP($B436,Outbound!$B:$Z,11,FALSE)),"NON TROVATO"),"")</f>
        <v/>
      </c>
      <c r="G436" s="394" t="str">
        <f>IF(B436&lt;&gt;"",IFERROR(IF(LEFT($B436,3)=$Z$2,VLOOKUP($C436,Outbound!$B:$AAZ,16,FALSE),VLOOKUP($B436,Outbound!$B:$AAZ,16,FALSE)),"NON TROVATO"),"")</f>
        <v/>
      </c>
      <c r="H436" s="394" t="str">
        <f>IF(B436&lt;&gt;"",IFERROR(IF(LEFT($B436,3)=$Z$2,VLOOKUP($C436,Outbound!$B:$AAZ,6,FALSE),VLOOKUP($B436,Outbound!$B:$AAZ,6,FALSE)),"NON TROVATO"),"")</f>
        <v/>
      </c>
      <c r="I436" s="394" t="str">
        <f>IF(B436&lt;&gt;"",IFERROR(IF(LEFT($B436,3)=$Z$2,VLOOKUP($C436,Outbound!$B:$AAZ,52,FALSE),VLOOKUP($B436,Outbound!$B:$AAZ,52,FALSE)),"NON TROVATO"),"")</f>
        <v/>
      </c>
      <c r="J436" s="396"/>
      <c r="K436" s="387" t="str">
        <f>IF(B436&lt;&gt;"",IF($D436&lt;&gt;"ON ROCS/NOT ON FILE",IFERROR(_xlfn.XLOOKUP(LEFT($D436,3),'STAT 77 Table'!$B:$B,'STAT 77 Table'!$A:$A),"ZZ"&amp;RIGHT($B436,4)),""),"")</f>
        <v/>
      </c>
      <c r="L436" s="396"/>
      <c r="O436" s="388"/>
      <c r="P436" s="388"/>
      <c r="AA436" s="421">
        <f t="shared" si="6"/>
        <v>0</v>
      </c>
    </row>
    <row r="437" spans="1:27" ht="16.5">
      <c r="A437" s="387">
        <f>'STAT 77 Table'!$I$436</f>
        <v>0</v>
      </c>
      <c r="B437"/>
      <c r="C437"/>
      <c r="D437" s="387" t="str">
        <f>IF($B437&lt;&gt;"",IFERROR(IF(LEFT($B437,3)=$Z$2,VLOOKUP($C437,Outbound!$B:$Z,4,FALSE),VLOOKUP($B437,Outbound!$B:$Z,4,FALSE)),"ON ROCS/NOT ON FILE"),"")</f>
        <v/>
      </c>
      <c r="E437" s="387" t="str">
        <f>IF($B437&lt;&gt;"",IFERROR(IF(LEFT($B437,4)=$Z$2,VLOOKUP($C437,Outbound!$B:$Z,5,FALSE),VLOOKUP($B437,Outbound!$B:$Z,5,FALSE)),"ON ROCS/NOT ON FILE"),"")</f>
        <v/>
      </c>
      <c r="F437" s="387" t="str">
        <f>IF(B437&lt;&gt;"",IFERROR(IF(LEFT($B437,3)=$Z$2,VLOOKUP($C437,Outbound!$B:$Z,11,FALSE),VLOOKUP($B437,Outbound!$B:$Z,11,FALSE)),"NON TROVATO"),"")</f>
        <v/>
      </c>
      <c r="G437" s="394" t="str">
        <f>IF(B437&lt;&gt;"",IFERROR(IF(LEFT($B437,3)=$Z$2,VLOOKUP($C437,Outbound!$B:$AAZ,16,FALSE),VLOOKUP($B437,Outbound!$B:$AAZ,16,FALSE)),"NON TROVATO"),"")</f>
        <v/>
      </c>
      <c r="H437" s="394" t="str">
        <f>IF(B437&lt;&gt;"",IFERROR(IF(LEFT($B437,3)=$Z$2,VLOOKUP($C437,Outbound!$B:$AAZ,6,FALSE),VLOOKUP($B437,Outbound!$B:$AAZ,6,FALSE)),"NON TROVATO"),"")</f>
        <v/>
      </c>
      <c r="I437" s="394" t="str">
        <f>IF(B437&lt;&gt;"",IFERROR(IF(LEFT($B437,3)=$Z$2,VLOOKUP($C437,Outbound!$B:$AAZ,52,FALSE),VLOOKUP($B437,Outbound!$B:$AAZ,52,FALSE)),"NON TROVATO"),"")</f>
        <v/>
      </c>
      <c r="J437" s="396"/>
      <c r="K437" s="387" t="str">
        <f>IF(B437&lt;&gt;"",IF($D437&lt;&gt;"ON ROCS/NOT ON FILE",IFERROR(_xlfn.XLOOKUP(LEFT($D437,3),'STAT 77 Table'!$B:$B,'STAT 77 Table'!$A:$A),"ZZ"&amp;RIGHT($B437,4)),""),"")</f>
        <v/>
      </c>
      <c r="L437" s="396"/>
      <c r="O437" s="388"/>
      <c r="P437" s="388"/>
      <c r="AA437" s="421">
        <f t="shared" si="6"/>
        <v>0</v>
      </c>
    </row>
    <row r="438" spans="1:27" ht="16.5">
      <c r="A438" s="387">
        <f>'STAT 77 Table'!$I$437</f>
        <v>0</v>
      </c>
      <c r="B438"/>
      <c r="C438"/>
      <c r="D438" s="387" t="str">
        <f>IF($B438&lt;&gt;"",IFERROR(IF(LEFT($B438,3)=$Z$2,VLOOKUP($C438,Outbound!$B:$Z,4,FALSE),VLOOKUP($B438,Outbound!$B:$Z,4,FALSE)),"ON ROCS/NOT ON FILE"),"")</f>
        <v/>
      </c>
      <c r="E438" s="387" t="str">
        <f>IF($B438&lt;&gt;"",IFERROR(IF(LEFT($B438,4)=$Z$2,VLOOKUP($C438,Outbound!$B:$Z,5,FALSE),VLOOKUP($B438,Outbound!$B:$Z,5,FALSE)),"ON ROCS/NOT ON FILE"),"")</f>
        <v/>
      </c>
      <c r="F438" s="387" t="str">
        <f>IF(B438&lt;&gt;"",IFERROR(IF(LEFT($B438,3)=$Z$2,VLOOKUP($C438,Outbound!$B:$Z,11,FALSE),VLOOKUP($B438,Outbound!$B:$Z,11,FALSE)),"NON TROVATO"),"")</f>
        <v/>
      </c>
      <c r="G438" s="394" t="str">
        <f>IF(B438&lt;&gt;"",IFERROR(IF(LEFT($B438,3)=$Z$2,VLOOKUP($C438,Outbound!$B:$AAZ,16,FALSE),VLOOKUP($B438,Outbound!$B:$AAZ,16,FALSE)),"NON TROVATO"),"")</f>
        <v/>
      </c>
      <c r="H438" s="394" t="str">
        <f>IF(B438&lt;&gt;"",IFERROR(IF(LEFT($B438,3)=$Z$2,VLOOKUP($C438,Outbound!$B:$AAZ,6,FALSE),VLOOKUP($B438,Outbound!$B:$AAZ,6,FALSE)),"NON TROVATO"),"")</f>
        <v/>
      </c>
      <c r="I438" s="394" t="str">
        <f>IF(B438&lt;&gt;"",IFERROR(IF(LEFT($B438,3)=$Z$2,VLOOKUP($C438,Outbound!$B:$AAZ,52,FALSE),VLOOKUP($B438,Outbound!$B:$AAZ,52,FALSE)),"NON TROVATO"),"")</f>
        <v/>
      </c>
      <c r="J438" s="396"/>
      <c r="K438" s="387" t="str">
        <f>IF(B438&lt;&gt;"",IF($D438&lt;&gt;"ON ROCS/NOT ON FILE",IFERROR(_xlfn.XLOOKUP(LEFT($D438,3),'STAT 77 Table'!$B:$B,'STAT 77 Table'!$A:$A),"ZZ"&amp;RIGHT($B438,4)),""),"")</f>
        <v/>
      </c>
      <c r="L438" s="396"/>
      <c r="O438" s="388"/>
      <c r="P438" s="388"/>
      <c r="AA438" s="421">
        <f t="shared" si="6"/>
        <v>0</v>
      </c>
    </row>
    <row r="439" spans="1:27" ht="16.5">
      <c r="A439" s="387">
        <f>'STAT 77 Table'!$I$438</f>
        <v>0</v>
      </c>
      <c r="B439"/>
      <c r="C439"/>
      <c r="D439" s="387" t="str">
        <f>IF($B439&lt;&gt;"",IFERROR(IF(LEFT($B439,3)=$Z$2,VLOOKUP($C439,Outbound!$B:$Z,4,FALSE),VLOOKUP($B439,Outbound!$B:$Z,4,FALSE)),"ON ROCS/NOT ON FILE"),"")</f>
        <v/>
      </c>
      <c r="E439" s="387" t="str">
        <f>IF($B439&lt;&gt;"",IFERROR(IF(LEFT($B439,4)=$Z$2,VLOOKUP($C439,Outbound!$B:$Z,5,FALSE),VLOOKUP($B439,Outbound!$B:$Z,5,FALSE)),"ON ROCS/NOT ON FILE"),"")</f>
        <v/>
      </c>
      <c r="F439" s="387" t="str">
        <f>IF(B439&lt;&gt;"",IFERROR(IF(LEFT($B439,3)=$Z$2,VLOOKUP($C439,Outbound!$B:$Z,11,FALSE),VLOOKUP($B439,Outbound!$B:$Z,11,FALSE)),"NON TROVATO"),"")</f>
        <v/>
      </c>
      <c r="G439" s="394" t="str">
        <f>IF(B439&lt;&gt;"",IFERROR(IF(LEFT($B439,3)=$Z$2,VLOOKUP($C439,Outbound!$B:$AAZ,16,FALSE),VLOOKUP($B439,Outbound!$B:$AAZ,16,FALSE)),"NON TROVATO"),"")</f>
        <v/>
      </c>
      <c r="H439" s="394" t="str">
        <f>IF(B439&lt;&gt;"",IFERROR(IF(LEFT($B439,3)=$Z$2,VLOOKUP($C439,Outbound!$B:$AAZ,6,FALSE),VLOOKUP($B439,Outbound!$B:$AAZ,6,FALSE)),"NON TROVATO"),"")</f>
        <v/>
      </c>
      <c r="I439" s="394" t="str">
        <f>IF(B439&lt;&gt;"",IFERROR(IF(LEFT($B439,3)=$Z$2,VLOOKUP($C439,Outbound!$B:$AAZ,52,FALSE),VLOOKUP($B439,Outbound!$B:$AAZ,52,FALSE)),"NON TROVATO"),"")</f>
        <v/>
      </c>
      <c r="J439" s="396"/>
      <c r="K439" s="387" t="str">
        <f>IF(B439&lt;&gt;"",IF($D439&lt;&gt;"ON ROCS/NOT ON FILE",IFERROR(_xlfn.XLOOKUP(LEFT($D439,3),'STAT 77 Table'!$B:$B,'STAT 77 Table'!$A:$A),"ZZ"&amp;RIGHT($B439,4)),""),"")</f>
        <v/>
      </c>
      <c r="L439" s="396"/>
      <c r="O439" s="388"/>
      <c r="P439" s="388"/>
      <c r="AA439" s="421">
        <f t="shared" si="6"/>
        <v>0</v>
      </c>
    </row>
    <row r="440" spans="1:27" ht="16.5">
      <c r="A440" s="387">
        <f>'STAT 77 Table'!$I$439</f>
        <v>0</v>
      </c>
      <c r="B440"/>
      <c r="C440"/>
      <c r="D440" s="387" t="str">
        <f>IF($B440&lt;&gt;"",IFERROR(IF(LEFT($B440,3)=$Z$2,VLOOKUP($C440,Outbound!$B:$Z,4,FALSE),VLOOKUP($B440,Outbound!$B:$Z,4,FALSE)),"ON ROCS/NOT ON FILE"),"")</f>
        <v/>
      </c>
      <c r="E440" s="387" t="str">
        <f>IF($B440&lt;&gt;"",IFERROR(IF(LEFT($B440,4)=$Z$2,VLOOKUP($C440,Outbound!$B:$Z,5,FALSE),VLOOKUP($B440,Outbound!$B:$Z,5,FALSE)),"ON ROCS/NOT ON FILE"),"")</f>
        <v/>
      </c>
      <c r="F440" s="387" t="str">
        <f>IF(B440&lt;&gt;"",IFERROR(IF(LEFT($B440,3)=$Z$2,VLOOKUP($C440,Outbound!$B:$Z,11,FALSE),VLOOKUP($B440,Outbound!$B:$Z,11,FALSE)),"NON TROVATO"),"")</f>
        <v/>
      </c>
      <c r="G440" s="394" t="str">
        <f>IF(B440&lt;&gt;"",IFERROR(IF(LEFT($B440,3)=$Z$2,VLOOKUP($C440,Outbound!$B:$AAZ,16,FALSE),VLOOKUP($B440,Outbound!$B:$AAZ,16,FALSE)),"NON TROVATO"),"")</f>
        <v/>
      </c>
      <c r="H440" s="394" t="str">
        <f>IF(B440&lt;&gt;"",IFERROR(IF(LEFT($B440,3)=$Z$2,VLOOKUP($C440,Outbound!$B:$AAZ,6,FALSE),VLOOKUP($B440,Outbound!$B:$AAZ,6,FALSE)),"NON TROVATO"),"")</f>
        <v/>
      </c>
      <c r="I440" s="394" t="str">
        <f>IF(B440&lt;&gt;"",IFERROR(IF(LEFT($B440,3)=$Z$2,VLOOKUP($C440,Outbound!$B:$AAZ,52,FALSE),VLOOKUP($B440,Outbound!$B:$AAZ,52,FALSE)),"NON TROVATO"),"")</f>
        <v/>
      </c>
      <c r="J440" s="396"/>
      <c r="K440" s="387" t="str">
        <f>IF(B440&lt;&gt;"",IF($D440&lt;&gt;"ON ROCS/NOT ON FILE",IFERROR(_xlfn.XLOOKUP(LEFT($D440,3),'STAT 77 Table'!$B:$B,'STAT 77 Table'!$A:$A),"ZZ"&amp;RIGHT($B440,4)),""),"")</f>
        <v/>
      </c>
      <c r="L440" s="396"/>
      <c r="O440" s="388"/>
      <c r="P440" s="388"/>
      <c r="AA440" s="421">
        <f t="shared" si="6"/>
        <v>0</v>
      </c>
    </row>
    <row r="441" spans="1:27" ht="16.5">
      <c r="A441" s="387">
        <f>'STAT 77 Table'!$I$440</f>
        <v>0</v>
      </c>
      <c r="B441"/>
      <c r="C441"/>
      <c r="D441" s="387" t="str">
        <f>IF($B441&lt;&gt;"",IFERROR(IF(LEFT($B441,3)=$Z$2,VLOOKUP($C441,Outbound!$B:$Z,4,FALSE),VLOOKUP($B441,Outbound!$B:$Z,4,FALSE)),"ON ROCS/NOT ON FILE"),"")</f>
        <v/>
      </c>
      <c r="E441" s="387" t="str">
        <f>IF($B441&lt;&gt;"",IFERROR(IF(LEFT($B441,4)=$Z$2,VLOOKUP($C441,Outbound!$B:$Z,5,FALSE),VLOOKUP($B441,Outbound!$B:$Z,5,FALSE)),"ON ROCS/NOT ON FILE"),"")</f>
        <v/>
      </c>
      <c r="F441" s="387" t="str">
        <f>IF(B441&lt;&gt;"",IFERROR(IF(LEFT($B441,3)=$Z$2,VLOOKUP($C441,Outbound!$B:$Z,11,FALSE),VLOOKUP($B441,Outbound!$B:$Z,11,FALSE)),"NON TROVATO"),"")</f>
        <v/>
      </c>
      <c r="G441" s="394" t="str">
        <f>IF(B441&lt;&gt;"",IFERROR(IF(LEFT($B441,3)=$Z$2,VLOOKUP($C441,Outbound!$B:$AAZ,16,FALSE),VLOOKUP($B441,Outbound!$B:$AAZ,16,FALSE)),"NON TROVATO"),"")</f>
        <v/>
      </c>
      <c r="H441" s="394" t="str">
        <f>IF(B441&lt;&gt;"",IFERROR(IF(LEFT($B441,3)=$Z$2,VLOOKUP($C441,Outbound!$B:$AAZ,6,FALSE),VLOOKUP($B441,Outbound!$B:$AAZ,6,FALSE)),"NON TROVATO"),"")</f>
        <v/>
      </c>
      <c r="I441" s="394" t="str">
        <f>IF(B441&lt;&gt;"",IFERROR(IF(LEFT($B441,3)=$Z$2,VLOOKUP($C441,Outbound!$B:$AAZ,52,FALSE),VLOOKUP($B441,Outbound!$B:$AAZ,52,FALSE)),"NON TROVATO"),"")</f>
        <v/>
      </c>
      <c r="J441" s="396"/>
      <c r="K441" s="387" t="str">
        <f>IF(B441&lt;&gt;"",IF($D441&lt;&gt;"ON ROCS/NOT ON FILE",IFERROR(_xlfn.XLOOKUP(LEFT($D441,3),'STAT 77 Table'!$B:$B,'STAT 77 Table'!$A:$A),"ZZ"&amp;RIGHT($B441,4)),""),"")</f>
        <v/>
      </c>
      <c r="L441" s="396"/>
      <c r="O441" s="388"/>
      <c r="P441" s="388"/>
      <c r="AA441" s="421">
        <f t="shared" si="6"/>
        <v>0</v>
      </c>
    </row>
    <row r="442" spans="1:27" ht="16.5">
      <c r="A442" s="387">
        <f>'STAT 77 Table'!$I$441</f>
        <v>0</v>
      </c>
      <c r="B442"/>
      <c r="C442"/>
      <c r="D442" s="387" t="str">
        <f>IF($B442&lt;&gt;"",IFERROR(IF(LEFT($B442,3)=$Z$2,VLOOKUP($C442,Outbound!$B:$Z,4,FALSE),VLOOKUP($B442,Outbound!$B:$Z,4,FALSE)),"ON ROCS/NOT ON FILE"),"")</f>
        <v/>
      </c>
      <c r="E442" s="387" t="str">
        <f>IF($B442&lt;&gt;"",IFERROR(IF(LEFT($B442,4)=$Z$2,VLOOKUP($C442,Outbound!$B:$Z,5,FALSE),VLOOKUP($B442,Outbound!$B:$Z,5,FALSE)),"ON ROCS/NOT ON FILE"),"")</f>
        <v/>
      </c>
      <c r="F442" s="387" t="str">
        <f>IF(B442&lt;&gt;"",IFERROR(IF(LEFT($B442,3)=$Z$2,VLOOKUP($C442,Outbound!$B:$Z,11,FALSE),VLOOKUP($B442,Outbound!$B:$Z,11,FALSE)),"NON TROVATO"),"")</f>
        <v/>
      </c>
      <c r="G442" s="394" t="str">
        <f>IF(B442&lt;&gt;"",IFERROR(IF(LEFT($B442,3)=$Z$2,VLOOKUP($C442,Outbound!$B:$AAZ,16,FALSE),VLOOKUP($B442,Outbound!$B:$AAZ,16,FALSE)),"NON TROVATO"),"")</f>
        <v/>
      </c>
      <c r="H442" s="394" t="str">
        <f>IF(B442&lt;&gt;"",IFERROR(IF(LEFT($B442,3)=$Z$2,VLOOKUP($C442,Outbound!$B:$AAZ,6,FALSE),VLOOKUP($B442,Outbound!$B:$AAZ,6,FALSE)),"NON TROVATO"),"")</f>
        <v/>
      </c>
      <c r="I442" s="394" t="str">
        <f>IF(B442&lt;&gt;"",IFERROR(IF(LEFT($B442,3)=$Z$2,VLOOKUP($C442,Outbound!$B:$AAZ,52,FALSE),VLOOKUP($B442,Outbound!$B:$AAZ,52,FALSE)),"NON TROVATO"),"")</f>
        <v/>
      </c>
      <c r="J442" s="396"/>
      <c r="K442" s="387" t="str">
        <f>IF(B442&lt;&gt;"",IF($D442&lt;&gt;"ON ROCS/NOT ON FILE",IFERROR(_xlfn.XLOOKUP(LEFT($D442,3),'STAT 77 Table'!$B:$B,'STAT 77 Table'!$A:$A),"ZZ"&amp;RIGHT($B442,4)),""),"")</f>
        <v/>
      </c>
      <c r="L442" s="396"/>
      <c r="O442" s="388"/>
      <c r="P442" s="388"/>
      <c r="AA442" s="421">
        <f t="shared" si="6"/>
        <v>0</v>
      </c>
    </row>
    <row r="443" spans="1:27" ht="16.5">
      <c r="A443" s="387">
        <f>'STAT 77 Table'!$I$442</f>
        <v>0</v>
      </c>
      <c r="B443"/>
      <c r="C443"/>
      <c r="D443" s="387" t="str">
        <f>IF($B443&lt;&gt;"",IFERROR(IF(LEFT($B443,3)=$Z$2,VLOOKUP($C443,Outbound!$B:$Z,4,FALSE),VLOOKUP($B443,Outbound!$B:$Z,4,FALSE)),"ON ROCS/NOT ON FILE"),"")</f>
        <v/>
      </c>
      <c r="E443" s="387" t="str">
        <f>IF($B443&lt;&gt;"",IFERROR(IF(LEFT($B443,4)=$Z$2,VLOOKUP($C443,Outbound!$B:$Z,5,FALSE),VLOOKUP($B443,Outbound!$B:$Z,5,FALSE)),"ON ROCS/NOT ON FILE"),"")</f>
        <v/>
      </c>
      <c r="F443" s="387" t="str">
        <f>IF(B443&lt;&gt;"",IFERROR(IF(LEFT($B443,3)=$Z$2,VLOOKUP($C443,Outbound!$B:$Z,11,FALSE),VLOOKUP($B443,Outbound!$B:$Z,11,FALSE)),"NON TROVATO"),"")</f>
        <v/>
      </c>
      <c r="G443" s="394" t="str">
        <f>IF(B443&lt;&gt;"",IFERROR(IF(LEFT($B443,3)=$Z$2,VLOOKUP($C443,Outbound!$B:$AAZ,16,FALSE),VLOOKUP($B443,Outbound!$B:$AAZ,16,FALSE)),"NON TROVATO"),"")</f>
        <v/>
      </c>
      <c r="H443" s="394" t="str">
        <f>IF(B443&lt;&gt;"",IFERROR(IF(LEFT($B443,3)=$Z$2,VLOOKUP($C443,Outbound!$B:$AAZ,6,FALSE),VLOOKUP($B443,Outbound!$B:$AAZ,6,FALSE)),"NON TROVATO"),"")</f>
        <v/>
      </c>
      <c r="I443" s="394" t="str">
        <f>IF(B443&lt;&gt;"",IFERROR(IF(LEFT($B443,3)=$Z$2,VLOOKUP($C443,Outbound!$B:$AAZ,52,FALSE),VLOOKUP($B443,Outbound!$B:$AAZ,52,FALSE)),"NON TROVATO"),"")</f>
        <v/>
      </c>
      <c r="J443" s="396"/>
      <c r="K443" s="387" t="str">
        <f>IF(B443&lt;&gt;"",IF($D443&lt;&gt;"ON ROCS/NOT ON FILE",IFERROR(_xlfn.XLOOKUP(LEFT($D443,3),'STAT 77 Table'!$B:$B,'STAT 77 Table'!$A:$A),"ZZ"&amp;RIGHT($B443,4)),""),"")</f>
        <v/>
      </c>
      <c r="L443" s="396"/>
      <c r="O443" s="388"/>
      <c r="P443" s="388"/>
      <c r="AA443" s="421">
        <f t="shared" si="6"/>
        <v>0</v>
      </c>
    </row>
    <row r="444" spans="1:27" ht="16.5">
      <c r="A444" s="387">
        <f>'STAT 77 Table'!$I$443</f>
        <v>0</v>
      </c>
      <c r="B444"/>
      <c r="C444"/>
      <c r="D444" s="387" t="str">
        <f>IF($B444&lt;&gt;"",IFERROR(IF(LEFT($B444,3)=$Z$2,VLOOKUP($C444,Outbound!$B:$Z,4,FALSE),VLOOKUP($B444,Outbound!$B:$Z,4,FALSE)),"ON ROCS/NOT ON FILE"),"")</f>
        <v/>
      </c>
      <c r="E444" s="387" t="str">
        <f>IF($B444&lt;&gt;"",IFERROR(IF(LEFT($B444,4)=$Z$2,VLOOKUP($C444,Outbound!$B:$Z,5,FALSE),VLOOKUP($B444,Outbound!$B:$Z,5,FALSE)),"ON ROCS/NOT ON FILE"),"")</f>
        <v/>
      </c>
      <c r="F444" s="387" t="str">
        <f>IF(B444&lt;&gt;"",IFERROR(IF(LEFT($B444,3)=$Z$2,VLOOKUP($C444,Outbound!$B:$Z,11,FALSE),VLOOKUP($B444,Outbound!$B:$Z,11,FALSE)),"NON TROVATO"),"")</f>
        <v/>
      </c>
      <c r="G444" s="394" t="str">
        <f>IF(B444&lt;&gt;"",IFERROR(IF(LEFT($B444,3)=$Z$2,VLOOKUP($C444,Outbound!$B:$AAZ,16,FALSE),VLOOKUP($B444,Outbound!$B:$AAZ,16,FALSE)),"NON TROVATO"),"")</f>
        <v/>
      </c>
      <c r="H444" s="394" t="str">
        <f>IF(B444&lt;&gt;"",IFERROR(IF(LEFT($B444,3)=$Z$2,VLOOKUP($C444,Outbound!$B:$AAZ,6,FALSE),VLOOKUP($B444,Outbound!$B:$AAZ,6,FALSE)),"NON TROVATO"),"")</f>
        <v/>
      </c>
      <c r="I444" s="394" t="str">
        <f>IF(B444&lt;&gt;"",IFERROR(IF(LEFT($B444,3)=$Z$2,VLOOKUP($C444,Outbound!$B:$AAZ,52,FALSE),VLOOKUP($B444,Outbound!$B:$AAZ,52,FALSE)),"NON TROVATO"),"")</f>
        <v/>
      </c>
      <c r="J444" s="396"/>
      <c r="K444" s="387" t="str">
        <f>IF(B444&lt;&gt;"",IF($D444&lt;&gt;"ON ROCS/NOT ON FILE",IFERROR(_xlfn.XLOOKUP(LEFT($D444,3),'STAT 77 Table'!$B:$B,'STAT 77 Table'!$A:$A),"ZZ"&amp;RIGHT($B444,4)),""),"")</f>
        <v/>
      </c>
      <c r="L444" s="396"/>
      <c r="O444" s="388"/>
      <c r="P444" s="388"/>
      <c r="AA444" s="421">
        <f t="shared" si="6"/>
        <v>0</v>
      </c>
    </row>
    <row r="445" spans="1:27" ht="16.5">
      <c r="A445" s="387">
        <f>'STAT 77 Table'!$I$444</f>
        <v>0</v>
      </c>
      <c r="B445"/>
      <c r="C445"/>
      <c r="D445" s="387" t="str">
        <f>IF($B445&lt;&gt;"",IFERROR(IF(LEFT($B445,3)=$Z$2,VLOOKUP($C445,Outbound!$B:$Z,4,FALSE),VLOOKUP($B445,Outbound!$B:$Z,4,FALSE)),"ON ROCS/NOT ON FILE"),"")</f>
        <v/>
      </c>
      <c r="E445" s="387" t="str">
        <f>IF($B445&lt;&gt;"",IFERROR(IF(LEFT($B445,4)=$Z$2,VLOOKUP($C445,Outbound!$B:$Z,5,FALSE),VLOOKUP($B445,Outbound!$B:$Z,5,FALSE)),"ON ROCS/NOT ON FILE"),"")</f>
        <v/>
      </c>
      <c r="F445" s="387" t="str">
        <f>IF(B445&lt;&gt;"",IFERROR(IF(LEFT($B445,3)=$Z$2,VLOOKUP($C445,Outbound!$B:$Z,11,FALSE),VLOOKUP($B445,Outbound!$B:$Z,11,FALSE)),"NON TROVATO"),"")</f>
        <v/>
      </c>
      <c r="G445" s="394" t="str">
        <f>IF(B445&lt;&gt;"",IFERROR(IF(LEFT($B445,3)=$Z$2,VLOOKUP($C445,Outbound!$B:$AAZ,16,FALSE),VLOOKUP($B445,Outbound!$B:$AAZ,16,FALSE)),"NON TROVATO"),"")</f>
        <v/>
      </c>
      <c r="H445" s="394" t="str">
        <f>IF(B445&lt;&gt;"",IFERROR(IF(LEFT($B445,3)=$Z$2,VLOOKUP($C445,Outbound!$B:$AAZ,6,FALSE),VLOOKUP($B445,Outbound!$B:$AAZ,6,FALSE)),"NON TROVATO"),"")</f>
        <v/>
      </c>
      <c r="I445" s="394" t="str">
        <f>IF(B445&lt;&gt;"",IFERROR(IF(LEFT($B445,3)=$Z$2,VLOOKUP($C445,Outbound!$B:$AAZ,52,FALSE),VLOOKUP($B445,Outbound!$B:$AAZ,52,FALSE)),"NON TROVATO"),"")</f>
        <v/>
      </c>
      <c r="J445" s="396"/>
      <c r="K445" s="387" t="str">
        <f>IF(B445&lt;&gt;"",IF($D445&lt;&gt;"ON ROCS/NOT ON FILE",IFERROR(_xlfn.XLOOKUP(LEFT($D445,3),'STAT 77 Table'!$B:$B,'STAT 77 Table'!$A:$A),"ZZ"&amp;RIGHT($B445,4)),""),"")</f>
        <v/>
      </c>
      <c r="L445" s="396"/>
      <c r="O445" s="388"/>
      <c r="P445" s="388"/>
      <c r="AA445" s="421">
        <f t="shared" si="6"/>
        <v>0</v>
      </c>
    </row>
    <row r="446" spans="1:27" ht="16.5">
      <c r="A446" s="387">
        <f>'STAT 77 Table'!$I$445</f>
        <v>0</v>
      </c>
      <c r="B446"/>
      <c r="C446"/>
      <c r="D446" s="387" t="str">
        <f>IF($B446&lt;&gt;"",IFERROR(IF(LEFT($B446,3)=$Z$2,VLOOKUP($C446,Outbound!$B:$Z,4,FALSE),VLOOKUP($B446,Outbound!$B:$Z,4,FALSE)),"ON ROCS/NOT ON FILE"),"")</f>
        <v/>
      </c>
      <c r="E446" s="387" t="str">
        <f>IF($B446&lt;&gt;"",IFERROR(IF(LEFT($B446,4)=$Z$2,VLOOKUP($C446,Outbound!$B:$Z,5,FALSE),VLOOKUP($B446,Outbound!$B:$Z,5,FALSE)),"ON ROCS/NOT ON FILE"),"")</f>
        <v/>
      </c>
      <c r="F446" s="387" t="str">
        <f>IF(B446&lt;&gt;"",IFERROR(IF(LEFT($B446,3)=$Z$2,VLOOKUP($C446,Outbound!$B:$Z,11,FALSE),VLOOKUP($B446,Outbound!$B:$Z,11,FALSE)),"NON TROVATO"),"")</f>
        <v/>
      </c>
      <c r="G446" s="394" t="str">
        <f>IF(B446&lt;&gt;"",IFERROR(IF(LEFT($B446,3)=$Z$2,VLOOKUP($C446,Outbound!$B:$AAZ,16,FALSE),VLOOKUP($B446,Outbound!$B:$AAZ,16,FALSE)),"NON TROVATO"),"")</f>
        <v/>
      </c>
      <c r="H446" s="394" t="str">
        <f>IF(B446&lt;&gt;"",IFERROR(IF(LEFT($B446,3)=$Z$2,VLOOKUP($C446,Outbound!$B:$AAZ,6,FALSE),VLOOKUP($B446,Outbound!$B:$AAZ,6,FALSE)),"NON TROVATO"),"")</f>
        <v/>
      </c>
      <c r="I446" s="394" t="str">
        <f>IF(B446&lt;&gt;"",IFERROR(IF(LEFT($B446,3)=$Z$2,VLOOKUP($C446,Outbound!$B:$AAZ,52,FALSE),VLOOKUP($B446,Outbound!$B:$AAZ,52,FALSE)),"NON TROVATO"),"")</f>
        <v/>
      </c>
      <c r="J446" s="396"/>
      <c r="K446" s="387" t="str">
        <f>IF(B446&lt;&gt;"",IF($D446&lt;&gt;"ON ROCS/NOT ON FILE",IFERROR(_xlfn.XLOOKUP(LEFT($D446,3),'STAT 77 Table'!$B:$B,'STAT 77 Table'!$A:$A),"ZZ"&amp;RIGHT($B446,4)),""),"")</f>
        <v/>
      </c>
      <c r="L446" s="396"/>
      <c r="O446" s="388"/>
      <c r="P446" s="388"/>
      <c r="AA446" s="421">
        <f t="shared" si="6"/>
        <v>0</v>
      </c>
    </row>
    <row r="447" spans="1:27" ht="16.5">
      <c r="A447" s="387">
        <f>'STAT 77 Table'!$I$446</f>
        <v>0</v>
      </c>
      <c r="B447"/>
      <c r="C447"/>
      <c r="D447" s="387" t="str">
        <f>IF($B447&lt;&gt;"",IFERROR(IF(LEFT($B447,3)=$Z$2,VLOOKUP($C447,Outbound!$B:$Z,4,FALSE),VLOOKUP($B447,Outbound!$B:$Z,4,FALSE)),"ON ROCS/NOT ON FILE"),"")</f>
        <v/>
      </c>
      <c r="E447" s="387" t="str">
        <f>IF($B447&lt;&gt;"",IFERROR(IF(LEFT($B447,4)=$Z$2,VLOOKUP($C447,Outbound!$B:$Z,5,FALSE),VLOOKUP($B447,Outbound!$B:$Z,5,FALSE)),"ON ROCS/NOT ON FILE"),"")</f>
        <v/>
      </c>
      <c r="F447" s="387" t="str">
        <f>IF(B447&lt;&gt;"",IFERROR(IF(LEFT($B447,3)=$Z$2,VLOOKUP($C447,Outbound!$B:$Z,11,FALSE),VLOOKUP($B447,Outbound!$B:$Z,11,FALSE)),"NON TROVATO"),"")</f>
        <v/>
      </c>
      <c r="G447" s="394" t="str">
        <f>IF(B447&lt;&gt;"",IFERROR(IF(LEFT($B447,3)=$Z$2,VLOOKUP($C447,Outbound!$B:$AAZ,16,FALSE),VLOOKUP($B447,Outbound!$B:$AAZ,16,FALSE)),"NON TROVATO"),"")</f>
        <v/>
      </c>
      <c r="H447" s="394" t="str">
        <f>IF(B447&lt;&gt;"",IFERROR(IF(LEFT($B447,3)=$Z$2,VLOOKUP($C447,Outbound!$B:$AAZ,6,FALSE),VLOOKUP($B447,Outbound!$B:$AAZ,6,FALSE)),"NON TROVATO"),"")</f>
        <v/>
      </c>
      <c r="I447" s="394" t="str">
        <f>IF(B447&lt;&gt;"",IFERROR(IF(LEFT($B447,3)=$Z$2,VLOOKUP($C447,Outbound!$B:$AAZ,52,FALSE),VLOOKUP($B447,Outbound!$B:$AAZ,52,FALSE)),"NON TROVATO"),"")</f>
        <v/>
      </c>
      <c r="J447" s="396"/>
      <c r="K447" s="387" t="str">
        <f>IF(B447&lt;&gt;"",IF($D447&lt;&gt;"ON ROCS/NOT ON FILE",IFERROR(_xlfn.XLOOKUP(LEFT($D447,3),'STAT 77 Table'!$B:$B,'STAT 77 Table'!$A:$A),"ZZ"&amp;RIGHT($B447,4)),""),"")</f>
        <v/>
      </c>
      <c r="L447" s="396"/>
      <c r="O447" s="388"/>
      <c r="P447" s="388"/>
      <c r="AA447" s="421">
        <f t="shared" si="6"/>
        <v>0</v>
      </c>
    </row>
    <row r="448" spans="1:27" ht="16.5">
      <c r="A448" s="387">
        <f>'STAT 77 Table'!$I$447</f>
        <v>0</v>
      </c>
      <c r="B448"/>
      <c r="C448"/>
      <c r="D448" s="387" t="str">
        <f>IF($B448&lt;&gt;"",IFERROR(IF(LEFT($B448,3)=$Z$2,VLOOKUP($C448,Outbound!$B:$Z,4,FALSE),VLOOKUP($B448,Outbound!$B:$Z,4,FALSE)),"ON ROCS/NOT ON FILE"),"")</f>
        <v/>
      </c>
      <c r="E448" s="387" t="str">
        <f>IF($B448&lt;&gt;"",IFERROR(IF(LEFT($B448,4)=$Z$2,VLOOKUP($C448,Outbound!$B:$Z,5,FALSE),VLOOKUP($B448,Outbound!$B:$Z,5,FALSE)),"ON ROCS/NOT ON FILE"),"")</f>
        <v/>
      </c>
      <c r="F448" s="387" t="str">
        <f>IF(B448&lt;&gt;"",IFERROR(IF(LEFT($B448,3)=$Z$2,VLOOKUP($C448,Outbound!$B:$Z,11,FALSE),VLOOKUP($B448,Outbound!$B:$Z,11,FALSE)),"NON TROVATO"),"")</f>
        <v/>
      </c>
      <c r="G448" s="394" t="str">
        <f>IF(B448&lt;&gt;"",IFERROR(IF(LEFT($B448,3)=$Z$2,VLOOKUP($C448,Outbound!$B:$AAZ,16,FALSE),VLOOKUP($B448,Outbound!$B:$AAZ,16,FALSE)),"NON TROVATO"),"")</f>
        <v/>
      </c>
      <c r="H448" s="394" t="str">
        <f>IF(B448&lt;&gt;"",IFERROR(IF(LEFT($B448,3)=$Z$2,VLOOKUP($C448,Outbound!$B:$AAZ,6,FALSE),VLOOKUP($B448,Outbound!$B:$AAZ,6,FALSE)),"NON TROVATO"),"")</f>
        <v/>
      </c>
      <c r="I448" s="394" t="str">
        <f>IF(B448&lt;&gt;"",IFERROR(IF(LEFT($B448,3)=$Z$2,VLOOKUP($C448,Outbound!$B:$AAZ,52,FALSE),VLOOKUP($B448,Outbound!$B:$AAZ,52,FALSE)),"NON TROVATO"),"")</f>
        <v/>
      </c>
      <c r="J448" s="396"/>
      <c r="K448" s="387" t="str">
        <f>IF(B448&lt;&gt;"",IF($D448&lt;&gt;"ON ROCS/NOT ON FILE",IFERROR(_xlfn.XLOOKUP(LEFT($D448,3),'STAT 77 Table'!$B:$B,'STAT 77 Table'!$A:$A),"ZZ"&amp;RIGHT($B448,4)),""),"")</f>
        <v/>
      </c>
      <c r="L448" s="396"/>
      <c r="O448" s="388"/>
      <c r="P448" s="388"/>
      <c r="AA448" s="421">
        <f t="shared" si="6"/>
        <v>0</v>
      </c>
    </row>
    <row r="449" spans="1:27" ht="16.5">
      <c r="A449" s="387">
        <f>'STAT 77 Table'!$I$448</f>
        <v>0</v>
      </c>
      <c r="B449"/>
      <c r="C449"/>
      <c r="D449" s="387" t="str">
        <f>IF($B449&lt;&gt;"",IFERROR(IF(LEFT($B449,3)=$Z$2,VLOOKUP($C449,Outbound!$B:$Z,4,FALSE),VLOOKUP($B449,Outbound!$B:$Z,4,FALSE)),"ON ROCS/NOT ON FILE"),"")</f>
        <v/>
      </c>
      <c r="E449" s="387" t="str">
        <f>IF($B449&lt;&gt;"",IFERROR(IF(LEFT($B449,4)=$Z$2,VLOOKUP($C449,Outbound!$B:$Z,5,FALSE),VLOOKUP($B449,Outbound!$B:$Z,5,FALSE)),"ON ROCS/NOT ON FILE"),"")</f>
        <v/>
      </c>
      <c r="F449" s="387" t="str">
        <f>IF(B449&lt;&gt;"",IFERROR(IF(LEFT($B449,3)=$Z$2,VLOOKUP($C449,Outbound!$B:$Z,11,FALSE),VLOOKUP($B449,Outbound!$B:$Z,11,FALSE)),"NON TROVATO"),"")</f>
        <v/>
      </c>
      <c r="G449" s="394" t="str">
        <f>IF(B449&lt;&gt;"",IFERROR(IF(LEFT($B449,3)=$Z$2,VLOOKUP($C449,Outbound!$B:$AAZ,16,FALSE),VLOOKUP($B449,Outbound!$B:$AAZ,16,FALSE)),"NON TROVATO"),"")</f>
        <v/>
      </c>
      <c r="H449" s="394" t="str">
        <f>IF(B449&lt;&gt;"",IFERROR(IF(LEFT($B449,3)=$Z$2,VLOOKUP($C449,Outbound!$B:$AAZ,6,FALSE),VLOOKUP($B449,Outbound!$B:$AAZ,6,FALSE)),"NON TROVATO"),"")</f>
        <v/>
      </c>
      <c r="I449" s="394" t="str">
        <f>IF(B449&lt;&gt;"",IFERROR(IF(LEFT($B449,3)=$Z$2,VLOOKUP($C449,Outbound!$B:$AAZ,52,FALSE),VLOOKUP($B449,Outbound!$B:$AAZ,52,FALSE)),"NON TROVATO"),"")</f>
        <v/>
      </c>
      <c r="J449" s="396"/>
      <c r="K449" s="387" t="str">
        <f>IF(B449&lt;&gt;"",IF($D449&lt;&gt;"ON ROCS/NOT ON FILE",IFERROR(_xlfn.XLOOKUP(LEFT($D449,3),'STAT 77 Table'!$B:$B,'STAT 77 Table'!$A:$A),"ZZ"&amp;RIGHT($B449,4)),""),"")</f>
        <v/>
      </c>
      <c r="L449" s="396"/>
      <c r="O449" s="388"/>
      <c r="P449" s="388"/>
      <c r="AA449" s="421">
        <f t="shared" si="6"/>
        <v>0</v>
      </c>
    </row>
    <row r="450" spans="1:27" ht="16.5">
      <c r="A450" s="387">
        <f>'STAT 77 Table'!$I$449</f>
        <v>0</v>
      </c>
      <c r="B450"/>
      <c r="C450"/>
      <c r="D450" s="387" t="str">
        <f>IF($B450&lt;&gt;"",IFERROR(IF(LEFT($B450,3)=$Z$2,VLOOKUP($C450,Outbound!$B:$Z,4,FALSE),VLOOKUP($B450,Outbound!$B:$Z,4,FALSE)),"ON ROCS/NOT ON FILE"),"")</f>
        <v/>
      </c>
      <c r="E450" s="387" t="str">
        <f>IF($B450&lt;&gt;"",IFERROR(IF(LEFT($B450,4)=$Z$2,VLOOKUP($C450,Outbound!$B:$Z,5,FALSE),VLOOKUP($B450,Outbound!$B:$Z,5,FALSE)),"ON ROCS/NOT ON FILE"),"")</f>
        <v/>
      </c>
      <c r="F450" s="387" t="str">
        <f>IF(B450&lt;&gt;"",IFERROR(IF(LEFT($B450,3)=$Z$2,VLOOKUP($C450,Outbound!$B:$Z,11,FALSE),VLOOKUP($B450,Outbound!$B:$Z,11,FALSE)),"NON TROVATO"),"")</f>
        <v/>
      </c>
      <c r="G450" s="394" t="str">
        <f>IF(B450&lt;&gt;"",IFERROR(IF(LEFT($B450,3)=$Z$2,VLOOKUP($C450,Outbound!$B:$AAZ,16,FALSE),VLOOKUP($B450,Outbound!$B:$AAZ,16,FALSE)),"NON TROVATO"),"")</f>
        <v/>
      </c>
      <c r="H450" s="394" t="str">
        <f>IF(B450&lt;&gt;"",IFERROR(IF(LEFT($B450,3)=$Z$2,VLOOKUP($C450,Outbound!$B:$AAZ,6,FALSE),VLOOKUP($B450,Outbound!$B:$AAZ,6,FALSE)),"NON TROVATO"),"")</f>
        <v/>
      </c>
      <c r="I450" s="394" t="str">
        <f>IF(B450&lt;&gt;"",IFERROR(IF(LEFT($B450,3)=$Z$2,VLOOKUP($C450,Outbound!$B:$AAZ,52,FALSE),VLOOKUP($B450,Outbound!$B:$AAZ,52,FALSE)),"NON TROVATO"),"")</f>
        <v/>
      </c>
      <c r="J450" s="396"/>
      <c r="K450" s="387" t="str">
        <f>IF(B450&lt;&gt;"",IF($D450&lt;&gt;"ON ROCS/NOT ON FILE",IFERROR(_xlfn.XLOOKUP(LEFT($D450,3),'STAT 77 Table'!$B:$B,'STAT 77 Table'!$A:$A),"ZZ"&amp;RIGHT($B450,4)),""),"")</f>
        <v/>
      </c>
      <c r="L450" s="396"/>
      <c r="O450" s="388"/>
      <c r="P450" s="388"/>
      <c r="AA450" s="421">
        <f t="shared" si="6"/>
        <v>0</v>
      </c>
    </row>
    <row r="451" spans="1:27" ht="16.5">
      <c r="A451" s="387">
        <f>'STAT 77 Table'!$I$450</f>
        <v>0</v>
      </c>
      <c r="B451"/>
      <c r="C451"/>
      <c r="D451" s="387" t="str">
        <f>IF($B451&lt;&gt;"",IFERROR(IF(LEFT($B451,3)=$Z$2,VLOOKUP($C451,Outbound!$B:$Z,4,FALSE),VLOOKUP($B451,Outbound!$B:$Z,4,FALSE)),"ON ROCS/NOT ON FILE"),"")</f>
        <v/>
      </c>
      <c r="E451" s="387" t="str">
        <f>IF($B451&lt;&gt;"",IFERROR(IF(LEFT($B451,4)=$Z$2,VLOOKUP($C451,Outbound!$B:$Z,5,FALSE),VLOOKUP($B451,Outbound!$B:$Z,5,FALSE)),"ON ROCS/NOT ON FILE"),"")</f>
        <v/>
      </c>
      <c r="F451" s="387" t="str">
        <f>IF(B451&lt;&gt;"",IFERROR(IF(LEFT($B451,3)=$Z$2,VLOOKUP($C451,Outbound!$B:$Z,11,FALSE),VLOOKUP($B451,Outbound!$B:$Z,11,FALSE)),"NON TROVATO"),"")</f>
        <v/>
      </c>
      <c r="G451" s="394" t="str">
        <f>IF(B451&lt;&gt;"",IFERROR(IF(LEFT($B451,3)=$Z$2,VLOOKUP($C451,Outbound!$B:$AAZ,16,FALSE),VLOOKUP($B451,Outbound!$B:$AAZ,16,FALSE)),"NON TROVATO"),"")</f>
        <v/>
      </c>
      <c r="H451" s="394" t="str">
        <f>IF(B451&lt;&gt;"",IFERROR(IF(LEFT($B451,3)=$Z$2,VLOOKUP($C451,Outbound!$B:$AAZ,6,FALSE),VLOOKUP($B451,Outbound!$B:$AAZ,6,FALSE)),"NON TROVATO"),"")</f>
        <v/>
      </c>
      <c r="I451" s="394" t="str">
        <f>IF(B451&lt;&gt;"",IFERROR(IF(LEFT($B451,3)=$Z$2,VLOOKUP($C451,Outbound!$B:$AAZ,52,FALSE),VLOOKUP($B451,Outbound!$B:$AAZ,52,FALSE)),"NON TROVATO"),"")</f>
        <v/>
      </c>
      <c r="J451" s="396"/>
      <c r="K451" s="387" t="str">
        <f>IF(B451&lt;&gt;"",IF($D451&lt;&gt;"ON ROCS/NOT ON FILE",IFERROR(_xlfn.XLOOKUP(LEFT($D451,3),'STAT 77 Table'!$B:$B,'STAT 77 Table'!$A:$A),"ZZ"&amp;RIGHT($B451,4)),""),"")</f>
        <v/>
      </c>
      <c r="L451" s="396"/>
      <c r="O451" s="388"/>
      <c r="P451" s="388"/>
      <c r="AA451" s="421">
        <f t="shared" si="6"/>
        <v>0</v>
      </c>
    </row>
    <row r="452" spans="1:27" ht="16.5">
      <c r="A452" s="387">
        <f>'STAT 77 Table'!$I$451</f>
        <v>0</v>
      </c>
      <c r="B452"/>
      <c r="C452"/>
      <c r="D452" s="387" t="str">
        <f>IF($B452&lt;&gt;"",IFERROR(IF(LEFT($B452,3)=$Z$2,VLOOKUP($C452,Outbound!$B:$Z,4,FALSE),VLOOKUP($B452,Outbound!$B:$Z,4,FALSE)),"ON ROCS/NOT ON FILE"),"")</f>
        <v/>
      </c>
      <c r="E452" s="387" t="str">
        <f>IF($B452&lt;&gt;"",IFERROR(IF(LEFT($B452,4)=$Z$2,VLOOKUP($C452,Outbound!$B:$Z,5,FALSE),VLOOKUP($B452,Outbound!$B:$Z,5,FALSE)),"ON ROCS/NOT ON FILE"),"")</f>
        <v/>
      </c>
      <c r="F452" s="387" t="str">
        <f>IF(B452&lt;&gt;"",IFERROR(IF(LEFT($B452,3)=$Z$2,VLOOKUP($C452,Outbound!$B:$Z,11,FALSE),VLOOKUP($B452,Outbound!$B:$Z,11,FALSE)),"NON TROVATO"),"")</f>
        <v/>
      </c>
      <c r="G452" s="394" t="str">
        <f>IF(B452&lt;&gt;"",IFERROR(IF(LEFT($B452,3)=$Z$2,VLOOKUP($C452,Outbound!$B:$AAZ,16,FALSE),VLOOKUP($B452,Outbound!$B:$AAZ,16,FALSE)),"NON TROVATO"),"")</f>
        <v/>
      </c>
      <c r="H452" s="394" t="str">
        <f>IF(B452&lt;&gt;"",IFERROR(IF(LEFT($B452,3)=$Z$2,VLOOKUP($C452,Outbound!$B:$AAZ,6,FALSE),VLOOKUP($B452,Outbound!$B:$AAZ,6,FALSE)),"NON TROVATO"),"")</f>
        <v/>
      </c>
      <c r="I452" s="394" t="str">
        <f>IF(B452&lt;&gt;"",IFERROR(IF(LEFT($B452,3)=$Z$2,VLOOKUP($C452,Outbound!$B:$AAZ,52,FALSE),VLOOKUP($B452,Outbound!$B:$AAZ,52,FALSE)),"NON TROVATO"),"")</f>
        <v/>
      </c>
      <c r="J452" s="396"/>
      <c r="K452" s="387" t="str">
        <f>IF(B452&lt;&gt;"",IF($D452&lt;&gt;"ON ROCS/NOT ON FILE",IFERROR(_xlfn.XLOOKUP(LEFT($D452,3),'STAT 77 Table'!$B:$B,'STAT 77 Table'!$A:$A),"ZZ"&amp;RIGHT($B452,4)),""),"")</f>
        <v/>
      </c>
      <c r="L452" s="396"/>
      <c r="O452" s="388"/>
      <c r="P452" s="388"/>
      <c r="AA452" s="421">
        <f t="shared" ref="AA452:AA515" si="7">IF(LEFT(A452,3)=$X$2,C452,B452)</f>
        <v>0</v>
      </c>
    </row>
    <row r="453" spans="1:27" ht="16.5">
      <c r="A453" s="387">
        <f>'STAT 77 Table'!$I$452</f>
        <v>0</v>
      </c>
      <c r="B453"/>
      <c r="C453"/>
      <c r="D453" s="387" t="str">
        <f>IF($B453&lt;&gt;"",IFERROR(IF(LEFT($B453,3)=$Z$2,VLOOKUP($C453,Outbound!$B:$Z,4,FALSE),VLOOKUP($B453,Outbound!$B:$Z,4,FALSE)),"ON ROCS/NOT ON FILE"),"")</f>
        <v/>
      </c>
      <c r="E453" s="387" t="str">
        <f>IF($B453&lt;&gt;"",IFERROR(IF(LEFT($B453,4)=$Z$2,VLOOKUP($C453,Outbound!$B:$Z,5,FALSE),VLOOKUP($B453,Outbound!$B:$Z,5,FALSE)),"ON ROCS/NOT ON FILE"),"")</f>
        <v/>
      </c>
      <c r="F453" s="387" t="str">
        <f>IF(B453&lt;&gt;"",IFERROR(IF(LEFT($B453,3)=$Z$2,VLOOKUP($C453,Outbound!$B:$Z,11,FALSE),VLOOKUP($B453,Outbound!$B:$Z,11,FALSE)),"NON TROVATO"),"")</f>
        <v/>
      </c>
      <c r="G453" s="394" t="str">
        <f>IF(B453&lt;&gt;"",IFERROR(IF(LEFT($B453,3)=$Z$2,VLOOKUP($C453,Outbound!$B:$AAZ,16,FALSE),VLOOKUP($B453,Outbound!$B:$AAZ,16,FALSE)),"NON TROVATO"),"")</f>
        <v/>
      </c>
      <c r="H453" s="394" t="str">
        <f>IF(B453&lt;&gt;"",IFERROR(IF(LEFT($B453,3)=$Z$2,VLOOKUP($C453,Outbound!$B:$AAZ,6,FALSE),VLOOKUP($B453,Outbound!$B:$AAZ,6,FALSE)),"NON TROVATO"),"")</f>
        <v/>
      </c>
      <c r="I453" s="394" t="str">
        <f>IF(B453&lt;&gt;"",IFERROR(IF(LEFT($B453,3)=$Z$2,VLOOKUP($C453,Outbound!$B:$AAZ,52,FALSE),VLOOKUP($B453,Outbound!$B:$AAZ,52,FALSE)),"NON TROVATO"),"")</f>
        <v/>
      </c>
      <c r="J453" s="396"/>
      <c r="K453" s="387" t="str">
        <f>IF(B453&lt;&gt;"",IF($D453&lt;&gt;"ON ROCS/NOT ON FILE",IFERROR(_xlfn.XLOOKUP(LEFT($D453,3),'STAT 77 Table'!$B:$B,'STAT 77 Table'!$A:$A),"ZZ"&amp;RIGHT($B453,4)),""),"")</f>
        <v/>
      </c>
      <c r="L453" s="396"/>
      <c r="O453" s="388"/>
      <c r="P453" s="388"/>
      <c r="AA453" s="421">
        <f t="shared" si="7"/>
        <v>0</v>
      </c>
    </row>
    <row r="454" spans="1:27" ht="16.5">
      <c r="A454" s="387">
        <f>'STAT 77 Table'!$I$453</f>
        <v>0</v>
      </c>
      <c r="B454"/>
      <c r="C454"/>
      <c r="D454" s="387" t="str">
        <f>IF($B454&lt;&gt;"",IFERROR(IF(LEFT($B454,3)=$Z$2,VLOOKUP($C454,Outbound!$B:$Z,4,FALSE),VLOOKUP($B454,Outbound!$B:$Z,4,FALSE)),"ON ROCS/NOT ON FILE"),"")</f>
        <v/>
      </c>
      <c r="E454" s="387" t="str">
        <f>IF($B454&lt;&gt;"",IFERROR(IF(LEFT($B454,4)=$Z$2,VLOOKUP($C454,Outbound!$B:$Z,5,FALSE),VLOOKUP($B454,Outbound!$B:$Z,5,FALSE)),"ON ROCS/NOT ON FILE"),"")</f>
        <v/>
      </c>
      <c r="F454" s="387" t="str">
        <f>IF(B454&lt;&gt;"",IFERROR(IF(LEFT($B454,3)=$Z$2,VLOOKUP($C454,Outbound!$B:$Z,11,FALSE),VLOOKUP($B454,Outbound!$B:$Z,11,FALSE)),"NON TROVATO"),"")</f>
        <v/>
      </c>
      <c r="G454" s="394" t="str">
        <f>IF(B454&lt;&gt;"",IFERROR(IF(LEFT($B454,3)=$Z$2,VLOOKUP($C454,Outbound!$B:$AAZ,16,FALSE),VLOOKUP($B454,Outbound!$B:$AAZ,16,FALSE)),"NON TROVATO"),"")</f>
        <v/>
      </c>
      <c r="H454" s="394" t="str">
        <f>IF(B454&lt;&gt;"",IFERROR(IF(LEFT($B454,3)=$Z$2,VLOOKUP($C454,Outbound!$B:$AAZ,6,FALSE),VLOOKUP($B454,Outbound!$B:$AAZ,6,FALSE)),"NON TROVATO"),"")</f>
        <v/>
      </c>
      <c r="I454" s="394" t="str">
        <f>IF(B454&lt;&gt;"",IFERROR(IF(LEFT($B454,3)=$Z$2,VLOOKUP($C454,Outbound!$B:$AAZ,52,FALSE),VLOOKUP($B454,Outbound!$B:$AAZ,52,FALSE)),"NON TROVATO"),"")</f>
        <v/>
      </c>
      <c r="J454" s="396"/>
      <c r="K454" s="387" t="str">
        <f>IF(B454&lt;&gt;"",IF($D454&lt;&gt;"ON ROCS/NOT ON FILE",IFERROR(_xlfn.XLOOKUP(LEFT($D454,3),'STAT 77 Table'!$B:$B,'STAT 77 Table'!$A:$A),"ZZ"&amp;RIGHT($B454,4)),""),"")</f>
        <v/>
      </c>
      <c r="L454" s="396"/>
      <c r="O454" s="388"/>
      <c r="P454" s="388"/>
      <c r="AA454" s="421">
        <f t="shared" si="7"/>
        <v>0</v>
      </c>
    </row>
    <row r="455" spans="1:27" ht="16.5">
      <c r="A455" s="387">
        <f>'STAT 77 Table'!$I$454</f>
        <v>0</v>
      </c>
      <c r="B455"/>
      <c r="C455"/>
      <c r="D455" s="387" t="str">
        <f>IF($B455&lt;&gt;"",IFERROR(IF(LEFT($B455,3)=$Z$2,VLOOKUP($C455,Outbound!$B:$Z,4,FALSE),VLOOKUP($B455,Outbound!$B:$Z,4,FALSE)),"ON ROCS/NOT ON FILE"),"")</f>
        <v/>
      </c>
      <c r="E455" s="387" t="str">
        <f>IF($B455&lt;&gt;"",IFERROR(IF(LEFT($B455,4)=$Z$2,VLOOKUP($C455,Outbound!$B:$Z,5,FALSE),VLOOKUP($B455,Outbound!$B:$Z,5,FALSE)),"ON ROCS/NOT ON FILE"),"")</f>
        <v/>
      </c>
      <c r="F455" s="387" t="str">
        <f>IF(B455&lt;&gt;"",IFERROR(IF(LEFT($B455,3)=$Z$2,VLOOKUP($C455,Outbound!$B:$Z,11,FALSE),VLOOKUP($B455,Outbound!$B:$Z,11,FALSE)),"NON TROVATO"),"")</f>
        <v/>
      </c>
      <c r="G455" s="394" t="str">
        <f>IF(B455&lt;&gt;"",IFERROR(IF(LEFT($B455,3)=$Z$2,VLOOKUP($C455,Outbound!$B:$AAZ,16,FALSE),VLOOKUP($B455,Outbound!$B:$AAZ,16,FALSE)),"NON TROVATO"),"")</f>
        <v/>
      </c>
      <c r="H455" s="394" t="str">
        <f>IF(B455&lt;&gt;"",IFERROR(IF(LEFT($B455,3)=$Z$2,VLOOKUP($C455,Outbound!$B:$AAZ,6,FALSE),VLOOKUP($B455,Outbound!$B:$AAZ,6,FALSE)),"NON TROVATO"),"")</f>
        <v/>
      </c>
      <c r="I455" s="394" t="str">
        <f>IF(B455&lt;&gt;"",IFERROR(IF(LEFT($B455,3)=$Z$2,VLOOKUP($C455,Outbound!$B:$AAZ,52,FALSE),VLOOKUP($B455,Outbound!$B:$AAZ,52,FALSE)),"NON TROVATO"),"")</f>
        <v/>
      </c>
      <c r="J455" s="396"/>
      <c r="K455" s="387" t="str">
        <f>IF(B455&lt;&gt;"",IF($D455&lt;&gt;"ON ROCS/NOT ON FILE",IFERROR(_xlfn.XLOOKUP(LEFT($D455,3),'STAT 77 Table'!$B:$B,'STAT 77 Table'!$A:$A),"ZZ"&amp;RIGHT($B455,4)),""),"")</f>
        <v/>
      </c>
      <c r="L455" s="396"/>
      <c r="O455" s="388"/>
      <c r="P455" s="388"/>
      <c r="AA455" s="421">
        <f t="shared" si="7"/>
        <v>0</v>
      </c>
    </row>
    <row r="456" spans="1:27" ht="16.5">
      <c r="A456" s="387">
        <f>'STAT 77 Table'!$I$455</f>
        <v>0</v>
      </c>
      <c r="B456"/>
      <c r="C456"/>
      <c r="D456" s="387" t="str">
        <f>IF($B456&lt;&gt;"",IFERROR(IF(LEFT($B456,3)=$Z$2,VLOOKUP($C456,Outbound!$B:$Z,4,FALSE),VLOOKUP($B456,Outbound!$B:$Z,4,FALSE)),"ON ROCS/NOT ON FILE"),"")</f>
        <v/>
      </c>
      <c r="E456" s="387" t="str">
        <f>IF($B456&lt;&gt;"",IFERROR(IF(LEFT($B456,4)=$Z$2,VLOOKUP($C456,Outbound!$B:$Z,5,FALSE),VLOOKUP($B456,Outbound!$B:$Z,5,FALSE)),"ON ROCS/NOT ON FILE"),"")</f>
        <v/>
      </c>
      <c r="F456" s="387" t="str">
        <f>IF(B456&lt;&gt;"",IFERROR(IF(LEFT($B456,3)=$Z$2,VLOOKUP($C456,Outbound!$B:$Z,11,FALSE),VLOOKUP($B456,Outbound!$B:$Z,11,FALSE)),"NON TROVATO"),"")</f>
        <v/>
      </c>
      <c r="G456" s="394" t="str">
        <f>IF(B456&lt;&gt;"",IFERROR(IF(LEFT($B456,3)=$Z$2,VLOOKUP($C456,Outbound!$B:$AAZ,16,FALSE),VLOOKUP($B456,Outbound!$B:$AAZ,16,FALSE)),"NON TROVATO"),"")</f>
        <v/>
      </c>
      <c r="H456" s="394" t="str">
        <f>IF(B456&lt;&gt;"",IFERROR(IF(LEFT($B456,3)=$Z$2,VLOOKUP($C456,Outbound!$B:$AAZ,6,FALSE),VLOOKUP($B456,Outbound!$B:$AAZ,6,FALSE)),"NON TROVATO"),"")</f>
        <v/>
      </c>
      <c r="I456" s="394" t="str">
        <f>IF(B456&lt;&gt;"",IFERROR(IF(LEFT($B456,3)=$Z$2,VLOOKUP($C456,Outbound!$B:$AAZ,52,FALSE),VLOOKUP($B456,Outbound!$B:$AAZ,52,FALSE)),"NON TROVATO"),"")</f>
        <v/>
      </c>
      <c r="J456" s="396"/>
      <c r="K456" s="387" t="str">
        <f>IF(B456&lt;&gt;"",IF($D456&lt;&gt;"ON ROCS/NOT ON FILE",IFERROR(_xlfn.XLOOKUP(LEFT($D456,3),'STAT 77 Table'!$B:$B,'STAT 77 Table'!$A:$A),"ZZ"&amp;RIGHT($B456,4)),""),"")</f>
        <v/>
      </c>
      <c r="L456" s="396"/>
      <c r="O456" s="388"/>
      <c r="P456" s="388"/>
      <c r="AA456" s="421">
        <f t="shared" si="7"/>
        <v>0</v>
      </c>
    </row>
    <row r="457" spans="1:27" ht="16.5">
      <c r="A457" s="387">
        <f>'STAT 77 Table'!$I$456</f>
        <v>0</v>
      </c>
      <c r="B457"/>
      <c r="C457"/>
      <c r="D457" s="387" t="str">
        <f>IF($B457&lt;&gt;"",IFERROR(IF(LEFT($B457,3)=$Z$2,VLOOKUP($C457,Outbound!$B:$Z,4,FALSE),VLOOKUP($B457,Outbound!$B:$Z,4,FALSE)),"ON ROCS/NOT ON FILE"),"")</f>
        <v/>
      </c>
      <c r="E457" s="387" t="str">
        <f>IF($B457&lt;&gt;"",IFERROR(IF(LEFT($B457,4)=$Z$2,VLOOKUP($C457,Outbound!$B:$Z,5,FALSE),VLOOKUP($B457,Outbound!$B:$Z,5,FALSE)),"ON ROCS/NOT ON FILE"),"")</f>
        <v/>
      </c>
      <c r="F457" s="387" t="str">
        <f>IF(B457&lt;&gt;"",IFERROR(IF(LEFT($B457,3)=$Z$2,VLOOKUP($C457,Outbound!$B:$Z,11,FALSE),VLOOKUP($B457,Outbound!$B:$Z,11,FALSE)),"NON TROVATO"),"")</f>
        <v/>
      </c>
      <c r="G457" s="394" t="str">
        <f>IF(B457&lt;&gt;"",IFERROR(IF(LEFT($B457,3)=$Z$2,VLOOKUP($C457,Outbound!$B:$AAZ,16,FALSE),VLOOKUP($B457,Outbound!$B:$AAZ,16,FALSE)),"NON TROVATO"),"")</f>
        <v/>
      </c>
      <c r="H457" s="394" t="str">
        <f>IF(B457&lt;&gt;"",IFERROR(IF(LEFT($B457,3)=$Z$2,VLOOKUP($C457,Outbound!$B:$AAZ,6,FALSE),VLOOKUP($B457,Outbound!$B:$AAZ,6,FALSE)),"NON TROVATO"),"")</f>
        <v/>
      </c>
      <c r="I457" s="394" t="str">
        <f>IF(B457&lt;&gt;"",IFERROR(IF(LEFT($B457,3)=$Z$2,VLOOKUP($C457,Outbound!$B:$AAZ,52,FALSE),VLOOKUP($B457,Outbound!$B:$AAZ,52,FALSE)),"NON TROVATO"),"")</f>
        <v/>
      </c>
      <c r="J457" s="396"/>
      <c r="K457" s="387" t="str">
        <f>IF(B457&lt;&gt;"",IF($D457&lt;&gt;"ON ROCS/NOT ON FILE",IFERROR(_xlfn.XLOOKUP(LEFT($D457,3),'STAT 77 Table'!$B:$B,'STAT 77 Table'!$A:$A),"ZZ"&amp;RIGHT($B457,4)),""),"")</f>
        <v/>
      </c>
      <c r="L457" s="396"/>
      <c r="O457" s="388"/>
      <c r="P457" s="388"/>
      <c r="AA457" s="421">
        <f t="shared" si="7"/>
        <v>0</v>
      </c>
    </row>
    <row r="458" spans="1:27" ht="16.5">
      <c r="A458" s="387">
        <f>'STAT 77 Table'!$I$457</f>
        <v>0</v>
      </c>
      <c r="B458"/>
      <c r="C458"/>
      <c r="D458" s="387" t="str">
        <f>IF($B458&lt;&gt;"",IFERROR(IF(LEFT($B458,3)=$Z$2,VLOOKUP($C458,Outbound!$B:$Z,4,FALSE),VLOOKUP($B458,Outbound!$B:$Z,4,FALSE)),"ON ROCS/NOT ON FILE"),"")</f>
        <v/>
      </c>
      <c r="E458" s="387" t="str">
        <f>IF($B458&lt;&gt;"",IFERROR(IF(LEFT($B458,4)=$Z$2,VLOOKUP($C458,Outbound!$B:$Z,5,FALSE),VLOOKUP($B458,Outbound!$B:$Z,5,FALSE)),"ON ROCS/NOT ON FILE"),"")</f>
        <v/>
      </c>
      <c r="F458" s="387" t="str">
        <f>IF(B458&lt;&gt;"",IFERROR(IF(LEFT($B458,3)=$Z$2,VLOOKUP($C458,Outbound!$B:$Z,11,FALSE),VLOOKUP($B458,Outbound!$B:$Z,11,FALSE)),"NON TROVATO"),"")</f>
        <v/>
      </c>
      <c r="G458" s="394" t="str">
        <f>IF(B458&lt;&gt;"",IFERROR(IF(LEFT($B458,3)=$Z$2,VLOOKUP($C458,Outbound!$B:$AAZ,16,FALSE),VLOOKUP($B458,Outbound!$B:$AAZ,16,FALSE)),"NON TROVATO"),"")</f>
        <v/>
      </c>
      <c r="H458" s="394" t="str">
        <f>IF(B458&lt;&gt;"",IFERROR(IF(LEFT($B458,3)=$Z$2,VLOOKUP($C458,Outbound!$B:$AAZ,6,FALSE),VLOOKUP($B458,Outbound!$B:$AAZ,6,FALSE)),"NON TROVATO"),"")</f>
        <v/>
      </c>
      <c r="I458" s="394" t="str">
        <f>IF(B458&lt;&gt;"",IFERROR(IF(LEFT($B458,3)=$Z$2,VLOOKUP($C458,Outbound!$B:$AAZ,52,FALSE),VLOOKUP($B458,Outbound!$B:$AAZ,52,FALSE)),"NON TROVATO"),"")</f>
        <v/>
      </c>
      <c r="J458" s="396"/>
      <c r="K458" s="387" t="str">
        <f>IF(B458&lt;&gt;"",IF($D458&lt;&gt;"ON ROCS/NOT ON FILE",IFERROR(_xlfn.XLOOKUP(LEFT($D458,3),'STAT 77 Table'!$B:$B,'STAT 77 Table'!$A:$A),"ZZ"&amp;RIGHT($B458,4)),""),"")</f>
        <v/>
      </c>
      <c r="L458" s="396"/>
      <c r="O458" s="388"/>
      <c r="P458" s="388"/>
      <c r="AA458" s="421">
        <f t="shared" si="7"/>
        <v>0</v>
      </c>
    </row>
    <row r="459" spans="1:27" ht="16.5">
      <c r="A459" s="387">
        <f>'STAT 77 Table'!$I$458</f>
        <v>0</v>
      </c>
      <c r="B459"/>
      <c r="C459"/>
      <c r="D459" s="387" t="str">
        <f>IF($B459&lt;&gt;"",IFERROR(IF(LEFT($B459,3)=$Z$2,VLOOKUP($C459,Outbound!$B:$Z,4,FALSE),VLOOKUP($B459,Outbound!$B:$Z,4,FALSE)),"ON ROCS/NOT ON FILE"),"")</f>
        <v/>
      </c>
      <c r="E459" s="387" t="str">
        <f>IF($B459&lt;&gt;"",IFERROR(IF(LEFT($B459,4)=$Z$2,VLOOKUP($C459,Outbound!$B:$Z,5,FALSE),VLOOKUP($B459,Outbound!$B:$Z,5,FALSE)),"ON ROCS/NOT ON FILE"),"")</f>
        <v/>
      </c>
      <c r="F459" s="387" t="str">
        <f>IF(B459&lt;&gt;"",IFERROR(IF(LEFT($B459,3)=$Z$2,VLOOKUP($C459,Outbound!$B:$Z,11,FALSE),VLOOKUP($B459,Outbound!$B:$Z,11,FALSE)),"NON TROVATO"),"")</f>
        <v/>
      </c>
      <c r="G459" s="394" t="str">
        <f>IF(B459&lt;&gt;"",IFERROR(IF(LEFT($B459,3)=$Z$2,VLOOKUP($C459,Outbound!$B:$AAZ,16,FALSE),VLOOKUP($B459,Outbound!$B:$AAZ,16,FALSE)),"NON TROVATO"),"")</f>
        <v/>
      </c>
      <c r="H459" s="394" t="str">
        <f>IF(B459&lt;&gt;"",IFERROR(IF(LEFT($B459,3)=$Z$2,VLOOKUP($C459,Outbound!$B:$AAZ,6,FALSE),VLOOKUP($B459,Outbound!$B:$AAZ,6,FALSE)),"NON TROVATO"),"")</f>
        <v/>
      </c>
      <c r="I459" s="394" t="str">
        <f>IF(B459&lt;&gt;"",IFERROR(IF(LEFT($B459,3)=$Z$2,VLOOKUP($C459,Outbound!$B:$AAZ,52,FALSE),VLOOKUP($B459,Outbound!$B:$AAZ,52,FALSE)),"NON TROVATO"),"")</f>
        <v/>
      </c>
      <c r="J459" s="396"/>
      <c r="K459" s="387" t="str">
        <f>IF(B459&lt;&gt;"",IF($D459&lt;&gt;"ON ROCS/NOT ON FILE",IFERROR(_xlfn.XLOOKUP(LEFT($D459,3),'STAT 77 Table'!$B:$B,'STAT 77 Table'!$A:$A),"ZZ"&amp;RIGHT($B459,4)),""),"")</f>
        <v/>
      </c>
      <c r="L459" s="396"/>
      <c r="O459" s="388"/>
      <c r="P459" s="388"/>
      <c r="AA459" s="421">
        <f t="shared" si="7"/>
        <v>0</v>
      </c>
    </row>
    <row r="460" spans="1:27" ht="16.5">
      <c r="A460" s="387">
        <f>'STAT 77 Table'!$I$459</f>
        <v>0</v>
      </c>
      <c r="B460"/>
      <c r="C460"/>
      <c r="D460" s="387" t="str">
        <f>IF($B460&lt;&gt;"",IFERROR(IF(LEFT($B460,3)=$Z$2,VLOOKUP($C460,Outbound!$B:$Z,4,FALSE),VLOOKUP($B460,Outbound!$B:$Z,4,FALSE)),"ON ROCS/NOT ON FILE"),"")</f>
        <v/>
      </c>
      <c r="E460" s="387" t="str">
        <f>IF($B460&lt;&gt;"",IFERROR(IF(LEFT($B460,4)=$Z$2,VLOOKUP($C460,Outbound!$B:$Z,5,FALSE),VLOOKUP($B460,Outbound!$B:$Z,5,FALSE)),"ON ROCS/NOT ON FILE"),"")</f>
        <v/>
      </c>
      <c r="F460" s="387" t="str">
        <f>IF(B460&lt;&gt;"",IFERROR(IF(LEFT($B460,3)=$Z$2,VLOOKUP($C460,Outbound!$B:$Z,11,FALSE),VLOOKUP($B460,Outbound!$B:$Z,11,FALSE)),"NON TROVATO"),"")</f>
        <v/>
      </c>
      <c r="G460" s="394" t="str">
        <f>IF(B460&lt;&gt;"",IFERROR(IF(LEFT($B460,3)=$Z$2,VLOOKUP($C460,Outbound!$B:$AAZ,16,FALSE),VLOOKUP($B460,Outbound!$B:$AAZ,16,FALSE)),"NON TROVATO"),"")</f>
        <v/>
      </c>
      <c r="H460" s="394" t="str">
        <f>IF(B460&lt;&gt;"",IFERROR(IF(LEFT($B460,3)=$Z$2,VLOOKUP($C460,Outbound!$B:$AAZ,6,FALSE),VLOOKUP($B460,Outbound!$B:$AAZ,6,FALSE)),"NON TROVATO"),"")</f>
        <v/>
      </c>
      <c r="I460" s="394" t="str">
        <f>IF(B460&lt;&gt;"",IFERROR(IF(LEFT($B460,3)=$Z$2,VLOOKUP($C460,Outbound!$B:$AAZ,52,FALSE),VLOOKUP($B460,Outbound!$B:$AAZ,52,FALSE)),"NON TROVATO"),"")</f>
        <v/>
      </c>
      <c r="J460" s="396"/>
      <c r="K460" s="387" t="str">
        <f>IF(B460&lt;&gt;"",IF($D460&lt;&gt;"ON ROCS/NOT ON FILE",IFERROR(_xlfn.XLOOKUP(LEFT($D460,3),'STAT 77 Table'!$B:$B,'STAT 77 Table'!$A:$A),"ZZ"&amp;RIGHT($B460,4)),""),"")</f>
        <v/>
      </c>
      <c r="L460" s="396"/>
      <c r="O460" s="388"/>
      <c r="P460" s="388"/>
      <c r="AA460" s="421">
        <f t="shared" si="7"/>
        <v>0</v>
      </c>
    </row>
    <row r="461" spans="1:27" ht="16.5">
      <c r="A461" s="387">
        <f>'STAT 77 Table'!$I$460</f>
        <v>0</v>
      </c>
      <c r="B461"/>
      <c r="C461"/>
      <c r="D461" s="387" t="str">
        <f>IF($B461&lt;&gt;"",IFERROR(IF(LEFT($B461,3)=$Z$2,VLOOKUP($C461,Outbound!$B:$Z,4,FALSE),VLOOKUP($B461,Outbound!$B:$Z,4,FALSE)),"ON ROCS/NOT ON FILE"),"")</f>
        <v/>
      </c>
      <c r="E461" s="387" t="str">
        <f>IF($B461&lt;&gt;"",IFERROR(IF(LEFT($B461,4)=$Z$2,VLOOKUP($C461,Outbound!$B:$Z,5,FALSE),VLOOKUP($B461,Outbound!$B:$Z,5,FALSE)),"ON ROCS/NOT ON FILE"),"")</f>
        <v/>
      </c>
      <c r="F461" s="387" t="str">
        <f>IF(B461&lt;&gt;"",IFERROR(IF(LEFT($B461,3)=$Z$2,VLOOKUP($C461,Outbound!$B:$Z,11,FALSE),VLOOKUP($B461,Outbound!$B:$Z,11,FALSE)),"NON TROVATO"),"")</f>
        <v/>
      </c>
      <c r="G461" s="394" t="str">
        <f>IF(B461&lt;&gt;"",IFERROR(IF(LEFT($B461,3)=$Z$2,VLOOKUP($C461,Outbound!$B:$AAZ,16,FALSE),VLOOKUP($B461,Outbound!$B:$AAZ,16,FALSE)),"NON TROVATO"),"")</f>
        <v/>
      </c>
      <c r="H461" s="394" t="str">
        <f>IF(B461&lt;&gt;"",IFERROR(IF(LEFT($B461,3)=$Z$2,VLOOKUP($C461,Outbound!$B:$AAZ,6,FALSE),VLOOKUP($B461,Outbound!$B:$AAZ,6,FALSE)),"NON TROVATO"),"")</f>
        <v/>
      </c>
      <c r="I461" s="394" t="str">
        <f>IF(B461&lt;&gt;"",IFERROR(IF(LEFT($B461,3)=$Z$2,VLOOKUP($C461,Outbound!$B:$AAZ,52,FALSE),VLOOKUP($B461,Outbound!$B:$AAZ,52,FALSE)),"NON TROVATO"),"")</f>
        <v/>
      </c>
      <c r="J461" s="396"/>
      <c r="K461" s="387" t="str">
        <f>IF(B461&lt;&gt;"",IF($D461&lt;&gt;"ON ROCS/NOT ON FILE",IFERROR(_xlfn.XLOOKUP(LEFT($D461,3),'STAT 77 Table'!$B:$B,'STAT 77 Table'!$A:$A),"ZZ"&amp;RIGHT($B461,4)),""),"")</f>
        <v/>
      </c>
      <c r="L461" s="396"/>
      <c r="O461" s="388"/>
      <c r="P461" s="388"/>
      <c r="AA461" s="421">
        <f t="shared" si="7"/>
        <v>0</v>
      </c>
    </row>
    <row r="462" spans="1:27" ht="16.5">
      <c r="A462" s="387">
        <f>'STAT 77 Table'!$I$461</f>
        <v>0</v>
      </c>
      <c r="B462"/>
      <c r="C462"/>
      <c r="D462" s="387" t="str">
        <f>IF($B462&lt;&gt;"",IFERROR(IF(LEFT($B462,3)=$Z$2,VLOOKUP($C462,Outbound!$B:$Z,4,FALSE),VLOOKUP($B462,Outbound!$B:$Z,4,FALSE)),"ON ROCS/NOT ON FILE"),"")</f>
        <v/>
      </c>
      <c r="E462" s="387" t="str">
        <f>IF($B462&lt;&gt;"",IFERROR(IF(LEFT($B462,4)=$Z$2,VLOOKUP($C462,Outbound!$B:$Z,5,FALSE),VLOOKUP($B462,Outbound!$B:$Z,5,FALSE)),"ON ROCS/NOT ON FILE"),"")</f>
        <v/>
      </c>
      <c r="F462" s="387" t="str">
        <f>IF(B462&lt;&gt;"",IFERROR(IF(LEFT($B462,3)=$Z$2,VLOOKUP($C462,Outbound!$B:$Z,11,FALSE),VLOOKUP($B462,Outbound!$B:$Z,11,FALSE)),"NON TROVATO"),"")</f>
        <v/>
      </c>
      <c r="G462" s="394" t="str">
        <f>IF(B462&lt;&gt;"",IFERROR(IF(LEFT($B462,3)=$Z$2,VLOOKUP($C462,Outbound!$B:$AAZ,16,FALSE),VLOOKUP($B462,Outbound!$B:$AAZ,16,FALSE)),"NON TROVATO"),"")</f>
        <v/>
      </c>
      <c r="H462" s="394" t="str">
        <f>IF(B462&lt;&gt;"",IFERROR(IF(LEFT($B462,3)=$Z$2,VLOOKUP($C462,Outbound!$B:$AAZ,6,FALSE),VLOOKUP($B462,Outbound!$B:$AAZ,6,FALSE)),"NON TROVATO"),"")</f>
        <v/>
      </c>
      <c r="I462" s="394" t="str">
        <f>IF(B462&lt;&gt;"",IFERROR(IF(LEFT($B462,3)=$Z$2,VLOOKUP($C462,Outbound!$B:$AAZ,52,FALSE),VLOOKUP($B462,Outbound!$B:$AAZ,52,FALSE)),"NON TROVATO"),"")</f>
        <v/>
      </c>
      <c r="J462" s="396"/>
      <c r="K462" s="387" t="str">
        <f>IF(B462&lt;&gt;"",IF($D462&lt;&gt;"ON ROCS/NOT ON FILE",IFERROR(_xlfn.XLOOKUP(LEFT($D462,3),'STAT 77 Table'!$B:$B,'STAT 77 Table'!$A:$A),"ZZ"&amp;RIGHT($B462,4)),""),"")</f>
        <v/>
      </c>
      <c r="L462" s="396"/>
      <c r="O462" s="388"/>
      <c r="P462" s="388"/>
      <c r="AA462" s="421">
        <f t="shared" si="7"/>
        <v>0</v>
      </c>
    </row>
    <row r="463" spans="1:27" ht="16.5">
      <c r="A463" s="387">
        <f>'STAT 77 Table'!$I$462</f>
        <v>0</v>
      </c>
      <c r="B463"/>
      <c r="C463"/>
      <c r="D463" s="387" t="str">
        <f>IF($B463&lt;&gt;"",IFERROR(IF(LEFT($B463,3)=$Z$2,VLOOKUP($C463,Outbound!$B:$Z,4,FALSE),VLOOKUP($B463,Outbound!$B:$Z,4,FALSE)),"ON ROCS/NOT ON FILE"),"")</f>
        <v/>
      </c>
      <c r="E463" s="387" t="str">
        <f>IF($B463&lt;&gt;"",IFERROR(IF(LEFT($B463,4)=$Z$2,VLOOKUP($C463,Outbound!$B:$Z,5,FALSE),VLOOKUP($B463,Outbound!$B:$Z,5,FALSE)),"ON ROCS/NOT ON FILE"),"")</f>
        <v/>
      </c>
      <c r="F463" s="387" t="str">
        <f>IF(B463&lt;&gt;"",IFERROR(IF(LEFT($B463,3)=$Z$2,VLOOKUP($C463,Outbound!$B:$Z,11,FALSE),VLOOKUP($B463,Outbound!$B:$Z,11,FALSE)),"NON TROVATO"),"")</f>
        <v/>
      </c>
      <c r="G463" s="394" t="str">
        <f>IF(B463&lt;&gt;"",IFERROR(IF(LEFT($B463,3)=$Z$2,VLOOKUP($C463,Outbound!$B:$AAZ,16,FALSE),VLOOKUP($B463,Outbound!$B:$AAZ,16,FALSE)),"NON TROVATO"),"")</f>
        <v/>
      </c>
      <c r="H463" s="394" t="str">
        <f>IF(B463&lt;&gt;"",IFERROR(IF(LEFT($B463,3)=$Z$2,VLOOKUP($C463,Outbound!$B:$AAZ,6,FALSE),VLOOKUP($B463,Outbound!$B:$AAZ,6,FALSE)),"NON TROVATO"),"")</f>
        <v/>
      </c>
      <c r="I463" s="394" t="str">
        <f>IF(B463&lt;&gt;"",IFERROR(IF(LEFT($B463,3)=$Z$2,VLOOKUP($C463,Outbound!$B:$AAZ,52,FALSE),VLOOKUP($B463,Outbound!$B:$AAZ,52,FALSE)),"NON TROVATO"),"")</f>
        <v/>
      </c>
      <c r="J463" s="396"/>
      <c r="K463" s="387" t="str">
        <f>IF(B463&lt;&gt;"",IF($D463&lt;&gt;"ON ROCS/NOT ON FILE",IFERROR(_xlfn.XLOOKUP(LEFT($D463,3),'STAT 77 Table'!$B:$B,'STAT 77 Table'!$A:$A),"ZZ"&amp;RIGHT($B463,4)),""),"")</f>
        <v/>
      </c>
      <c r="L463" s="396"/>
      <c r="O463" s="388"/>
      <c r="P463" s="388"/>
      <c r="AA463" s="421">
        <f t="shared" si="7"/>
        <v>0</v>
      </c>
    </row>
    <row r="464" spans="1:27" ht="16.5">
      <c r="A464" s="387">
        <f>'STAT 77 Table'!$I$463</f>
        <v>0</v>
      </c>
      <c r="B464"/>
      <c r="C464"/>
      <c r="D464" s="387" t="str">
        <f>IF($B464&lt;&gt;"",IFERROR(IF(LEFT($B464,3)=$Z$2,VLOOKUP($C464,Outbound!$B:$Z,4,FALSE),VLOOKUP($B464,Outbound!$B:$Z,4,FALSE)),"ON ROCS/NOT ON FILE"),"")</f>
        <v/>
      </c>
      <c r="E464" s="387" t="str">
        <f>IF($B464&lt;&gt;"",IFERROR(IF(LEFT($B464,4)=$Z$2,VLOOKUP($C464,Outbound!$B:$Z,5,FALSE),VLOOKUP($B464,Outbound!$B:$Z,5,FALSE)),"ON ROCS/NOT ON FILE"),"")</f>
        <v/>
      </c>
      <c r="F464" s="387" t="str">
        <f>IF(B464&lt;&gt;"",IFERROR(IF(LEFT($B464,3)=$Z$2,VLOOKUP($C464,Outbound!$B:$Z,11,FALSE),VLOOKUP($B464,Outbound!$B:$Z,11,FALSE)),"NON TROVATO"),"")</f>
        <v/>
      </c>
      <c r="G464" s="394" t="str">
        <f>IF(B464&lt;&gt;"",IFERROR(IF(LEFT($B464,3)=$Z$2,VLOOKUP($C464,Outbound!$B:$AAZ,16,FALSE),VLOOKUP($B464,Outbound!$B:$AAZ,16,FALSE)),"NON TROVATO"),"")</f>
        <v/>
      </c>
      <c r="H464" s="394" t="str">
        <f>IF(B464&lt;&gt;"",IFERROR(IF(LEFT($B464,3)=$Z$2,VLOOKUP($C464,Outbound!$B:$AAZ,6,FALSE),VLOOKUP($B464,Outbound!$B:$AAZ,6,FALSE)),"NON TROVATO"),"")</f>
        <v/>
      </c>
      <c r="I464" s="394" t="str">
        <f>IF(B464&lt;&gt;"",IFERROR(IF(LEFT($B464,3)=$Z$2,VLOOKUP($C464,Outbound!$B:$AAZ,52,FALSE),VLOOKUP($B464,Outbound!$B:$AAZ,52,FALSE)),"NON TROVATO"),"")</f>
        <v/>
      </c>
      <c r="J464" s="396"/>
      <c r="K464" s="387" t="str">
        <f>IF(B464&lt;&gt;"",IF($D464&lt;&gt;"ON ROCS/NOT ON FILE",IFERROR(_xlfn.XLOOKUP(LEFT($D464,3),'STAT 77 Table'!$B:$B,'STAT 77 Table'!$A:$A),"ZZ"&amp;RIGHT($B464,4)),""),"")</f>
        <v/>
      </c>
      <c r="L464" s="396"/>
      <c r="O464" s="388"/>
      <c r="P464" s="388"/>
      <c r="AA464" s="421">
        <f t="shared" si="7"/>
        <v>0</v>
      </c>
    </row>
    <row r="465" spans="1:27" ht="16.5">
      <c r="A465" s="387">
        <f>'STAT 77 Table'!$I$464</f>
        <v>0</v>
      </c>
      <c r="B465"/>
      <c r="C465"/>
      <c r="D465" s="387" t="str">
        <f>IF($B465&lt;&gt;"",IFERROR(IF(LEFT($B465,3)=$Z$2,VLOOKUP($C465,Outbound!$B:$Z,4,FALSE),VLOOKUP($B465,Outbound!$B:$Z,4,FALSE)),"ON ROCS/NOT ON FILE"),"")</f>
        <v/>
      </c>
      <c r="E465" s="387" t="str">
        <f>IF($B465&lt;&gt;"",IFERROR(IF(LEFT($B465,4)=$Z$2,VLOOKUP($C465,Outbound!$B:$Z,5,FALSE),VLOOKUP($B465,Outbound!$B:$Z,5,FALSE)),"ON ROCS/NOT ON FILE"),"")</f>
        <v/>
      </c>
      <c r="F465" s="387" t="str">
        <f>IF(B465&lt;&gt;"",IFERROR(IF(LEFT($B465,3)=$Z$2,VLOOKUP($C465,Outbound!$B:$Z,11,FALSE),VLOOKUP($B465,Outbound!$B:$Z,11,FALSE)),"NON TROVATO"),"")</f>
        <v/>
      </c>
      <c r="G465" s="394" t="str">
        <f>IF(B465&lt;&gt;"",IFERROR(IF(LEFT($B465,3)=$Z$2,VLOOKUP($C465,Outbound!$B:$AAZ,16,FALSE),VLOOKUP($B465,Outbound!$B:$AAZ,16,FALSE)),"NON TROVATO"),"")</f>
        <v/>
      </c>
      <c r="H465" s="394" t="str">
        <f>IF(B465&lt;&gt;"",IFERROR(IF(LEFT($B465,3)=$Z$2,VLOOKUP($C465,Outbound!$B:$AAZ,6,FALSE),VLOOKUP($B465,Outbound!$B:$AAZ,6,FALSE)),"NON TROVATO"),"")</f>
        <v/>
      </c>
      <c r="I465" s="394" t="str">
        <f>IF(B465&lt;&gt;"",IFERROR(IF(LEFT($B465,3)=$Z$2,VLOOKUP($C465,Outbound!$B:$AAZ,52,FALSE),VLOOKUP($B465,Outbound!$B:$AAZ,52,FALSE)),"NON TROVATO"),"")</f>
        <v/>
      </c>
      <c r="J465" s="396"/>
      <c r="K465" s="387" t="str">
        <f>IF(B465&lt;&gt;"",IF($D465&lt;&gt;"ON ROCS/NOT ON FILE",IFERROR(_xlfn.XLOOKUP(LEFT($D465,3),'STAT 77 Table'!$B:$B,'STAT 77 Table'!$A:$A),"ZZ"&amp;RIGHT($B465,4)),""),"")</f>
        <v/>
      </c>
      <c r="L465" s="396"/>
      <c r="O465" s="388"/>
      <c r="P465" s="388"/>
      <c r="AA465" s="421">
        <f t="shared" si="7"/>
        <v>0</v>
      </c>
    </row>
    <row r="466" spans="1:27" ht="16.5">
      <c r="A466" s="387">
        <f>'STAT 77 Table'!$I$465</f>
        <v>0</v>
      </c>
      <c r="B466"/>
      <c r="C466"/>
      <c r="D466" s="387" t="str">
        <f>IF($B466&lt;&gt;"",IFERROR(IF(LEFT($B466,3)=$Z$2,VLOOKUP($C466,Outbound!$B:$Z,4,FALSE),VLOOKUP($B466,Outbound!$B:$Z,4,FALSE)),"ON ROCS/NOT ON FILE"),"")</f>
        <v/>
      </c>
      <c r="E466" s="387" t="str">
        <f>IF($B466&lt;&gt;"",IFERROR(IF(LEFT($B466,4)=$Z$2,VLOOKUP($C466,Outbound!$B:$Z,5,FALSE),VLOOKUP($B466,Outbound!$B:$Z,5,FALSE)),"ON ROCS/NOT ON FILE"),"")</f>
        <v/>
      </c>
      <c r="F466" s="387" t="str">
        <f>IF(B466&lt;&gt;"",IFERROR(IF(LEFT($B466,3)=$Z$2,VLOOKUP($C466,Outbound!$B:$Z,11,FALSE),VLOOKUP($B466,Outbound!$B:$Z,11,FALSE)),"NON TROVATO"),"")</f>
        <v/>
      </c>
      <c r="G466" s="394" t="str">
        <f>IF(B466&lt;&gt;"",IFERROR(IF(LEFT($B466,3)=$Z$2,VLOOKUP($C466,Outbound!$B:$AAZ,16,FALSE),VLOOKUP($B466,Outbound!$B:$AAZ,16,FALSE)),"NON TROVATO"),"")</f>
        <v/>
      </c>
      <c r="H466" s="394" t="str">
        <f>IF(B466&lt;&gt;"",IFERROR(IF(LEFT($B466,3)=$Z$2,VLOOKUP($C466,Outbound!$B:$AAZ,6,FALSE),VLOOKUP($B466,Outbound!$B:$AAZ,6,FALSE)),"NON TROVATO"),"")</f>
        <v/>
      </c>
      <c r="I466" s="394" t="str">
        <f>IF(B466&lt;&gt;"",IFERROR(IF(LEFT($B466,3)=$Z$2,VLOOKUP($C466,Outbound!$B:$AAZ,52,FALSE),VLOOKUP($B466,Outbound!$B:$AAZ,52,FALSE)),"NON TROVATO"),"")</f>
        <v/>
      </c>
      <c r="J466" s="396"/>
      <c r="K466" s="387" t="str">
        <f>IF(B466&lt;&gt;"",IF($D466&lt;&gt;"ON ROCS/NOT ON FILE",IFERROR(_xlfn.XLOOKUP(LEFT($D466,3),'STAT 77 Table'!$B:$B,'STAT 77 Table'!$A:$A),"ZZ"&amp;RIGHT($B466,4)),""),"")</f>
        <v/>
      </c>
      <c r="L466" s="396"/>
      <c r="O466" s="388"/>
      <c r="P466" s="388"/>
      <c r="AA466" s="421">
        <f t="shared" si="7"/>
        <v>0</v>
      </c>
    </row>
    <row r="467" spans="1:27" ht="16.5">
      <c r="A467" s="387">
        <f>'STAT 77 Table'!$I$466</f>
        <v>0</v>
      </c>
      <c r="B467"/>
      <c r="C467"/>
      <c r="D467" s="387" t="str">
        <f>IF($B467&lt;&gt;"",IFERROR(IF(LEFT($B467,3)=$Z$2,VLOOKUP($C467,Outbound!$B:$Z,4,FALSE),VLOOKUP($B467,Outbound!$B:$Z,4,FALSE)),"ON ROCS/NOT ON FILE"),"")</f>
        <v/>
      </c>
      <c r="E467" s="387" t="str">
        <f>IF($B467&lt;&gt;"",IFERROR(IF(LEFT($B467,4)=$Z$2,VLOOKUP($C467,Outbound!$B:$Z,5,FALSE),VLOOKUP($B467,Outbound!$B:$Z,5,FALSE)),"ON ROCS/NOT ON FILE"),"")</f>
        <v/>
      </c>
      <c r="F467" s="387" t="str">
        <f>IF(B467&lt;&gt;"",IFERROR(IF(LEFT($B467,3)=$Z$2,VLOOKUP($C467,Outbound!$B:$Z,11,FALSE),VLOOKUP($B467,Outbound!$B:$Z,11,FALSE)),"NON TROVATO"),"")</f>
        <v/>
      </c>
      <c r="G467" s="394" t="str">
        <f>IF(B467&lt;&gt;"",IFERROR(IF(LEFT($B467,3)=$Z$2,VLOOKUP($C467,Outbound!$B:$AAZ,16,FALSE),VLOOKUP($B467,Outbound!$B:$AAZ,16,FALSE)),"NON TROVATO"),"")</f>
        <v/>
      </c>
      <c r="H467" s="394" t="str">
        <f>IF(B467&lt;&gt;"",IFERROR(IF(LEFT($B467,3)=$Z$2,VLOOKUP($C467,Outbound!$B:$AAZ,6,FALSE),VLOOKUP($B467,Outbound!$B:$AAZ,6,FALSE)),"NON TROVATO"),"")</f>
        <v/>
      </c>
      <c r="I467" s="394" t="str">
        <f>IF(B467&lt;&gt;"",IFERROR(IF(LEFT($B467,3)=$Z$2,VLOOKUP($C467,Outbound!$B:$AAZ,52,FALSE),VLOOKUP($B467,Outbound!$B:$AAZ,52,FALSE)),"NON TROVATO"),"")</f>
        <v/>
      </c>
      <c r="J467" s="396"/>
      <c r="K467" s="387" t="str">
        <f>IF(B467&lt;&gt;"",IF($D467&lt;&gt;"ON ROCS/NOT ON FILE",IFERROR(_xlfn.XLOOKUP(LEFT($D467,3),'STAT 77 Table'!$B:$B,'STAT 77 Table'!$A:$A),"ZZ"&amp;RIGHT($B467,4)),""),"")</f>
        <v/>
      </c>
      <c r="L467" s="396"/>
      <c r="O467" s="388"/>
      <c r="P467" s="388"/>
      <c r="AA467" s="421">
        <f t="shared" si="7"/>
        <v>0</v>
      </c>
    </row>
    <row r="468" spans="1:27" ht="16.5">
      <c r="A468" s="387">
        <f>'STAT 77 Table'!$I$467</f>
        <v>0</v>
      </c>
      <c r="B468"/>
      <c r="C468"/>
      <c r="D468" s="387" t="str">
        <f>IF($B468&lt;&gt;"",IFERROR(IF(LEFT($B468,3)=$Z$2,VLOOKUP($C468,Outbound!$B:$Z,4,FALSE),VLOOKUP($B468,Outbound!$B:$Z,4,FALSE)),"ON ROCS/NOT ON FILE"),"")</f>
        <v/>
      </c>
      <c r="E468" s="387" t="str">
        <f>IF($B468&lt;&gt;"",IFERROR(IF(LEFT($B468,4)=$Z$2,VLOOKUP($C468,Outbound!$B:$Z,5,FALSE),VLOOKUP($B468,Outbound!$B:$Z,5,FALSE)),"ON ROCS/NOT ON FILE"),"")</f>
        <v/>
      </c>
      <c r="F468" s="387" t="str">
        <f>IF(B468&lt;&gt;"",IFERROR(IF(LEFT($B468,3)=$Z$2,VLOOKUP($C468,Outbound!$B:$Z,11,FALSE),VLOOKUP($B468,Outbound!$B:$Z,11,FALSE)),"NON TROVATO"),"")</f>
        <v/>
      </c>
      <c r="G468" s="394" t="str">
        <f>IF(B468&lt;&gt;"",IFERROR(IF(LEFT($B468,3)=$Z$2,VLOOKUP($C468,Outbound!$B:$AAZ,16,FALSE),VLOOKUP($B468,Outbound!$B:$AAZ,16,FALSE)),"NON TROVATO"),"")</f>
        <v/>
      </c>
      <c r="H468" s="394" t="str">
        <f>IF(B468&lt;&gt;"",IFERROR(IF(LEFT($B468,3)=$Z$2,VLOOKUP($C468,Outbound!$B:$AAZ,6,FALSE),VLOOKUP($B468,Outbound!$B:$AAZ,6,FALSE)),"NON TROVATO"),"")</f>
        <v/>
      </c>
      <c r="I468" s="394" t="str">
        <f>IF(B468&lt;&gt;"",IFERROR(IF(LEFT($B468,3)=$Z$2,VLOOKUP($C468,Outbound!$B:$AAZ,52,FALSE),VLOOKUP($B468,Outbound!$B:$AAZ,52,FALSE)),"NON TROVATO"),"")</f>
        <v/>
      </c>
      <c r="J468" s="396"/>
      <c r="K468" s="387" t="str">
        <f>IF(B468&lt;&gt;"",IF($D468&lt;&gt;"ON ROCS/NOT ON FILE",IFERROR(_xlfn.XLOOKUP(LEFT($D468,3),'STAT 77 Table'!$B:$B,'STAT 77 Table'!$A:$A),"ZZ"&amp;RIGHT($B468,4)),""),"")</f>
        <v/>
      </c>
      <c r="L468" s="396"/>
      <c r="O468" s="388"/>
      <c r="P468" s="388"/>
      <c r="AA468" s="421">
        <f t="shared" si="7"/>
        <v>0</v>
      </c>
    </row>
    <row r="469" spans="1:27" ht="16.5">
      <c r="A469" s="387">
        <f>'STAT 77 Table'!$I$468</f>
        <v>0</v>
      </c>
      <c r="B469"/>
      <c r="C469"/>
      <c r="D469" s="387" t="str">
        <f>IF($B469&lt;&gt;"",IFERROR(IF(LEFT($B469,3)=$Z$2,VLOOKUP($C469,Outbound!$B:$Z,4,FALSE),VLOOKUP($B469,Outbound!$B:$Z,4,FALSE)),"ON ROCS/NOT ON FILE"),"")</f>
        <v/>
      </c>
      <c r="E469" s="387" t="str">
        <f>IF($B469&lt;&gt;"",IFERROR(IF(LEFT($B469,4)=$Z$2,VLOOKUP($C469,Outbound!$B:$Z,5,FALSE),VLOOKUP($B469,Outbound!$B:$Z,5,FALSE)),"ON ROCS/NOT ON FILE"),"")</f>
        <v/>
      </c>
      <c r="F469" s="387" t="str">
        <f>IF(B469&lt;&gt;"",IFERROR(IF(LEFT($B469,3)=$Z$2,VLOOKUP($C469,Outbound!$B:$Z,11,FALSE),VLOOKUP($B469,Outbound!$B:$Z,11,FALSE)),"NON TROVATO"),"")</f>
        <v/>
      </c>
      <c r="G469" s="394" t="str">
        <f>IF(B469&lt;&gt;"",IFERROR(IF(LEFT($B469,3)=$Z$2,VLOOKUP($C469,Outbound!$B:$AAZ,16,FALSE),VLOOKUP($B469,Outbound!$B:$AAZ,16,FALSE)),"NON TROVATO"),"")</f>
        <v/>
      </c>
      <c r="H469" s="394" t="str">
        <f>IF(B469&lt;&gt;"",IFERROR(IF(LEFT($B469,3)=$Z$2,VLOOKUP($C469,Outbound!$B:$AAZ,6,FALSE),VLOOKUP($B469,Outbound!$B:$AAZ,6,FALSE)),"NON TROVATO"),"")</f>
        <v/>
      </c>
      <c r="I469" s="394" t="str">
        <f>IF(B469&lt;&gt;"",IFERROR(IF(LEFT($B469,3)=$Z$2,VLOOKUP($C469,Outbound!$B:$AAZ,52,FALSE),VLOOKUP($B469,Outbound!$B:$AAZ,52,FALSE)),"NON TROVATO"),"")</f>
        <v/>
      </c>
      <c r="J469" s="396"/>
      <c r="K469" s="387" t="str">
        <f>IF(B469&lt;&gt;"",IF($D469&lt;&gt;"ON ROCS/NOT ON FILE",IFERROR(_xlfn.XLOOKUP(LEFT($D469,3),'STAT 77 Table'!$B:$B,'STAT 77 Table'!$A:$A),"ZZ"&amp;RIGHT($B469,4)),""),"")</f>
        <v/>
      </c>
      <c r="L469" s="396"/>
      <c r="O469" s="388"/>
      <c r="P469" s="388"/>
      <c r="AA469" s="421">
        <f t="shared" si="7"/>
        <v>0</v>
      </c>
    </row>
    <row r="470" spans="1:27" ht="16.5">
      <c r="A470" s="387">
        <f>'STAT 77 Table'!$I$469</f>
        <v>0</v>
      </c>
      <c r="B470"/>
      <c r="C470"/>
      <c r="D470" s="387" t="str">
        <f>IF($B470&lt;&gt;"",IFERROR(IF(LEFT($B470,3)=$Z$2,VLOOKUP($C470,Outbound!$B:$Z,4,FALSE),VLOOKUP($B470,Outbound!$B:$Z,4,FALSE)),"ON ROCS/NOT ON FILE"),"")</f>
        <v/>
      </c>
      <c r="E470" s="387" t="str">
        <f>IF($B470&lt;&gt;"",IFERROR(IF(LEFT($B470,4)=$Z$2,VLOOKUP($C470,Outbound!$B:$Z,5,FALSE),VLOOKUP($B470,Outbound!$B:$Z,5,FALSE)),"ON ROCS/NOT ON FILE"),"")</f>
        <v/>
      </c>
      <c r="F470" s="387" t="str">
        <f>IF(B470&lt;&gt;"",IFERROR(IF(LEFT($B470,3)=$Z$2,VLOOKUP($C470,Outbound!$B:$Z,11,FALSE),VLOOKUP($B470,Outbound!$B:$Z,11,FALSE)),"NON TROVATO"),"")</f>
        <v/>
      </c>
      <c r="G470" s="394" t="str">
        <f>IF(B470&lt;&gt;"",IFERROR(IF(LEFT($B470,3)=$Z$2,VLOOKUP($C470,Outbound!$B:$AAZ,16,FALSE),VLOOKUP($B470,Outbound!$B:$AAZ,16,FALSE)),"NON TROVATO"),"")</f>
        <v/>
      </c>
      <c r="H470" s="394" t="str">
        <f>IF(B470&lt;&gt;"",IFERROR(IF(LEFT($B470,3)=$Z$2,VLOOKUP($C470,Outbound!$B:$AAZ,6,FALSE),VLOOKUP($B470,Outbound!$B:$AAZ,6,FALSE)),"NON TROVATO"),"")</f>
        <v/>
      </c>
      <c r="I470" s="394" t="str">
        <f>IF(B470&lt;&gt;"",IFERROR(IF(LEFT($B470,3)=$Z$2,VLOOKUP($C470,Outbound!$B:$AAZ,52,FALSE),VLOOKUP($B470,Outbound!$B:$AAZ,52,FALSE)),"NON TROVATO"),"")</f>
        <v/>
      </c>
      <c r="J470" s="396"/>
      <c r="K470" s="387" t="str">
        <f>IF(B470&lt;&gt;"",IF($D470&lt;&gt;"ON ROCS/NOT ON FILE",IFERROR(_xlfn.XLOOKUP(LEFT($D470,3),'STAT 77 Table'!$B:$B,'STAT 77 Table'!$A:$A),"ZZ"&amp;RIGHT($B470,4)),""),"")</f>
        <v/>
      </c>
      <c r="L470" s="396"/>
      <c r="O470" s="388"/>
      <c r="P470" s="388"/>
      <c r="AA470" s="421">
        <f t="shared" si="7"/>
        <v>0</v>
      </c>
    </row>
    <row r="471" spans="1:27" ht="16.5">
      <c r="A471" s="387">
        <f>'STAT 77 Table'!$I$470</f>
        <v>0</v>
      </c>
      <c r="B471"/>
      <c r="C471"/>
      <c r="D471" s="387" t="str">
        <f>IF($B471&lt;&gt;"",IFERROR(IF(LEFT($B471,3)=$Z$2,VLOOKUP($C471,Outbound!$B:$Z,4,FALSE),VLOOKUP($B471,Outbound!$B:$Z,4,FALSE)),"ON ROCS/NOT ON FILE"),"")</f>
        <v/>
      </c>
      <c r="E471" s="387" t="str">
        <f>IF($B471&lt;&gt;"",IFERROR(IF(LEFT($B471,4)=$Z$2,VLOOKUP($C471,Outbound!$B:$Z,5,FALSE),VLOOKUP($B471,Outbound!$B:$Z,5,FALSE)),"ON ROCS/NOT ON FILE"),"")</f>
        <v/>
      </c>
      <c r="F471" s="387" t="str">
        <f>IF(B471&lt;&gt;"",IFERROR(IF(LEFT($B471,3)=$Z$2,VLOOKUP($C471,Outbound!$B:$Z,11,FALSE),VLOOKUP($B471,Outbound!$B:$Z,11,FALSE)),"NON TROVATO"),"")</f>
        <v/>
      </c>
      <c r="G471" s="394" t="str">
        <f>IF(B471&lt;&gt;"",IFERROR(IF(LEFT($B471,3)=$Z$2,VLOOKUP($C471,Outbound!$B:$AAZ,16,FALSE),VLOOKUP($B471,Outbound!$B:$AAZ,16,FALSE)),"NON TROVATO"),"")</f>
        <v/>
      </c>
      <c r="H471" s="394" t="str">
        <f>IF(B471&lt;&gt;"",IFERROR(IF(LEFT($B471,3)=$Z$2,VLOOKUP($C471,Outbound!$B:$AAZ,6,FALSE),VLOOKUP($B471,Outbound!$B:$AAZ,6,FALSE)),"NON TROVATO"),"")</f>
        <v/>
      </c>
      <c r="I471" s="394" t="str">
        <f>IF(B471&lt;&gt;"",IFERROR(IF(LEFT($B471,3)=$Z$2,VLOOKUP($C471,Outbound!$B:$AAZ,52,FALSE),VLOOKUP($B471,Outbound!$B:$AAZ,52,FALSE)),"NON TROVATO"),"")</f>
        <v/>
      </c>
      <c r="J471" s="396"/>
      <c r="K471" s="387" t="str">
        <f>IF(B471&lt;&gt;"",IF($D471&lt;&gt;"ON ROCS/NOT ON FILE",IFERROR(_xlfn.XLOOKUP(LEFT($D471,3),'STAT 77 Table'!$B:$B,'STAT 77 Table'!$A:$A),"ZZ"&amp;RIGHT($B471,4)),""),"")</f>
        <v/>
      </c>
      <c r="L471" s="396"/>
      <c r="O471" s="388"/>
      <c r="P471" s="388"/>
      <c r="AA471" s="421">
        <f t="shared" si="7"/>
        <v>0</v>
      </c>
    </row>
    <row r="472" spans="1:27" ht="16.5">
      <c r="A472" s="387">
        <f>'STAT 77 Table'!$I$471</f>
        <v>0</v>
      </c>
      <c r="B472"/>
      <c r="C472"/>
      <c r="D472" s="387" t="str">
        <f>IF($B472&lt;&gt;"",IFERROR(IF(LEFT($B472,3)=$Z$2,VLOOKUP($C472,Outbound!$B:$Z,4,FALSE),VLOOKUP($B472,Outbound!$B:$Z,4,FALSE)),"ON ROCS/NOT ON FILE"),"")</f>
        <v/>
      </c>
      <c r="E472" s="387" t="str">
        <f>IF($B472&lt;&gt;"",IFERROR(IF(LEFT($B472,4)=$Z$2,VLOOKUP($C472,Outbound!$B:$Z,5,FALSE),VLOOKUP($B472,Outbound!$B:$Z,5,FALSE)),"ON ROCS/NOT ON FILE"),"")</f>
        <v/>
      </c>
      <c r="F472" s="387" t="str">
        <f>IF(B472&lt;&gt;"",IFERROR(IF(LEFT($B472,3)=$Z$2,VLOOKUP($C472,Outbound!$B:$Z,11,FALSE),VLOOKUP($B472,Outbound!$B:$Z,11,FALSE)),"NON TROVATO"),"")</f>
        <v/>
      </c>
      <c r="G472" s="394" t="str">
        <f>IF(B472&lt;&gt;"",IFERROR(IF(LEFT($B472,3)=$Z$2,VLOOKUP($C472,Outbound!$B:$AAZ,16,FALSE),VLOOKUP($B472,Outbound!$B:$AAZ,16,FALSE)),"NON TROVATO"),"")</f>
        <v/>
      </c>
      <c r="H472" s="394" t="str">
        <f>IF(B472&lt;&gt;"",IFERROR(IF(LEFT($B472,3)=$Z$2,VLOOKUP($C472,Outbound!$B:$AAZ,6,FALSE),VLOOKUP($B472,Outbound!$B:$AAZ,6,FALSE)),"NON TROVATO"),"")</f>
        <v/>
      </c>
      <c r="I472" s="394" t="str">
        <f>IF(B472&lt;&gt;"",IFERROR(IF(LEFT($B472,3)=$Z$2,VLOOKUP($C472,Outbound!$B:$AAZ,52,FALSE),VLOOKUP($B472,Outbound!$B:$AAZ,52,FALSE)),"NON TROVATO"),"")</f>
        <v/>
      </c>
      <c r="J472" s="396"/>
      <c r="K472" s="387" t="str">
        <f>IF(B472&lt;&gt;"",IF($D472&lt;&gt;"ON ROCS/NOT ON FILE",IFERROR(_xlfn.XLOOKUP(LEFT($D472,3),'STAT 77 Table'!$B:$B,'STAT 77 Table'!$A:$A),"ZZ"&amp;RIGHT($B472,4)),""),"")</f>
        <v/>
      </c>
      <c r="L472" s="396"/>
      <c r="O472" s="388"/>
      <c r="P472" s="388"/>
      <c r="AA472" s="421">
        <f t="shared" si="7"/>
        <v>0</v>
      </c>
    </row>
    <row r="473" spans="1:27" ht="16.5">
      <c r="A473" s="387">
        <f>'STAT 77 Table'!$I$472</f>
        <v>0</v>
      </c>
      <c r="B473"/>
      <c r="C473"/>
      <c r="D473" s="387" t="str">
        <f>IF($B473&lt;&gt;"",IFERROR(IF(LEFT($B473,3)=$Z$2,VLOOKUP($C473,Outbound!$B:$Z,4,FALSE),VLOOKUP($B473,Outbound!$B:$Z,4,FALSE)),"ON ROCS/NOT ON FILE"),"")</f>
        <v/>
      </c>
      <c r="E473" s="387" t="str">
        <f>IF($B473&lt;&gt;"",IFERROR(IF(LEFT($B473,4)=$Z$2,VLOOKUP($C473,Outbound!$B:$Z,5,FALSE),VLOOKUP($B473,Outbound!$B:$Z,5,FALSE)),"ON ROCS/NOT ON FILE"),"")</f>
        <v/>
      </c>
      <c r="F473" s="387" t="str">
        <f>IF(B473&lt;&gt;"",IFERROR(IF(LEFT($B473,3)=$Z$2,VLOOKUP($C473,Outbound!$B:$Z,11,FALSE),VLOOKUP($B473,Outbound!$B:$Z,11,FALSE)),"NON TROVATO"),"")</f>
        <v/>
      </c>
      <c r="G473" s="394" t="str">
        <f>IF(B473&lt;&gt;"",IFERROR(IF(LEFT($B473,3)=$Z$2,VLOOKUP($C473,Outbound!$B:$AAZ,16,FALSE),VLOOKUP($B473,Outbound!$B:$AAZ,16,FALSE)),"NON TROVATO"),"")</f>
        <v/>
      </c>
      <c r="H473" s="394" t="str">
        <f>IF(B473&lt;&gt;"",IFERROR(IF(LEFT($B473,3)=$Z$2,VLOOKUP($C473,Outbound!$B:$AAZ,6,FALSE),VLOOKUP($B473,Outbound!$B:$AAZ,6,FALSE)),"NON TROVATO"),"")</f>
        <v/>
      </c>
      <c r="I473" s="394" t="str">
        <f>IF(B473&lt;&gt;"",IFERROR(IF(LEFT($B473,3)=$Z$2,VLOOKUP($C473,Outbound!$B:$AAZ,52,FALSE),VLOOKUP($B473,Outbound!$B:$AAZ,52,FALSE)),"NON TROVATO"),"")</f>
        <v/>
      </c>
      <c r="J473" s="396"/>
      <c r="K473" s="387" t="str">
        <f>IF(B473&lt;&gt;"",IF($D473&lt;&gt;"ON ROCS/NOT ON FILE",IFERROR(_xlfn.XLOOKUP(LEFT($D473,3),'STAT 77 Table'!$B:$B,'STAT 77 Table'!$A:$A),"ZZ"&amp;RIGHT($B473,4)),""),"")</f>
        <v/>
      </c>
      <c r="L473" s="396"/>
      <c r="O473" s="388"/>
      <c r="P473" s="388"/>
      <c r="AA473" s="421">
        <f t="shared" si="7"/>
        <v>0</v>
      </c>
    </row>
    <row r="474" spans="1:27" ht="16.5">
      <c r="A474" s="387">
        <f>'STAT 77 Table'!$I$473</f>
        <v>0</v>
      </c>
      <c r="B474"/>
      <c r="C474"/>
      <c r="D474" s="387" t="str">
        <f>IF($B474&lt;&gt;"",IFERROR(IF(LEFT($B474,3)=$Z$2,VLOOKUP($C474,Outbound!$B:$Z,4,FALSE),VLOOKUP($B474,Outbound!$B:$Z,4,FALSE)),"ON ROCS/NOT ON FILE"),"")</f>
        <v/>
      </c>
      <c r="E474" s="387" t="str">
        <f>IF($B474&lt;&gt;"",IFERROR(IF(LEFT($B474,4)=$Z$2,VLOOKUP($C474,Outbound!$B:$Z,5,FALSE),VLOOKUP($B474,Outbound!$B:$Z,5,FALSE)),"ON ROCS/NOT ON FILE"),"")</f>
        <v/>
      </c>
      <c r="F474" s="387" t="str">
        <f>IF(B474&lt;&gt;"",IFERROR(IF(LEFT($B474,3)=$Z$2,VLOOKUP($C474,Outbound!$B:$Z,11,FALSE),VLOOKUP($B474,Outbound!$B:$Z,11,FALSE)),"NON TROVATO"),"")</f>
        <v/>
      </c>
      <c r="G474" s="394" t="str">
        <f>IF(B474&lt;&gt;"",IFERROR(IF(LEFT($B474,3)=$Z$2,VLOOKUP($C474,Outbound!$B:$AAZ,16,FALSE),VLOOKUP($B474,Outbound!$B:$AAZ,16,FALSE)),"NON TROVATO"),"")</f>
        <v/>
      </c>
      <c r="H474" s="394" t="str">
        <f>IF(B474&lt;&gt;"",IFERROR(IF(LEFT($B474,3)=$Z$2,VLOOKUP($C474,Outbound!$B:$AAZ,6,FALSE),VLOOKUP($B474,Outbound!$B:$AAZ,6,FALSE)),"NON TROVATO"),"")</f>
        <v/>
      </c>
      <c r="I474" s="394" t="str">
        <f>IF(B474&lt;&gt;"",IFERROR(IF(LEFT($B474,3)=$Z$2,VLOOKUP($C474,Outbound!$B:$AAZ,52,FALSE),VLOOKUP($B474,Outbound!$B:$AAZ,52,FALSE)),"NON TROVATO"),"")</f>
        <v/>
      </c>
      <c r="J474" s="396"/>
      <c r="K474" s="387" t="str">
        <f>IF(B474&lt;&gt;"",IF($D474&lt;&gt;"ON ROCS/NOT ON FILE",IFERROR(_xlfn.XLOOKUP(LEFT($D474,3),'STAT 77 Table'!$B:$B,'STAT 77 Table'!$A:$A),"ZZ"&amp;RIGHT($B474,4)),""),"")</f>
        <v/>
      </c>
      <c r="L474" s="396"/>
      <c r="O474" s="388"/>
      <c r="P474" s="388"/>
      <c r="AA474" s="421">
        <f t="shared" si="7"/>
        <v>0</v>
      </c>
    </row>
    <row r="475" spans="1:27" ht="16.5">
      <c r="A475" s="387">
        <f>'STAT 77 Table'!$I$474</f>
        <v>0</v>
      </c>
      <c r="B475"/>
      <c r="C475"/>
      <c r="D475" s="387" t="str">
        <f>IF($B475&lt;&gt;"",IFERROR(IF(LEFT($B475,3)=$Z$2,VLOOKUP($C475,Outbound!$B:$Z,4,FALSE),VLOOKUP($B475,Outbound!$B:$Z,4,FALSE)),"ON ROCS/NOT ON FILE"),"")</f>
        <v/>
      </c>
      <c r="E475" s="387" t="str">
        <f>IF($B475&lt;&gt;"",IFERROR(IF(LEFT($B475,4)=$Z$2,VLOOKUP($C475,Outbound!$B:$Z,5,FALSE),VLOOKUP($B475,Outbound!$B:$Z,5,FALSE)),"ON ROCS/NOT ON FILE"),"")</f>
        <v/>
      </c>
      <c r="F475" s="387" t="str">
        <f>IF(B475&lt;&gt;"",IFERROR(IF(LEFT($B475,3)=$Z$2,VLOOKUP($C475,Outbound!$B:$Z,11,FALSE),VLOOKUP($B475,Outbound!$B:$Z,11,FALSE)),"NON TROVATO"),"")</f>
        <v/>
      </c>
      <c r="G475" s="394" t="str">
        <f>IF(B475&lt;&gt;"",IFERROR(IF(LEFT($B475,3)=$Z$2,VLOOKUP($C475,Outbound!$B:$AAZ,16,FALSE),VLOOKUP($B475,Outbound!$B:$AAZ,16,FALSE)),"NON TROVATO"),"")</f>
        <v/>
      </c>
      <c r="H475" s="394" t="str">
        <f>IF(B475&lt;&gt;"",IFERROR(IF(LEFT($B475,3)=$Z$2,VLOOKUP($C475,Outbound!$B:$AAZ,6,FALSE),VLOOKUP($B475,Outbound!$B:$AAZ,6,FALSE)),"NON TROVATO"),"")</f>
        <v/>
      </c>
      <c r="I475" s="394" t="str">
        <f>IF(B475&lt;&gt;"",IFERROR(IF(LEFT($B475,3)=$Z$2,VLOOKUP($C475,Outbound!$B:$AAZ,52,FALSE),VLOOKUP($B475,Outbound!$B:$AAZ,52,FALSE)),"NON TROVATO"),"")</f>
        <v/>
      </c>
      <c r="J475" s="396"/>
      <c r="K475" s="387" t="str">
        <f>IF(B475&lt;&gt;"",IF($D475&lt;&gt;"ON ROCS/NOT ON FILE",IFERROR(_xlfn.XLOOKUP(LEFT($D475,3),'STAT 77 Table'!$B:$B,'STAT 77 Table'!$A:$A),"ZZ"&amp;RIGHT($B475,4)),""),"")</f>
        <v/>
      </c>
      <c r="L475" s="396"/>
      <c r="O475" s="388"/>
      <c r="P475" s="388"/>
      <c r="AA475" s="421">
        <f t="shared" si="7"/>
        <v>0</v>
      </c>
    </row>
    <row r="476" spans="1:27" ht="16.5">
      <c r="A476" s="387">
        <f>'STAT 77 Table'!$I$475</f>
        <v>0</v>
      </c>
      <c r="B476"/>
      <c r="C476"/>
      <c r="D476" s="387" t="str">
        <f>IF($B476&lt;&gt;"",IFERROR(IF(LEFT($B476,3)=$Z$2,VLOOKUP($C476,Outbound!$B:$Z,4,FALSE),VLOOKUP($B476,Outbound!$B:$Z,4,FALSE)),"ON ROCS/NOT ON FILE"),"")</f>
        <v/>
      </c>
      <c r="E476" s="387" t="str">
        <f>IF($B476&lt;&gt;"",IFERROR(IF(LEFT($B476,4)=$Z$2,VLOOKUP($C476,Outbound!$B:$Z,5,FALSE),VLOOKUP($B476,Outbound!$B:$Z,5,FALSE)),"ON ROCS/NOT ON FILE"),"")</f>
        <v/>
      </c>
      <c r="F476" s="387" t="str">
        <f>IF(B476&lt;&gt;"",IFERROR(IF(LEFT($B476,3)=$Z$2,VLOOKUP($C476,Outbound!$B:$Z,11,FALSE),VLOOKUP($B476,Outbound!$B:$Z,11,FALSE)),"NON TROVATO"),"")</f>
        <v/>
      </c>
      <c r="G476" s="394" t="str">
        <f>IF(B476&lt;&gt;"",IFERROR(IF(LEFT($B476,3)=$Z$2,VLOOKUP($C476,Outbound!$B:$AAZ,16,FALSE),VLOOKUP($B476,Outbound!$B:$AAZ,16,FALSE)),"NON TROVATO"),"")</f>
        <v/>
      </c>
      <c r="H476" s="394" t="str">
        <f>IF(B476&lt;&gt;"",IFERROR(IF(LEFT($B476,3)=$Z$2,VLOOKUP($C476,Outbound!$B:$AAZ,6,FALSE),VLOOKUP($B476,Outbound!$B:$AAZ,6,FALSE)),"NON TROVATO"),"")</f>
        <v/>
      </c>
      <c r="I476" s="394" t="str">
        <f>IF(B476&lt;&gt;"",IFERROR(IF(LEFT($B476,3)=$Z$2,VLOOKUP($C476,Outbound!$B:$AAZ,52,FALSE),VLOOKUP($B476,Outbound!$B:$AAZ,52,FALSE)),"NON TROVATO"),"")</f>
        <v/>
      </c>
      <c r="J476" s="396"/>
      <c r="K476" s="387" t="str">
        <f>IF(B476&lt;&gt;"",IF($D476&lt;&gt;"ON ROCS/NOT ON FILE",IFERROR(_xlfn.XLOOKUP(LEFT($D476,3),'STAT 77 Table'!$B:$B,'STAT 77 Table'!$A:$A),"ZZ"&amp;RIGHT($B476,4)),""),"")</f>
        <v/>
      </c>
      <c r="L476" s="396"/>
      <c r="O476" s="388"/>
      <c r="P476" s="388"/>
      <c r="AA476" s="421">
        <f t="shared" si="7"/>
        <v>0</v>
      </c>
    </row>
    <row r="477" spans="1:27" ht="16.5">
      <c r="A477" s="387">
        <f>'STAT 77 Table'!$I$476</f>
        <v>0</v>
      </c>
      <c r="B477"/>
      <c r="C477"/>
      <c r="D477" s="387" t="str">
        <f>IF($B477&lt;&gt;"",IFERROR(IF(LEFT($B477,3)=$Z$2,VLOOKUP($C477,Outbound!$B:$Z,4,FALSE),VLOOKUP($B477,Outbound!$B:$Z,4,FALSE)),"ON ROCS/NOT ON FILE"),"")</f>
        <v/>
      </c>
      <c r="E477" s="387" t="str">
        <f>IF($B477&lt;&gt;"",IFERROR(IF(LEFT($B477,4)=$Z$2,VLOOKUP($C477,Outbound!$B:$Z,5,FALSE),VLOOKUP($B477,Outbound!$B:$Z,5,FALSE)),"ON ROCS/NOT ON FILE"),"")</f>
        <v/>
      </c>
      <c r="F477" s="387" t="str">
        <f>IF(B477&lt;&gt;"",IFERROR(IF(LEFT($B477,3)=$Z$2,VLOOKUP($C477,Outbound!$B:$Z,11,FALSE),VLOOKUP($B477,Outbound!$B:$Z,11,FALSE)),"NON TROVATO"),"")</f>
        <v/>
      </c>
      <c r="G477" s="394" t="str">
        <f>IF(B477&lt;&gt;"",IFERROR(IF(LEFT($B477,3)=$Z$2,VLOOKUP($C477,Outbound!$B:$AAZ,16,FALSE),VLOOKUP($B477,Outbound!$B:$AAZ,16,FALSE)),"NON TROVATO"),"")</f>
        <v/>
      </c>
      <c r="H477" s="394" t="str">
        <f>IF(B477&lt;&gt;"",IFERROR(IF(LEFT($B477,3)=$Z$2,VLOOKUP($C477,Outbound!$B:$AAZ,6,FALSE),VLOOKUP($B477,Outbound!$B:$AAZ,6,FALSE)),"NON TROVATO"),"")</f>
        <v/>
      </c>
      <c r="I477" s="394" t="str">
        <f>IF(B477&lt;&gt;"",IFERROR(IF(LEFT($B477,3)=$Z$2,VLOOKUP($C477,Outbound!$B:$AAZ,52,FALSE),VLOOKUP($B477,Outbound!$B:$AAZ,52,FALSE)),"NON TROVATO"),"")</f>
        <v/>
      </c>
      <c r="J477" s="396"/>
      <c r="K477" s="387" t="str">
        <f>IF(B477&lt;&gt;"",IF($D477&lt;&gt;"ON ROCS/NOT ON FILE",IFERROR(_xlfn.XLOOKUP(LEFT($D477,3),'STAT 77 Table'!$B:$B,'STAT 77 Table'!$A:$A),"ZZ"&amp;RIGHT($B477,4)),""),"")</f>
        <v/>
      </c>
      <c r="L477" s="396"/>
      <c r="O477" s="388"/>
      <c r="P477" s="388"/>
      <c r="AA477" s="421">
        <f t="shared" si="7"/>
        <v>0</v>
      </c>
    </row>
    <row r="478" spans="1:27" ht="16.5">
      <c r="A478" s="387">
        <f>'STAT 77 Table'!$I$477</f>
        <v>0</v>
      </c>
      <c r="B478"/>
      <c r="C478"/>
      <c r="D478" s="387" t="str">
        <f>IF($B478&lt;&gt;"",IFERROR(IF(LEFT($B478,3)=$Z$2,VLOOKUP($C478,Outbound!$B:$Z,4,FALSE),VLOOKUP($B478,Outbound!$B:$Z,4,FALSE)),"ON ROCS/NOT ON FILE"),"")</f>
        <v/>
      </c>
      <c r="E478" s="387" t="str">
        <f>IF($B478&lt;&gt;"",IFERROR(IF(LEFT($B478,4)=$Z$2,VLOOKUP($C478,Outbound!$B:$Z,5,FALSE),VLOOKUP($B478,Outbound!$B:$Z,5,FALSE)),"ON ROCS/NOT ON FILE"),"")</f>
        <v/>
      </c>
      <c r="F478" s="387" t="str">
        <f>IF(B478&lt;&gt;"",IFERROR(IF(LEFT($B478,3)=$Z$2,VLOOKUP($C478,Outbound!$B:$Z,11,FALSE),VLOOKUP($B478,Outbound!$B:$Z,11,FALSE)),"NON TROVATO"),"")</f>
        <v/>
      </c>
      <c r="G478" s="394" t="str">
        <f>IF(B478&lt;&gt;"",IFERROR(IF(LEFT($B478,3)=$Z$2,VLOOKUP($C478,Outbound!$B:$AAZ,16,FALSE),VLOOKUP($B478,Outbound!$B:$AAZ,16,FALSE)),"NON TROVATO"),"")</f>
        <v/>
      </c>
      <c r="H478" s="394" t="str">
        <f>IF(B478&lt;&gt;"",IFERROR(IF(LEFT($B478,3)=$Z$2,VLOOKUP($C478,Outbound!$B:$AAZ,6,FALSE),VLOOKUP($B478,Outbound!$B:$AAZ,6,FALSE)),"NON TROVATO"),"")</f>
        <v/>
      </c>
      <c r="I478" s="394" t="str">
        <f>IF(B478&lt;&gt;"",IFERROR(IF(LEFT($B478,3)=$Z$2,VLOOKUP($C478,Outbound!$B:$AAZ,52,FALSE),VLOOKUP($B478,Outbound!$B:$AAZ,52,FALSE)),"NON TROVATO"),"")</f>
        <v/>
      </c>
      <c r="J478" s="396"/>
      <c r="K478" s="387" t="str">
        <f>IF(B478&lt;&gt;"",IF($D478&lt;&gt;"ON ROCS/NOT ON FILE",IFERROR(_xlfn.XLOOKUP(LEFT($D478,3),'STAT 77 Table'!$B:$B,'STAT 77 Table'!$A:$A),"ZZ"&amp;RIGHT($B478,4)),""),"")</f>
        <v/>
      </c>
      <c r="L478" s="396"/>
      <c r="O478" s="388"/>
      <c r="P478" s="388"/>
      <c r="AA478" s="421">
        <f t="shared" si="7"/>
        <v>0</v>
      </c>
    </row>
    <row r="479" spans="1:27" ht="16.5">
      <c r="A479" s="387">
        <f>'STAT 77 Table'!$I$478</f>
        <v>0</v>
      </c>
      <c r="B479"/>
      <c r="C479"/>
      <c r="D479" s="387" t="str">
        <f>IF($B479&lt;&gt;"",IFERROR(IF(LEFT($B479,3)=$Z$2,VLOOKUP($C479,Outbound!$B:$Z,4,FALSE),VLOOKUP($B479,Outbound!$B:$Z,4,FALSE)),"ON ROCS/NOT ON FILE"),"")</f>
        <v/>
      </c>
      <c r="E479" s="387" t="str">
        <f>IF($B479&lt;&gt;"",IFERROR(IF(LEFT($B479,4)=$Z$2,VLOOKUP($C479,Outbound!$B:$Z,5,FALSE),VLOOKUP($B479,Outbound!$B:$Z,5,FALSE)),"ON ROCS/NOT ON FILE"),"")</f>
        <v/>
      </c>
      <c r="F479" s="387" t="str">
        <f>IF(B479&lt;&gt;"",IFERROR(IF(LEFT($B479,3)=$Z$2,VLOOKUP($C479,Outbound!$B:$Z,11,FALSE),VLOOKUP($B479,Outbound!$B:$Z,11,FALSE)),"NON TROVATO"),"")</f>
        <v/>
      </c>
      <c r="G479" s="394" t="str">
        <f>IF(B479&lt;&gt;"",IFERROR(IF(LEFT($B479,3)=$Z$2,VLOOKUP($C479,Outbound!$B:$AAZ,16,FALSE),VLOOKUP($B479,Outbound!$B:$AAZ,16,FALSE)),"NON TROVATO"),"")</f>
        <v/>
      </c>
      <c r="H479" s="394" t="str">
        <f>IF(B479&lt;&gt;"",IFERROR(IF(LEFT($B479,3)=$Z$2,VLOOKUP($C479,Outbound!$B:$AAZ,6,FALSE),VLOOKUP($B479,Outbound!$B:$AAZ,6,FALSE)),"NON TROVATO"),"")</f>
        <v/>
      </c>
      <c r="I479" s="394" t="str">
        <f>IF(B479&lt;&gt;"",IFERROR(IF(LEFT($B479,3)=$Z$2,VLOOKUP($C479,Outbound!$B:$AAZ,52,FALSE),VLOOKUP($B479,Outbound!$B:$AAZ,52,FALSE)),"NON TROVATO"),"")</f>
        <v/>
      </c>
      <c r="J479" s="396"/>
      <c r="K479" s="387" t="str">
        <f>IF(B479&lt;&gt;"",IF($D479&lt;&gt;"ON ROCS/NOT ON FILE",IFERROR(_xlfn.XLOOKUP(LEFT($D479,3),'STAT 77 Table'!$B:$B,'STAT 77 Table'!$A:$A),"ZZ"&amp;RIGHT($B479,4)),""),"")</f>
        <v/>
      </c>
      <c r="L479" s="396"/>
      <c r="O479" s="388"/>
      <c r="P479" s="388"/>
      <c r="AA479" s="421">
        <f t="shared" si="7"/>
        <v>0</v>
      </c>
    </row>
    <row r="480" spans="1:27" ht="16.5">
      <c r="A480" s="387">
        <f>'STAT 77 Table'!$I$479</f>
        <v>0</v>
      </c>
      <c r="B480"/>
      <c r="C480"/>
      <c r="D480" s="387" t="str">
        <f>IF($B480&lt;&gt;"",IFERROR(IF(LEFT($B480,3)=$Z$2,VLOOKUP($C480,Outbound!$B:$Z,4,FALSE),VLOOKUP($B480,Outbound!$B:$Z,4,FALSE)),"ON ROCS/NOT ON FILE"),"")</f>
        <v/>
      </c>
      <c r="E480" s="387" t="str">
        <f>IF($B480&lt;&gt;"",IFERROR(IF(LEFT($B480,4)=$Z$2,VLOOKUP($C480,Outbound!$B:$Z,5,FALSE),VLOOKUP($B480,Outbound!$B:$Z,5,FALSE)),"ON ROCS/NOT ON FILE"),"")</f>
        <v/>
      </c>
      <c r="F480" s="387" t="str">
        <f>IF(B480&lt;&gt;"",IFERROR(IF(LEFT($B480,3)=$Z$2,VLOOKUP($C480,Outbound!$B:$Z,11,FALSE),VLOOKUP($B480,Outbound!$B:$Z,11,FALSE)),"NON TROVATO"),"")</f>
        <v/>
      </c>
      <c r="G480" s="394" t="str">
        <f>IF(B480&lt;&gt;"",IFERROR(IF(LEFT($B480,3)=$Z$2,VLOOKUP($C480,Outbound!$B:$AAZ,16,FALSE),VLOOKUP($B480,Outbound!$B:$AAZ,16,FALSE)),"NON TROVATO"),"")</f>
        <v/>
      </c>
      <c r="H480" s="394" t="str">
        <f>IF(B480&lt;&gt;"",IFERROR(IF(LEFT($B480,3)=$Z$2,VLOOKUP($C480,Outbound!$B:$AAZ,6,FALSE),VLOOKUP($B480,Outbound!$B:$AAZ,6,FALSE)),"NON TROVATO"),"")</f>
        <v/>
      </c>
      <c r="I480" s="394" t="str">
        <f>IF(B480&lt;&gt;"",IFERROR(IF(LEFT($B480,3)=$Z$2,VLOOKUP($C480,Outbound!$B:$AAZ,52,FALSE),VLOOKUP($B480,Outbound!$B:$AAZ,52,FALSE)),"NON TROVATO"),"")</f>
        <v/>
      </c>
      <c r="J480" s="396"/>
      <c r="K480" s="387" t="str">
        <f>IF(B480&lt;&gt;"",IF($D480&lt;&gt;"ON ROCS/NOT ON FILE",IFERROR(_xlfn.XLOOKUP(LEFT($D480,3),'STAT 77 Table'!$B:$B,'STAT 77 Table'!$A:$A),"ZZ"&amp;RIGHT($B480,4)),""),"")</f>
        <v/>
      </c>
      <c r="L480" s="396"/>
      <c r="O480" s="388"/>
      <c r="P480" s="388"/>
      <c r="AA480" s="421">
        <f t="shared" si="7"/>
        <v>0</v>
      </c>
    </row>
    <row r="481" spans="1:27" ht="16.5">
      <c r="A481" s="387">
        <f>'STAT 77 Table'!$I$480</f>
        <v>0</v>
      </c>
      <c r="B481"/>
      <c r="C481"/>
      <c r="D481" s="387" t="str">
        <f>IF($B481&lt;&gt;"",IFERROR(IF(LEFT($B481,3)=$Z$2,VLOOKUP($C481,Outbound!$B:$Z,4,FALSE),VLOOKUP($B481,Outbound!$B:$Z,4,FALSE)),"ON ROCS/NOT ON FILE"),"")</f>
        <v/>
      </c>
      <c r="E481" s="387" t="str">
        <f>IF($B481&lt;&gt;"",IFERROR(IF(LEFT($B481,4)=$Z$2,VLOOKUP($C481,Outbound!$B:$Z,5,FALSE),VLOOKUP($B481,Outbound!$B:$Z,5,FALSE)),"ON ROCS/NOT ON FILE"),"")</f>
        <v/>
      </c>
      <c r="F481" s="387" t="str">
        <f>IF(B481&lt;&gt;"",IFERROR(IF(LEFT($B481,3)=$Z$2,VLOOKUP($C481,Outbound!$B:$Z,11,FALSE),VLOOKUP($B481,Outbound!$B:$Z,11,FALSE)),"NON TROVATO"),"")</f>
        <v/>
      </c>
      <c r="G481" s="394" t="str">
        <f>IF(B481&lt;&gt;"",IFERROR(IF(LEFT($B481,3)=$Z$2,VLOOKUP($C481,Outbound!$B:$AAZ,16,FALSE),VLOOKUP($B481,Outbound!$B:$AAZ,16,FALSE)),"NON TROVATO"),"")</f>
        <v/>
      </c>
      <c r="H481" s="394" t="str">
        <f>IF(B481&lt;&gt;"",IFERROR(IF(LEFT($B481,3)=$Z$2,VLOOKUP($C481,Outbound!$B:$AAZ,6,FALSE),VLOOKUP($B481,Outbound!$B:$AAZ,6,FALSE)),"NON TROVATO"),"")</f>
        <v/>
      </c>
      <c r="I481" s="394" t="str">
        <f>IF(B481&lt;&gt;"",IFERROR(IF(LEFT($B481,3)=$Z$2,VLOOKUP($C481,Outbound!$B:$AAZ,52,FALSE),VLOOKUP($B481,Outbound!$B:$AAZ,52,FALSE)),"NON TROVATO"),"")</f>
        <v/>
      </c>
      <c r="J481" s="396"/>
      <c r="K481" s="387" t="str">
        <f>IF(B481&lt;&gt;"",IF($D481&lt;&gt;"ON ROCS/NOT ON FILE",IFERROR(_xlfn.XLOOKUP(LEFT($D481,3),'STAT 77 Table'!$B:$B,'STAT 77 Table'!$A:$A),"ZZ"&amp;RIGHT($B481,4)),""),"")</f>
        <v/>
      </c>
      <c r="L481" s="396"/>
      <c r="O481" s="388"/>
      <c r="P481" s="388"/>
      <c r="AA481" s="421">
        <f t="shared" si="7"/>
        <v>0</v>
      </c>
    </row>
    <row r="482" spans="1:27" ht="16.5">
      <c r="A482" s="387">
        <f>'STAT 77 Table'!$I$481</f>
        <v>0</v>
      </c>
      <c r="B482"/>
      <c r="C482"/>
      <c r="D482" s="387" t="str">
        <f>IF($B482&lt;&gt;"",IFERROR(IF(LEFT($B482,3)=$Z$2,VLOOKUP($C482,Outbound!$B:$Z,4,FALSE),VLOOKUP($B482,Outbound!$B:$Z,4,FALSE)),"ON ROCS/NOT ON FILE"),"")</f>
        <v/>
      </c>
      <c r="E482" s="387" t="str">
        <f>IF($B482&lt;&gt;"",IFERROR(IF(LEFT($B482,4)=$Z$2,VLOOKUP($C482,Outbound!$B:$Z,5,FALSE),VLOOKUP($B482,Outbound!$B:$Z,5,FALSE)),"ON ROCS/NOT ON FILE"),"")</f>
        <v/>
      </c>
      <c r="F482" s="387" t="str">
        <f>IF(B482&lt;&gt;"",IFERROR(IF(LEFT($B482,3)=$Z$2,VLOOKUP($C482,Outbound!$B:$Z,11,FALSE),VLOOKUP($B482,Outbound!$B:$Z,11,FALSE)),"NON TROVATO"),"")</f>
        <v/>
      </c>
      <c r="G482" s="394" t="str">
        <f>IF(B482&lt;&gt;"",IFERROR(IF(LEFT($B482,3)=$Z$2,VLOOKUP($C482,Outbound!$B:$AAZ,16,FALSE),VLOOKUP($B482,Outbound!$B:$AAZ,16,FALSE)),"NON TROVATO"),"")</f>
        <v/>
      </c>
      <c r="H482" s="394" t="str">
        <f>IF(B482&lt;&gt;"",IFERROR(IF(LEFT($B482,3)=$Z$2,VLOOKUP($C482,Outbound!$B:$AAZ,6,FALSE),VLOOKUP($B482,Outbound!$B:$AAZ,6,FALSE)),"NON TROVATO"),"")</f>
        <v/>
      </c>
      <c r="I482" s="394" t="str">
        <f>IF(B482&lt;&gt;"",IFERROR(IF(LEFT($B482,3)=$Z$2,VLOOKUP($C482,Outbound!$B:$AAZ,52,FALSE),VLOOKUP($B482,Outbound!$B:$AAZ,52,FALSE)),"NON TROVATO"),"")</f>
        <v/>
      </c>
      <c r="J482" s="396"/>
      <c r="K482" s="387" t="str">
        <f>IF(B482&lt;&gt;"",IF($D482&lt;&gt;"ON ROCS/NOT ON FILE",IFERROR(_xlfn.XLOOKUP(LEFT($D482,3),'STAT 77 Table'!$B:$B,'STAT 77 Table'!$A:$A),"ZZ"&amp;RIGHT($B482,4)),""),"")</f>
        <v/>
      </c>
      <c r="L482" s="396"/>
      <c r="O482" s="388"/>
      <c r="P482" s="388"/>
      <c r="AA482" s="421">
        <f t="shared" si="7"/>
        <v>0</v>
      </c>
    </row>
    <row r="483" spans="1:27" ht="16.5">
      <c r="A483" s="387">
        <f>'STAT 77 Table'!$I$482</f>
        <v>0</v>
      </c>
      <c r="B483"/>
      <c r="C483"/>
      <c r="D483" s="387" t="str">
        <f>IF($B483&lt;&gt;"",IFERROR(IF(LEFT($B483,3)=$Z$2,VLOOKUP($C483,Outbound!$B:$Z,4,FALSE),VLOOKUP($B483,Outbound!$B:$Z,4,FALSE)),"ON ROCS/NOT ON FILE"),"")</f>
        <v/>
      </c>
      <c r="E483" s="387" t="str">
        <f>IF($B483&lt;&gt;"",IFERROR(IF(LEFT($B483,4)=$Z$2,VLOOKUP($C483,Outbound!$B:$Z,5,FALSE),VLOOKUP($B483,Outbound!$B:$Z,5,FALSE)),"ON ROCS/NOT ON FILE"),"")</f>
        <v/>
      </c>
      <c r="F483" s="387" t="str">
        <f>IF(B483&lt;&gt;"",IFERROR(IF(LEFT($B483,3)=$Z$2,VLOOKUP($C483,Outbound!$B:$Z,11,FALSE),VLOOKUP($B483,Outbound!$B:$Z,11,FALSE)),"NON TROVATO"),"")</f>
        <v/>
      </c>
      <c r="G483" s="394" t="str">
        <f>IF(B483&lt;&gt;"",IFERROR(IF(LEFT($B483,3)=$Z$2,VLOOKUP($C483,Outbound!$B:$AAZ,16,FALSE),VLOOKUP($B483,Outbound!$B:$AAZ,16,FALSE)),"NON TROVATO"),"")</f>
        <v/>
      </c>
      <c r="H483" s="394" t="str">
        <f>IF(B483&lt;&gt;"",IFERROR(IF(LEFT($B483,3)=$Z$2,VLOOKUP($C483,Outbound!$B:$AAZ,6,FALSE),VLOOKUP($B483,Outbound!$B:$AAZ,6,FALSE)),"NON TROVATO"),"")</f>
        <v/>
      </c>
      <c r="I483" s="394" t="str">
        <f>IF(B483&lt;&gt;"",IFERROR(IF(LEFT($B483,3)=$Z$2,VLOOKUP($C483,Outbound!$B:$AAZ,52,FALSE),VLOOKUP($B483,Outbound!$B:$AAZ,52,FALSE)),"NON TROVATO"),"")</f>
        <v/>
      </c>
      <c r="J483" s="396"/>
      <c r="K483" s="387" t="str">
        <f>IF(B483&lt;&gt;"",IF($D483&lt;&gt;"ON ROCS/NOT ON FILE",IFERROR(_xlfn.XLOOKUP(LEFT($D483,3),'STAT 77 Table'!$B:$B,'STAT 77 Table'!$A:$A),"ZZ"&amp;RIGHT($B483,4)),""),"")</f>
        <v/>
      </c>
      <c r="L483" s="396"/>
      <c r="O483" s="388"/>
      <c r="P483" s="388"/>
      <c r="AA483" s="421">
        <f t="shared" si="7"/>
        <v>0</v>
      </c>
    </row>
    <row r="484" spans="1:27" ht="16.5">
      <c r="A484" s="387">
        <f>'STAT 77 Table'!$I$483</f>
        <v>0</v>
      </c>
      <c r="B484"/>
      <c r="C484"/>
      <c r="D484" s="387" t="str">
        <f>IF($B484&lt;&gt;"",IFERROR(IF(LEFT($B484,3)=$Z$2,VLOOKUP($C484,Outbound!$B:$Z,4,FALSE),VLOOKUP($B484,Outbound!$B:$Z,4,FALSE)),"ON ROCS/NOT ON FILE"),"")</f>
        <v/>
      </c>
      <c r="E484" s="387" t="str">
        <f>IF($B484&lt;&gt;"",IFERROR(IF(LEFT($B484,4)=$Z$2,VLOOKUP($C484,Outbound!$B:$Z,5,FALSE),VLOOKUP($B484,Outbound!$B:$Z,5,FALSE)),"ON ROCS/NOT ON FILE"),"")</f>
        <v/>
      </c>
      <c r="F484" s="387" t="str">
        <f>IF(B484&lt;&gt;"",IFERROR(IF(LEFT($B484,3)=$Z$2,VLOOKUP($C484,Outbound!$B:$Z,11,FALSE),VLOOKUP($B484,Outbound!$B:$Z,11,FALSE)),"NON TROVATO"),"")</f>
        <v/>
      </c>
      <c r="G484" s="394" t="str">
        <f>IF(B484&lt;&gt;"",IFERROR(IF(LEFT($B484,3)=$Z$2,VLOOKUP($C484,Outbound!$B:$AAZ,16,FALSE),VLOOKUP($B484,Outbound!$B:$AAZ,16,FALSE)),"NON TROVATO"),"")</f>
        <v/>
      </c>
      <c r="H484" s="394" t="str">
        <f>IF(B484&lt;&gt;"",IFERROR(IF(LEFT($B484,3)=$Z$2,VLOOKUP($C484,Outbound!$B:$AAZ,6,FALSE),VLOOKUP($B484,Outbound!$B:$AAZ,6,FALSE)),"NON TROVATO"),"")</f>
        <v/>
      </c>
      <c r="I484" s="394" t="str">
        <f>IF(B484&lt;&gt;"",IFERROR(IF(LEFT($B484,3)=$Z$2,VLOOKUP($C484,Outbound!$B:$AAZ,52,FALSE),VLOOKUP($B484,Outbound!$B:$AAZ,52,FALSE)),"NON TROVATO"),"")</f>
        <v/>
      </c>
      <c r="J484" s="396"/>
      <c r="K484" s="387" t="str">
        <f>IF(B484&lt;&gt;"",IF($D484&lt;&gt;"ON ROCS/NOT ON FILE",IFERROR(_xlfn.XLOOKUP(LEFT($D484,3),'STAT 77 Table'!$B:$B,'STAT 77 Table'!$A:$A),"ZZ"&amp;RIGHT($B484,4)),""),"")</f>
        <v/>
      </c>
      <c r="L484" s="396"/>
      <c r="O484" s="388"/>
      <c r="P484" s="388"/>
      <c r="AA484" s="421">
        <f t="shared" si="7"/>
        <v>0</v>
      </c>
    </row>
    <row r="485" spans="1:27" ht="16.5">
      <c r="A485" s="387">
        <f>'STAT 77 Table'!$I$484</f>
        <v>0</v>
      </c>
      <c r="B485"/>
      <c r="C485"/>
      <c r="D485" s="387" t="str">
        <f>IF($B485&lt;&gt;"",IFERROR(IF(LEFT($B485,3)=$Z$2,VLOOKUP($C485,Outbound!$B:$Z,4,FALSE),VLOOKUP($B485,Outbound!$B:$Z,4,FALSE)),"ON ROCS/NOT ON FILE"),"")</f>
        <v/>
      </c>
      <c r="E485" s="387" t="str">
        <f>IF($B485&lt;&gt;"",IFERROR(IF(LEFT($B485,4)=$Z$2,VLOOKUP($C485,Outbound!$B:$Z,5,FALSE),VLOOKUP($B485,Outbound!$B:$Z,5,FALSE)),"ON ROCS/NOT ON FILE"),"")</f>
        <v/>
      </c>
      <c r="F485" s="387" t="str">
        <f>IF(B485&lt;&gt;"",IFERROR(IF(LEFT($B485,3)=$Z$2,VLOOKUP($C485,Outbound!$B:$Z,11,FALSE),VLOOKUP($B485,Outbound!$B:$Z,11,FALSE)),"NON TROVATO"),"")</f>
        <v/>
      </c>
      <c r="G485" s="394" t="str">
        <f>IF(B485&lt;&gt;"",IFERROR(IF(LEFT($B485,3)=$Z$2,VLOOKUP($C485,Outbound!$B:$AAZ,16,FALSE),VLOOKUP($B485,Outbound!$B:$AAZ,16,FALSE)),"NON TROVATO"),"")</f>
        <v/>
      </c>
      <c r="H485" s="394" t="str">
        <f>IF(B485&lt;&gt;"",IFERROR(IF(LEFT($B485,3)=$Z$2,VLOOKUP($C485,Outbound!$B:$AAZ,6,FALSE),VLOOKUP($B485,Outbound!$B:$AAZ,6,FALSE)),"NON TROVATO"),"")</f>
        <v/>
      </c>
      <c r="I485" s="394" t="str">
        <f>IF(B485&lt;&gt;"",IFERROR(IF(LEFT($B485,3)=$Z$2,VLOOKUP($C485,Outbound!$B:$AAZ,52,FALSE),VLOOKUP($B485,Outbound!$B:$AAZ,52,FALSE)),"NON TROVATO"),"")</f>
        <v/>
      </c>
      <c r="J485" s="396"/>
      <c r="K485" s="387" t="str">
        <f>IF(B485&lt;&gt;"",IF($D485&lt;&gt;"ON ROCS/NOT ON FILE",IFERROR(_xlfn.XLOOKUP(LEFT($D485,3),'STAT 77 Table'!$B:$B,'STAT 77 Table'!$A:$A),"ZZ"&amp;RIGHT($B485,4)),""),"")</f>
        <v/>
      </c>
      <c r="L485" s="396"/>
      <c r="O485" s="388"/>
      <c r="P485" s="388"/>
      <c r="AA485" s="421">
        <f t="shared" si="7"/>
        <v>0</v>
      </c>
    </row>
    <row r="486" spans="1:27" ht="16.5">
      <c r="A486" s="387">
        <f>'STAT 77 Table'!$I$485</f>
        <v>0</v>
      </c>
      <c r="B486"/>
      <c r="C486"/>
      <c r="D486" s="387" t="str">
        <f>IF($B486&lt;&gt;"",IFERROR(IF(LEFT($B486,3)=$Z$2,VLOOKUP($C486,Outbound!$B:$Z,4,FALSE),VLOOKUP($B486,Outbound!$B:$Z,4,FALSE)),"ON ROCS/NOT ON FILE"),"")</f>
        <v/>
      </c>
      <c r="E486" s="387" t="str">
        <f>IF($B486&lt;&gt;"",IFERROR(IF(LEFT($B486,4)=$Z$2,VLOOKUP($C486,Outbound!$B:$Z,5,FALSE),VLOOKUP($B486,Outbound!$B:$Z,5,FALSE)),"ON ROCS/NOT ON FILE"),"")</f>
        <v/>
      </c>
      <c r="F486" s="387" t="str">
        <f>IF(B486&lt;&gt;"",IFERROR(IF(LEFT($B486,3)=$Z$2,VLOOKUP($C486,Outbound!$B:$Z,11,FALSE),VLOOKUP($B486,Outbound!$B:$Z,11,FALSE)),"NON TROVATO"),"")</f>
        <v/>
      </c>
      <c r="G486" s="394" t="str">
        <f>IF(B486&lt;&gt;"",IFERROR(IF(LEFT($B486,3)=$Z$2,VLOOKUP($C486,Outbound!$B:$AAZ,16,FALSE),VLOOKUP($B486,Outbound!$B:$AAZ,16,FALSE)),"NON TROVATO"),"")</f>
        <v/>
      </c>
      <c r="H486" s="394" t="str">
        <f>IF(B486&lt;&gt;"",IFERROR(IF(LEFT($B486,3)=$Z$2,VLOOKUP($C486,Outbound!$B:$AAZ,6,FALSE),VLOOKUP($B486,Outbound!$B:$AAZ,6,FALSE)),"NON TROVATO"),"")</f>
        <v/>
      </c>
      <c r="I486" s="394" t="str">
        <f>IF(B486&lt;&gt;"",IFERROR(IF(LEFT($B486,3)=$Z$2,VLOOKUP($C486,Outbound!$B:$AAZ,52,FALSE),VLOOKUP($B486,Outbound!$B:$AAZ,52,FALSE)),"NON TROVATO"),"")</f>
        <v/>
      </c>
      <c r="J486" s="396"/>
      <c r="K486" s="387" t="str">
        <f>IF(B486&lt;&gt;"",IF($D486&lt;&gt;"ON ROCS/NOT ON FILE",IFERROR(_xlfn.XLOOKUP(LEFT($D486,3),'STAT 77 Table'!$B:$B,'STAT 77 Table'!$A:$A),"ZZ"&amp;RIGHT($B486,4)),""),"")</f>
        <v/>
      </c>
      <c r="L486" s="396"/>
      <c r="O486" s="388"/>
      <c r="P486" s="388"/>
      <c r="AA486" s="421">
        <f t="shared" si="7"/>
        <v>0</v>
      </c>
    </row>
    <row r="487" spans="1:27" ht="16.5">
      <c r="A487" s="387">
        <f>'STAT 77 Table'!$I$486</f>
        <v>0</v>
      </c>
      <c r="B487"/>
      <c r="C487"/>
      <c r="D487" s="387" t="str">
        <f>IF($B487&lt;&gt;"",IFERROR(IF(LEFT($B487,3)=$Z$2,VLOOKUP($C487,Outbound!$B:$Z,4,FALSE),VLOOKUP($B487,Outbound!$B:$Z,4,FALSE)),"ON ROCS/NOT ON FILE"),"")</f>
        <v/>
      </c>
      <c r="E487" s="387" t="str">
        <f>IF($B487&lt;&gt;"",IFERROR(IF(LEFT($B487,4)=$Z$2,VLOOKUP($C487,Outbound!$B:$Z,5,FALSE),VLOOKUP($B487,Outbound!$B:$Z,5,FALSE)),"ON ROCS/NOT ON FILE"),"")</f>
        <v/>
      </c>
      <c r="F487" s="387" t="str">
        <f>IF(B487&lt;&gt;"",IFERROR(IF(LEFT($B487,3)=$Z$2,VLOOKUP($C487,Outbound!$B:$Z,11,FALSE),VLOOKUP($B487,Outbound!$B:$Z,11,FALSE)),"NON TROVATO"),"")</f>
        <v/>
      </c>
      <c r="G487" s="394" t="str">
        <f>IF(B487&lt;&gt;"",IFERROR(IF(LEFT($B487,3)=$Z$2,VLOOKUP($C487,Outbound!$B:$AAZ,16,FALSE),VLOOKUP($B487,Outbound!$B:$AAZ,16,FALSE)),"NON TROVATO"),"")</f>
        <v/>
      </c>
      <c r="H487" s="394" t="str">
        <f>IF(B487&lt;&gt;"",IFERROR(IF(LEFT($B487,3)=$Z$2,VLOOKUP($C487,Outbound!$B:$AAZ,6,FALSE),VLOOKUP($B487,Outbound!$B:$AAZ,6,FALSE)),"NON TROVATO"),"")</f>
        <v/>
      </c>
      <c r="I487" s="394" t="str">
        <f>IF(B487&lt;&gt;"",IFERROR(IF(LEFT($B487,3)=$Z$2,VLOOKUP($C487,Outbound!$B:$AAZ,52,FALSE),VLOOKUP($B487,Outbound!$B:$AAZ,52,FALSE)),"NON TROVATO"),"")</f>
        <v/>
      </c>
      <c r="J487" s="396"/>
      <c r="K487" s="387" t="str">
        <f>IF(B487&lt;&gt;"",IF($D487&lt;&gt;"ON ROCS/NOT ON FILE",IFERROR(_xlfn.XLOOKUP(LEFT($D487,3),'STAT 77 Table'!$B:$B,'STAT 77 Table'!$A:$A),"ZZ"&amp;RIGHT($B487,4)),""),"")</f>
        <v/>
      </c>
      <c r="L487" s="396"/>
      <c r="O487" s="388"/>
      <c r="P487" s="388"/>
      <c r="AA487" s="421">
        <f t="shared" si="7"/>
        <v>0</v>
      </c>
    </row>
    <row r="488" spans="1:27" ht="16.5">
      <c r="A488" s="387">
        <f>'STAT 77 Table'!$I$487</f>
        <v>0</v>
      </c>
      <c r="B488"/>
      <c r="C488"/>
      <c r="D488" s="387" t="str">
        <f>IF($B488&lt;&gt;"",IFERROR(IF(LEFT($B488,3)=$Z$2,VLOOKUP($C488,Outbound!$B:$Z,4,FALSE),VLOOKUP($B488,Outbound!$B:$Z,4,FALSE)),"ON ROCS/NOT ON FILE"),"")</f>
        <v/>
      </c>
      <c r="E488" s="387" t="str">
        <f>IF($B488&lt;&gt;"",IFERROR(IF(LEFT($B488,4)=$Z$2,VLOOKUP($C488,Outbound!$B:$Z,5,FALSE),VLOOKUP($B488,Outbound!$B:$Z,5,FALSE)),"ON ROCS/NOT ON FILE"),"")</f>
        <v/>
      </c>
      <c r="F488" s="387" t="str">
        <f>IF(B488&lt;&gt;"",IFERROR(IF(LEFT($B488,3)=$Z$2,VLOOKUP($C488,Outbound!$B:$Z,11,FALSE),VLOOKUP($B488,Outbound!$B:$Z,11,FALSE)),"NON TROVATO"),"")</f>
        <v/>
      </c>
      <c r="G488" s="394" t="str">
        <f>IF(B488&lt;&gt;"",IFERROR(IF(LEFT($B488,3)=$Z$2,VLOOKUP($C488,Outbound!$B:$AAZ,16,FALSE),VLOOKUP($B488,Outbound!$B:$AAZ,16,FALSE)),"NON TROVATO"),"")</f>
        <v/>
      </c>
      <c r="H488" s="394" t="str">
        <f>IF(B488&lt;&gt;"",IFERROR(IF(LEFT($B488,3)=$Z$2,VLOOKUP($C488,Outbound!$B:$AAZ,6,FALSE),VLOOKUP($B488,Outbound!$B:$AAZ,6,FALSE)),"NON TROVATO"),"")</f>
        <v/>
      </c>
      <c r="I488" s="394" t="str">
        <f>IF(B488&lt;&gt;"",IFERROR(IF(LEFT($B488,3)=$Z$2,VLOOKUP($C488,Outbound!$B:$AAZ,52,FALSE),VLOOKUP($B488,Outbound!$B:$AAZ,52,FALSE)),"NON TROVATO"),"")</f>
        <v/>
      </c>
      <c r="J488" s="396"/>
      <c r="K488" s="387" t="str">
        <f>IF(B488&lt;&gt;"",IF($D488&lt;&gt;"ON ROCS/NOT ON FILE",IFERROR(_xlfn.XLOOKUP(LEFT($D488,3),'STAT 77 Table'!$B:$B,'STAT 77 Table'!$A:$A),"ZZ"&amp;RIGHT($B488,4)),""),"")</f>
        <v/>
      </c>
      <c r="L488" s="396"/>
      <c r="O488" s="388"/>
      <c r="P488" s="388"/>
      <c r="AA488" s="421">
        <f t="shared" si="7"/>
        <v>0</v>
      </c>
    </row>
    <row r="489" spans="1:27" ht="16.5">
      <c r="A489" s="387">
        <f>'STAT 77 Table'!$I$488</f>
        <v>0</v>
      </c>
      <c r="B489"/>
      <c r="C489"/>
      <c r="D489" s="387" t="str">
        <f>IF($B489&lt;&gt;"",IFERROR(IF(LEFT($B489,3)=$Z$2,VLOOKUP($C489,Outbound!$B:$Z,4,FALSE),VLOOKUP($B489,Outbound!$B:$Z,4,FALSE)),"ON ROCS/NOT ON FILE"),"")</f>
        <v/>
      </c>
      <c r="E489" s="387" t="str">
        <f>IF($B489&lt;&gt;"",IFERROR(IF(LEFT($B489,4)=$Z$2,VLOOKUP($C489,Outbound!$B:$Z,5,FALSE),VLOOKUP($B489,Outbound!$B:$Z,5,FALSE)),"ON ROCS/NOT ON FILE"),"")</f>
        <v/>
      </c>
      <c r="F489" s="387" t="str">
        <f>IF(B489&lt;&gt;"",IFERROR(IF(LEFT($B489,3)=$Z$2,VLOOKUP($C489,Outbound!$B:$Z,11,FALSE),VLOOKUP($B489,Outbound!$B:$Z,11,FALSE)),"NON TROVATO"),"")</f>
        <v/>
      </c>
      <c r="G489" s="394" t="str">
        <f>IF(B489&lt;&gt;"",IFERROR(IF(LEFT($B489,3)=$Z$2,VLOOKUP($C489,Outbound!$B:$AAZ,16,FALSE),VLOOKUP($B489,Outbound!$B:$AAZ,16,FALSE)),"NON TROVATO"),"")</f>
        <v/>
      </c>
      <c r="H489" s="394" t="str">
        <f>IF(B489&lt;&gt;"",IFERROR(IF(LEFT($B489,3)=$Z$2,VLOOKUP($C489,Outbound!$B:$AAZ,6,FALSE),VLOOKUP($B489,Outbound!$B:$AAZ,6,FALSE)),"NON TROVATO"),"")</f>
        <v/>
      </c>
      <c r="I489" s="394" t="str">
        <f>IF(B489&lt;&gt;"",IFERROR(IF(LEFT($B489,3)=$Z$2,VLOOKUP($C489,Outbound!$B:$AAZ,52,FALSE),VLOOKUP($B489,Outbound!$B:$AAZ,52,FALSE)),"NON TROVATO"),"")</f>
        <v/>
      </c>
      <c r="J489" s="396"/>
      <c r="K489" s="387" t="str">
        <f>IF(B489&lt;&gt;"",IF($D489&lt;&gt;"ON ROCS/NOT ON FILE",IFERROR(_xlfn.XLOOKUP(LEFT($D489,3),'STAT 77 Table'!$B:$B,'STAT 77 Table'!$A:$A),"ZZ"&amp;RIGHT($B489,4)),""),"")</f>
        <v/>
      </c>
      <c r="L489" s="396"/>
      <c r="O489" s="388"/>
      <c r="P489" s="388"/>
      <c r="AA489" s="421">
        <f t="shared" si="7"/>
        <v>0</v>
      </c>
    </row>
    <row r="490" spans="1:27" ht="16.5">
      <c r="A490" s="387">
        <f>'STAT 77 Table'!$I$489</f>
        <v>0</v>
      </c>
      <c r="B490"/>
      <c r="C490"/>
      <c r="D490" s="387" t="str">
        <f>IF($B490&lt;&gt;"",IFERROR(IF(LEFT($B490,3)=$Z$2,VLOOKUP($C490,Outbound!$B:$Z,4,FALSE),VLOOKUP($B490,Outbound!$B:$Z,4,FALSE)),"ON ROCS/NOT ON FILE"),"")</f>
        <v/>
      </c>
      <c r="E490" s="387" t="str">
        <f>IF($B490&lt;&gt;"",IFERROR(IF(LEFT($B490,4)=$Z$2,VLOOKUP($C490,Outbound!$B:$Z,5,FALSE),VLOOKUP($B490,Outbound!$B:$Z,5,FALSE)),"ON ROCS/NOT ON FILE"),"")</f>
        <v/>
      </c>
      <c r="F490" s="387" t="str">
        <f>IF(B490&lt;&gt;"",IFERROR(IF(LEFT($B490,3)=$Z$2,VLOOKUP($C490,Outbound!$B:$Z,11,FALSE),VLOOKUP($B490,Outbound!$B:$Z,11,FALSE)),"NON TROVATO"),"")</f>
        <v/>
      </c>
      <c r="G490" s="394" t="str">
        <f>IF(B490&lt;&gt;"",IFERROR(IF(LEFT($B490,3)=$Z$2,VLOOKUP($C490,Outbound!$B:$AAZ,16,FALSE),VLOOKUP($B490,Outbound!$B:$AAZ,16,FALSE)),"NON TROVATO"),"")</f>
        <v/>
      </c>
      <c r="H490" s="394" t="str">
        <f>IF(B490&lt;&gt;"",IFERROR(IF(LEFT($B490,3)=$Z$2,VLOOKUP($C490,Outbound!$B:$AAZ,6,FALSE),VLOOKUP($B490,Outbound!$B:$AAZ,6,FALSE)),"NON TROVATO"),"")</f>
        <v/>
      </c>
      <c r="I490" s="394" t="str">
        <f>IF(B490&lt;&gt;"",IFERROR(IF(LEFT($B490,3)=$Z$2,VLOOKUP($C490,Outbound!$B:$AAZ,52,FALSE),VLOOKUP($B490,Outbound!$B:$AAZ,52,FALSE)),"NON TROVATO"),"")</f>
        <v/>
      </c>
      <c r="J490" s="396"/>
      <c r="K490" s="387" t="str">
        <f>IF(B490&lt;&gt;"",IF($D490&lt;&gt;"ON ROCS/NOT ON FILE",IFERROR(_xlfn.XLOOKUP(LEFT($D490,3),'STAT 77 Table'!$B:$B,'STAT 77 Table'!$A:$A),"ZZ"&amp;RIGHT($B490,4)),""),"")</f>
        <v/>
      </c>
      <c r="L490" s="396"/>
      <c r="O490" s="388"/>
      <c r="P490" s="388"/>
      <c r="AA490" s="421">
        <f t="shared" si="7"/>
        <v>0</v>
      </c>
    </row>
    <row r="491" spans="1:27" ht="16.5">
      <c r="A491" s="387">
        <f>'STAT 77 Table'!$I$490</f>
        <v>0</v>
      </c>
      <c r="B491"/>
      <c r="C491"/>
      <c r="D491" s="387" t="str">
        <f>IF($B491&lt;&gt;"",IFERROR(IF(LEFT($B491,3)=$Z$2,VLOOKUP($C491,Outbound!$B:$Z,4,FALSE),VLOOKUP($B491,Outbound!$B:$Z,4,FALSE)),"ON ROCS/NOT ON FILE"),"")</f>
        <v/>
      </c>
      <c r="E491" s="387" t="str">
        <f>IF($B491&lt;&gt;"",IFERROR(IF(LEFT($B491,4)=$Z$2,VLOOKUP($C491,Outbound!$B:$Z,5,FALSE),VLOOKUP($B491,Outbound!$B:$Z,5,FALSE)),"ON ROCS/NOT ON FILE"),"")</f>
        <v/>
      </c>
      <c r="F491" s="387" t="str">
        <f>IF(B491&lt;&gt;"",IFERROR(IF(LEFT($B491,3)=$Z$2,VLOOKUP($C491,Outbound!$B:$Z,11,FALSE),VLOOKUP($B491,Outbound!$B:$Z,11,FALSE)),"NON TROVATO"),"")</f>
        <v/>
      </c>
      <c r="G491" s="394" t="str">
        <f>IF(B491&lt;&gt;"",IFERROR(IF(LEFT($B491,3)=$Z$2,VLOOKUP($C491,Outbound!$B:$AAZ,16,FALSE),VLOOKUP($B491,Outbound!$B:$AAZ,16,FALSE)),"NON TROVATO"),"")</f>
        <v/>
      </c>
      <c r="H491" s="394" t="str">
        <f>IF(B491&lt;&gt;"",IFERROR(IF(LEFT($B491,3)=$Z$2,VLOOKUP($C491,Outbound!$B:$AAZ,6,FALSE),VLOOKUP($B491,Outbound!$B:$AAZ,6,FALSE)),"NON TROVATO"),"")</f>
        <v/>
      </c>
      <c r="I491" s="394" t="str">
        <f>IF(B491&lt;&gt;"",IFERROR(IF(LEFT($B491,3)=$Z$2,VLOOKUP($C491,Outbound!$B:$AAZ,52,FALSE),VLOOKUP($B491,Outbound!$B:$AAZ,52,FALSE)),"NON TROVATO"),"")</f>
        <v/>
      </c>
      <c r="J491" s="396"/>
      <c r="K491" s="387" t="str">
        <f>IF(B491&lt;&gt;"",IF($D491&lt;&gt;"ON ROCS/NOT ON FILE",IFERROR(_xlfn.XLOOKUP(LEFT($D491,3),'STAT 77 Table'!$B:$B,'STAT 77 Table'!$A:$A),"ZZ"&amp;RIGHT($B491,4)),""),"")</f>
        <v/>
      </c>
      <c r="L491" s="396"/>
      <c r="O491" s="388"/>
      <c r="P491" s="388"/>
      <c r="AA491" s="421">
        <f t="shared" si="7"/>
        <v>0</v>
      </c>
    </row>
    <row r="492" spans="1:27" ht="16.5">
      <c r="A492" s="387">
        <f>'STAT 77 Table'!$I$491</f>
        <v>0</v>
      </c>
      <c r="B492"/>
      <c r="C492"/>
      <c r="D492" s="387" t="str">
        <f>IF($B492&lt;&gt;"",IFERROR(IF(LEFT($B492,3)=$Z$2,VLOOKUP($C492,Outbound!$B:$Z,4,FALSE),VLOOKUP($B492,Outbound!$B:$Z,4,FALSE)),"ON ROCS/NOT ON FILE"),"")</f>
        <v/>
      </c>
      <c r="E492" s="387" t="str">
        <f>IF($B492&lt;&gt;"",IFERROR(IF(LEFT($B492,4)=$Z$2,VLOOKUP($C492,Outbound!$B:$Z,5,FALSE),VLOOKUP($B492,Outbound!$B:$Z,5,FALSE)),"ON ROCS/NOT ON FILE"),"")</f>
        <v/>
      </c>
      <c r="F492" s="387" t="str">
        <f>IF(B492&lt;&gt;"",IFERROR(IF(LEFT($B492,3)=$Z$2,VLOOKUP($C492,Outbound!$B:$Z,11,FALSE),VLOOKUP($B492,Outbound!$B:$Z,11,FALSE)),"NON TROVATO"),"")</f>
        <v/>
      </c>
      <c r="G492" s="394" t="str">
        <f>IF(B492&lt;&gt;"",IFERROR(IF(LEFT($B492,3)=$Z$2,VLOOKUP($C492,Outbound!$B:$AAZ,16,FALSE),VLOOKUP($B492,Outbound!$B:$AAZ,16,FALSE)),"NON TROVATO"),"")</f>
        <v/>
      </c>
      <c r="H492" s="394" t="str">
        <f>IF(B492&lt;&gt;"",IFERROR(IF(LEFT($B492,3)=$Z$2,VLOOKUP($C492,Outbound!$B:$AAZ,6,FALSE),VLOOKUP($B492,Outbound!$B:$AAZ,6,FALSE)),"NON TROVATO"),"")</f>
        <v/>
      </c>
      <c r="I492" s="394" t="str">
        <f>IF(B492&lt;&gt;"",IFERROR(IF(LEFT($B492,3)=$Z$2,VLOOKUP($C492,Outbound!$B:$AAZ,52,FALSE),VLOOKUP($B492,Outbound!$B:$AAZ,52,FALSE)),"NON TROVATO"),"")</f>
        <v/>
      </c>
      <c r="J492" s="396"/>
      <c r="K492" s="387" t="str">
        <f>IF(B492&lt;&gt;"",IF($D492&lt;&gt;"ON ROCS/NOT ON FILE",IFERROR(_xlfn.XLOOKUP(LEFT($D492,3),'STAT 77 Table'!$B:$B,'STAT 77 Table'!$A:$A),"ZZ"&amp;RIGHT($B492,4)),""),"")</f>
        <v/>
      </c>
      <c r="L492" s="396"/>
      <c r="O492" s="388"/>
      <c r="P492" s="388"/>
      <c r="AA492" s="421">
        <f t="shared" si="7"/>
        <v>0</v>
      </c>
    </row>
    <row r="493" spans="1:27" ht="16.5">
      <c r="A493" s="387">
        <f>'STAT 77 Table'!$I$492</f>
        <v>0</v>
      </c>
      <c r="B493"/>
      <c r="C493"/>
      <c r="D493" s="387" t="str">
        <f>IF($B493&lt;&gt;"",IFERROR(IF(LEFT($B493,3)=$Z$2,VLOOKUP($C493,Outbound!$B:$Z,4,FALSE),VLOOKUP($B493,Outbound!$B:$Z,4,FALSE)),"ON ROCS/NOT ON FILE"),"")</f>
        <v/>
      </c>
      <c r="E493" s="387" t="str">
        <f>IF($B493&lt;&gt;"",IFERROR(IF(LEFT($B493,4)=$Z$2,VLOOKUP($C493,Outbound!$B:$Z,5,FALSE),VLOOKUP($B493,Outbound!$B:$Z,5,FALSE)),"ON ROCS/NOT ON FILE"),"")</f>
        <v/>
      </c>
      <c r="F493" s="387" t="str">
        <f>IF(B493&lt;&gt;"",IFERROR(IF(LEFT($B493,3)=$Z$2,VLOOKUP($C493,Outbound!$B:$Z,11,FALSE),VLOOKUP($B493,Outbound!$B:$Z,11,FALSE)),"NON TROVATO"),"")</f>
        <v/>
      </c>
      <c r="G493" s="394" t="str">
        <f>IF(B493&lt;&gt;"",IFERROR(IF(LEFT($B493,3)=$Z$2,VLOOKUP($C493,Outbound!$B:$AAZ,16,FALSE),VLOOKUP($B493,Outbound!$B:$AAZ,16,FALSE)),"NON TROVATO"),"")</f>
        <v/>
      </c>
      <c r="H493" s="394" t="str">
        <f>IF(B493&lt;&gt;"",IFERROR(IF(LEFT($B493,3)=$Z$2,VLOOKUP($C493,Outbound!$B:$AAZ,6,FALSE),VLOOKUP($B493,Outbound!$B:$AAZ,6,FALSE)),"NON TROVATO"),"")</f>
        <v/>
      </c>
      <c r="I493" s="394" t="str">
        <f>IF(B493&lt;&gt;"",IFERROR(IF(LEFT($B493,3)=$Z$2,VLOOKUP($C493,Outbound!$B:$AAZ,52,FALSE),VLOOKUP($B493,Outbound!$B:$AAZ,52,FALSE)),"NON TROVATO"),"")</f>
        <v/>
      </c>
      <c r="J493" s="396"/>
      <c r="K493" s="387" t="str">
        <f>IF(B493&lt;&gt;"",IF($D493&lt;&gt;"ON ROCS/NOT ON FILE",IFERROR(_xlfn.XLOOKUP(LEFT($D493,3),'STAT 77 Table'!$B:$B,'STAT 77 Table'!$A:$A),"ZZ"&amp;RIGHT($B493,4)),""),"")</f>
        <v/>
      </c>
      <c r="L493" s="396"/>
      <c r="O493" s="388"/>
      <c r="P493" s="388"/>
      <c r="AA493" s="421">
        <f t="shared" si="7"/>
        <v>0</v>
      </c>
    </row>
    <row r="494" spans="1:27" ht="16.5">
      <c r="A494" s="387">
        <f>'STAT 77 Table'!$I$493</f>
        <v>0</v>
      </c>
      <c r="B494"/>
      <c r="C494"/>
      <c r="D494" s="387" t="str">
        <f>IF($B494&lt;&gt;"",IFERROR(IF(LEFT($B494,3)=$Z$2,VLOOKUP($C494,Outbound!$B:$Z,4,FALSE),VLOOKUP($B494,Outbound!$B:$Z,4,FALSE)),"ON ROCS/NOT ON FILE"),"")</f>
        <v/>
      </c>
      <c r="E494" s="387" t="str">
        <f>IF($B494&lt;&gt;"",IFERROR(IF(LEFT($B494,4)=$Z$2,VLOOKUP($C494,Outbound!$B:$Z,5,FALSE),VLOOKUP($B494,Outbound!$B:$Z,5,FALSE)),"ON ROCS/NOT ON FILE"),"")</f>
        <v/>
      </c>
      <c r="F494" s="387" t="str">
        <f>IF(B494&lt;&gt;"",IFERROR(IF(LEFT($B494,3)=$Z$2,VLOOKUP($C494,Outbound!$B:$Z,11,FALSE),VLOOKUP($B494,Outbound!$B:$Z,11,FALSE)),"NON TROVATO"),"")</f>
        <v/>
      </c>
      <c r="G494" s="394" t="str">
        <f>IF(B494&lt;&gt;"",IFERROR(IF(LEFT($B494,3)=$Z$2,VLOOKUP($C494,Outbound!$B:$AAZ,16,FALSE),VLOOKUP($B494,Outbound!$B:$AAZ,16,FALSE)),"NON TROVATO"),"")</f>
        <v/>
      </c>
      <c r="H494" s="394" t="str">
        <f>IF(B494&lt;&gt;"",IFERROR(IF(LEFT($B494,3)=$Z$2,VLOOKUP($C494,Outbound!$B:$AAZ,6,FALSE),VLOOKUP($B494,Outbound!$B:$AAZ,6,FALSE)),"NON TROVATO"),"")</f>
        <v/>
      </c>
      <c r="I494" s="394" t="str">
        <f>IF(B494&lt;&gt;"",IFERROR(IF(LEFT($B494,3)=$Z$2,VLOOKUP($C494,Outbound!$B:$AAZ,52,FALSE),VLOOKUP($B494,Outbound!$B:$AAZ,52,FALSE)),"NON TROVATO"),"")</f>
        <v/>
      </c>
      <c r="J494" s="396"/>
      <c r="K494" s="387" t="str">
        <f>IF(B494&lt;&gt;"",IF($D494&lt;&gt;"ON ROCS/NOT ON FILE",IFERROR(_xlfn.XLOOKUP(LEFT($D494,3),'STAT 77 Table'!$B:$B,'STAT 77 Table'!$A:$A),"ZZ"&amp;RIGHT($B494,4)),""),"")</f>
        <v/>
      </c>
      <c r="L494" s="396"/>
      <c r="O494" s="388"/>
      <c r="P494" s="388"/>
      <c r="AA494" s="421">
        <f t="shared" si="7"/>
        <v>0</v>
      </c>
    </row>
    <row r="495" spans="1:27" ht="16.5">
      <c r="A495" s="387">
        <f>'STAT 77 Table'!$I$494</f>
        <v>0</v>
      </c>
      <c r="B495"/>
      <c r="C495"/>
      <c r="D495" s="387" t="str">
        <f>IF($B495&lt;&gt;"",IFERROR(IF(LEFT($B495,3)=$Z$2,VLOOKUP($C495,Outbound!$B:$Z,4,FALSE),VLOOKUP($B495,Outbound!$B:$Z,4,FALSE)),"ON ROCS/NOT ON FILE"),"")</f>
        <v/>
      </c>
      <c r="E495" s="387" t="str">
        <f>IF($B495&lt;&gt;"",IFERROR(IF(LEFT($B495,4)=$Z$2,VLOOKUP($C495,Outbound!$B:$Z,5,FALSE),VLOOKUP($B495,Outbound!$B:$Z,5,FALSE)),"ON ROCS/NOT ON FILE"),"")</f>
        <v/>
      </c>
      <c r="F495" s="387" t="str">
        <f>IF(B495&lt;&gt;"",IFERROR(IF(LEFT($B495,3)=$Z$2,VLOOKUP($C495,Outbound!$B:$Z,11,FALSE),VLOOKUP($B495,Outbound!$B:$Z,11,FALSE)),"NON TROVATO"),"")</f>
        <v/>
      </c>
      <c r="G495" s="394" t="str">
        <f>IF(B495&lt;&gt;"",IFERROR(IF(LEFT($B495,3)=$Z$2,VLOOKUP($C495,Outbound!$B:$AAZ,16,FALSE),VLOOKUP($B495,Outbound!$B:$AAZ,16,FALSE)),"NON TROVATO"),"")</f>
        <v/>
      </c>
      <c r="H495" s="394" t="str">
        <f>IF(B495&lt;&gt;"",IFERROR(IF(LEFT($B495,3)=$Z$2,VLOOKUP($C495,Outbound!$B:$AAZ,6,FALSE),VLOOKUP($B495,Outbound!$B:$AAZ,6,FALSE)),"NON TROVATO"),"")</f>
        <v/>
      </c>
      <c r="I495" s="394" t="str">
        <f>IF(B495&lt;&gt;"",IFERROR(IF(LEFT($B495,3)=$Z$2,VLOOKUP($C495,Outbound!$B:$AAZ,52,FALSE),VLOOKUP($B495,Outbound!$B:$AAZ,52,FALSE)),"NON TROVATO"),"")</f>
        <v/>
      </c>
      <c r="J495" s="396"/>
      <c r="K495" s="387" t="str">
        <f>IF(B495&lt;&gt;"",IF($D495&lt;&gt;"ON ROCS/NOT ON FILE",IFERROR(_xlfn.XLOOKUP(LEFT($D495,3),'STAT 77 Table'!$B:$B,'STAT 77 Table'!$A:$A),"ZZ"&amp;RIGHT($B495,4)),""),"")</f>
        <v/>
      </c>
      <c r="L495" s="396"/>
      <c r="O495" s="388"/>
      <c r="P495" s="388"/>
      <c r="AA495" s="421">
        <f t="shared" si="7"/>
        <v>0</v>
      </c>
    </row>
    <row r="496" spans="1:27" ht="16.5">
      <c r="A496" s="387">
        <f>'STAT 77 Table'!$I$495</f>
        <v>0</v>
      </c>
      <c r="B496"/>
      <c r="C496"/>
      <c r="D496" s="387" t="str">
        <f>IF($B496&lt;&gt;"",IFERROR(IF(LEFT($B496,3)=$Z$2,VLOOKUP($C496,Outbound!$B:$Z,4,FALSE),VLOOKUP($B496,Outbound!$B:$Z,4,FALSE)),"ON ROCS/NOT ON FILE"),"")</f>
        <v/>
      </c>
      <c r="E496" s="387" t="str">
        <f>IF($B496&lt;&gt;"",IFERROR(IF(LEFT($B496,4)=$Z$2,VLOOKUP($C496,Outbound!$B:$Z,5,FALSE),VLOOKUP($B496,Outbound!$B:$Z,5,FALSE)),"ON ROCS/NOT ON FILE"),"")</f>
        <v/>
      </c>
      <c r="F496" s="387" t="str">
        <f>IF(B496&lt;&gt;"",IFERROR(IF(LEFT($B496,3)=$Z$2,VLOOKUP($C496,Outbound!$B:$Z,11,FALSE),VLOOKUP($B496,Outbound!$B:$Z,11,FALSE)),"NON TROVATO"),"")</f>
        <v/>
      </c>
      <c r="G496" s="394" t="str">
        <f>IF(B496&lt;&gt;"",IFERROR(IF(LEFT($B496,3)=$Z$2,VLOOKUP($C496,Outbound!$B:$AAZ,16,FALSE),VLOOKUP($B496,Outbound!$B:$AAZ,16,FALSE)),"NON TROVATO"),"")</f>
        <v/>
      </c>
      <c r="H496" s="394" t="str">
        <f>IF(B496&lt;&gt;"",IFERROR(IF(LEFT($B496,3)=$Z$2,VLOOKUP($C496,Outbound!$B:$AAZ,6,FALSE),VLOOKUP($B496,Outbound!$B:$AAZ,6,FALSE)),"NON TROVATO"),"")</f>
        <v/>
      </c>
      <c r="I496" s="394" t="str">
        <f>IF(B496&lt;&gt;"",IFERROR(IF(LEFT($B496,3)=$Z$2,VLOOKUP($C496,Outbound!$B:$AAZ,52,FALSE),VLOOKUP($B496,Outbound!$B:$AAZ,52,FALSE)),"NON TROVATO"),"")</f>
        <v/>
      </c>
      <c r="J496" s="396"/>
      <c r="K496" s="387" t="str">
        <f>IF(B496&lt;&gt;"",IF($D496&lt;&gt;"ON ROCS/NOT ON FILE",IFERROR(_xlfn.XLOOKUP(LEFT($D496,3),'STAT 77 Table'!$B:$B,'STAT 77 Table'!$A:$A),"ZZ"&amp;RIGHT($B496,4)),""),"")</f>
        <v/>
      </c>
      <c r="L496" s="396"/>
      <c r="O496" s="388"/>
      <c r="P496" s="388"/>
      <c r="AA496" s="421">
        <f t="shared" si="7"/>
        <v>0</v>
      </c>
    </row>
    <row r="497" spans="1:27" ht="16.5">
      <c r="A497" s="387">
        <f>'STAT 77 Table'!$I$496</f>
        <v>0</v>
      </c>
      <c r="B497"/>
      <c r="C497"/>
      <c r="D497" s="387" t="str">
        <f>IF($B497&lt;&gt;"",IFERROR(IF(LEFT($B497,3)=$Z$2,VLOOKUP($C497,Outbound!$B:$Z,4,FALSE),VLOOKUP($B497,Outbound!$B:$Z,4,FALSE)),"ON ROCS/NOT ON FILE"),"")</f>
        <v/>
      </c>
      <c r="E497" s="387" t="str">
        <f>IF($B497&lt;&gt;"",IFERROR(IF(LEFT($B497,4)=$Z$2,VLOOKUP($C497,Outbound!$B:$Z,5,FALSE),VLOOKUP($B497,Outbound!$B:$Z,5,FALSE)),"ON ROCS/NOT ON FILE"),"")</f>
        <v/>
      </c>
      <c r="F497" s="387" t="str">
        <f>IF(B497&lt;&gt;"",IFERROR(IF(LEFT($B497,3)=$Z$2,VLOOKUP($C497,Outbound!$B:$Z,11,FALSE),VLOOKUP($B497,Outbound!$B:$Z,11,FALSE)),"NON TROVATO"),"")</f>
        <v/>
      </c>
      <c r="G497" s="394" t="str">
        <f>IF(B497&lt;&gt;"",IFERROR(IF(LEFT($B497,3)=$Z$2,VLOOKUP($C497,Outbound!$B:$AAZ,16,FALSE),VLOOKUP($B497,Outbound!$B:$AAZ,16,FALSE)),"NON TROVATO"),"")</f>
        <v/>
      </c>
      <c r="H497" s="394" t="str">
        <f>IF(B497&lt;&gt;"",IFERROR(IF(LEFT($B497,3)=$Z$2,VLOOKUP($C497,Outbound!$B:$AAZ,6,FALSE),VLOOKUP($B497,Outbound!$B:$AAZ,6,FALSE)),"NON TROVATO"),"")</f>
        <v/>
      </c>
      <c r="I497" s="394" t="str">
        <f>IF(B497&lt;&gt;"",IFERROR(IF(LEFT($B497,3)=$Z$2,VLOOKUP($C497,Outbound!$B:$AAZ,52,FALSE),VLOOKUP($B497,Outbound!$B:$AAZ,52,FALSE)),"NON TROVATO"),"")</f>
        <v/>
      </c>
      <c r="J497" s="396"/>
      <c r="K497" s="387" t="str">
        <f>IF(B497&lt;&gt;"",IF($D497&lt;&gt;"ON ROCS/NOT ON FILE",IFERROR(_xlfn.XLOOKUP(LEFT($D497,3),'STAT 77 Table'!$B:$B,'STAT 77 Table'!$A:$A),"ZZ"&amp;RIGHT($B497,4)),""),"")</f>
        <v/>
      </c>
      <c r="L497" s="396"/>
      <c r="O497" s="388"/>
      <c r="P497" s="388"/>
      <c r="AA497" s="421">
        <f t="shared" si="7"/>
        <v>0</v>
      </c>
    </row>
    <row r="498" spans="1:27" ht="16.5">
      <c r="A498" s="387">
        <f>'STAT 77 Table'!$I$497</f>
        <v>0</v>
      </c>
      <c r="B498"/>
      <c r="C498"/>
      <c r="D498" s="387" t="str">
        <f>IF($B498&lt;&gt;"",IFERROR(IF(LEFT($B498,3)=$Z$2,VLOOKUP($C498,Outbound!$B:$Z,4,FALSE),VLOOKUP($B498,Outbound!$B:$Z,4,FALSE)),"ON ROCS/NOT ON FILE"),"")</f>
        <v/>
      </c>
      <c r="E498" s="387" t="str">
        <f>IF($B498&lt;&gt;"",IFERROR(IF(LEFT($B498,4)=$Z$2,VLOOKUP($C498,Outbound!$B:$Z,5,FALSE),VLOOKUP($B498,Outbound!$B:$Z,5,FALSE)),"ON ROCS/NOT ON FILE"),"")</f>
        <v/>
      </c>
      <c r="F498" s="387" t="str">
        <f>IF(B498&lt;&gt;"",IFERROR(IF(LEFT($B498,3)=$Z$2,VLOOKUP($C498,Outbound!$B:$Z,11,FALSE),VLOOKUP($B498,Outbound!$B:$Z,11,FALSE)),"NON TROVATO"),"")</f>
        <v/>
      </c>
      <c r="G498" s="394" t="str">
        <f>IF(B498&lt;&gt;"",IFERROR(IF(LEFT($B498,3)=$Z$2,VLOOKUP($C498,Outbound!$B:$AAZ,16,FALSE),VLOOKUP($B498,Outbound!$B:$AAZ,16,FALSE)),"NON TROVATO"),"")</f>
        <v/>
      </c>
      <c r="H498" s="394" t="str">
        <f>IF(B498&lt;&gt;"",IFERROR(IF(LEFT($B498,3)=$Z$2,VLOOKUP($C498,Outbound!$B:$AAZ,6,FALSE),VLOOKUP($B498,Outbound!$B:$AAZ,6,FALSE)),"NON TROVATO"),"")</f>
        <v/>
      </c>
      <c r="I498" s="394" t="str">
        <f>IF(B498&lt;&gt;"",IFERROR(IF(LEFT($B498,3)=$Z$2,VLOOKUP($C498,Outbound!$B:$AAZ,52,FALSE),VLOOKUP($B498,Outbound!$B:$AAZ,52,FALSE)),"NON TROVATO"),"")</f>
        <v/>
      </c>
      <c r="J498" s="396"/>
      <c r="K498" s="387" t="str">
        <f>IF(B498&lt;&gt;"",IF($D498&lt;&gt;"ON ROCS/NOT ON FILE",IFERROR(_xlfn.XLOOKUP(LEFT($D498,3),'STAT 77 Table'!$B:$B,'STAT 77 Table'!$A:$A),"ZZ"&amp;RIGHT($B498,4)),""),"")</f>
        <v/>
      </c>
      <c r="L498" s="396"/>
      <c r="O498" s="388"/>
      <c r="P498" s="388"/>
      <c r="AA498" s="421">
        <f t="shared" si="7"/>
        <v>0</v>
      </c>
    </row>
    <row r="499" spans="1:27" ht="16.5">
      <c r="A499" s="387">
        <f>'STAT 77 Table'!$I$498</f>
        <v>0</v>
      </c>
      <c r="B499"/>
      <c r="C499"/>
      <c r="D499" s="387" t="str">
        <f>IF($B499&lt;&gt;"",IFERROR(IF(LEFT($B499,3)=$Z$2,VLOOKUP($C499,Outbound!$B:$Z,4,FALSE),VLOOKUP($B499,Outbound!$B:$Z,4,FALSE)),"ON ROCS/NOT ON FILE"),"")</f>
        <v/>
      </c>
      <c r="E499" s="387" t="str">
        <f>IF($B499&lt;&gt;"",IFERROR(IF(LEFT($B499,4)=$Z$2,VLOOKUP($C499,Outbound!$B:$Z,5,FALSE),VLOOKUP($B499,Outbound!$B:$Z,5,FALSE)),"ON ROCS/NOT ON FILE"),"")</f>
        <v/>
      </c>
      <c r="F499" s="387" t="str">
        <f>IF(B499&lt;&gt;"",IFERROR(IF(LEFT($B499,3)=$Z$2,VLOOKUP($C499,Outbound!$B:$Z,11,FALSE),VLOOKUP($B499,Outbound!$B:$Z,11,FALSE)),"NON TROVATO"),"")</f>
        <v/>
      </c>
      <c r="G499" s="394" t="str">
        <f>IF(B499&lt;&gt;"",IFERROR(IF(LEFT($B499,3)=$Z$2,VLOOKUP($C499,Outbound!$B:$AAZ,16,FALSE),VLOOKUP($B499,Outbound!$B:$AAZ,16,FALSE)),"NON TROVATO"),"")</f>
        <v/>
      </c>
      <c r="H499" s="394" t="str">
        <f>IF(B499&lt;&gt;"",IFERROR(IF(LEFT($B499,3)=$Z$2,VLOOKUP($C499,Outbound!$B:$AAZ,6,FALSE),VLOOKUP($B499,Outbound!$B:$AAZ,6,FALSE)),"NON TROVATO"),"")</f>
        <v/>
      </c>
      <c r="I499" s="394" t="str">
        <f>IF(B499&lt;&gt;"",IFERROR(IF(LEFT($B499,3)=$Z$2,VLOOKUP($C499,Outbound!$B:$AAZ,52,FALSE),VLOOKUP($B499,Outbound!$B:$AAZ,52,FALSE)),"NON TROVATO"),"")</f>
        <v/>
      </c>
      <c r="J499" s="396"/>
      <c r="K499" s="387" t="str">
        <f>IF(B499&lt;&gt;"",IF($D499&lt;&gt;"ON ROCS/NOT ON FILE",IFERROR(_xlfn.XLOOKUP(LEFT($D499,3),'STAT 77 Table'!$B:$B,'STAT 77 Table'!$A:$A),"ZZ"&amp;RIGHT($B499,4)),""),"")</f>
        <v/>
      </c>
      <c r="L499" s="396"/>
      <c r="O499" s="388"/>
      <c r="P499" s="388"/>
      <c r="AA499" s="421">
        <f t="shared" si="7"/>
        <v>0</v>
      </c>
    </row>
    <row r="500" spans="1:27" ht="16.5">
      <c r="A500" s="387">
        <f>'STAT 77 Table'!$I$499</f>
        <v>0</v>
      </c>
      <c r="B500"/>
      <c r="C500"/>
      <c r="D500" s="387" t="str">
        <f>IF($B500&lt;&gt;"",IFERROR(IF(LEFT($B500,3)=$Z$2,VLOOKUP($C500,Outbound!$B:$Z,4,FALSE),VLOOKUP($B500,Outbound!$B:$Z,4,FALSE)),"ON ROCS/NOT ON FILE"),"")</f>
        <v/>
      </c>
      <c r="E500" s="387" t="str">
        <f>IF($B500&lt;&gt;"",IFERROR(IF(LEFT($B500,4)=$Z$2,VLOOKUP($C500,Outbound!$B:$Z,5,FALSE),VLOOKUP($B500,Outbound!$B:$Z,5,FALSE)),"ON ROCS/NOT ON FILE"),"")</f>
        <v/>
      </c>
      <c r="F500" s="387" t="str">
        <f>IF(B500&lt;&gt;"",IFERROR(IF(LEFT($B500,3)=$Z$2,VLOOKUP($C500,Outbound!$B:$Z,11,FALSE),VLOOKUP($B500,Outbound!$B:$Z,11,FALSE)),"NON TROVATO"),"")</f>
        <v/>
      </c>
      <c r="G500" s="394" t="str">
        <f>IF(B500&lt;&gt;"",IFERROR(IF(LEFT($B500,3)=$Z$2,VLOOKUP($C500,Outbound!$B:$AAZ,16,FALSE),VLOOKUP($B500,Outbound!$B:$AAZ,16,FALSE)),"NON TROVATO"),"")</f>
        <v/>
      </c>
      <c r="H500" s="394" t="str">
        <f>IF(B500&lt;&gt;"",IFERROR(IF(LEFT($B500,3)=$Z$2,VLOOKUP($C500,Outbound!$B:$AAZ,6,FALSE),VLOOKUP($B500,Outbound!$B:$AAZ,6,FALSE)),"NON TROVATO"),"")</f>
        <v/>
      </c>
      <c r="I500" s="394" t="str">
        <f>IF(B500&lt;&gt;"",IFERROR(IF(LEFT($B500,3)=$Z$2,VLOOKUP($C500,Outbound!$B:$AAZ,52,FALSE),VLOOKUP($B500,Outbound!$B:$AAZ,52,FALSE)),"NON TROVATO"),"")</f>
        <v/>
      </c>
      <c r="J500" s="396"/>
      <c r="K500" s="387" t="str">
        <f>IF(B500&lt;&gt;"",IF($D500&lt;&gt;"ON ROCS/NOT ON FILE",IFERROR(_xlfn.XLOOKUP(LEFT($D500,3),'STAT 77 Table'!$B:$B,'STAT 77 Table'!$A:$A),"ZZ"&amp;RIGHT($B500,4)),""),"")</f>
        <v/>
      </c>
      <c r="L500" s="396"/>
      <c r="O500" s="388"/>
      <c r="P500" s="388"/>
      <c r="AA500" s="421">
        <f t="shared" si="7"/>
        <v>0</v>
      </c>
    </row>
    <row r="501" spans="1:27" ht="16.5">
      <c r="A501" s="387">
        <f>'STAT 77 Table'!$I$500</f>
        <v>0</v>
      </c>
      <c r="B501"/>
      <c r="C501"/>
      <c r="D501" s="387" t="str">
        <f>IF($B501&lt;&gt;"",IFERROR(IF(LEFT($B501,3)=$Z$2,VLOOKUP($C501,Outbound!$B:$Z,4,FALSE),VLOOKUP($B501,Outbound!$B:$Z,4,FALSE)),"ON ROCS/NOT ON FILE"),"")</f>
        <v/>
      </c>
      <c r="E501" s="387" t="str">
        <f>IF($B501&lt;&gt;"",IFERROR(IF(LEFT($B501,4)=$Z$2,VLOOKUP($C501,Outbound!$B:$Z,5,FALSE),VLOOKUP($B501,Outbound!$B:$Z,5,FALSE)),"ON ROCS/NOT ON FILE"),"")</f>
        <v/>
      </c>
      <c r="F501" s="387" t="str">
        <f>IF(B501&lt;&gt;"",IFERROR(IF(LEFT($B501,3)=$Z$2,VLOOKUP($C501,Outbound!$B:$Z,11,FALSE),VLOOKUP($B501,Outbound!$B:$Z,11,FALSE)),"NON TROVATO"),"")</f>
        <v/>
      </c>
      <c r="G501" s="394" t="str">
        <f>IF(B501&lt;&gt;"",IFERROR(IF(LEFT($B501,3)=$Z$2,VLOOKUP($C501,Outbound!$B:$AAZ,16,FALSE),VLOOKUP($B501,Outbound!$B:$AAZ,16,FALSE)),"NON TROVATO"),"")</f>
        <v/>
      </c>
      <c r="H501" s="394" t="str">
        <f>IF(B501&lt;&gt;"",IFERROR(IF(LEFT($B501,3)=$Z$2,VLOOKUP($C501,Outbound!$B:$AAZ,6,FALSE),VLOOKUP($B501,Outbound!$B:$AAZ,6,FALSE)),"NON TROVATO"),"")</f>
        <v/>
      </c>
      <c r="I501" s="394" t="str">
        <f>IF(B501&lt;&gt;"",IFERROR(IF(LEFT($B501,3)=$Z$2,VLOOKUP($C501,Outbound!$B:$AAZ,52,FALSE),VLOOKUP($B501,Outbound!$B:$AAZ,52,FALSE)),"NON TROVATO"),"")</f>
        <v/>
      </c>
      <c r="J501" s="396"/>
      <c r="K501" s="387" t="str">
        <f>IF(B501&lt;&gt;"",IF($D501&lt;&gt;"ON ROCS/NOT ON FILE",IFERROR(_xlfn.XLOOKUP(LEFT($D501,3),'STAT 77 Table'!$B:$B,'STAT 77 Table'!$A:$A),"ZZ"&amp;RIGHT($B501,4)),""),"")</f>
        <v/>
      </c>
      <c r="L501" s="396"/>
      <c r="O501" s="388"/>
      <c r="P501" s="388"/>
      <c r="AA501" s="421">
        <f t="shared" si="7"/>
        <v>0</v>
      </c>
    </row>
    <row r="502" spans="1:27" ht="16.5">
      <c r="A502" s="387">
        <f>'STAT 77 Table'!$I$501</f>
        <v>0</v>
      </c>
      <c r="B502"/>
      <c r="C502"/>
      <c r="D502" s="387" t="str">
        <f>IF($B502&lt;&gt;"",IFERROR(IF(LEFT($B502,3)=$Z$2,VLOOKUP($C502,Outbound!$B:$Z,4,FALSE),VLOOKUP($B502,Outbound!$B:$Z,4,FALSE)),"ON ROCS/NOT ON FILE"),"")</f>
        <v/>
      </c>
      <c r="E502" s="387" t="str">
        <f>IF($B502&lt;&gt;"",IFERROR(IF(LEFT($B502,4)=$Z$2,VLOOKUP($C502,Outbound!$B:$Z,5,FALSE),VLOOKUP($B502,Outbound!$B:$Z,5,FALSE)),"ON ROCS/NOT ON FILE"),"")</f>
        <v/>
      </c>
      <c r="F502" s="387" t="str">
        <f>IF(B502&lt;&gt;"",IFERROR(IF(LEFT($B502,3)=$Z$2,VLOOKUP($C502,Outbound!$B:$Z,11,FALSE),VLOOKUP($B502,Outbound!$B:$Z,11,FALSE)),"NON TROVATO"),"")</f>
        <v/>
      </c>
      <c r="G502" s="394" t="str">
        <f>IF(B502&lt;&gt;"",IFERROR(IF(LEFT($B502,3)=$Z$2,VLOOKUP($C502,Outbound!$B:$AAZ,16,FALSE),VLOOKUP($B502,Outbound!$B:$AAZ,16,FALSE)),"NON TROVATO"),"")</f>
        <v/>
      </c>
      <c r="H502" s="394" t="str">
        <f>IF(B502&lt;&gt;"",IFERROR(IF(LEFT($B502,3)=$Z$2,VLOOKUP($C502,Outbound!$B:$AAZ,6,FALSE),VLOOKUP($B502,Outbound!$B:$AAZ,6,FALSE)),"NON TROVATO"),"")</f>
        <v/>
      </c>
      <c r="I502" s="394" t="str">
        <f>IF(B502&lt;&gt;"",IFERROR(IF(LEFT($B502,3)=$Z$2,VLOOKUP($C502,Outbound!$B:$AAZ,52,FALSE),VLOOKUP($B502,Outbound!$B:$AAZ,52,FALSE)),"NON TROVATO"),"")</f>
        <v/>
      </c>
      <c r="J502" s="396"/>
      <c r="K502" s="387" t="str">
        <f>IF(B502&lt;&gt;"",IF($D502&lt;&gt;"ON ROCS/NOT ON FILE",IFERROR(_xlfn.XLOOKUP(LEFT($D502,3),'STAT 77 Table'!$B:$B,'STAT 77 Table'!$A:$A),"ZZ"&amp;RIGHT($B502,4)),""),"")</f>
        <v/>
      </c>
      <c r="L502" s="396"/>
      <c r="O502" s="388"/>
      <c r="P502" s="388"/>
      <c r="AA502" s="421">
        <f t="shared" si="7"/>
        <v>0</v>
      </c>
    </row>
    <row r="503" spans="1:27" ht="16.5">
      <c r="A503" s="387">
        <f>'STAT 77 Table'!$I$502</f>
        <v>0</v>
      </c>
      <c r="B503"/>
      <c r="C503"/>
      <c r="D503" s="387" t="str">
        <f>IF($B503&lt;&gt;"",IFERROR(IF(LEFT($B503,3)=$Z$2,VLOOKUP($C503,Outbound!$B:$Z,4,FALSE),VLOOKUP($B503,Outbound!$B:$Z,4,FALSE)),"ON ROCS/NOT ON FILE"),"")</f>
        <v/>
      </c>
      <c r="E503" s="387" t="str">
        <f>IF($B503&lt;&gt;"",IFERROR(IF(LEFT($B503,4)=$Z$2,VLOOKUP($C503,Outbound!$B:$Z,5,FALSE),VLOOKUP($B503,Outbound!$B:$Z,5,FALSE)),"ON ROCS/NOT ON FILE"),"")</f>
        <v/>
      </c>
      <c r="F503" s="387" t="str">
        <f>IF(B503&lt;&gt;"",IFERROR(IF(LEFT($B503,3)=$Z$2,VLOOKUP($C503,Outbound!$B:$Z,11,FALSE),VLOOKUP($B503,Outbound!$B:$Z,11,FALSE)),"NON TROVATO"),"")</f>
        <v/>
      </c>
      <c r="G503" s="394" t="str">
        <f>IF(B503&lt;&gt;"",IFERROR(IF(LEFT($B503,3)=$Z$2,VLOOKUP($C503,Outbound!$B:$AAZ,16,FALSE),VLOOKUP($B503,Outbound!$B:$AAZ,16,FALSE)),"NON TROVATO"),"")</f>
        <v/>
      </c>
      <c r="H503" s="394" t="str">
        <f>IF(B503&lt;&gt;"",IFERROR(IF(LEFT($B503,3)=$Z$2,VLOOKUP($C503,Outbound!$B:$AAZ,6,FALSE),VLOOKUP($B503,Outbound!$B:$AAZ,6,FALSE)),"NON TROVATO"),"")</f>
        <v/>
      </c>
      <c r="I503" s="394" t="str">
        <f>IF(B503&lt;&gt;"",IFERROR(IF(LEFT($B503,3)=$Z$2,VLOOKUP($C503,Outbound!$B:$AAZ,52,FALSE),VLOOKUP($B503,Outbound!$B:$AAZ,52,FALSE)),"NON TROVATO"),"")</f>
        <v/>
      </c>
      <c r="J503" s="396"/>
      <c r="K503" s="387" t="str">
        <f>IF(B503&lt;&gt;"",IF($D503&lt;&gt;"ON ROCS/NOT ON FILE",IFERROR(_xlfn.XLOOKUP(LEFT($D503,3),'STAT 77 Table'!$B:$B,'STAT 77 Table'!$A:$A),"ZZ"&amp;RIGHT($B503,4)),""),"")</f>
        <v/>
      </c>
      <c r="L503" s="396"/>
      <c r="O503" s="388"/>
      <c r="P503" s="388"/>
      <c r="AA503" s="421">
        <f t="shared" si="7"/>
        <v>0</v>
      </c>
    </row>
    <row r="504" spans="1:27" ht="16.5">
      <c r="A504" s="387">
        <f>'STAT 77 Table'!$I$503</f>
        <v>0</v>
      </c>
      <c r="B504"/>
      <c r="C504"/>
      <c r="D504" s="387" t="str">
        <f>IF($B504&lt;&gt;"",IFERROR(IF(LEFT($B504,3)=$Z$2,VLOOKUP($C504,Outbound!$B:$Z,4,FALSE),VLOOKUP($B504,Outbound!$B:$Z,4,FALSE)),"ON ROCS/NOT ON FILE"),"")</f>
        <v/>
      </c>
      <c r="E504" s="387" t="str">
        <f>IF($B504&lt;&gt;"",IFERROR(IF(LEFT($B504,4)=$Z$2,VLOOKUP($C504,Outbound!$B:$Z,5,FALSE),VLOOKUP($B504,Outbound!$B:$Z,5,FALSE)),"ON ROCS/NOT ON FILE"),"")</f>
        <v/>
      </c>
      <c r="F504" s="387" t="str">
        <f>IF(B504&lt;&gt;"",IFERROR(IF(LEFT($B504,3)=$Z$2,VLOOKUP($C504,Outbound!$B:$Z,11,FALSE),VLOOKUP($B504,Outbound!$B:$Z,11,FALSE)),"NON TROVATO"),"")</f>
        <v/>
      </c>
      <c r="G504" s="394" t="str">
        <f>IF(B504&lt;&gt;"",IFERROR(IF(LEFT($B504,3)=$Z$2,VLOOKUP($C504,Outbound!$B:$AAZ,16,FALSE),VLOOKUP($B504,Outbound!$B:$AAZ,16,FALSE)),"NON TROVATO"),"")</f>
        <v/>
      </c>
      <c r="H504" s="394" t="str">
        <f>IF(B504&lt;&gt;"",IFERROR(IF(LEFT($B504,3)=$Z$2,VLOOKUP($C504,Outbound!$B:$AAZ,6,FALSE),VLOOKUP($B504,Outbound!$B:$AAZ,6,FALSE)),"NON TROVATO"),"")</f>
        <v/>
      </c>
      <c r="I504" s="394" t="str">
        <f>IF(B504&lt;&gt;"",IFERROR(IF(LEFT($B504,3)=$Z$2,VLOOKUP($C504,Outbound!$B:$AAZ,52,FALSE),VLOOKUP($B504,Outbound!$B:$AAZ,52,FALSE)),"NON TROVATO"),"")</f>
        <v/>
      </c>
      <c r="J504" s="396"/>
      <c r="K504" s="387" t="str">
        <f>IF(B504&lt;&gt;"",IF($D504&lt;&gt;"ON ROCS/NOT ON FILE",IFERROR(_xlfn.XLOOKUP(LEFT($D504,3),'STAT 77 Table'!$B:$B,'STAT 77 Table'!$A:$A),"ZZ"&amp;RIGHT($B504,4)),""),"")</f>
        <v/>
      </c>
      <c r="L504" s="396"/>
      <c r="O504" s="388"/>
      <c r="P504" s="388"/>
      <c r="AA504" s="421">
        <f t="shared" si="7"/>
        <v>0</v>
      </c>
    </row>
    <row r="505" spans="1:27" ht="16.5">
      <c r="A505" s="387">
        <f>'STAT 77 Table'!$I$504</f>
        <v>0</v>
      </c>
      <c r="B505"/>
      <c r="C505"/>
      <c r="D505" s="387" t="str">
        <f>IF($B505&lt;&gt;"",IFERROR(IF(LEFT($B505,3)=$Z$2,VLOOKUP($C505,Outbound!$B:$Z,4,FALSE),VLOOKUP($B505,Outbound!$B:$Z,4,FALSE)),"ON ROCS/NOT ON FILE"),"")</f>
        <v/>
      </c>
      <c r="E505" s="387" t="str">
        <f>IF($B505&lt;&gt;"",IFERROR(IF(LEFT($B505,4)=$Z$2,VLOOKUP($C505,Outbound!$B:$Z,5,FALSE),VLOOKUP($B505,Outbound!$B:$Z,5,FALSE)),"ON ROCS/NOT ON FILE"),"")</f>
        <v/>
      </c>
      <c r="F505" s="387" t="str">
        <f>IF(B505&lt;&gt;"",IFERROR(IF(LEFT($B505,3)=$Z$2,VLOOKUP($C505,Outbound!$B:$Z,11,FALSE),VLOOKUP($B505,Outbound!$B:$Z,11,FALSE)),"NON TROVATO"),"")</f>
        <v/>
      </c>
      <c r="G505" s="394" t="str">
        <f>IF(B505&lt;&gt;"",IFERROR(IF(LEFT($B505,3)=$Z$2,VLOOKUP($C505,Outbound!$B:$AAZ,16,FALSE),VLOOKUP($B505,Outbound!$B:$AAZ,16,FALSE)),"NON TROVATO"),"")</f>
        <v/>
      </c>
      <c r="H505" s="394" t="str">
        <f>IF(B505&lt;&gt;"",IFERROR(IF(LEFT($B505,3)=$Z$2,VLOOKUP($C505,Outbound!$B:$AAZ,6,FALSE),VLOOKUP($B505,Outbound!$B:$AAZ,6,FALSE)),"NON TROVATO"),"")</f>
        <v/>
      </c>
      <c r="I505" s="394" t="str">
        <f>IF(B505&lt;&gt;"",IFERROR(IF(LEFT($B505,3)=$Z$2,VLOOKUP($C505,Outbound!$B:$AAZ,52,FALSE),VLOOKUP($B505,Outbound!$B:$AAZ,52,FALSE)),"NON TROVATO"),"")</f>
        <v/>
      </c>
      <c r="J505" s="396"/>
      <c r="K505" s="387" t="str">
        <f>IF(B505&lt;&gt;"",IF($D505&lt;&gt;"ON ROCS/NOT ON FILE",IFERROR(_xlfn.XLOOKUP(LEFT($D505,3),'STAT 77 Table'!$B:$B,'STAT 77 Table'!$A:$A),"ZZ"&amp;RIGHT($B505,4)),""),"")</f>
        <v/>
      </c>
      <c r="L505" s="396"/>
      <c r="O505" s="388"/>
      <c r="P505" s="388"/>
      <c r="AA505" s="421">
        <f t="shared" si="7"/>
        <v>0</v>
      </c>
    </row>
    <row r="506" spans="1:27" ht="16.5">
      <c r="A506" s="387">
        <f>'STAT 77 Table'!$I$505</f>
        <v>0</v>
      </c>
      <c r="B506"/>
      <c r="C506"/>
      <c r="D506" s="387" t="str">
        <f>IF($B506&lt;&gt;"",IFERROR(IF(LEFT($B506,3)=$Z$2,VLOOKUP($C506,Outbound!$B:$Z,4,FALSE),VLOOKUP($B506,Outbound!$B:$Z,4,FALSE)),"ON ROCS/NOT ON FILE"),"")</f>
        <v/>
      </c>
      <c r="E506" s="387" t="str">
        <f>IF($B506&lt;&gt;"",IFERROR(IF(LEFT($B506,4)=$Z$2,VLOOKUP($C506,Outbound!$B:$Z,5,FALSE),VLOOKUP($B506,Outbound!$B:$Z,5,FALSE)),"ON ROCS/NOT ON FILE"),"")</f>
        <v/>
      </c>
      <c r="F506" s="387" t="str">
        <f>IF(B506&lt;&gt;"",IFERROR(IF(LEFT($B506,3)=$Z$2,VLOOKUP($C506,Outbound!$B:$Z,11,FALSE),VLOOKUP($B506,Outbound!$B:$Z,11,FALSE)),"NON TROVATO"),"")</f>
        <v/>
      </c>
      <c r="G506" s="394" t="str">
        <f>IF(B506&lt;&gt;"",IFERROR(IF(LEFT($B506,3)=$Z$2,VLOOKUP($C506,Outbound!$B:$AAZ,16,FALSE),VLOOKUP($B506,Outbound!$B:$AAZ,16,FALSE)),"NON TROVATO"),"")</f>
        <v/>
      </c>
      <c r="H506" s="394" t="str">
        <f>IF(B506&lt;&gt;"",IFERROR(IF(LEFT($B506,3)=$Z$2,VLOOKUP($C506,Outbound!$B:$AAZ,6,FALSE),VLOOKUP($B506,Outbound!$B:$AAZ,6,FALSE)),"NON TROVATO"),"")</f>
        <v/>
      </c>
      <c r="I506" s="394" t="str">
        <f>IF(B506&lt;&gt;"",IFERROR(IF(LEFT($B506,3)=$Z$2,VLOOKUP($C506,Outbound!$B:$AAZ,52,FALSE),VLOOKUP($B506,Outbound!$B:$AAZ,52,FALSE)),"NON TROVATO"),"")</f>
        <v/>
      </c>
      <c r="J506" s="396"/>
      <c r="K506" s="387" t="str">
        <f>IF(B506&lt;&gt;"",IF($D506&lt;&gt;"ON ROCS/NOT ON FILE",IFERROR(_xlfn.XLOOKUP(LEFT($D506,3),'STAT 77 Table'!$B:$B,'STAT 77 Table'!$A:$A),"ZZ"&amp;RIGHT($B506,4)),""),"")</f>
        <v/>
      </c>
      <c r="L506" s="396"/>
      <c r="O506" s="388"/>
      <c r="P506" s="388"/>
      <c r="AA506" s="421">
        <f t="shared" si="7"/>
        <v>0</v>
      </c>
    </row>
    <row r="507" spans="1:27" ht="16.5">
      <c r="A507" s="387">
        <f>'STAT 77 Table'!$I$506</f>
        <v>0</v>
      </c>
      <c r="B507"/>
      <c r="C507"/>
      <c r="D507" s="387" t="str">
        <f>IF($B507&lt;&gt;"",IFERROR(IF(LEFT($B507,3)=$Z$2,VLOOKUP($C507,Outbound!$B:$Z,4,FALSE),VLOOKUP($B507,Outbound!$B:$Z,4,FALSE)),"ON ROCS/NOT ON FILE"),"")</f>
        <v/>
      </c>
      <c r="E507" s="387" t="str">
        <f>IF($B507&lt;&gt;"",IFERROR(IF(LEFT($B507,4)=$Z$2,VLOOKUP($C507,Outbound!$B:$Z,5,FALSE),VLOOKUP($B507,Outbound!$B:$Z,5,FALSE)),"ON ROCS/NOT ON FILE"),"")</f>
        <v/>
      </c>
      <c r="F507" s="387" t="str">
        <f>IF(B507&lt;&gt;"",IFERROR(IF(LEFT($B507,3)=$Z$2,VLOOKUP($C507,Outbound!$B:$Z,11,FALSE),VLOOKUP($B507,Outbound!$B:$Z,11,FALSE)),"NON TROVATO"),"")</f>
        <v/>
      </c>
      <c r="G507" s="394" t="str">
        <f>IF(B507&lt;&gt;"",IFERROR(IF(LEFT($B507,3)=$Z$2,VLOOKUP($C507,Outbound!$B:$AAZ,16,FALSE),VLOOKUP($B507,Outbound!$B:$AAZ,16,FALSE)),"NON TROVATO"),"")</f>
        <v/>
      </c>
      <c r="H507" s="394" t="str">
        <f>IF(B507&lt;&gt;"",IFERROR(IF(LEFT($B507,3)=$Z$2,VLOOKUP($C507,Outbound!$B:$AAZ,6,FALSE),VLOOKUP($B507,Outbound!$B:$AAZ,6,FALSE)),"NON TROVATO"),"")</f>
        <v/>
      </c>
      <c r="I507" s="394" t="str">
        <f>IF(B507&lt;&gt;"",IFERROR(IF(LEFT($B507,3)=$Z$2,VLOOKUP($C507,Outbound!$B:$AAZ,52,FALSE),VLOOKUP($B507,Outbound!$B:$AAZ,52,FALSE)),"NON TROVATO"),"")</f>
        <v/>
      </c>
      <c r="J507" s="396"/>
      <c r="K507" s="387" t="str">
        <f>IF(B507&lt;&gt;"",IF($D507&lt;&gt;"ON ROCS/NOT ON FILE",IFERROR(_xlfn.XLOOKUP(LEFT($D507,3),'STAT 77 Table'!$B:$B,'STAT 77 Table'!$A:$A),"ZZ"&amp;RIGHT($B507,4)),""),"")</f>
        <v/>
      </c>
      <c r="L507" s="396"/>
      <c r="O507" s="388"/>
      <c r="P507" s="388"/>
      <c r="AA507" s="421">
        <f t="shared" si="7"/>
        <v>0</v>
      </c>
    </row>
    <row r="508" spans="1:27" ht="16.5">
      <c r="A508" s="387">
        <f>'STAT 77 Table'!$I$507</f>
        <v>0</v>
      </c>
      <c r="B508"/>
      <c r="C508"/>
      <c r="D508" s="387" t="str">
        <f>IF($B508&lt;&gt;"",IFERROR(IF(LEFT($B508,3)=$Z$2,VLOOKUP($C508,Outbound!$B:$Z,4,FALSE),VLOOKUP($B508,Outbound!$B:$Z,4,FALSE)),"ON ROCS/NOT ON FILE"),"")</f>
        <v/>
      </c>
      <c r="E508" s="387" t="str">
        <f>IF($B508&lt;&gt;"",IFERROR(IF(LEFT($B508,4)=$Z$2,VLOOKUP($C508,Outbound!$B:$Z,5,FALSE),VLOOKUP($B508,Outbound!$B:$Z,5,FALSE)),"ON ROCS/NOT ON FILE"),"")</f>
        <v/>
      </c>
      <c r="F508" s="387" t="str">
        <f>IF(B508&lt;&gt;"",IFERROR(IF(LEFT($B508,3)=$Z$2,VLOOKUP($C508,Outbound!$B:$Z,11,FALSE),VLOOKUP($B508,Outbound!$B:$Z,11,FALSE)),"NON TROVATO"),"")</f>
        <v/>
      </c>
      <c r="G508" s="394" t="str">
        <f>IF(B508&lt;&gt;"",IFERROR(IF(LEFT($B508,3)=$Z$2,VLOOKUP($C508,Outbound!$B:$AAZ,16,FALSE),VLOOKUP($B508,Outbound!$B:$AAZ,16,FALSE)),"NON TROVATO"),"")</f>
        <v/>
      </c>
      <c r="H508" s="394" t="str">
        <f>IF(B508&lt;&gt;"",IFERROR(IF(LEFT($B508,3)=$Z$2,VLOOKUP($C508,Outbound!$B:$AAZ,6,FALSE),VLOOKUP($B508,Outbound!$B:$AAZ,6,FALSE)),"NON TROVATO"),"")</f>
        <v/>
      </c>
      <c r="I508" s="394" t="str">
        <f>IF(B508&lt;&gt;"",IFERROR(IF(LEFT($B508,3)=$Z$2,VLOOKUP($C508,Outbound!$B:$AAZ,52,FALSE),VLOOKUP($B508,Outbound!$B:$AAZ,52,FALSE)),"NON TROVATO"),"")</f>
        <v/>
      </c>
      <c r="J508" s="396"/>
      <c r="K508" s="387" t="str">
        <f>IF(B508&lt;&gt;"",IF($D508&lt;&gt;"ON ROCS/NOT ON FILE",IFERROR(_xlfn.XLOOKUP(LEFT($D508,3),'STAT 77 Table'!$B:$B,'STAT 77 Table'!$A:$A),"ZZ"&amp;RIGHT($B508,4)),""),"")</f>
        <v/>
      </c>
      <c r="L508" s="396"/>
      <c r="O508" s="388"/>
      <c r="P508" s="388"/>
      <c r="AA508" s="421">
        <f t="shared" si="7"/>
        <v>0</v>
      </c>
    </row>
    <row r="509" spans="1:27" ht="16.5">
      <c r="A509" s="387">
        <f>'STAT 77 Table'!$I$508</f>
        <v>0</v>
      </c>
      <c r="B509"/>
      <c r="C509"/>
      <c r="D509" s="387" t="str">
        <f>IF($B509&lt;&gt;"",IFERROR(IF(LEFT($B509,3)=$Z$2,VLOOKUP($C509,Outbound!$B:$Z,4,FALSE),VLOOKUP($B509,Outbound!$B:$Z,4,FALSE)),"ON ROCS/NOT ON FILE"),"")</f>
        <v/>
      </c>
      <c r="E509" s="387" t="str">
        <f>IF($B509&lt;&gt;"",IFERROR(IF(LEFT($B509,4)=$Z$2,VLOOKUP($C509,Outbound!$B:$Z,5,FALSE),VLOOKUP($B509,Outbound!$B:$Z,5,FALSE)),"ON ROCS/NOT ON FILE"),"")</f>
        <v/>
      </c>
      <c r="F509" s="387" t="str">
        <f>IF(B509&lt;&gt;"",IFERROR(IF(LEFT($B509,3)=$Z$2,VLOOKUP($C509,Outbound!$B:$Z,11,FALSE),VLOOKUP($B509,Outbound!$B:$Z,11,FALSE)),"NON TROVATO"),"")</f>
        <v/>
      </c>
      <c r="G509" s="394" t="str">
        <f>IF(B509&lt;&gt;"",IFERROR(IF(LEFT($B509,3)=$Z$2,VLOOKUP($C509,Outbound!$B:$AAZ,16,FALSE),VLOOKUP($B509,Outbound!$B:$AAZ,16,FALSE)),"NON TROVATO"),"")</f>
        <v/>
      </c>
      <c r="H509" s="394" t="str">
        <f>IF(B509&lt;&gt;"",IFERROR(IF(LEFT($B509,3)=$Z$2,VLOOKUP($C509,Outbound!$B:$AAZ,6,FALSE),VLOOKUP($B509,Outbound!$B:$AAZ,6,FALSE)),"NON TROVATO"),"")</f>
        <v/>
      </c>
      <c r="I509" s="394" t="str">
        <f>IF(B509&lt;&gt;"",IFERROR(IF(LEFT($B509,3)=$Z$2,VLOOKUP($C509,Outbound!$B:$AAZ,52,FALSE),VLOOKUP($B509,Outbound!$B:$AAZ,52,FALSE)),"NON TROVATO"),"")</f>
        <v/>
      </c>
      <c r="J509" s="396"/>
      <c r="K509" s="387" t="str">
        <f>IF(B509&lt;&gt;"",IF($D509&lt;&gt;"ON ROCS/NOT ON FILE",IFERROR(_xlfn.XLOOKUP(LEFT($D509,3),'STAT 77 Table'!$B:$B,'STAT 77 Table'!$A:$A),"ZZ"&amp;RIGHT($B509,4)),""),"")</f>
        <v/>
      </c>
      <c r="L509" s="396"/>
      <c r="O509" s="388"/>
      <c r="P509" s="388"/>
      <c r="AA509" s="421">
        <f t="shared" si="7"/>
        <v>0</v>
      </c>
    </row>
    <row r="510" spans="1:27" ht="16.5">
      <c r="A510" s="387">
        <f>'STAT 77 Table'!$I$509</f>
        <v>0</v>
      </c>
      <c r="B510"/>
      <c r="C510"/>
      <c r="D510" s="387" t="str">
        <f>IF($B510&lt;&gt;"",IFERROR(IF(LEFT($B510,3)=$Z$2,VLOOKUP($C510,Outbound!$B:$Z,4,FALSE),VLOOKUP($B510,Outbound!$B:$Z,4,FALSE)),"ON ROCS/NOT ON FILE"),"")</f>
        <v/>
      </c>
      <c r="E510" s="387" t="str">
        <f>IF($B510&lt;&gt;"",IFERROR(IF(LEFT($B510,4)=$Z$2,VLOOKUP($C510,Outbound!$B:$Z,5,FALSE),VLOOKUP($B510,Outbound!$B:$Z,5,FALSE)),"ON ROCS/NOT ON FILE"),"")</f>
        <v/>
      </c>
      <c r="F510" s="387" t="str">
        <f>IF(B510&lt;&gt;"",IFERROR(IF(LEFT($B510,3)=$Z$2,VLOOKUP($C510,Outbound!$B:$Z,11,FALSE),VLOOKUP($B510,Outbound!$B:$Z,11,FALSE)),"NON TROVATO"),"")</f>
        <v/>
      </c>
      <c r="G510" s="394" t="str">
        <f>IF(B510&lt;&gt;"",IFERROR(IF(LEFT($B510,3)=$Z$2,VLOOKUP($C510,Outbound!$B:$AAZ,16,FALSE),VLOOKUP($B510,Outbound!$B:$AAZ,16,FALSE)),"NON TROVATO"),"")</f>
        <v/>
      </c>
      <c r="H510" s="394" t="str">
        <f>IF(B510&lt;&gt;"",IFERROR(IF(LEFT($B510,3)=$Z$2,VLOOKUP($C510,Outbound!$B:$AAZ,6,FALSE),VLOOKUP($B510,Outbound!$B:$AAZ,6,FALSE)),"NON TROVATO"),"")</f>
        <v/>
      </c>
      <c r="I510" s="394" t="str">
        <f>IF(B510&lt;&gt;"",IFERROR(IF(LEFT($B510,3)=$Z$2,VLOOKUP($C510,Outbound!$B:$AAZ,52,FALSE),VLOOKUP($B510,Outbound!$B:$AAZ,52,FALSE)),"NON TROVATO"),"")</f>
        <v/>
      </c>
      <c r="J510" s="396"/>
      <c r="K510" s="387" t="str">
        <f>IF(B510&lt;&gt;"",IF($D510&lt;&gt;"ON ROCS/NOT ON FILE",IFERROR(_xlfn.XLOOKUP(LEFT($D510,3),'STAT 77 Table'!$B:$B,'STAT 77 Table'!$A:$A),"ZZ"&amp;RIGHT($B510,4)),""),"")</f>
        <v/>
      </c>
      <c r="L510" s="396"/>
      <c r="O510" s="388"/>
      <c r="P510" s="388"/>
      <c r="AA510" s="421">
        <f t="shared" si="7"/>
        <v>0</v>
      </c>
    </row>
    <row r="511" spans="1:27" ht="16.5">
      <c r="A511" s="387">
        <f>'STAT 77 Table'!$I$510</f>
        <v>0</v>
      </c>
      <c r="B511"/>
      <c r="C511"/>
      <c r="D511" s="387" t="str">
        <f>IF($B511&lt;&gt;"",IFERROR(IF(LEFT($B511,3)=$Z$2,VLOOKUP($C511,Outbound!$B:$Z,4,FALSE),VLOOKUP($B511,Outbound!$B:$Z,4,FALSE)),"ON ROCS/NOT ON FILE"),"")</f>
        <v/>
      </c>
      <c r="E511" s="387" t="str">
        <f>IF($B511&lt;&gt;"",IFERROR(IF(LEFT($B511,4)=$Z$2,VLOOKUP($C511,Outbound!$B:$Z,5,FALSE),VLOOKUP($B511,Outbound!$B:$Z,5,FALSE)),"ON ROCS/NOT ON FILE"),"")</f>
        <v/>
      </c>
      <c r="F511" s="387" t="str">
        <f>IF(B511&lt;&gt;"",IFERROR(IF(LEFT($B511,3)=$Z$2,VLOOKUP($C511,Outbound!$B:$Z,11,FALSE),VLOOKUP($B511,Outbound!$B:$Z,11,FALSE)),"NON TROVATO"),"")</f>
        <v/>
      </c>
      <c r="G511" s="394" t="str">
        <f>IF(B511&lt;&gt;"",IFERROR(IF(LEFT($B511,3)=$Z$2,VLOOKUP($C511,Outbound!$B:$AAZ,16,FALSE),VLOOKUP($B511,Outbound!$B:$AAZ,16,FALSE)),"NON TROVATO"),"")</f>
        <v/>
      </c>
      <c r="H511" s="394" t="str">
        <f>IF(B511&lt;&gt;"",IFERROR(IF(LEFT($B511,3)=$Z$2,VLOOKUP($C511,Outbound!$B:$AAZ,6,FALSE),VLOOKUP($B511,Outbound!$B:$AAZ,6,FALSE)),"NON TROVATO"),"")</f>
        <v/>
      </c>
      <c r="I511" s="394" t="str">
        <f>IF(B511&lt;&gt;"",IFERROR(IF(LEFT($B511,3)=$Z$2,VLOOKUP($C511,Outbound!$B:$AAZ,52,FALSE),VLOOKUP($B511,Outbound!$B:$AAZ,52,FALSE)),"NON TROVATO"),"")</f>
        <v/>
      </c>
      <c r="J511" s="396"/>
      <c r="K511" s="387" t="str">
        <f>IF(B511&lt;&gt;"",IF($D511&lt;&gt;"ON ROCS/NOT ON FILE",IFERROR(_xlfn.XLOOKUP(LEFT($D511,3),'STAT 77 Table'!$B:$B,'STAT 77 Table'!$A:$A),"ZZ"&amp;RIGHT($B511,4)),""),"")</f>
        <v/>
      </c>
      <c r="L511" s="396"/>
      <c r="O511" s="388"/>
      <c r="P511" s="388"/>
      <c r="AA511" s="421">
        <f t="shared" si="7"/>
        <v>0</v>
      </c>
    </row>
    <row r="512" spans="1:27" ht="16.5">
      <c r="A512" s="387">
        <f>'STAT 77 Table'!$I$511</f>
        <v>0</v>
      </c>
      <c r="B512"/>
      <c r="C512"/>
      <c r="D512" s="387" t="str">
        <f>IF($B512&lt;&gt;"",IFERROR(IF(LEFT($B512,3)=$Z$2,VLOOKUP($C512,Outbound!$B:$Z,4,FALSE),VLOOKUP($B512,Outbound!$B:$Z,4,FALSE)),"ON ROCS/NOT ON FILE"),"")</f>
        <v/>
      </c>
      <c r="E512" s="387" t="str">
        <f>IF($B512&lt;&gt;"",IFERROR(IF(LEFT($B512,4)=$Z$2,VLOOKUP($C512,Outbound!$B:$Z,5,FALSE),VLOOKUP($B512,Outbound!$B:$Z,5,FALSE)),"ON ROCS/NOT ON FILE"),"")</f>
        <v/>
      </c>
      <c r="F512" s="387" t="str">
        <f>IF(B512&lt;&gt;"",IFERROR(IF(LEFT($B512,3)=$Z$2,VLOOKUP($C512,Outbound!$B:$Z,11,FALSE),VLOOKUP($B512,Outbound!$B:$Z,11,FALSE)),"NON TROVATO"),"")</f>
        <v/>
      </c>
      <c r="G512" s="394" t="str">
        <f>IF(B512&lt;&gt;"",IFERROR(IF(LEFT($B512,3)=$Z$2,VLOOKUP($C512,Outbound!$B:$AAZ,16,FALSE),VLOOKUP($B512,Outbound!$B:$AAZ,16,FALSE)),"NON TROVATO"),"")</f>
        <v/>
      </c>
      <c r="H512" s="394" t="str">
        <f>IF(B512&lt;&gt;"",IFERROR(IF(LEFT($B512,3)=$Z$2,VLOOKUP($C512,Outbound!$B:$AAZ,6,FALSE),VLOOKUP($B512,Outbound!$B:$AAZ,6,FALSE)),"NON TROVATO"),"")</f>
        <v/>
      </c>
      <c r="I512" s="394" t="str">
        <f>IF(B512&lt;&gt;"",IFERROR(IF(LEFT($B512,3)=$Z$2,VLOOKUP($C512,Outbound!$B:$AAZ,52,FALSE),VLOOKUP($B512,Outbound!$B:$AAZ,52,FALSE)),"NON TROVATO"),"")</f>
        <v/>
      </c>
      <c r="J512" s="396"/>
      <c r="K512" s="387" t="str">
        <f>IF(B512&lt;&gt;"",IF($D512&lt;&gt;"ON ROCS/NOT ON FILE",IFERROR(_xlfn.XLOOKUP(LEFT($D512,3),'STAT 77 Table'!$B:$B,'STAT 77 Table'!$A:$A),"ZZ"&amp;RIGHT($B512,4)),""),"")</f>
        <v/>
      </c>
      <c r="L512" s="396"/>
      <c r="O512" s="388"/>
      <c r="P512" s="388"/>
      <c r="AA512" s="421">
        <f t="shared" si="7"/>
        <v>0</v>
      </c>
    </row>
    <row r="513" spans="1:27" ht="16.5">
      <c r="A513" s="387">
        <f>'STAT 77 Table'!$I$512</f>
        <v>0</v>
      </c>
      <c r="B513"/>
      <c r="C513"/>
      <c r="D513" s="387" t="str">
        <f>IF($B513&lt;&gt;"",IFERROR(IF(LEFT($B513,3)=$Z$2,VLOOKUP($C513,Outbound!$B:$Z,4,FALSE),VLOOKUP($B513,Outbound!$B:$Z,4,FALSE)),"ON ROCS/NOT ON FILE"),"")</f>
        <v/>
      </c>
      <c r="E513" s="387" t="str">
        <f>IF($B513&lt;&gt;"",IFERROR(IF(LEFT($B513,4)=$Z$2,VLOOKUP($C513,Outbound!$B:$Z,5,FALSE),VLOOKUP($B513,Outbound!$B:$Z,5,FALSE)),"ON ROCS/NOT ON FILE"),"")</f>
        <v/>
      </c>
      <c r="F513" s="387" t="str">
        <f>IF(B513&lt;&gt;"",IFERROR(IF(LEFT($B513,3)=$Z$2,VLOOKUP($C513,Outbound!$B:$Z,11,FALSE),VLOOKUP($B513,Outbound!$B:$Z,11,FALSE)),"NON TROVATO"),"")</f>
        <v/>
      </c>
      <c r="G513" s="394" t="str">
        <f>IF(B513&lt;&gt;"",IFERROR(IF(LEFT($B513,3)=$Z$2,VLOOKUP($C513,Outbound!$B:$AAZ,16,FALSE),VLOOKUP($B513,Outbound!$B:$AAZ,16,FALSE)),"NON TROVATO"),"")</f>
        <v/>
      </c>
      <c r="H513" s="394" t="str">
        <f>IF(B513&lt;&gt;"",IFERROR(IF(LEFT($B513,3)=$Z$2,VLOOKUP($C513,Outbound!$B:$AAZ,6,FALSE),VLOOKUP($B513,Outbound!$B:$AAZ,6,FALSE)),"NON TROVATO"),"")</f>
        <v/>
      </c>
      <c r="I513" s="394" t="str">
        <f>IF(B513&lt;&gt;"",IFERROR(IF(LEFT($B513,3)=$Z$2,VLOOKUP($C513,Outbound!$B:$AAZ,52,FALSE),VLOOKUP($B513,Outbound!$B:$AAZ,52,FALSE)),"NON TROVATO"),"")</f>
        <v/>
      </c>
      <c r="J513" s="396"/>
      <c r="K513" s="387" t="str">
        <f>IF(B513&lt;&gt;"",IF($D513&lt;&gt;"ON ROCS/NOT ON FILE",IFERROR(_xlfn.XLOOKUP(LEFT($D513,3),'STAT 77 Table'!$B:$B,'STAT 77 Table'!$A:$A),"ZZ"&amp;RIGHT($B513,4)),""),"")</f>
        <v/>
      </c>
      <c r="L513" s="396"/>
      <c r="O513" s="388"/>
      <c r="P513" s="388"/>
      <c r="AA513" s="421">
        <f t="shared" si="7"/>
        <v>0</v>
      </c>
    </row>
    <row r="514" spans="1:27" ht="16.5">
      <c r="A514" s="387">
        <f>'STAT 77 Table'!$I$513</f>
        <v>0</v>
      </c>
      <c r="B514"/>
      <c r="C514"/>
      <c r="D514" s="387" t="str">
        <f>IF($B514&lt;&gt;"",IFERROR(IF(LEFT($B514,3)=$Z$2,VLOOKUP($C514,Outbound!$B:$Z,4,FALSE),VLOOKUP($B514,Outbound!$B:$Z,4,FALSE)),"ON ROCS/NOT ON FILE"),"")</f>
        <v/>
      </c>
      <c r="E514" s="387" t="str">
        <f>IF($B514&lt;&gt;"",IFERROR(IF(LEFT($B514,4)=$Z$2,VLOOKUP($C514,Outbound!$B:$Z,5,FALSE),VLOOKUP($B514,Outbound!$B:$Z,5,FALSE)),"ON ROCS/NOT ON FILE"),"")</f>
        <v/>
      </c>
      <c r="F514" s="387" t="str">
        <f>IF(B514&lt;&gt;"",IFERROR(IF(LEFT($B514,3)=$Z$2,VLOOKUP($C514,Outbound!$B:$Z,11,FALSE),VLOOKUP($B514,Outbound!$B:$Z,11,FALSE)),"NON TROVATO"),"")</f>
        <v/>
      </c>
      <c r="G514" s="394" t="str">
        <f>IF(B514&lt;&gt;"",IFERROR(IF(LEFT($B514,3)=$Z$2,VLOOKUP($C514,Outbound!$B:$AAZ,16,FALSE),VLOOKUP($B514,Outbound!$B:$AAZ,16,FALSE)),"NON TROVATO"),"")</f>
        <v/>
      </c>
      <c r="H514" s="394" t="str">
        <f>IF(B514&lt;&gt;"",IFERROR(IF(LEFT($B514,3)=$Z$2,VLOOKUP($C514,Outbound!$B:$AAZ,6,FALSE),VLOOKUP($B514,Outbound!$B:$AAZ,6,FALSE)),"NON TROVATO"),"")</f>
        <v/>
      </c>
      <c r="I514" s="394" t="str">
        <f>IF(B514&lt;&gt;"",IFERROR(IF(LEFT($B514,3)=$Z$2,VLOOKUP($C514,Outbound!$B:$AAZ,52,FALSE),VLOOKUP($B514,Outbound!$B:$AAZ,52,FALSE)),"NON TROVATO"),"")</f>
        <v/>
      </c>
      <c r="J514" s="396"/>
      <c r="K514" s="387" t="str">
        <f>IF(B514&lt;&gt;"",IF($D514&lt;&gt;"ON ROCS/NOT ON FILE",IFERROR(_xlfn.XLOOKUP(LEFT($D514,3),'STAT 77 Table'!$B:$B,'STAT 77 Table'!$A:$A),"ZZ"&amp;RIGHT($B514,4)),""),"")</f>
        <v/>
      </c>
      <c r="L514" s="396"/>
      <c r="O514" s="388"/>
      <c r="P514" s="388"/>
      <c r="AA514" s="421">
        <f t="shared" si="7"/>
        <v>0</v>
      </c>
    </row>
    <row r="515" spans="1:27" ht="16.5">
      <c r="A515" s="387">
        <f>'STAT 77 Table'!$I$514</f>
        <v>0</v>
      </c>
      <c r="B515"/>
      <c r="C515"/>
      <c r="D515" s="387" t="str">
        <f>IF($B515&lt;&gt;"",IFERROR(IF(LEFT($B515,3)=$Z$2,VLOOKUP($C515,Outbound!$B:$Z,4,FALSE),VLOOKUP($B515,Outbound!$B:$Z,4,FALSE)),"ON ROCS/NOT ON FILE"),"")</f>
        <v/>
      </c>
      <c r="E515" s="387" t="str">
        <f>IF($B515&lt;&gt;"",IFERROR(IF(LEFT($B515,4)=$Z$2,VLOOKUP($C515,Outbound!$B:$Z,5,FALSE),VLOOKUP($B515,Outbound!$B:$Z,5,FALSE)),"ON ROCS/NOT ON FILE"),"")</f>
        <v/>
      </c>
      <c r="F515" s="387" t="str">
        <f>IF(B515&lt;&gt;"",IFERROR(IF(LEFT($B515,3)=$Z$2,VLOOKUP($C515,Outbound!$B:$Z,11,FALSE),VLOOKUP($B515,Outbound!$B:$Z,11,FALSE)),"NON TROVATO"),"")</f>
        <v/>
      </c>
      <c r="G515" s="394" t="str">
        <f>IF(B515&lt;&gt;"",IFERROR(IF(LEFT($B515,3)=$Z$2,VLOOKUP($C515,Outbound!$B:$AAZ,16,FALSE),VLOOKUP($B515,Outbound!$B:$AAZ,16,FALSE)),"NON TROVATO"),"")</f>
        <v/>
      </c>
      <c r="H515" s="394" t="str">
        <f>IF(B515&lt;&gt;"",IFERROR(IF(LEFT($B515,3)=$Z$2,VLOOKUP($C515,Outbound!$B:$AAZ,6,FALSE),VLOOKUP($B515,Outbound!$B:$AAZ,6,FALSE)),"NON TROVATO"),"")</f>
        <v/>
      </c>
      <c r="I515" s="394" t="str">
        <f>IF(B515&lt;&gt;"",IFERROR(IF(LEFT($B515,3)=$Z$2,VLOOKUP($C515,Outbound!$B:$AAZ,52,FALSE),VLOOKUP($B515,Outbound!$B:$AAZ,52,FALSE)),"NON TROVATO"),"")</f>
        <v/>
      </c>
      <c r="J515" s="396"/>
      <c r="K515" s="387" t="str">
        <f>IF(B515&lt;&gt;"",IF($D515&lt;&gt;"ON ROCS/NOT ON FILE",IFERROR(_xlfn.XLOOKUP(LEFT($D515,3),'STAT 77 Table'!$B:$B,'STAT 77 Table'!$A:$A),"ZZ"&amp;RIGHT($B515,4)),""),"")</f>
        <v/>
      </c>
      <c r="L515" s="396"/>
      <c r="O515" s="388"/>
      <c r="P515" s="388"/>
      <c r="AA515" s="421">
        <f t="shared" si="7"/>
        <v>0</v>
      </c>
    </row>
    <row r="516" spans="1:27" ht="16.5">
      <c r="A516" s="387">
        <f>'STAT 77 Table'!$I$515</f>
        <v>0</v>
      </c>
      <c r="B516"/>
      <c r="C516"/>
      <c r="D516" s="387" t="str">
        <f>IF($B516&lt;&gt;"",IFERROR(IF(LEFT($B516,3)=$Z$2,VLOOKUP($C516,Outbound!$B:$Z,4,FALSE),VLOOKUP($B516,Outbound!$B:$Z,4,FALSE)),"ON ROCS/NOT ON FILE"),"")</f>
        <v/>
      </c>
      <c r="E516" s="387" t="str">
        <f>IF($B516&lt;&gt;"",IFERROR(IF(LEFT($B516,4)=$Z$2,VLOOKUP($C516,Outbound!$B:$Z,5,FALSE),VLOOKUP($B516,Outbound!$B:$Z,5,FALSE)),"ON ROCS/NOT ON FILE"),"")</f>
        <v/>
      </c>
      <c r="F516" s="387" t="str">
        <f>IF(B516&lt;&gt;"",IFERROR(IF(LEFT($B516,3)=$Z$2,VLOOKUP($C516,Outbound!$B:$Z,11,FALSE),VLOOKUP($B516,Outbound!$B:$Z,11,FALSE)),"NON TROVATO"),"")</f>
        <v/>
      </c>
      <c r="G516" s="394" t="str">
        <f>IF(B516&lt;&gt;"",IFERROR(IF(LEFT($B516,3)=$Z$2,VLOOKUP($C516,Outbound!$B:$AAZ,16,FALSE),VLOOKUP($B516,Outbound!$B:$AAZ,16,FALSE)),"NON TROVATO"),"")</f>
        <v/>
      </c>
      <c r="H516" s="394" t="str">
        <f>IF(B516&lt;&gt;"",IFERROR(IF(LEFT($B516,3)=$Z$2,VLOOKUP($C516,Outbound!$B:$AAZ,6,FALSE),VLOOKUP($B516,Outbound!$B:$AAZ,6,FALSE)),"NON TROVATO"),"")</f>
        <v/>
      </c>
      <c r="I516" s="394" t="str">
        <f>IF(B516&lt;&gt;"",IFERROR(IF(LEFT($B516,3)=$Z$2,VLOOKUP($C516,Outbound!$B:$AAZ,52,FALSE),VLOOKUP($B516,Outbound!$B:$AAZ,52,FALSE)),"NON TROVATO"),"")</f>
        <v/>
      </c>
      <c r="J516" s="396"/>
      <c r="K516" s="387" t="str">
        <f>IF(B516&lt;&gt;"",IF($D516&lt;&gt;"ON ROCS/NOT ON FILE",IFERROR(_xlfn.XLOOKUP(LEFT($D516,3),'STAT 77 Table'!$B:$B,'STAT 77 Table'!$A:$A),"ZZ"&amp;RIGHT($B516,4)),""),"")</f>
        <v/>
      </c>
      <c r="L516" s="396"/>
      <c r="O516" s="388"/>
      <c r="P516" s="388"/>
      <c r="AA516" s="421">
        <f t="shared" ref="AA516:AA579" si="8">IF(LEFT(A516,3)=$X$2,C516,B516)</f>
        <v>0</v>
      </c>
    </row>
    <row r="517" spans="1:27" ht="16.5">
      <c r="A517" s="387">
        <f>'STAT 77 Table'!$I$516</f>
        <v>0</v>
      </c>
      <c r="B517"/>
      <c r="C517"/>
      <c r="D517" s="387" t="str">
        <f>IF($B517&lt;&gt;"",IFERROR(IF(LEFT($B517,3)=$Z$2,VLOOKUP($C517,Outbound!$B:$Z,4,FALSE),VLOOKUP($B517,Outbound!$B:$Z,4,FALSE)),"ON ROCS/NOT ON FILE"),"")</f>
        <v/>
      </c>
      <c r="E517" s="387" t="str">
        <f>IF($B517&lt;&gt;"",IFERROR(IF(LEFT($B517,4)=$Z$2,VLOOKUP($C517,Outbound!$B:$Z,5,FALSE),VLOOKUP($B517,Outbound!$B:$Z,5,FALSE)),"ON ROCS/NOT ON FILE"),"")</f>
        <v/>
      </c>
      <c r="F517" s="387" t="str">
        <f>IF(B517&lt;&gt;"",IFERROR(IF(LEFT($B517,3)=$Z$2,VLOOKUP($C517,Outbound!$B:$Z,11,FALSE),VLOOKUP($B517,Outbound!$B:$Z,11,FALSE)),"NON TROVATO"),"")</f>
        <v/>
      </c>
      <c r="G517" s="394" t="str">
        <f>IF(B517&lt;&gt;"",IFERROR(IF(LEFT($B517,3)=$Z$2,VLOOKUP($C517,Outbound!$B:$AAZ,16,FALSE),VLOOKUP($B517,Outbound!$B:$AAZ,16,FALSE)),"NON TROVATO"),"")</f>
        <v/>
      </c>
      <c r="H517" s="394" t="str">
        <f>IF(B517&lt;&gt;"",IFERROR(IF(LEFT($B517,3)=$Z$2,VLOOKUP($C517,Outbound!$B:$AAZ,6,FALSE),VLOOKUP($B517,Outbound!$B:$AAZ,6,FALSE)),"NON TROVATO"),"")</f>
        <v/>
      </c>
      <c r="I517" s="394" t="str">
        <f>IF(B517&lt;&gt;"",IFERROR(IF(LEFT($B517,3)=$Z$2,VLOOKUP($C517,Outbound!$B:$AAZ,52,FALSE),VLOOKUP($B517,Outbound!$B:$AAZ,52,FALSE)),"NON TROVATO"),"")</f>
        <v/>
      </c>
      <c r="J517" s="396"/>
      <c r="K517" s="387" t="str">
        <f>IF(B517&lt;&gt;"",IF($D517&lt;&gt;"ON ROCS/NOT ON FILE",IFERROR(_xlfn.XLOOKUP(LEFT($D517,3),'STAT 77 Table'!$B:$B,'STAT 77 Table'!$A:$A),"ZZ"&amp;RIGHT($B517,4)),""),"")</f>
        <v/>
      </c>
      <c r="L517" s="396"/>
      <c r="O517" s="388"/>
      <c r="P517" s="388"/>
      <c r="AA517" s="421">
        <f t="shared" si="8"/>
        <v>0</v>
      </c>
    </row>
    <row r="518" spans="1:27" ht="16.5">
      <c r="A518" s="387">
        <f>'STAT 77 Table'!$I$517</f>
        <v>0</v>
      </c>
      <c r="B518"/>
      <c r="C518"/>
      <c r="D518" s="387" t="str">
        <f>IF($B518&lt;&gt;"",IFERROR(IF(LEFT($B518,3)=$Z$2,VLOOKUP($C518,Outbound!$B:$Z,4,FALSE),VLOOKUP($B518,Outbound!$B:$Z,4,FALSE)),"ON ROCS/NOT ON FILE"),"")</f>
        <v/>
      </c>
      <c r="E518" s="387" t="str">
        <f>IF($B518&lt;&gt;"",IFERROR(IF(LEFT($B518,4)=$Z$2,VLOOKUP($C518,Outbound!$B:$Z,5,FALSE),VLOOKUP($B518,Outbound!$B:$Z,5,FALSE)),"ON ROCS/NOT ON FILE"),"")</f>
        <v/>
      </c>
      <c r="F518" s="387" t="str">
        <f>IF(B518&lt;&gt;"",IFERROR(IF(LEFT($B518,3)=$Z$2,VLOOKUP($C518,Outbound!$B:$Z,11,FALSE),VLOOKUP($B518,Outbound!$B:$Z,11,FALSE)),"NON TROVATO"),"")</f>
        <v/>
      </c>
      <c r="G518" s="394" t="str">
        <f>IF(B518&lt;&gt;"",IFERROR(IF(LEFT($B518,3)=$Z$2,VLOOKUP($C518,Outbound!$B:$AAZ,16,FALSE),VLOOKUP($B518,Outbound!$B:$AAZ,16,FALSE)),"NON TROVATO"),"")</f>
        <v/>
      </c>
      <c r="H518" s="394" t="str">
        <f>IF(B518&lt;&gt;"",IFERROR(IF(LEFT($B518,3)=$Z$2,VLOOKUP($C518,Outbound!$B:$AAZ,6,FALSE),VLOOKUP($B518,Outbound!$B:$AAZ,6,FALSE)),"NON TROVATO"),"")</f>
        <v/>
      </c>
      <c r="I518" s="394" t="str">
        <f>IF(B518&lt;&gt;"",IFERROR(IF(LEFT($B518,3)=$Z$2,VLOOKUP($C518,Outbound!$B:$AAZ,52,FALSE),VLOOKUP($B518,Outbound!$B:$AAZ,52,FALSE)),"NON TROVATO"),"")</f>
        <v/>
      </c>
      <c r="J518" s="396"/>
      <c r="K518" s="387" t="str">
        <f>IF(B518&lt;&gt;"",IF($D518&lt;&gt;"ON ROCS/NOT ON FILE",IFERROR(_xlfn.XLOOKUP(LEFT($D518,3),'STAT 77 Table'!$B:$B,'STAT 77 Table'!$A:$A),"ZZ"&amp;RIGHT($B518,4)),""),"")</f>
        <v/>
      </c>
      <c r="L518" s="396"/>
      <c r="O518" s="388"/>
      <c r="P518" s="388"/>
      <c r="AA518" s="421">
        <f t="shared" si="8"/>
        <v>0</v>
      </c>
    </row>
    <row r="519" spans="1:27" ht="16.5">
      <c r="A519" s="387">
        <f>'STAT 77 Table'!$I$518</f>
        <v>0</v>
      </c>
      <c r="B519"/>
      <c r="C519"/>
      <c r="D519" s="387" t="str">
        <f>IF($B519&lt;&gt;"",IFERROR(IF(LEFT($B519,3)=$Z$2,VLOOKUP($C519,Outbound!$B:$Z,4,FALSE),VLOOKUP($B519,Outbound!$B:$Z,4,FALSE)),"ON ROCS/NOT ON FILE"),"")</f>
        <v/>
      </c>
      <c r="E519" s="387" t="str">
        <f>IF($B519&lt;&gt;"",IFERROR(IF(LEFT($B519,4)=$Z$2,VLOOKUP($C519,Outbound!$B:$Z,5,FALSE),VLOOKUP($B519,Outbound!$B:$Z,5,FALSE)),"ON ROCS/NOT ON FILE"),"")</f>
        <v/>
      </c>
      <c r="F519" s="387" t="str">
        <f>IF(B519&lt;&gt;"",IFERROR(IF(LEFT($B519,3)=$Z$2,VLOOKUP($C519,Outbound!$B:$Z,11,FALSE),VLOOKUP($B519,Outbound!$B:$Z,11,FALSE)),"NON TROVATO"),"")</f>
        <v/>
      </c>
      <c r="G519" s="394" t="str">
        <f>IF(B519&lt;&gt;"",IFERROR(IF(LEFT($B519,3)=$Z$2,VLOOKUP($C519,Outbound!$B:$AAZ,16,FALSE),VLOOKUP($B519,Outbound!$B:$AAZ,16,FALSE)),"NON TROVATO"),"")</f>
        <v/>
      </c>
      <c r="H519" s="394" t="str">
        <f>IF(B519&lt;&gt;"",IFERROR(IF(LEFT($B519,3)=$Z$2,VLOOKUP($C519,Outbound!$B:$AAZ,6,FALSE),VLOOKUP($B519,Outbound!$B:$AAZ,6,FALSE)),"NON TROVATO"),"")</f>
        <v/>
      </c>
      <c r="I519" s="394" t="str">
        <f>IF(B519&lt;&gt;"",IFERROR(IF(LEFT($B519,3)=$Z$2,VLOOKUP($C519,Outbound!$B:$AAZ,52,FALSE),VLOOKUP($B519,Outbound!$B:$AAZ,52,FALSE)),"NON TROVATO"),"")</f>
        <v/>
      </c>
      <c r="J519" s="396"/>
      <c r="K519" s="387" t="str">
        <f>IF(B519&lt;&gt;"",IF($D519&lt;&gt;"ON ROCS/NOT ON FILE",IFERROR(_xlfn.XLOOKUP(LEFT($D519,3),'STAT 77 Table'!$B:$B,'STAT 77 Table'!$A:$A),"ZZ"&amp;RIGHT($B519,4)),""),"")</f>
        <v/>
      </c>
      <c r="L519" s="396"/>
      <c r="O519" s="388"/>
      <c r="P519" s="388"/>
      <c r="AA519" s="421">
        <f t="shared" si="8"/>
        <v>0</v>
      </c>
    </row>
    <row r="520" spans="1:27" ht="16.5">
      <c r="A520" s="387">
        <f>'STAT 77 Table'!$I$519</f>
        <v>0</v>
      </c>
      <c r="B520"/>
      <c r="C520"/>
      <c r="D520" s="387" t="str">
        <f>IF($B520&lt;&gt;"",IFERROR(IF(LEFT($B520,3)=$Z$2,VLOOKUP($C520,Outbound!$B:$Z,4,FALSE),VLOOKUP($B520,Outbound!$B:$Z,4,FALSE)),"ON ROCS/NOT ON FILE"),"")</f>
        <v/>
      </c>
      <c r="E520" s="387" t="str">
        <f>IF($B520&lt;&gt;"",IFERROR(IF(LEFT($B520,4)=$Z$2,VLOOKUP($C520,Outbound!$B:$Z,5,FALSE),VLOOKUP($B520,Outbound!$B:$Z,5,FALSE)),"ON ROCS/NOT ON FILE"),"")</f>
        <v/>
      </c>
      <c r="F520" s="387" t="str">
        <f>IF(B520&lt;&gt;"",IFERROR(IF(LEFT($B520,3)=$Z$2,VLOOKUP($C520,Outbound!$B:$Z,11,FALSE),VLOOKUP($B520,Outbound!$B:$Z,11,FALSE)),"NON TROVATO"),"")</f>
        <v/>
      </c>
      <c r="G520" s="394" t="str">
        <f>IF(B520&lt;&gt;"",IFERROR(IF(LEFT($B520,3)=$Z$2,VLOOKUP($C520,Outbound!$B:$AAZ,16,FALSE),VLOOKUP($B520,Outbound!$B:$AAZ,16,FALSE)),"NON TROVATO"),"")</f>
        <v/>
      </c>
      <c r="H520" s="394" t="str">
        <f>IF(B520&lt;&gt;"",IFERROR(IF(LEFT($B520,3)=$Z$2,VLOOKUP($C520,Outbound!$B:$AAZ,6,FALSE),VLOOKUP($B520,Outbound!$B:$AAZ,6,FALSE)),"NON TROVATO"),"")</f>
        <v/>
      </c>
      <c r="I520" s="394" t="str">
        <f>IF(B520&lt;&gt;"",IFERROR(IF(LEFT($B520,3)=$Z$2,VLOOKUP($C520,Outbound!$B:$AAZ,52,FALSE),VLOOKUP($B520,Outbound!$B:$AAZ,52,FALSE)),"NON TROVATO"),"")</f>
        <v/>
      </c>
      <c r="J520" s="396"/>
      <c r="K520" s="387" t="str">
        <f>IF(B520&lt;&gt;"",IF($D520&lt;&gt;"ON ROCS/NOT ON FILE",IFERROR(_xlfn.XLOOKUP(LEFT($D520,3),'STAT 77 Table'!$B:$B,'STAT 77 Table'!$A:$A),"ZZ"&amp;RIGHT($B520,4)),""),"")</f>
        <v/>
      </c>
      <c r="L520" s="396"/>
      <c r="O520" s="388"/>
      <c r="P520" s="388"/>
      <c r="AA520" s="421">
        <f t="shared" si="8"/>
        <v>0</v>
      </c>
    </row>
    <row r="521" spans="1:27" ht="16.5">
      <c r="A521" s="387">
        <f>'STAT 77 Table'!$I$520</f>
        <v>0</v>
      </c>
      <c r="B521"/>
      <c r="C521"/>
      <c r="D521" s="387" t="str">
        <f>IF($B521&lt;&gt;"",IFERROR(IF(LEFT($B521,3)=$Z$2,VLOOKUP($C521,Outbound!$B:$Z,4,FALSE),VLOOKUP($B521,Outbound!$B:$Z,4,FALSE)),"ON ROCS/NOT ON FILE"),"")</f>
        <v/>
      </c>
      <c r="E521" s="387" t="str">
        <f>IF($B521&lt;&gt;"",IFERROR(IF(LEFT($B521,4)=$Z$2,VLOOKUP($C521,Outbound!$B:$Z,5,FALSE),VLOOKUP($B521,Outbound!$B:$Z,5,FALSE)),"ON ROCS/NOT ON FILE"),"")</f>
        <v/>
      </c>
      <c r="F521" s="387" t="str">
        <f>IF(B521&lt;&gt;"",IFERROR(IF(LEFT($B521,3)=$Z$2,VLOOKUP($C521,Outbound!$B:$Z,11,FALSE),VLOOKUP($B521,Outbound!$B:$Z,11,FALSE)),"NON TROVATO"),"")</f>
        <v/>
      </c>
      <c r="G521" s="394" t="str">
        <f>IF(B521&lt;&gt;"",IFERROR(IF(LEFT($B521,3)=$Z$2,VLOOKUP($C521,Outbound!$B:$AAZ,16,FALSE),VLOOKUP($B521,Outbound!$B:$AAZ,16,FALSE)),"NON TROVATO"),"")</f>
        <v/>
      </c>
      <c r="H521" s="394" t="str">
        <f>IF(B521&lt;&gt;"",IFERROR(IF(LEFT($B521,3)=$Z$2,VLOOKUP($C521,Outbound!$B:$AAZ,6,FALSE),VLOOKUP($B521,Outbound!$B:$AAZ,6,FALSE)),"NON TROVATO"),"")</f>
        <v/>
      </c>
      <c r="I521" s="394" t="str">
        <f>IF(B521&lt;&gt;"",IFERROR(IF(LEFT($B521,3)=$Z$2,VLOOKUP($C521,Outbound!$B:$AAZ,52,FALSE),VLOOKUP($B521,Outbound!$B:$AAZ,52,FALSE)),"NON TROVATO"),"")</f>
        <v/>
      </c>
      <c r="J521" s="396"/>
      <c r="K521" s="387" t="str">
        <f>IF(B521&lt;&gt;"",IF($D521&lt;&gt;"ON ROCS/NOT ON FILE",IFERROR(_xlfn.XLOOKUP(LEFT($D521,3),'STAT 77 Table'!$B:$B,'STAT 77 Table'!$A:$A),"ZZ"&amp;RIGHT($B521,4)),""),"")</f>
        <v/>
      </c>
      <c r="L521" s="396"/>
      <c r="O521" s="388"/>
      <c r="P521" s="388"/>
      <c r="AA521" s="421">
        <f t="shared" si="8"/>
        <v>0</v>
      </c>
    </row>
    <row r="522" spans="1:27" ht="16.5">
      <c r="A522" s="387">
        <f>'STAT 77 Table'!$I$521</f>
        <v>0</v>
      </c>
      <c r="B522"/>
      <c r="C522"/>
      <c r="D522" s="387" t="str">
        <f>IF($B522&lt;&gt;"",IFERROR(IF(LEFT($B522,3)=$Z$2,VLOOKUP($C522,Outbound!$B:$Z,4,FALSE),VLOOKUP($B522,Outbound!$B:$Z,4,FALSE)),"ON ROCS/NOT ON FILE"),"")</f>
        <v/>
      </c>
      <c r="E522" s="387" t="str">
        <f>IF($B522&lt;&gt;"",IFERROR(IF(LEFT($B522,4)=$Z$2,VLOOKUP($C522,Outbound!$B:$Z,5,FALSE),VLOOKUP($B522,Outbound!$B:$Z,5,FALSE)),"ON ROCS/NOT ON FILE"),"")</f>
        <v/>
      </c>
      <c r="F522" s="387" t="str">
        <f>IF(B522&lt;&gt;"",IFERROR(IF(LEFT($B522,3)=$Z$2,VLOOKUP($C522,Outbound!$B:$Z,11,FALSE),VLOOKUP($B522,Outbound!$B:$Z,11,FALSE)),"NON TROVATO"),"")</f>
        <v/>
      </c>
      <c r="G522" s="394" t="str">
        <f>IF(B522&lt;&gt;"",IFERROR(IF(LEFT($B522,3)=$Z$2,VLOOKUP($C522,Outbound!$B:$AAZ,16,FALSE),VLOOKUP($B522,Outbound!$B:$AAZ,16,FALSE)),"NON TROVATO"),"")</f>
        <v/>
      </c>
      <c r="H522" s="394" t="str">
        <f>IF(B522&lt;&gt;"",IFERROR(IF(LEFT($B522,3)=$Z$2,VLOOKUP($C522,Outbound!$B:$AAZ,6,FALSE),VLOOKUP($B522,Outbound!$B:$AAZ,6,FALSE)),"NON TROVATO"),"")</f>
        <v/>
      </c>
      <c r="I522" s="394" t="str">
        <f>IF(B522&lt;&gt;"",IFERROR(IF(LEFT($B522,3)=$Z$2,VLOOKUP($C522,Outbound!$B:$AAZ,52,FALSE),VLOOKUP($B522,Outbound!$B:$AAZ,52,FALSE)),"NON TROVATO"),"")</f>
        <v/>
      </c>
      <c r="J522" s="396"/>
      <c r="K522" s="387" t="str">
        <f>IF(B522&lt;&gt;"",IF($D522&lt;&gt;"ON ROCS/NOT ON FILE",IFERROR(_xlfn.XLOOKUP(LEFT($D522,3),'STAT 77 Table'!$B:$B,'STAT 77 Table'!$A:$A),"ZZ"&amp;RIGHT($B522,4)),""),"")</f>
        <v/>
      </c>
      <c r="L522" s="396"/>
      <c r="O522" s="388"/>
      <c r="P522" s="388"/>
      <c r="AA522" s="421">
        <f t="shared" si="8"/>
        <v>0</v>
      </c>
    </row>
    <row r="523" spans="1:27" ht="16.5">
      <c r="A523" s="387">
        <f>'STAT 77 Table'!$I$522</f>
        <v>0</v>
      </c>
      <c r="B523"/>
      <c r="C523"/>
      <c r="D523" s="387" t="str">
        <f>IF($B523&lt;&gt;"",IFERROR(IF(LEFT($B523,3)=$Z$2,VLOOKUP($C523,Outbound!$B:$Z,4,FALSE),VLOOKUP($B523,Outbound!$B:$Z,4,FALSE)),"ON ROCS/NOT ON FILE"),"")</f>
        <v/>
      </c>
      <c r="E523" s="387" t="str">
        <f>IF($B523&lt;&gt;"",IFERROR(IF(LEFT($B523,4)=$Z$2,VLOOKUP($C523,Outbound!$B:$Z,5,FALSE),VLOOKUP($B523,Outbound!$B:$Z,5,FALSE)),"ON ROCS/NOT ON FILE"),"")</f>
        <v/>
      </c>
      <c r="F523" s="387" t="str">
        <f>IF(B523&lt;&gt;"",IFERROR(IF(LEFT($B523,3)=$Z$2,VLOOKUP($C523,Outbound!$B:$Z,11,FALSE),VLOOKUP($B523,Outbound!$B:$Z,11,FALSE)),"NON TROVATO"),"")</f>
        <v/>
      </c>
      <c r="G523" s="394" t="str">
        <f>IF(B523&lt;&gt;"",IFERROR(IF(LEFT($B523,3)=$Z$2,VLOOKUP($C523,Outbound!$B:$AAZ,16,FALSE),VLOOKUP($B523,Outbound!$B:$AAZ,16,FALSE)),"NON TROVATO"),"")</f>
        <v/>
      </c>
      <c r="H523" s="394" t="str">
        <f>IF(B523&lt;&gt;"",IFERROR(IF(LEFT($B523,3)=$Z$2,VLOOKUP($C523,Outbound!$B:$AAZ,6,FALSE),VLOOKUP($B523,Outbound!$B:$AAZ,6,FALSE)),"NON TROVATO"),"")</f>
        <v/>
      </c>
      <c r="I523" s="394" t="str">
        <f>IF(B523&lt;&gt;"",IFERROR(IF(LEFT($B523,3)=$Z$2,VLOOKUP($C523,Outbound!$B:$AAZ,52,FALSE),VLOOKUP($B523,Outbound!$B:$AAZ,52,FALSE)),"NON TROVATO"),"")</f>
        <v/>
      </c>
      <c r="J523" s="396"/>
      <c r="K523" s="387" t="str">
        <f>IF(B523&lt;&gt;"",IF($D523&lt;&gt;"ON ROCS/NOT ON FILE",IFERROR(_xlfn.XLOOKUP(LEFT($D523,3),'STAT 77 Table'!$B:$B,'STAT 77 Table'!$A:$A),"ZZ"&amp;RIGHT($B523,4)),""),"")</f>
        <v/>
      </c>
      <c r="L523" s="396"/>
      <c r="O523" s="388"/>
      <c r="P523" s="388"/>
      <c r="AA523" s="421">
        <f t="shared" si="8"/>
        <v>0</v>
      </c>
    </row>
    <row r="524" spans="1:27" ht="16.5">
      <c r="A524" s="387">
        <f>'STAT 77 Table'!$I$523</f>
        <v>0</v>
      </c>
      <c r="B524"/>
      <c r="C524"/>
      <c r="D524" s="387" t="str">
        <f>IF($B524&lt;&gt;"",IFERROR(IF(LEFT($B524,3)=$Z$2,VLOOKUP($C524,Outbound!$B:$Z,4,FALSE),VLOOKUP($B524,Outbound!$B:$Z,4,FALSE)),"ON ROCS/NOT ON FILE"),"")</f>
        <v/>
      </c>
      <c r="E524" s="387" t="str">
        <f>IF($B524&lt;&gt;"",IFERROR(IF(LEFT($B524,4)=$Z$2,VLOOKUP($C524,Outbound!$B:$Z,5,FALSE),VLOOKUP($B524,Outbound!$B:$Z,5,FALSE)),"ON ROCS/NOT ON FILE"),"")</f>
        <v/>
      </c>
      <c r="F524" s="387" t="str">
        <f>IF(B524&lt;&gt;"",IFERROR(IF(LEFT($B524,3)=$Z$2,VLOOKUP($C524,Outbound!$B:$Z,11,FALSE),VLOOKUP($B524,Outbound!$B:$Z,11,FALSE)),"NON TROVATO"),"")</f>
        <v/>
      </c>
      <c r="G524" s="394" t="str">
        <f>IF(B524&lt;&gt;"",IFERROR(IF(LEFT($B524,3)=$Z$2,VLOOKUP($C524,Outbound!$B:$AAZ,16,FALSE),VLOOKUP($B524,Outbound!$B:$AAZ,16,FALSE)),"NON TROVATO"),"")</f>
        <v/>
      </c>
      <c r="H524" s="394" t="str">
        <f>IF(B524&lt;&gt;"",IFERROR(IF(LEFT($B524,3)=$Z$2,VLOOKUP($C524,Outbound!$B:$AAZ,6,FALSE),VLOOKUP($B524,Outbound!$B:$AAZ,6,FALSE)),"NON TROVATO"),"")</f>
        <v/>
      </c>
      <c r="I524" s="394" t="str">
        <f>IF(B524&lt;&gt;"",IFERROR(IF(LEFT($B524,3)=$Z$2,VLOOKUP($C524,Outbound!$B:$AAZ,52,FALSE),VLOOKUP($B524,Outbound!$B:$AAZ,52,FALSE)),"NON TROVATO"),"")</f>
        <v/>
      </c>
      <c r="J524" s="396"/>
      <c r="K524" s="387" t="str">
        <f>IF(B524&lt;&gt;"",IF($D524&lt;&gt;"ON ROCS/NOT ON FILE",IFERROR(_xlfn.XLOOKUP(LEFT($D524,3),'STAT 77 Table'!$B:$B,'STAT 77 Table'!$A:$A),"ZZ"&amp;RIGHT($B524,4)),""),"")</f>
        <v/>
      </c>
      <c r="L524" s="396"/>
      <c r="O524" s="388"/>
      <c r="P524" s="388"/>
      <c r="AA524" s="421">
        <f t="shared" si="8"/>
        <v>0</v>
      </c>
    </row>
    <row r="525" spans="1:27" ht="16.5">
      <c r="A525" s="387">
        <f>'STAT 77 Table'!$I$524</f>
        <v>0</v>
      </c>
      <c r="B525"/>
      <c r="C525"/>
      <c r="D525" s="387" t="str">
        <f>IF($B525&lt;&gt;"",IFERROR(IF(LEFT($B525,3)=$Z$2,VLOOKUP($C525,Outbound!$B:$Z,4,FALSE),VLOOKUP($B525,Outbound!$B:$Z,4,FALSE)),"ON ROCS/NOT ON FILE"),"")</f>
        <v/>
      </c>
      <c r="E525" s="387" t="str">
        <f>IF($B525&lt;&gt;"",IFERROR(IF(LEFT($B525,4)=$Z$2,VLOOKUP($C525,Outbound!$B:$Z,5,FALSE),VLOOKUP($B525,Outbound!$B:$Z,5,FALSE)),"ON ROCS/NOT ON FILE"),"")</f>
        <v/>
      </c>
      <c r="F525" s="387" t="str">
        <f>IF(B525&lt;&gt;"",IFERROR(IF(LEFT($B525,3)=$Z$2,VLOOKUP($C525,Outbound!$B:$Z,11,FALSE),VLOOKUP($B525,Outbound!$B:$Z,11,FALSE)),"NON TROVATO"),"")</f>
        <v/>
      </c>
      <c r="G525" s="394" t="str">
        <f>IF(B525&lt;&gt;"",IFERROR(IF(LEFT($B525,3)=$Z$2,VLOOKUP($C525,Outbound!$B:$AAZ,16,FALSE),VLOOKUP($B525,Outbound!$B:$AAZ,16,FALSE)),"NON TROVATO"),"")</f>
        <v/>
      </c>
      <c r="H525" s="394" t="str">
        <f>IF(B525&lt;&gt;"",IFERROR(IF(LEFT($B525,3)=$Z$2,VLOOKUP($C525,Outbound!$B:$AAZ,6,FALSE),VLOOKUP($B525,Outbound!$B:$AAZ,6,FALSE)),"NON TROVATO"),"")</f>
        <v/>
      </c>
      <c r="I525" s="394" t="str">
        <f>IF(B525&lt;&gt;"",IFERROR(IF(LEFT($B525,3)=$Z$2,VLOOKUP($C525,Outbound!$B:$AAZ,52,FALSE),VLOOKUP($B525,Outbound!$B:$AAZ,52,FALSE)),"NON TROVATO"),"")</f>
        <v/>
      </c>
      <c r="J525" s="396"/>
      <c r="K525" s="387" t="str">
        <f>IF(B525&lt;&gt;"",IF($D525&lt;&gt;"ON ROCS/NOT ON FILE",IFERROR(_xlfn.XLOOKUP(LEFT($D525,3),'STAT 77 Table'!$B:$B,'STAT 77 Table'!$A:$A),"ZZ"&amp;RIGHT($B525,4)),""),"")</f>
        <v/>
      </c>
      <c r="L525" s="396"/>
      <c r="O525" s="388"/>
      <c r="P525" s="388"/>
      <c r="AA525" s="421">
        <f t="shared" si="8"/>
        <v>0</v>
      </c>
    </row>
    <row r="526" spans="1:27" ht="16.5">
      <c r="A526" s="387">
        <f>'STAT 77 Table'!$I$525</f>
        <v>0</v>
      </c>
      <c r="B526"/>
      <c r="C526"/>
      <c r="D526" s="387" t="str">
        <f>IF($B526&lt;&gt;"",IFERROR(IF(LEFT($B526,3)=$Z$2,VLOOKUP($C526,Outbound!$B:$Z,4,FALSE),VLOOKUP($B526,Outbound!$B:$Z,4,FALSE)),"ON ROCS/NOT ON FILE"),"")</f>
        <v/>
      </c>
      <c r="E526" s="387" t="str">
        <f>IF($B526&lt;&gt;"",IFERROR(IF(LEFT($B526,4)=$Z$2,VLOOKUP($C526,Outbound!$B:$Z,5,FALSE),VLOOKUP($B526,Outbound!$B:$Z,5,FALSE)),"ON ROCS/NOT ON FILE"),"")</f>
        <v/>
      </c>
      <c r="F526" s="387" t="str">
        <f>IF(B526&lt;&gt;"",IFERROR(IF(LEFT($B526,3)=$Z$2,VLOOKUP($C526,Outbound!$B:$Z,11,FALSE),VLOOKUP($B526,Outbound!$B:$Z,11,FALSE)),"NON TROVATO"),"")</f>
        <v/>
      </c>
      <c r="G526" s="394" t="str">
        <f>IF(B526&lt;&gt;"",IFERROR(IF(LEFT($B526,3)=$Z$2,VLOOKUP($C526,Outbound!$B:$AAZ,16,FALSE),VLOOKUP($B526,Outbound!$B:$AAZ,16,FALSE)),"NON TROVATO"),"")</f>
        <v/>
      </c>
      <c r="H526" s="394" t="str">
        <f>IF(B526&lt;&gt;"",IFERROR(IF(LEFT($B526,3)=$Z$2,VLOOKUP($C526,Outbound!$B:$AAZ,6,FALSE),VLOOKUP($B526,Outbound!$B:$AAZ,6,FALSE)),"NON TROVATO"),"")</f>
        <v/>
      </c>
      <c r="I526" s="394" t="str">
        <f>IF(B526&lt;&gt;"",IFERROR(IF(LEFT($B526,3)=$Z$2,VLOOKUP($C526,Outbound!$B:$AAZ,52,FALSE),VLOOKUP($B526,Outbound!$B:$AAZ,52,FALSE)),"NON TROVATO"),"")</f>
        <v/>
      </c>
      <c r="J526" s="396"/>
      <c r="K526" s="387" t="str">
        <f>IF(B526&lt;&gt;"",IF($D526&lt;&gt;"ON ROCS/NOT ON FILE",IFERROR(_xlfn.XLOOKUP(LEFT($D526,3),'STAT 77 Table'!$B:$B,'STAT 77 Table'!$A:$A),"ZZ"&amp;RIGHT($B526,4)),""),"")</f>
        <v/>
      </c>
      <c r="L526" s="396"/>
      <c r="O526" s="388"/>
      <c r="P526" s="388"/>
      <c r="AA526" s="421">
        <f t="shared" si="8"/>
        <v>0</v>
      </c>
    </row>
    <row r="527" spans="1:27" ht="16.5">
      <c r="A527" s="387">
        <f>'STAT 77 Table'!$I$526</f>
        <v>0</v>
      </c>
      <c r="B527"/>
      <c r="C527"/>
      <c r="D527" s="387" t="str">
        <f>IF($B527&lt;&gt;"",IFERROR(IF(LEFT($B527,3)=$Z$2,VLOOKUP($C527,Outbound!$B:$Z,4,FALSE),VLOOKUP($B527,Outbound!$B:$Z,4,FALSE)),"ON ROCS/NOT ON FILE"),"")</f>
        <v/>
      </c>
      <c r="E527" s="387" t="str">
        <f>IF($B527&lt;&gt;"",IFERROR(IF(LEFT($B527,4)=$Z$2,VLOOKUP($C527,Outbound!$B:$Z,5,FALSE),VLOOKUP($B527,Outbound!$B:$Z,5,FALSE)),"ON ROCS/NOT ON FILE"),"")</f>
        <v/>
      </c>
      <c r="F527" s="387" t="str">
        <f>IF(B527&lt;&gt;"",IFERROR(IF(LEFT($B527,3)=$Z$2,VLOOKUP($C527,Outbound!$B:$Z,11,FALSE),VLOOKUP($B527,Outbound!$B:$Z,11,FALSE)),"NON TROVATO"),"")</f>
        <v/>
      </c>
      <c r="G527" s="394" t="str">
        <f>IF(B527&lt;&gt;"",IFERROR(IF(LEFT($B527,3)=$Z$2,VLOOKUP($C527,Outbound!$B:$AAZ,16,FALSE),VLOOKUP($B527,Outbound!$B:$AAZ,16,FALSE)),"NON TROVATO"),"")</f>
        <v/>
      </c>
      <c r="H527" s="394" t="str">
        <f>IF(B527&lt;&gt;"",IFERROR(IF(LEFT($B527,3)=$Z$2,VLOOKUP($C527,Outbound!$B:$AAZ,6,FALSE),VLOOKUP($B527,Outbound!$B:$AAZ,6,FALSE)),"NON TROVATO"),"")</f>
        <v/>
      </c>
      <c r="I527" s="394" t="str">
        <f>IF(B527&lt;&gt;"",IFERROR(IF(LEFT($B527,3)=$Z$2,VLOOKUP($C527,Outbound!$B:$AAZ,52,FALSE),VLOOKUP($B527,Outbound!$B:$AAZ,52,FALSE)),"NON TROVATO"),"")</f>
        <v/>
      </c>
      <c r="J527" s="396"/>
      <c r="K527" s="387" t="str">
        <f>IF(B527&lt;&gt;"",IF($D527&lt;&gt;"ON ROCS/NOT ON FILE",IFERROR(_xlfn.XLOOKUP(LEFT($D527,3),'STAT 77 Table'!$B:$B,'STAT 77 Table'!$A:$A),"ZZ"&amp;RIGHT($B527,4)),""),"")</f>
        <v/>
      </c>
      <c r="L527" s="396"/>
      <c r="O527" s="388"/>
      <c r="P527" s="388"/>
      <c r="AA527" s="421">
        <f t="shared" si="8"/>
        <v>0</v>
      </c>
    </row>
    <row r="528" spans="1:27" ht="16.5">
      <c r="A528" s="387">
        <f>'STAT 77 Table'!$I$527</f>
        <v>0</v>
      </c>
      <c r="B528"/>
      <c r="C528"/>
      <c r="D528" s="387" t="str">
        <f>IF($B528&lt;&gt;"",IFERROR(IF(LEFT($B528,3)=$Z$2,VLOOKUP($C528,Outbound!$B:$Z,4,FALSE),VLOOKUP($B528,Outbound!$B:$Z,4,FALSE)),"ON ROCS/NOT ON FILE"),"")</f>
        <v/>
      </c>
      <c r="E528" s="387" t="str">
        <f>IF($B528&lt;&gt;"",IFERROR(IF(LEFT($B528,4)=$Z$2,VLOOKUP($C528,Outbound!$B:$Z,5,FALSE),VLOOKUP($B528,Outbound!$B:$Z,5,FALSE)),"ON ROCS/NOT ON FILE"),"")</f>
        <v/>
      </c>
      <c r="F528" s="387" t="str">
        <f>IF(B528&lt;&gt;"",IFERROR(IF(LEFT($B528,3)=$Z$2,VLOOKUP($C528,Outbound!$B:$Z,11,FALSE),VLOOKUP($B528,Outbound!$B:$Z,11,FALSE)),"NON TROVATO"),"")</f>
        <v/>
      </c>
      <c r="G528" s="394" t="str">
        <f>IF(B528&lt;&gt;"",IFERROR(IF(LEFT($B528,3)=$Z$2,VLOOKUP($C528,Outbound!$B:$AAZ,16,FALSE),VLOOKUP($B528,Outbound!$B:$AAZ,16,FALSE)),"NON TROVATO"),"")</f>
        <v/>
      </c>
      <c r="H528" s="394" t="str">
        <f>IF(B528&lt;&gt;"",IFERROR(IF(LEFT($B528,3)=$Z$2,VLOOKUP($C528,Outbound!$B:$AAZ,6,FALSE),VLOOKUP($B528,Outbound!$B:$AAZ,6,FALSE)),"NON TROVATO"),"")</f>
        <v/>
      </c>
      <c r="I528" s="394" t="str">
        <f>IF(B528&lt;&gt;"",IFERROR(IF(LEFT($B528,3)=$Z$2,VLOOKUP($C528,Outbound!$B:$AAZ,52,FALSE),VLOOKUP($B528,Outbound!$B:$AAZ,52,FALSE)),"NON TROVATO"),"")</f>
        <v/>
      </c>
      <c r="J528" s="396"/>
      <c r="K528" s="387" t="str">
        <f>IF(B528&lt;&gt;"",IF($D528&lt;&gt;"ON ROCS/NOT ON FILE",IFERROR(_xlfn.XLOOKUP(LEFT($D528,3),'STAT 77 Table'!$B:$B,'STAT 77 Table'!$A:$A),"ZZ"&amp;RIGHT($B528,4)),""),"")</f>
        <v/>
      </c>
      <c r="L528" s="396"/>
      <c r="O528" s="388"/>
      <c r="P528" s="388"/>
      <c r="AA528" s="421">
        <f t="shared" si="8"/>
        <v>0</v>
      </c>
    </row>
    <row r="529" spans="1:27" ht="16.5">
      <c r="A529" s="387">
        <f>'STAT 77 Table'!$I$528</f>
        <v>0</v>
      </c>
      <c r="B529"/>
      <c r="C529"/>
      <c r="D529" s="387" t="str">
        <f>IF($B529&lt;&gt;"",IFERROR(IF(LEFT($B529,3)=$Z$2,VLOOKUP($C529,Outbound!$B:$Z,4,FALSE),VLOOKUP($B529,Outbound!$B:$Z,4,FALSE)),"ON ROCS/NOT ON FILE"),"")</f>
        <v/>
      </c>
      <c r="E529" s="387" t="str">
        <f>IF($B529&lt;&gt;"",IFERROR(IF(LEFT($B529,4)=$Z$2,VLOOKUP($C529,Outbound!$B:$Z,5,FALSE),VLOOKUP($B529,Outbound!$B:$Z,5,FALSE)),"ON ROCS/NOT ON FILE"),"")</f>
        <v/>
      </c>
      <c r="F529" s="387" t="str">
        <f>IF(B529&lt;&gt;"",IFERROR(IF(LEFT($B529,3)=$Z$2,VLOOKUP($C529,Outbound!$B:$Z,11,FALSE),VLOOKUP($B529,Outbound!$B:$Z,11,FALSE)),"NON TROVATO"),"")</f>
        <v/>
      </c>
      <c r="G529" s="394" t="str">
        <f>IF(B529&lt;&gt;"",IFERROR(IF(LEFT($B529,3)=$Z$2,VLOOKUP($C529,Outbound!$B:$AAZ,16,FALSE),VLOOKUP($B529,Outbound!$B:$AAZ,16,FALSE)),"NON TROVATO"),"")</f>
        <v/>
      </c>
      <c r="H529" s="394" t="str">
        <f>IF(B529&lt;&gt;"",IFERROR(IF(LEFT($B529,3)=$Z$2,VLOOKUP($C529,Outbound!$B:$AAZ,6,FALSE),VLOOKUP($B529,Outbound!$B:$AAZ,6,FALSE)),"NON TROVATO"),"")</f>
        <v/>
      </c>
      <c r="I529" s="394" t="str">
        <f>IF(B529&lt;&gt;"",IFERROR(IF(LEFT($B529,3)=$Z$2,VLOOKUP($C529,Outbound!$B:$AAZ,52,FALSE),VLOOKUP($B529,Outbound!$B:$AAZ,52,FALSE)),"NON TROVATO"),"")</f>
        <v/>
      </c>
      <c r="J529" s="396"/>
      <c r="K529" s="387" t="str">
        <f>IF(B529&lt;&gt;"",IF($D529&lt;&gt;"ON ROCS/NOT ON FILE",IFERROR(_xlfn.XLOOKUP(LEFT($D529,3),'STAT 77 Table'!$B:$B,'STAT 77 Table'!$A:$A),"ZZ"&amp;RIGHT($B529,4)),""),"")</f>
        <v/>
      </c>
      <c r="L529" s="396"/>
      <c r="O529" s="388"/>
      <c r="P529" s="388"/>
      <c r="AA529" s="421">
        <f t="shared" si="8"/>
        <v>0</v>
      </c>
    </row>
    <row r="530" spans="1:27" ht="16.5">
      <c r="A530" s="387">
        <f>'STAT 77 Table'!$I$529</f>
        <v>0</v>
      </c>
      <c r="B530"/>
      <c r="C530"/>
      <c r="D530" s="387" t="str">
        <f>IF($B530&lt;&gt;"",IFERROR(IF(LEFT($B530,3)=$Z$2,VLOOKUP($C530,Outbound!$B:$Z,4,FALSE),VLOOKUP($B530,Outbound!$B:$Z,4,FALSE)),"ON ROCS/NOT ON FILE"),"")</f>
        <v/>
      </c>
      <c r="E530" s="387" t="str">
        <f>IF($B530&lt;&gt;"",IFERROR(IF(LEFT($B530,4)=$Z$2,VLOOKUP($C530,Outbound!$B:$Z,5,FALSE),VLOOKUP($B530,Outbound!$B:$Z,5,FALSE)),"ON ROCS/NOT ON FILE"),"")</f>
        <v/>
      </c>
      <c r="F530" s="387" t="str">
        <f>IF(B530&lt;&gt;"",IFERROR(IF(LEFT($B530,3)=$Z$2,VLOOKUP($C530,Outbound!$B:$Z,11,FALSE),VLOOKUP($B530,Outbound!$B:$Z,11,FALSE)),"NON TROVATO"),"")</f>
        <v/>
      </c>
      <c r="G530" s="394" t="str">
        <f>IF(B530&lt;&gt;"",IFERROR(IF(LEFT($B530,3)=$Z$2,VLOOKUP($C530,Outbound!$B:$AAZ,16,FALSE),VLOOKUP($B530,Outbound!$B:$AAZ,16,FALSE)),"NON TROVATO"),"")</f>
        <v/>
      </c>
      <c r="H530" s="394" t="str">
        <f>IF(B530&lt;&gt;"",IFERROR(IF(LEFT($B530,3)=$Z$2,VLOOKUP($C530,Outbound!$B:$AAZ,6,FALSE),VLOOKUP($B530,Outbound!$B:$AAZ,6,FALSE)),"NON TROVATO"),"")</f>
        <v/>
      </c>
      <c r="I530" s="394" t="str">
        <f>IF(B530&lt;&gt;"",IFERROR(IF(LEFT($B530,3)=$Z$2,VLOOKUP($C530,Outbound!$B:$AAZ,52,FALSE),VLOOKUP($B530,Outbound!$B:$AAZ,52,FALSE)),"NON TROVATO"),"")</f>
        <v/>
      </c>
      <c r="J530" s="396"/>
      <c r="K530" s="387" t="str">
        <f>IF(B530&lt;&gt;"",IF($D530&lt;&gt;"ON ROCS/NOT ON FILE",IFERROR(_xlfn.XLOOKUP(LEFT($D530,3),'STAT 77 Table'!$B:$B,'STAT 77 Table'!$A:$A),"ZZ"&amp;RIGHT($B530,4)),""),"")</f>
        <v/>
      </c>
      <c r="L530" s="396"/>
      <c r="O530" s="388"/>
      <c r="P530" s="388"/>
      <c r="AA530" s="421">
        <f t="shared" si="8"/>
        <v>0</v>
      </c>
    </row>
    <row r="531" spans="1:27" ht="16.5">
      <c r="A531" s="387">
        <f>'STAT 77 Table'!$I$530</f>
        <v>0</v>
      </c>
      <c r="B531"/>
      <c r="C531"/>
      <c r="D531" s="387" t="str">
        <f>IF($B531&lt;&gt;"",IFERROR(IF(LEFT($B531,3)=$Z$2,VLOOKUP($C531,Outbound!$B:$Z,4,FALSE),VLOOKUP($B531,Outbound!$B:$Z,4,FALSE)),"ON ROCS/NOT ON FILE"),"")</f>
        <v/>
      </c>
      <c r="E531" s="387" t="str">
        <f>IF($B531&lt;&gt;"",IFERROR(IF(LEFT($B531,4)=$Z$2,VLOOKUP($C531,Outbound!$B:$Z,5,FALSE),VLOOKUP($B531,Outbound!$B:$Z,5,FALSE)),"ON ROCS/NOT ON FILE"),"")</f>
        <v/>
      </c>
      <c r="F531" s="387" t="str">
        <f>IF(B531&lt;&gt;"",IFERROR(IF(LEFT($B531,3)=$Z$2,VLOOKUP($C531,Outbound!$B:$Z,11,FALSE),VLOOKUP($B531,Outbound!$B:$Z,11,FALSE)),"NON TROVATO"),"")</f>
        <v/>
      </c>
      <c r="G531" s="394" t="str">
        <f>IF(B531&lt;&gt;"",IFERROR(IF(LEFT($B531,3)=$Z$2,VLOOKUP($C531,Outbound!$B:$AAZ,16,FALSE),VLOOKUP($B531,Outbound!$B:$AAZ,16,FALSE)),"NON TROVATO"),"")</f>
        <v/>
      </c>
      <c r="H531" s="394" t="str">
        <f>IF(B531&lt;&gt;"",IFERROR(IF(LEFT($B531,3)=$Z$2,VLOOKUP($C531,Outbound!$B:$AAZ,6,FALSE),VLOOKUP($B531,Outbound!$B:$AAZ,6,FALSE)),"NON TROVATO"),"")</f>
        <v/>
      </c>
      <c r="I531" s="394" t="str">
        <f>IF(B531&lt;&gt;"",IFERROR(IF(LEFT($B531,3)=$Z$2,VLOOKUP($C531,Outbound!$B:$AAZ,52,FALSE),VLOOKUP($B531,Outbound!$B:$AAZ,52,FALSE)),"NON TROVATO"),"")</f>
        <v/>
      </c>
      <c r="J531" s="396"/>
      <c r="K531" s="387" t="str">
        <f>IF(B531&lt;&gt;"",IF($D531&lt;&gt;"ON ROCS/NOT ON FILE",IFERROR(_xlfn.XLOOKUP(LEFT($D531,3),'STAT 77 Table'!$B:$B,'STAT 77 Table'!$A:$A),"ZZ"&amp;RIGHT($B531,4)),""),"")</f>
        <v/>
      </c>
      <c r="L531" s="396"/>
      <c r="O531" s="388"/>
      <c r="P531" s="388"/>
      <c r="AA531" s="421">
        <f t="shared" si="8"/>
        <v>0</v>
      </c>
    </row>
    <row r="532" spans="1:27" ht="16.5">
      <c r="A532" s="387">
        <f>'STAT 77 Table'!$I$531</f>
        <v>0</v>
      </c>
      <c r="B532"/>
      <c r="C532"/>
      <c r="D532" s="387" t="str">
        <f>IF($B532&lt;&gt;"",IFERROR(IF(LEFT($B532,3)=$Z$2,VLOOKUP($C532,Outbound!$B:$Z,4,FALSE),VLOOKUP($B532,Outbound!$B:$Z,4,FALSE)),"ON ROCS/NOT ON FILE"),"")</f>
        <v/>
      </c>
      <c r="E532" s="387" t="str">
        <f>IF($B532&lt;&gt;"",IFERROR(IF(LEFT($B532,4)=$Z$2,VLOOKUP($C532,Outbound!$B:$Z,5,FALSE),VLOOKUP($B532,Outbound!$B:$Z,5,FALSE)),"ON ROCS/NOT ON FILE"),"")</f>
        <v/>
      </c>
      <c r="F532" s="387" t="str">
        <f>IF(B532&lt;&gt;"",IFERROR(IF(LEFT($B532,3)=$Z$2,VLOOKUP($C532,Outbound!$B:$Z,11,FALSE),VLOOKUP($B532,Outbound!$B:$Z,11,FALSE)),"NON TROVATO"),"")</f>
        <v/>
      </c>
      <c r="G532" s="394" t="str">
        <f>IF(B532&lt;&gt;"",IFERROR(IF(LEFT($B532,3)=$Z$2,VLOOKUP($C532,Outbound!$B:$AAZ,16,FALSE),VLOOKUP($B532,Outbound!$B:$AAZ,16,FALSE)),"NON TROVATO"),"")</f>
        <v/>
      </c>
      <c r="H532" s="394" t="str">
        <f>IF(B532&lt;&gt;"",IFERROR(IF(LEFT($B532,3)=$Z$2,VLOOKUP($C532,Outbound!$B:$AAZ,6,FALSE),VLOOKUP($B532,Outbound!$B:$AAZ,6,FALSE)),"NON TROVATO"),"")</f>
        <v/>
      </c>
      <c r="I532" s="394" t="str">
        <f>IF(B532&lt;&gt;"",IFERROR(IF(LEFT($B532,3)=$Z$2,VLOOKUP($C532,Outbound!$B:$AAZ,52,FALSE),VLOOKUP($B532,Outbound!$B:$AAZ,52,FALSE)),"NON TROVATO"),"")</f>
        <v/>
      </c>
      <c r="J532" s="396"/>
      <c r="K532" s="387" t="str">
        <f>IF(B532&lt;&gt;"",IF($D532&lt;&gt;"ON ROCS/NOT ON FILE",IFERROR(_xlfn.XLOOKUP(LEFT($D532,3),'STAT 77 Table'!$B:$B,'STAT 77 Table'!$A:$A),"ZZ"&amp;RIGHT($B532,4)),""),"")</f>
        <v/>
      </c>
      <c r="L532" s="396"/>
      <c r="O532" s="388"/>
      <c r="P532" s="388"/>
      <c r="AA532" s="421">
        <f t="shared" si="8"/>
        <v>0</v>
      </c>
    </row>
    <row r="533" spans="1:27" ht="16.5">
      <c r="A533" s="387">
        <f>'STAT 77 Table'!$I$532</f>
        <v>0</v>
      </c>
      <c r="B533"/>
      <c r="C533"/>
      <c r="D533" s="387" t="str">
        <f>IF($B533&lt;&gt;"",IFERROR(IF(LEFT($B533,3)=$Z$2,VLOOKUP($C533,Outbound!$B:$Z,4,FALSE),VLOOKUP($B533,Outbound!$B:$Z,4,FALSE)),"ON ROCS/NOT ON FILE"),"")</f>
        <v/>
      </c>
      <c r="E533" s="387" t="str">
        <f>IF($B533&lt;&gt;"",IFERROR(IF(LEFT($B533,4)=$Z$2,VLOOKUP($C533,Outbound!$B:$Z,5,FALSE),VLOOKUP($B533,Outbound!$B:$Z,5,FALSE)),"ON ROCS/NOT ON FILE"),"")</f>
        <v/>
      </c>
      <c r="F533" s="387" t="str">
        <f>IF(B533&lt;&gt;"",IFERROR(IF(LEFT($B533,3)=$Z$2,VLOOKUP($C533,Outbound!$B:$Z,11,FALSE),VLOOKUP($B533,Outbound!$B:$Z,11,FALSE)),"NON TROVATO"),"")</f>
        <v/>
      </c>
      <c r="G533" s="394" t="str">
        <f>IF(B533&lt;&gt;"",IFERROR(IF(LEFT($B533,3)=$Z$2,VLOOKUP($C533,Outbound!$B:$AAZ,16,FALSE),VLOOKUP($B533,Outbound!$B:$AAZ,16,FALSE)),"NON TROVATO"),"")</f>
        <v/>
      </c>
      <c r="H533" s="394" t="str">
        <f>IF(B533&lt;&gt;"",IFERROR(IF(LEFT($B533,3)=$Z$2,VLOOKUP($C533,Outbound!$B:$AAZ,6,FALSE),VLOOKUP($B533,Outbound!$B:$AAZ,6,FALSE)),"NON TROVATO"),"")</f>
        <v/>
      </c>
      <c r="I533" s="394" t="str">
        <f>IF(B533&lt;&gt;"",IFERROR(IF(LEFT($B533,3)=$Z$2,VLOOKUP($C533,Outbound!$B:$AAZ,52,FALSE),VLOOKUP($B533,Outbound!$B:$AAZ,52,FALSE)),"NON TROVATO"),"")</f>
        <v/>
      </c>
      <c r="J533" s="396"/>
      <c r="K533" s="387" t="str">
        <f>IF(B533&lt;&gt;"",IF($D533&lt;&gt;"ON ROCS/NOT ON FILE",IFERROR(_xlfn.XLOOKUP(LEFT($D533,3),'STAT 77 Table'!$B:$B,'STAT 77 Table'!$A:$A),"ZZ"&amp;RIGHT($B533,4)),""),"")</f>
        <v/>
      </c>
      <c r="L533" s="396"/>
      <c r="O533" s="388"/>
      <c r="P533" s="388"/>
      <c r="AA533" s="421">
        <f t="shared" si="8"/>
        <v>0</v>
      </c>
    </row>
    <row r="534" spans="1:27" ht="16.5">
      <c r="A534" s="387">
        <f>'STAT 77 Table'!$I$533</f>
        <v>0</v>
      </c>
      <c r="B534"/>
      <c r="C534"/>
      <c r="D534" s="387" t="str">
        <f>IF($B534&lt;&gt;"",IFERROR(IF(LEFT($B534,3)=$Z$2,VLOOKUP($C534,Outbound!$B:$Z,4,FALSE),VLOOKUP($B534,Outbound!$B:$Z,4,FALSE)),"ON ROCS/NOT ON FILE"),"")</f>
        <v/>
      </c>
      <c r="E534" s="387" t="str">
        <f>IF($B534&lt;&gt;"",IFERROR(IF(LEFT($B534,4)=$Z$2,VLOOKUP($C534,Outbound!$B:$Z,5,FALSE),VLOOKUP($B534,Outbound!$B:$Z,5,FALSE)),"ON ROCS/NOT ON FILE"),"")</f>
        <v/>
      </c>
      <c r="F534" s="387" t="str">
        <f>IF(B534&lt;&gt;"",IFERROR(IF(LEFT($B534,3)=$Z$2,VLOOKUP($C534,Outbound!$B:$Z,11,FALSE),VLOOKUP($B534,Outbound!$B:$Z,11,FALSE)),"NON TROVATO"),"")</f>
        <v/>
      </c>
      <c r="G534" s="394" t="str">
        <f>IF(B534&lt;&gt;"",IFERROR(IF(LEFT($B534,3)=$Z$2,VLOOKUP($C534,Outbound!$B:$AAZ,16,FALSE),VLOOKUP($B534,Outbound!$B:$AAZ,16,FALSE)),"NON TROVATO"),"")</f>
        <v/>
      </c>
      <c r="H534" s="394" t="str">
        <f>IF(B534&lt;&gt;"",IFERROR(IF(LEFT($B534,3)=$Z$2,VLOOKUP($C534,Outbound!$B:$AAZ,6,FALSE),VLOOKUP($B534,Outbound!$B:$AAZ,6,FALSE)),"NON TROVATO"),"")</f>
        <v/>
      </c>
      <c r="I534" s="394" t="str">
        <f>IF(B534&lt;&gt;"",IFERROR(IF(LEFT($B534,3)=$Z$2,VLOOKUP($C534,Outbound!$B:$AAZ,52,FALSE),VLOOKUP($B534,Outbound!$B:$AAZ,52,FALSE)),"NON TROVATO"),"")</f>
        <v/>
      </c>
      <c r="J534" s="396"/>
      <c r="K534" s="387" t="str">
        <f>IF(B534&lt;&gt;"",IF($D534&lt;&gt;"ON ROCS/NOT ON FILE",IFERROR(_xlfn.XLOOKUP(LEFT($D534,3),'STAT 77 Table'!$B:$B,'STAT 77 Table'!$A:$A),"ZZ"&amp;RIGHT($B534,4)),""),"")</f>
        <v/>
      </c>
      <c r="L534" s="396"/>
      <c r="O534" s="388"/>
      <c r="P534" s="388"/>
      <c r="AA534" s="421">
        <f t="shared" si="8"/>
        <v>0</v>
      </c>
    </row>
    <row r="535" spans="1:27" ht="16.5">
      <c r="A535" s="387">
        <f>'STAT 77 Table'!$I$534</f>
        <v>0</v>
      </c>
      <c r="B535"/>
      <c r="C535"/>
      <c r="D535" s="387" t="str">
        <f>IF($B535&lt;&gt;"",IFERROR(IF(LEFT($B535,3)=$Z$2,VLOOKUP($C535,Outbound!$B:$Z,4,FALSE),VLOOKUP($B535,Outbound!$B:$Z,4,FALSE)),"ON ROCS/NOT ON FILE"),"")</f>
        <v/>
      </c>
      <c r="E535" s="387" t="str">
        <f>IF($B535&lt;&gt;"",IFERROR(IF(LEFT($B535,4)=$Z$2,VLOOKUP($C535,Outbound!$B:$Z,5,FALSE),VLOOKUP($B535,Outbound!$B:$Z,5,FALSE)),"ON ROCS/NOT ON FILE"),"")</f>
        <v/>
      </c>
      <c r="F535" s="387" t="str">
        <f>IF(B535&lt;&gt;"",IFERROR(IF(LEFT($B535,3)=$Z$2,VLOOKUP($C535,Outbound!$B:$Z,11,FALSE),VLOOKUP($B535,Outbound!$B:$Z,11,FALSE)),"NON TROVATO"),"")</f>
        <v/>
      </c>
      <c r="G535" s="394" t="str">
        <f>IF(B535&lt;&gt;"",IFERROR(IF(LEFT($B535,3)=$Z$2,VLOOKUP($C535,Outbound!$B:$AAZ,16,FALSE),VLOOKUP($B535,Outbound!$B:$AAZ,16,FALSE)),"NON TROVATO"),"")</f>
        <v/>
      </c>
      <c r="H535" s="394" t="str">
        <f>IF(B535&lt;&gt;"",IFERROR(IF(LEFT($B535,3)=$Z$2,VLOOKUP($C535,Outbound!$B:$AAZ,6,FALSE),VLOOKUP($B535,Outbound!$B:$AAZ,6,FALSE)),"NON TROVATO"),"")</f>
        <v/>
      </c>
      <c r="I535" s="394" t="str">
        <f>IF(B535&lt;&gt;"",IFERROR(IF(LEFT($B535,3)=$Z$2,VLOOKUP($C535,Outbound!$B:$AAZ,52,FALSE),VLOOKUP($B535,Outbound!$B:$AAZ,52,FALSE)),"NON TROVATO"),"")</f>
        <v/>
      </c>
      <c r="J535" s="396"/>
      <c r="K535" s="387" t="str">
        <f>IF(B535&lt;&gt;"",IF($D535&lt;&gt;"ON ROCS/NOT ON FILE",IFERROR(_xlfn.XLOOKUP(LEFT($D535,3),'STAT 77 Table'!$B:$B,'STAT 77 Table'!$A:$A),"ZZ"&amp;RIGHT($B535,4)),""),"")</f>
        <v/>
      </c>
      <c r="L535" s="396"/>
      <c r="O535" s="388"/>
      <c r="P535" s="388"/>
      <c r="AA535" s="421">
        <f t="shared" si="8"/>
        <v>0</v>
      </c>
    </row>
    <row r="536" spans="1:27" ht="16.5">
      <c r="A536" s="387">
        <f>'STAT 77 Table'!$I$535</f>
        <v>0</v>
      </c>
      <c r="B536"/>
      <c r="C536"/>
      <c r="D536" s="387" t="str">
        <f>IF($B536&lt;&gt;"",IFERROR(IF(LEFT($B536,3)=$Z$2,VLOOKUP($C536,Outbound!$B:$Z,4,FALSE),VLOOKUP($B536,Outbound!$B:$Z,4,FALSE)),"ON ROCS/NOT ON FILE"),"")</f>
        <v/>
      </c>
      <c r="E536" s="387" t="str">
        <f>IF($B536&lt;&gt;"",IFERROR(IF(LEFT($B536,4)=$Z$2,VLOOKUP($C536,Outbound!$B:$Z,5,FALSE),VLOOKUP($B536,Outbound!$B:$Z,5,FALSE)),"ON ROCS/NOT ON FILE"),"")</f>
        <v/>
      </c>
      <c r="F536" s="387" t="str">
        <f>IF(B536&lt;&gt;"",IFERROR(IF(LEFT($B536,3)=$Z$2,VLOOKUP($C536,Outbound!$B:$Z,11,FALSE),VLOOKUP($B536,Outbound!$B:$Z,11,FALSE)),"NON TROVATO"),"")</f>
        <v/>
      </c>
      <c r="G536" s="394" t="str">
        <f>IF(B536&lt;&gt;"",IFERROR(IF(LEFT($B536,3)=$Z$2,VLOOKUP($C536,Outbound!$B:$AAZ,16,FALSE),VLOOKUP($B536,Outbound!$B:$AAZ,16,FALSE)),"NON TROVATO"),"")</f>
        <v/>
      </c>
      <c r="H536" s="394" t="str">
        <f>IF(B536&lt;&gt;"",IFERROR(IF(LEFT($B536,3)=$Z$2,VLOOKUP($C536,Outbound!$B:$AAZ,6,FALSE),VLOOKUP($B536,Outbound!$B:$AAZ,6,FALSE)),"NON TROVATO"),"")</f>
        <v/>
      </c>
      <c r="I536" s="394" t="str">
        <f>IF(B536&lt;&gt;"",IFERROR(IF(LEFT($B536,3)=$Z$2,VLOOKUP($C536,Outbound!$B:$AAZ,52,FALSE),VLOOKUP($B536,Outbound!$B:$AAZ,52,FALSE)),"NON TROVATO"),"")</f>
        <v/>
      </c>
      <c r="J536" s="396"/>
      <c r="K536" s="387" t="str">
        <f>IF(B536&lt;&gt;"",IF($D536&lt;&gt;"ON ROCS/NOT ON FILE",IFERROR(_xlfn.XLOOKUP(LEFT($D536,3),'STAT 77 Table'!$B:$B,'STAT 77 Table'!$A:$A),"ZZ"&amp;RIGHT($B536,4)),""),"")</f>
        <v/>
      </c>
      <c r="L536" s="396"/>
      <c r="O536" s="388"/>
      <c r="P536" s="388"/>
      <c r="AA536" s="421">
        <f t="shared" si="8"/>
        <v>0</v>
      </c>
    </row>
    <row r="537" spans="1:27" ht="16.5">
      <c r="A537" s="387">
        <f>'STAT 77 Table'!$I$536</f>
        <v>0</v>
      </c>
      <c r="B537"/>
      <c r="C537"/>
      <c r="D537" s="387" t="str">
        <f>IF($B537&lt;&gt;"",IFERROR(IF(LEFT($B537,3)=$Z$2,VLOOKUP($C537,Outbound!$B:$Z,4,FALSE),VLOOKUP($B537,Outbound!$B:$Z,4,FALSE)),"ON ROCS/NOT ON FILE"),"")</f>
        <v/>
      </c>
      <c r="E537" s="387" t="str">
        <f>IF($B537&lt;&gt;"",IFERROR(IF(LEFT($B537,4)=$Z$2,VLOOKUP($C537,Outbound!$B:$Z,5,FALSE),VLOOKUP($B537,Outbound!$B:$Z,5,FALSE)),"ON ROCS/NOT ON FILE"),"")</f>
        <v/>
      </c>
      <c r="F537" s="387" t="str">
        <f>IF(B537&lt;&gt;"",IFERROR(IF(LEFT($B537,3)=$Z$2,VLOOKUP($C537,Outbound!$B:$Z,11,FALSE),VLOOKUP($B537,Outbound!$B:$Z,11,FALSE)),"NON TROVATO"),"")</f>
        <v/>
      </c>
      <c r="G537" s="394" t="str">
        <f>IF(B537&lt;&gt;"",IFERROR(IF(LEFT($B537,3)=$Z$2,VLOOKUP($C537,Outbound!$B:$AAZ,16,FALSE),VLOOKUP($B537,Outbound!$B:$AAZ,16,FALSE)),"NON TROVATO"),"")</f>
        <v/>
      </c>
      <c r="H537" s="394" t="str">
        <f>IF(B537&lt;&gt;"",IFERROR(IF(LEFT($B537,3)=$Z$2,VLOOKUP($C537,Outbound!$B:$AAZ,6,FALSE),VLOOKUP($B537,Outbound!$B:$AAZ,6,FALSE)),"NON TROVATO"),"")</f>
        <v/>
      </c>
      <c r="I537" s="394" t="str">
        <f>IF(B537&lt;&gt;"",IFERROR(IF(LEFT($B537,3)=$Z$2,VLOOKUP($C537,Outbound!$B:$AAZ,52,FALSE),VLOOKUP($B537,Outbound!$B:$AAZ,52,FALSE)),"NON TROVATO"),"")</f>
        <v/>
      </c>
      <c r="J537" s="396"/>
      <c r="K537" s="387" t="str">
        <f>IF(B537&lt;&gt;"",IF($D537&lt;&gt;"ON ROCS/NOT ON FILE",IFERROR(_xlfn.XLOOKUP(LEFT($D537,3),'STAT 77 Table'!$B:$B,'STAT 77 Table'!$A:$A),"ZZ"&amp;RIGHT($B537,4)),""),"")</f>
        <v/>
      </c>
      <c r="L537" s="396"/>
      <c r="O537" s="388"/>
      <c r="P537" s="388"/>
      <c r="AA537" s="421">
        <f t="shared" si="8"/>
        <v>0</v>
      </c>
    </row>
    <row r="538" spans="1:27" ht="16.5">
      <c r="A538" s="387">
        <f>'STAT 77 Table'!$I$537</f>
        <v>0</v>
      </c>
      <c r="B538"/>
      <c r="C538"/>
      <c r="D538" s="387" t="str">
        <f>IF($B538&lt;&gt;"",IFERROR(IF(LEFT($B538,3)=$Z$2,VLOOKUP($C538,Outbound!$B:$Z,4,FALSE),VLOOKUP($B538,Outbound!$B:$Z,4,FALSE)),"ON ROCS/NOT ON FILE"),"")</f>
        <v/>
      </c>
      <c r="E538" s="387" t="str">
        <f>IF($B538&lt;&gt;"",IFERROR(IF(LEFT($B538,4)=$Z$2,VLOOKUP($C538,Outbound!$B:$Z,5,FALSE),VLOOKUP($B538,Outbound!$B:$Z,5,FALSE)),"ON ROCS/NOT ON FILE"),"")</f>
        <v/>
      </c>
      <c r="F538" s="387" t="str">
        <f>IF(B538&lt;&gt;"",IFERROR(IF(LEFT($B538,3)=$Z$2,VLOOKUP($C538,Outbound!$B:$Z,11,FALSE),VLOOKUP($B538,Outbound!$B:$Z,11,FALSE)),"NON TROVATO"),"")</f>
        <v/>
      </c>
      <c r="G538" s="394" t="str">
        <f>IF(B538&lt;&gt;"",IFERROR(IF(LEFT($B538,3)=$Z$2,VLOOKUP($C538,Outbound!$B:$AAZ,16,FALSE),VLOOKUP($B538,Outbound!$B:$AAZ,16,FALSE)),"NON TROVATO"),"")</f>
        <v/>
      </c>
      <c r="H538" s="394" t="str">
        <f>IF(B538&lt;&gt;"",IFERROR(IF(LEFT($B538,3)=$Z$2,VLOOKUP($C538,Outbound!$B:$AAZ,6,FALSE),VLOOKUP($B538,Outbound!$B:$AAZ,6,FALSE)),"NON TROVATO"),"")</f>
        <v/>
      </c>
      <c r="I538" s="394" t="str">
        <f>IF(B538&lt;&gt;"",IFERROR(IF(LEFT($B538,3)=$Z$2,VLOOKUP($C538,Outbound!$B:$AAZ,52,FALSE),VLOOKUP($B538,Outbound!$B:$AAZ,52,FALSE)),"NON TROVATO"),"")</f>
        <v/>
      </c>
      <c r="J538" s="396"/>
      <c r="K538" s="387" t="str">
        <f>IF(B538&lt;&gt;"",IF($D538&lt;&gt;"ON ROCS/NOT ON FILE",IFERROR(_xlfn.XLOOKUP(LEFT($D538,3),'STAT 77 Table'!$B:$B,'STAT 77 Table'!$A:$A),"ZZ"&amp;RIGHT($B538,4)),""),"")</f>
        <v/>
      </c>
      <c r="L538" s="396"/>
      <c r="O538" s="388"/>
      <c r="P538" s="388"/>
      <c r="AA538" s="421">
        <f t="shared" si="8"/>
        <v>0</v>
      </c>
    </row>
    <row r="539" spans="1:27" ht="16.5">
      <c r="A539" s="387">
        <f>'STAT 77 Table'!$I$538</f>
        <v>0</v>
      </c>
      <c r="B539"/>
      <c r="C539"/>
      <c r="D539" s="387" t="str">
        <f>IF($B539&lt;&gt;"",IFERROR(IF(LEFT($B539,3)=$Z$2,VLOOKUP($C539,Outbound!$B:$Z,4,FALSE),VLOOKUP($B539,Outbound!$B:$Z,4,FALSE)),"ON ROCS/NOT ON FILE"),"")</f>
        <v/>
      </c>
      <c r="E539" s="387" t="str">
        <f>IF($B539&lt;&gt;"",IFERROR(IF(LEFT($B539,4)=$Z$2,VLOOKUP($C539,Outbound!$B:$Z,5,FALSE),VLOOKUP($B539,Outbound!$B:$Z,5,FALSE)),"ON ROCS/NOT ON FILE"),"")</f>
        <v/>
      </c>
      <c r="F539" s="387" t="str">
        <f>IF(B539&lt;&gt;"",IFERROR(IF(LEFT($B539,3)=$Z$2,VLOOKUP($C539,Outbound!$B:$Z,11,FALSE),VLOOKUP($B539,Outbound!$B:$Z,11,FALSE)),"NON TROVATO"),"")</f>
        <v/>
      </c>
      <c r="G539" s="394" t="str">
        <f>IF(B539&lt;&gt;"",IFERROR(IF(LEFT($B539,3)=$Z$2,VLOOKUP($C539,Outbound!$B:$AAZ,16,FALSE),VLOOKUP($B539,Outbound!$B:$AAZ,16,FALSE)),"NON TROVATO"),"")</f>
        <v/>
      </c>
      <c r="H539" s="394" t="str">
        <f>IF(B539&lt;&gt;"",IFERROR(IF(LEFT($B539,3)=$Z$2,VLOOKUP($C539,Outbound!$B:$AAZ,6,FALSE),VLOOKUP($B539,Outbound!$B:$AAZ,6,FALSE)),"NON TROVATO"),"")</f>
        <v/>
      </c>
      <c r="I539" s="394" t="str">
        <f>IF(B539&lt;&gt;"",IFERROR(IF(LEFT($B539,3)=$Z$2,VLOOKUP($C539,Outbound!$B:$AAZ,52,FALSE),VLOOKUP($B539,Outbound!$B:$AAZ,52,FALSE)),"NON TROVATO"),"")</f>
        <v/>
      </c>
      <c r="J539" s="396"/>
      <c r="K539" s="387" t="str">
        <f>IF(B539&lt;&gt;"",IF($D539&lt;&gt;"ON ROCS/NOT ON FILE",IFERROR(_xlfn.XLOOKUP(LEFT($D539,3),'STAT 77 Table'!$B:$B,'STAT 77 Table'!$A:$A),"ZZ"&amp;RIGHT($B539,4)),""),"")</f>
        <v/>
      </c>
      <c r="L539" s="396"/>
      <c r="O539" s="388"/>
      <c r="P539" s="388"/>
      <c r="AA539" s="421">
        <f t="shared" si="8"/>
        <v>0</v>
      </c>
    </row>
    <row r="540" spans="1:27" ht="16.5">
      <c r="A540" s="387">
        <f>'STAT 77 Table'!$I$539</f>
        <v>0</v>
      </c>
      <c r="B540"/>
      <c r="C540"/>
      <c r="D540" s="387" t="str">
        <f>IF($B540&lt;&gt;"",IFERROR(IF(LEFT($B540,3)=$Z$2,VLOOKUP($C540,Outbound!$B:$Z,4,FALSE),VLOOKUP($B540,Outbound!$B:$Z,4,FALSE)),"ON ROCS/NOT ON FILE"),"")</f>
        <v/>
      </c>
      <c r="E540" s="387" t="str">
        <f>IF($B540&lt;&gt;"",IFERROR(IF(LEFT($B540,4)=$Z$2,VLOOKUP($C540,Outbound!$B:$Z,5,FALSE),VLOOKUP($B540,Outbound!$B:$Z,5,FALSE)),"ON ROCS/NOT ON FILE"),"")</f>
        <v/>
      </c>
      <c r="F540" s="387" t="str">
        <f>IF(B540&lt;&gt;"",IFERROR(IF(LEFT($B540,3)=$Z$2,VLOOKUP($C540,Outbound!$B:$Z,11,FALSE),VLOOKUP($B540,Outbound!$B:$Z,11,FALSE)),"NON TROVATO"),"")</f>
        <v/>
      </c>
      <c r="G540" s="394" t="str">
        <f>IF(B540&lt;&gt;"",IFERROR(IF(LEFT($B540,3)=$Z$2,VLOOKUP($C540,Outbound!$B:$AAZ,16,FALSE),VLOOKUP($B540,Outbound!$B:$AAZ,16,FALSE)),"NON TROVATO"),"")</f>
        <v/>
      </c>
      <c r="H540" s="394" t="str">
        <f>IF(B540&lt;&gt;"",IFERROR(IF(LEFT($B540,3)=$Z$2,VLOOKUP($C540,Outbound!$B:$AAZ,6,FALSE),VLOOKUP($B540,Outbound!$B:$AAZ,6,FALSE)),"NON TROVATO"),"")</f>
        <v/>
      </c>
      <c r="I540" s="394" t="str">
        <f>IF(B540&lt;&gt;"",IFERROR(IF(LEFT($B540,3)=$Z$2,VLOOKUP($C540,Outbound!$B:$AAZ,52,FALSE),VLOOKUP($B540,Outbound!$B:$AAZ,52,FALSE)),"NON TROVATO"),"")</f>
        <v/>
      </c>
      <c r="J540" s="396"/>
      <c r="K540" s="387" t="str">
        <f>IF(B540&lt;&gt;"",IF($D540&lt;&gt;"ON ROCS/NOT ON FILE",IFERROR(_xlfn.XLOOKUP(LEFT($D540,3),'STAT 77 Table'!$B:$B,'STAT 77 Table'!$A:$A),"ZZ"&amp;RIGHT($B540,4)),""),"")</f>
        <v/>
      </c>
      <c r="L540" s="396"/>
      <c r="O540" s="388"/>
      <c r="P540" s="388"/>
      <c r="AA540" s="421">
        <f t="shared" si="8"/>
        <v>0</v>
      </c>
    </row>
    <row r="541" spans="1:27" ht="16.5">
      <c r="A541" s="387">
        <f>'STAT 77 Table'!$I$540</f>
        <v>0</v>
      </c>
      <c r="B541"/>
      <c r="C541"/>
      <c r="D541" s="387" t="str">
        <f>IF($B541&lt;&gt;"",IFERROR(IF(LEFT($B541,3)=$Z$2,VLOOKUP($C541,Outbound!$B:$Z,4,FALSE),VLOOKUP($B541,Outbound!$B:$Z,4,FALSE)),"ON ROCS/NOT ON FILE"),"")</f>
        <v/>
      </c>
      <c r="E541" s="387" t="str">
        <f>IF($B541&lt;&gt;"",IFERROR(IF(LEFT($B541,4)=$Z$2,VLOOKUP($C541,Outbound!$B:$Z,5,FALSE),VLOOKUP($B541,Outbound!$B:$Z,5,FALSE)),"ON ROCS/NOT ON FILE"),"")</f>
        <v/>
      </c>
      <c r="F541" s="387" t="str">
        <f>IF(B541&lt;&gt;"",IFERROR(IF(LEFT($B541,3)=$Z$2,VLOOKUP($C541,Outbound!$B:$Z,11,FALSE),VLOOKUP($B541,Outbound!$B:$Z,11,FALSE)),"NON TROVATO"),"")</f>
        <v/>
      </c>
      <c r="G541" s="394" t="str">
        <f>IF(B541&lt;&gt;"",IFERROR(IF(LEFT($B541,3)=$Z$2,VLOOKUP($C541,Outbound!$B:$AAZ,16,FALSE),VLOOKUP($B541,Outbound!$B:$AAZ,16,FALSE)),"NON TROVATO"),"")</f>
        <v/>
      </c>
      <c r="H541" s="394" t="str">
        <f>IF(B541&lt;&gt;"",IFERROR(IF(LEFT($B541,3)=$Z$2,VLOOKUP($C541,Outbound!$B:$AAZ,6,FALSE),VLOOKUP($B541,Outbound!$B:$AAZ,6,FALSE)),"NON TROVATO"),"")</f>
        <v/>
      </c>
      <c r="I541" s="394" t="str">
        <f>IF(B541&lt;&gt;"",IFERROR(IF(LEFT($B541,3)=$Z$2,VLOOKUP($C541,Outbound!$B:$AAZ,52,FALSE),VLOOKUP($B541,Outbound!$B:$AAZ,52,FALSE)),"NON TROVATO"),"")</f>
        <v/>
      </c>
      <c r="J541" s="396"/>
      <c r="K541" s="387" t="str">
        <f>IF(B541&lt;&gt;"",IF($D541&lt;&gt;"ON ROCS/NOT ON FILE",IFERROR(_xlfn.XLOOKUP(LEFT($D541,3),'STAT 77 Table'!$B:$B,'STAT 77 Table'!$A:$A),"ZZ"&amp;RIGHT($B541,4)),""),"")</f>
        <v/>
      </c>
      <c r="L541" s="396"/>
      <c r="O541" s="388"/>
      <c r="P541" s="388"/>
      <c r="AA541" s="421">
        <f t="shared" si="8"/>
        <v>0</v>
      </c>
    </row>
    <row r="542" spans="1:27" ht="16.5">
      <c r="A542" s="387">
        <f>'STAT 77 Table'!$I$541</f>
        <v>0</v>
      </c>
      <c r="B542"/>
      <c r="C542"/>
      <c r="D542" s="387" t="str">
        <f>IF($B542&lt;&gt;"",IFERROR(IF(LEFT($B542,3)=$Z$2,VLOOKUP($C542,Outbound!$B:$Z,4,FALSE),VLOOKUP($B542,Outbound!$B:$Z,4,FALSE)),"ON ROCS/NOT ON FILE"),"")</f>
        <v/>
      </c>
      <c r="E542" s="387" t="str">
        <f>IF($B542&lt;&gt;"",IFERROR(IF(LEFT($B542,4)=$Z$2,VLOOKUP($C542,Outbound!$B:$Z,5,FALSE),VLOOKUP($B542,Outbound!$B:$Z,5,FALSE)),"ON ROCS/NOT ON FILE"),"")</f>
        <v/>
      </c>
      <c r="F542" s="387" t="str">
        <f>IF(B542&lt;&gt;"",IFERROR(IF(LEFT($B542,3)=$Z$2,VLOOKUP($C542,Outbound!$B:$Z,11,FALSE),VLOOKUP($B542,Outbound!$B:$Z,11,FALSE)),"NON TROVATO"),"")</f>
        <v/>
      </c>
      <c r="G542" s="394" t="str">
        <f>IF(B542&lt;&gt;"",IFERROR(IF(LEFT($B542,3)=$Z$2,VLOOKUP($C542,Outbound!$B:$AAZ,16,FALSE),VLOOKUP($B542,Outbound!$B:$AAZ,16,FALSE)),"NON TROVATO"),"")</f>
        <v/>
      </c>
      <c r="H542" s="394" t="str">
        <f>IF(B542&lt;&gt;"",IFERROR(IF(LEFT($B542,3)=$Z$2,VLOOKUP($C542,Outbound!$B:$AAZ,6,FALSE),VLOOKUP($B542,Outbound!$B:$AAZ,6,FALSE)),"NON TROVATO"),"")</f>
        <v/>
      </c>
      <c r="I542" s="394" t="str">
        <f>IF(B542&lt;&gt;"",IFERROR(IF(LEFT($B542,3)=$Z$2,VLOOKUP($C542,Outbound!$B:$AAZ,52,FALSE),VLOOKUP($B542,Outbound!$B:$AAZ,52,FALSE)),"NON TROVATO"),"")</f>
        <v/>
      </c>
      <c r="J542" s="396"/>
      <c r="K542" s="387" t="str">
        <f>IF(B542&lt;&gt;"",IF($D542&lt;&gt;"ON ROCS/NOT ON FILE",IFERROR(_xlfn.XLOOKUP(LEFT($D542,3),'STAT 77 Table'!$B:$B,'STAT 77 Table'!$A:$A),"ZZ"&amp;RIGHT($B542,4)),""),"")</f>
        <v/>
      </c>
      <c r="L542" s="396"/>
      <c r="O542" s="388"/>
      <c r="P542" s="388"/>
      <c r="AA542" s="421">
        <f t="shared" si="8"/>
        <v>0</v>
      </c>
    </row>
    <row r="543" spans="1:27" ht="16.5">
      <c r="A543" s="387">
        <f>'STAT 77 Table'!$I$542</f>
        <v>0</v>
      </c>
      <c r="B543"/>
      <c r="C543"/>
      <c r="D543" s="387" t="str">
        <f>IF($B543&lt;&gt;"",IFERROR(IF(LEFT($B543,3)=$Z$2,VLOOKUP($C543,Outbound!$B:$Z,4,FALSE),VLOOKUP($B543,Outbound!$B:$Z,4,FALSE)),"ON ROCS/NOT ON FILE"),"")</f>
        <v/>
      </c>
      <c r="E543" s="387" t="str">
        <f>IF($B543&lt;&gt;"",IFERROR(IF(LEFT($B543,4)=$Z$2,VLOOKUP($C543,Outbound!$B:$Z,5,FALSE),VLOOKUP($B543,Outbound!$B:$Z,5,FALSE)),"ON ROCS/NOT ON FILE"),"")</f>
        <v/>
      </c>
      <c r="F543" s="387" t="str">
        <f>IF(B543&lt;&gt;"",IFERROR(IF(LEFT($B543,3)=$Z$2,VLOOKUP($C543,Outbound!$B:$Z,11,FALSE),VLOOKUP($B543,Outbound!$B:$Z,11,FALSE)),"NON TROVATO"),"")</f>
        <v/>
      </c>
      <c r="G543" s="394" t="str">
        <f>IF(B543&lt;&gt;"",IFERROR(IF(LEFT($B543,3)=$Z$2,VLOOKUP($C543,Outbound!$B:$AAZ,16,FALSE),VLOOKUP($B543,Outbound!$B:$AAZ,16,FALSE)),"NON TROVATO"),"")</f>
        <v/>
      </c>
      <c r="H543" s="394" t="str">
        <f>IF(B543&lt;&gt;"",IFERROR(IF(LEFT($B543,3)=$Z$2,VLOOKUP($C543,Outbound!$B:$AAZ,6,FALSE),VLOOKUP($B543,Outbound!$B:$AAZ,6,FALSE)),"NON TROVATO"),"")</f>
        <v/>
      </c>
      <c r="I543" s="394" t="str">
        <f>IF(B543&lt;&gt;"",IFERROR(IF(LEFT($B543,3)=$Z$2,VLOOKUP($C543,Outbound!$B:$AAZ,52,FALSE),VLOOKUP($B543,Outbound!$B:$AAZ,52,FALSE)),"NON TROVATO"),"")</f>
        <v/>
      </c>
      <c r="J543" s="396"/>
      <c r="K543" s="387" t="str">
        <f>IF(B543&lt;&gt;"",IF($D543&lt;&gt;"ON ROCS/NOT ON FILE",IFERROR(_xlfn.XLOOKUP(LEFT($D543,3),'STAT 77 Table'!$B:$B,'STAT 77 Table'!$A:$A),"ZZ"&amp;RIGHT($B543,4)),""),"")</f>
        <v/>
      </c>
      <c r="L543" s="396"/>
      <c r="O543" s="388"/>
      <c r="P543" s="388"/>
      <c r="AA543" s="421">
        <f t="shared" si="8"/>
        <v>0</v>
      </c>
    </row>
    <row r="544" spans="1:27" ht="16.5">
      <c r="A544" s="387">
        <f>'STAT 77 Table'!$I$543</f>
        <v>0</v>
      </c>
      <c r="B544"/>
      <c r="C544"/>
      <c r="D544" s="387" t="str">
        <f>IF($B544&lt;&gt;"",IFERROR(IF(LEFT($B544,3)=$Z$2,VLOOKUP($C544,Outbound!$B:$Z,4,FALSE),VLOOKUP($B544,Outbound!$B:$Z,4,FALSE)),"ON ROCS/NOT ON FILE"),"")</f>
        <v/>
      </c>
      <c r="E544" s="387" t="str">
        <f>IF($B544&lt;&gt;"",IFERROR(IF(LEFT($B544,4)=$Z$2,VLOOKUP($C544,Outbound!$B:$Z,5,FALSE),VLOOKUP($B544,Outbound!$B:$Z,5,FALSE)),"ON ROCS/NOT ON FILE"),"")</f>
        <v/>
      </c>
      <c r="F544" s="387" t="str">
        <f>IF(B544&lt;&gt;"",IFERROR(IF(LEFT($B544,3)=$Z$2,VLOOKUP($C544,Outbound!$B:$Z,11,FALSE),VLOOKUP($B544,Outbound!$B:$Z,11,FALSE)),"NON TROVATO"),"")</f>
        <v/>
      </c>
      <c r="G544" s="394" t="str">
        <f>IF(B544&lt;&gt;"",IFERROR(IF(LEFT($B544,3)=$Z$2,VLOOKUP($C544,Outbound!$B:$AAZ,16,FALSE),VLOOKUP($B544,Outbound!$B:$AAZ,16,FALSE)),"NON TROVATO"),"")</f>
        <v/>
      </c>
      <c r="H544" s="394" t="str">
        <f>IF(B544&lt;&gt;"",IFERROR(IF(LEFT($B544,3)=$Z$2,VLOOKUP($C544,Outbound!$B:$AAZ,6,FALSE),VLOOKUP($B544,Outbound!$B:$AAZ,6,FALSE)),"NON TROVATO"),"")</f>
        <v/>
      </c>
      <c r="I544" s="394" t="str">
        <f>IF(B544&lt;&gt;"",IFERROR(IF(LEFT($B544,3)=$Z$2,VLOOKUP($C544,Outbound!$B:$AAZ,52,FALSE),VLOOKUP($B544,Outbound!$B:$AAZ,52,FALSE)),"NON TROVATO"),"")</f>
        <v/>
      </c>
      <c r="J544" s="396"/>
      <c r="K544" s="387" t="str">
        <f>IF(B544&lt;&gt;"",IF($D544&lt;&gt;"ON ROCS/NOT ON FILE",IFERROR(_xlfn.XLOOKUP(LEFT($D544,3),'STAT 77 Table'!$B:$B,'STAT 77 Table'!$A:$A),"ZZ"&amp;RIGHT($B544,4)),""),"")</f>
        <v/>
      </c>
      <c r="L544" s="396"/>
      <c r="O544" s="388"/>
      <c r="P544" s="388"/>
      <c r="AA544" s="421">
        <f t="shared" si="8"/>
        <v>0</v>
      </c>
    </row>
    <row r="545" spans="1:27" ht="16.5">
      <c r="A545" s="387">
        <f>'STAT 77 Table'!$I$544</f>
        <v>0</v>
      </c>
      <c r="B545"/>
      <c r="C545"/>
      <c r="D545" s="387" t="str">
        <f>IF($B545&lt;&gt;"",IFERROR(IF(LEFT($B545,3)=$Z$2,VLOOKUP($C545,Outbound!$B:$Z,4,FALSE),VLOOKUP($B545,Outbound!$B:$Z,4,FALSE)),"ON ROCS/NOT ON FILE"),"")</f>
        <v/>
      </c>
      <c r="E545" s="387" t="str">
        <f>IF($B545&lt;&gt;"",IFERROR(IF(LEFT($B545,4)=$Z$2,VLOOKUP($C545,Outbound!$B:$Z,5,FALSE),VLOOKUP($B545,Outbound!$B:$Z,5,FALSE)),"ON ROCS/NOT ON FILE"),"")</f>
        <v/>
      </c>
      <c r="F545" s="387" t="str">
        <f>IF(B545&lt;&gt;"",IFERROR(IF(LEFT($B545,3)=$Z$2,VLOOKUP($C545,Outbound!$B:$Z,11,FALSE),VLOOKUP($B545,Outbound!$B:$Z,11,FALSE)),"NON TROVATO"),"")</f>
        <v/>
      </c>
      <c r="G545" s="394" t="str">
        <f>IF(B545&lt;&gt;"",IFERROR(IF(LEFT($B545,3)=$Z$2,VLOOKUP($C545,Outbound!$B:$AAZ,16,FALSE),VLOOKUP($B545,Outbound!$B:$AAZ,16,FALSE)),"NON TROVATO"),"")</f>
        <v/>
      </c>
      <c r="H545" s="394" t="str">
        <f>IF(B545&lt;&gt;"",IFERROR(IF(LEFT($B545,3)=$Z$2,VLOOKUP($C545,Outbound!$B:$AAZ,6,FALSE),VLOOKUP($B545,Outbound!$B:$AAZ,6,FALSE)),"NON TROVATO"),"")</f>
        <v/>
      </c>
      <c r="I545" s="394" t="str">
        <f>IF(B545&lt;&gt;"",IFERROR(IF(LEFT($B545,3)=$Z$2,VLOOKUP($C545,Outbound!$B:$AAZ,52,FALSE),VLOOKUP($B545,Outbound!$B:$AAZ,52,FALSE)),"NON TROVATO"),"")</f>
        <v/>
      </c>
      <c r="J545" s="396"/>
      <c r="K545" s="387" t="str">
        <f>IF(B545&lt;&gt;"",IF($D545&lt;&gt;"ON ROCS/NOT ON FILE",IFERROR(_xlfn.XLOOKUP(LEFT($D545,3),'STAT 77 Table'!$B:$B,'STAT 77 Table'!$A:$A),"ZZ"&amp;RIGHT($B545,4)),""),"")</f>
        <v/>
      </c>
      <c r="L545" s="396"/>
      <c r="O545" s="388"/>
      <c r="P545" s="388"/>
      <c r="AA545" s="421">
        <f t="shared" si="8"/>
        <v>0</v>
      </c>
    </row>
    <row r="546" spans="1:27" ht="16.5">
      <c r="A546" s="387">
        <f>'STAT 77 Table'!$I$545</f>
        <v>0</v>
      </c>
      <c r="B546"/>
      <c r="C546"/>
      <c r="D546" s="387" t="str">
        <f>IF($B546&lt;&gt;"",IFERROR(IF(LEFT($B546,3)=$Z$2,VLOOKUP($C546,Outbound!$B:$Z,4,FALSE),VLOOKUP($B546,Outbound!$B:$Z,4,FALSE)),"ON ROCS/NOT ON FILE"),"")</f>
        <v/>
      </c>
      <c r="E546" s="387" t="str">
        <f>IF($B546&lt;&gt;"",IFERROR(IF(LEFT($B546,4)=$Z$2,VLOOKUP($C546,Outbound!$B:$Z,5,FALSE),VLOOKUP($B546,Outbound!$B:$Z,5,FALSE)),"ON ROCS/NOT ON FILE"),"")</f>
        <v/>
      </c>
      <c r="F546" s="387" t="str">
        <f>IF(B546&lt;&gt;"",IFERROR(IF(LEFT($B546,3)=$Z$2,VLOOKUP($C546,Outbound!$B:$Z,11,FALSE),VLOOKUP($B546,Outbound!$B:$Z,11,FALSE)),"NON TROVATO"),"")</f>
        <v/>
      </c>
      <c r="G546" s="394" t="str">
        <f>IF(B546&lt;&gt;"",IFERROR(IF(LEFT($B546,3)=$Z$2,VLOOKUP($C546,Outbound!$B:$AAZ,16,FALSE),VLOOKUP($B546,Outbound!$B:$AAZ,16,FALSE)),"NON TROVATO"),"")</f>
        <v/>
      </c>
      <c r="H546" s="394" t="str">
        <f>IF(B546&lt;&gt;"",IFERROR(IF(LEFT($B546,3)=$Z$2,VLOOKUP($C546,Outbound!$B:$AAZ,6,FALSE),VLOOKUP($B546,Outbound!$B:$AAZ,6,FALSE)),"NON TROVATO"),"")</f>
        <v/>
      </c>
      <c r="I546" s="394" t="str">
        <f>IF(B546&lt;&gt;"",IFERROR(IF(LEFT($B546,3)=$Z$2,VLOOKUP($C546,Outbound!$B:$AAZ,52,FALSE),VLOOKUP($B546,Outbound!$B:$AAZ,52,FALSE)),"NON TROVATO"),"")</f>
        <v/>
      </c>
      <c r="J546" s="396"/>
      <c r="K546" s="387" t="str">
        <f>IF(B546&lt;&gt;"",IF($D546&lt;&gt;"ON ROCS/NOT ON FILE",IFERROR(_xlfn.XLOOKUP(LEFT($D546,3),'STAT 77 Table'!$B:$B,'STAT 77 Table'!$A:$A),"ZZ"&amp;RIGHT($B546,4)),""),"")</f>
        <v/>
      </c>
      <c r="L546" s="396"/>
      <c r="O546" s="388"/>
      <c r="P546" s="388"/>
      <c r="AA546" s="421">
        <f t="shared" si="8"/>
        <v>0</v>
      </c>
    </row>
    <row r="547" spans="1:27" ht="16.5">
      <c r="A547" s="387">
        <f>'STAT 77 Table'!$I$546</f>
        <v>0</v>
      </c>
      <c r="B547"/>
      <c r="C547"/>
      <c r="D547" s="387" t="str">
        <f>IF($B547&lt;&gt;"",IFERROR(IF(LEFT($B547,3)=$Z$2,VLOOKUP($C547,Outbound!$B:$Z,4,FALSE),VLOOKUP($B547,Outbound!$B:$Z,4,FALSE)),"ON ROCS/NOT ON FILE"),"")</f>
        <v/>
      </c>
      <c r="E547" s="387" t="str">
        <f>IF($B547&lt;&gt;"",IFERROR(IF(LEFT($B547,4)=$Z$2,VLOOKUP($C547,Outbound!$B:$Z,5,FALSE),VLOOKUP($B547,Outbound!$B:$Z,5,FALSE)),"ON ROCS/NOT ON FILE"),"")</f>
        <v/>
      </c>
      <c r="F547" s="387" t="str">
        <f>IF(B547&lt;&gt;"",IFERROR(IF(LEFT($B547,3)=$Z$2,VLOOKUP($C547,Outbound!$B:$Z,11,FALSE),VLOOKUP($B547,Outbound!$B:$Z,11,FALSE)),"NON TROVATO"),"")</f>
        <v/>
      </c>
      <c r="G547" s="394" t="str">
        <f>IF(B547&lt;&gt;"",IFERROR(IF(LEFT($B547,3)=$Z$2,VLOOKUP($C547,Outbound!$B:$AAZ,16,FALSE),VLOOKUP($B547,Outbound!$B:$AAZ,16,FALSE)),"NON TROVATO"),"")</f>
        <v/>
      </c>
      <c r="H547" s="394" t="str">
        <f>IF(B547&lt;&gt;"",IFERROR(IF(LEFT($B547,3)=$Z$2,VLOOKUP($C547,Outbound!$B:$AAZ,6,FALSE),VLOOKUP($B547,Outbound!$B:$AAZ,6,FALSE)),"NON TROVATO"),"")</f>
        <v/>
      </c>
      <c r="I547" s="394" t="str">
        <f>IF(B547&lt;&gt;"",IFERROR(IF(LEFT($B547,3)=$Z$2,VLOOKUP($C547,Outbound!$B:$AAZ,52,FALSE),VLOOKUP($B547,Outbound!$B:$AAZ,52,FALSE)),"NON TROVATO"),"")</f>
        <v/>
      </c>
      <c r="J547" s="396"/>
      <c r="K547" s="387" t="str">
        <f>IF(B547&lt;&gt;"",IF($D547&lt;&gt;"ON ROCS/NOT ON FILE",IFERROR(_xlfn.XLOOKUP(LEFT($D547,3),'STAT 77 Table'!$B:$B,'STAT 77 Table'!$A:$A),"ZZ"&amp;RIGHT($B547,4)),""),"")</f>
        <v/>
      </c>
      <c r="L547" s="396"/>
      <c r="O547" s="388"/>
      <c r="P547" s="388"/>
      <c r="AA547" s="421">
        <f t="shared" si="8"/>
        <v>0</v>
      </c>
    </row>
    <row r="548" spans="1:27" ht="16.5">
      <c r="A548" s="387">
        <f>'STAT 77 Table'!$I$547</f>
        <v>0</v>
      </c>
      <c r="B548"/>
      <c r="C548"/>
      <c r="D548" s="387" t="str">
        <f>IF($B548&lt;&gt;"",IFERROR(IF(LEFT($B548,3)=$Z$2,VLOOKUP($C548,Outbound!$B:$Z,4,FALSE),VLOOKUP($B548,Outbound!$B:$Z,4,FALSE)),"ON ROCS/NOT ON FILE"),"")</f>
        <v/>
      </c>
      <c r="E548" s="387" t="str">
        <f>IF($B548&lt;&gt;"",IFERROR(IF(LEFT($B548,4)=$Z$2,VLOOKUP($C548,Outbound!$B:$Z,5,FALSE),VLOOKUP($B548,Outbound!$B:$Z,5,FALSE)),"ON ROCS/NOT ON FILE"),"")</f>
        <v/>
      </c>
      <c r="F548" s="387" t="str">
        <f>IF(B548&lt;&gt;"",IFERROR(IF(LEFT($B548,3)=$Z$2,VLOOKUP($C548,Outbound!$B:$Z,11,FALSE),VLOOKUP($B548,Outbound!$B:$Z,11,FALSE)),"NON TROVATO"),"")</f>
        <v/>
      </c>
      <c r="G548" s="394" t="str">
        <f>IF(B548&lt;&gt;"",IFERROR(IF(LEFT($B548,3)=$Z$2,VLOOKUP($C548,Outbound!$B:$AAZ,16,FALSE),VLOOKUP($B548,Outbound!$B:$AAZ,16,FALSE)),"NON TROVATO"),"")</f>
        <v/>
      </c>
      <c r="H548" s="394" t="str">
        <f>IF(B548&lt;&gt;"",IFERROR(IF(LEFT($B548,3)=$Z$2,VLOOKUP($C548,Outbound!$B:$AAZ,6,FALSE),VLOOKUP($B548,Outbound!$B:$AAZ,6,FALSE)),"NON TROVATO"),"")</f>
        <v/>
      </c>
      <c r="I548" s="394" t="str">
        <f>IF(B548&lt;&gt;"",IFERROR(IF(LEFT($B548,3)=$Z$2,VLOOKUP($C548,Outbound!$B:$AAZ,52,FALSE),VLOOKUP($B548,Outbound!$B:$AAZ,52,FALSE)),"NON TROVATO"),"")</f>
        <v/>
      </c>
      <c r="J548" s="396"/>
      <c r="K548" s="387" t="str">
        <f>IF(B548&lt;&gt;"",IF($D548&lt;&gt;"ON ROCS/NOT ON FILE",IFERROR(_xlfn.XLOOKUP(LEFT($D548,3),'STAT 77 Table'!$B:$B,'STAT 77 Table'!$A:$A),"ZZ"&amp;RIGHT($B548,4)),""),"")</f>
        <v/>
      </c>
      <c r="L548" s="396"/>
      <c r="O548" s="388"/>
      <c r="P548" s="388"/>
      <c r="AA548" s="421">
        <f t="shared" si="8"/>
        <v>0</v>
      </c>
    </row>
    <row r="549" spans="1:27" ht="16.5">
      <c r="A549" s="387">
        <f>'STAT 77 Table'!$I$548</f>
        <v>0</v>
      </c>
      <c r="B549"/>
      <c r="C549"/>
      <c r="D549" s="387" t="str">
        <f>IF($B549&lt;&gt;"",IFERROR(IF(LEFT($B549,3)=$Z$2,VLOOKUP($C549,Outbound!$B:$Z,4,FALSE),VLOOKUP($B549,Outbound!$B:$Z,4,FALSE)),"ON ROCS/NOT ON FILE"),"")</f>
        <v/>
      </c>
      <c r="E549" s="387" t="str">
        <f>IF($B549&lt;&gt;"",IFERROR(IF(LEFT($B549,4)=$Z$2,VLOOKUP($C549,Outbound!$B:$Z,5,FALSE),VLOOKUP($B549,Outbound!$B:$Z,5,FALSE)),"ON ROCS/NOT ON FILE"),"")</f>
        <v/>
      </c>
      <c r="F549" s="387" t="str">
        <f>IF(B549&lt;&gt;"",IFERROR(IF(LEFT($B549,3)=$Z$2,VLOOKUP($C549,Outbound!$B:$Z,11,FALSE),VLOOKUP($B549,Outbound!$B:$Z,11,FALSE)),"NON TROVATO"),"")</f>
        <v/>
      </c>
      <c r="G549" s="394" t="str">
        <f>IF(B549&lt;&gt;"",IFERROR(IF(LEFT($B549,3)=$Z$2,VLOOKUP($C549,Outbound!$B:$AAZ,16,FALSE),VLOOKUP($B549,Outbound!$B:$AAZ,16,FALSE)),"NON TROVATO"),"")</f>
        <v/>
      </c>
      <c r="H549" s="394" t="str">
        <f>IF(B549&lt;&gt;"",IFERROR(IF(LEFT($B549,3)=$Z$2,VLOOKUP($C549,Outbound!$B:$AAZ,6,FALSE),VLOOKUP($B549,Outbound!$B:$AAZ,6,FALSE)),"NON TROVATO"),"")</f>
        <v/>
      </c>
      <c r="I549" s="394" t="str">
        <f>IF(B549&lt;&gt;"",IFERROR(IF(LEFT($B549,3)=$Z$2,VLOOKUP($C549,Outbound!$B:$AAZ,52,FALSE),VLOOKUP($B549,Outbound!$B:$AAZ,52,FALSE)),"NON TROVATO"),"")</f>
        <v/>
      </c>
      <c r="J549" s="396"/>
      <c r="K549" s="387" t="str">
        <f>IF(B549&lt;&gt;"",IF($D549&lt;&gt;"ON ROCS/NOT ON FILE",IFERROR(_xlfn.XLOOKUP(LEFT($D549,3),'STAT 77 Table'!$B:$B,'STAT 77 Table'!$A:$A),"ZZ"&amp;RIGHT($B549,4)),""),"")</f>
        <v/>
      </c>
      <c r="L549" s="396"/>
      <c r="O549" s="388"/>
      <c r="P549" s="388"/>
      <c r="AA549" s="421">
        <f t="shared" si="8"/>
        <v>0</v>
      </c>
    </row>
    <row r="550" spans="1:27" ht="16.5">
      <c r="A550" s="387">
        <f>'STAT 77 Table'!$I$549</f>
        <v>0</v>
      </c>
      <c r="B550"/>
      <c r="C550"/>
      <c r="D550" s="387" t="str">
        <f>IF($B550&lt;&gt;"",IFERROR(IF(LEFT($B550,3)=$Z$2,VLOOKUP($C550,Outbound!$B:$Z,4,FALSE),VLOOKUP($B550,Outbound!$B:$Z,4,FALSE)),"ON ROCS/NOT ON FILE"),"")</f>
        <v/>
      </c>
      <c r="E550" s="387" t="str">
        <f>IF($B550&lt;&gt;"",IFERROR(IF(LEFT($B550,4)=$Z$2,VLOOKUP($C550,Outbound!$B:$Z,5,FALSE),VLOOKUP($B550,Outbound!$B:$Z,5,FALSE)),"ON ROCS/NOT ON FILE"),"")</f>
        <v/>
      </c>
      <c r="F550" s="387" t="str">
        <f>IF(B550&lt;&gt;"",IFERROR(IF(LEFT($B550,3)=$Z$2,VLOOKUP($C550,Outbound!$B:$Z,11,FALSE),VLOOKUP($B550,Outbound!$B:$Z,11,FALSE)),"NON TROVATO"),"")</f>
        <v/>
      </c>
      <c r="G550" s="394" t="str">
        <f>IF(B550&lt;&gt;"",IFERROR(IF(LEFT($B550,3)=$Z$2,VLOOKUP($C550,Outbound!$B:$AAZ,16,FALSE),VLOOKUP($B550,Outbound!$B:$AAZ,16,FALSE)),"NON TROVATO"),"")</f>
        <v/>
      </c>
      <c r="H550" s="394" t="str">
        <f>IF(B550&lt;&gt;"",IFERROR(IF(LEFT($B550,3)=$Z$2,VLOOKUP($C550,Outbound!$B:$AAZ,6,FALSE),VLOOKUP($B550,Outbound!$B:$AAZ,6,FALSE)),"NON TROVATO"),"")</f>
        <v/>
      </c>
      <c r="I550" s="394" t="str">
        <f>IF(B550&lt;&gt;"",IFERROR(IF(LEFT($B550,3)=$Z$2,VLOOKUP($C550,Outbound!$B:$AAZ,52,FALSE),VLOOKUP($B550,Outbound!$B:$AAZ,52,FALSE)),"NON TROVATO"),"")</f>
        <v/>
      </c>
      <c r="J550" s="396"/>
      <c r="K550" s="387" t="str">
        <f>IF(B550&lt;&gt;"",IF($D550&lt;&gt;"ON ROCS/NOT ON FILE",IFERROR(_xlfn.XLOOKUP(LEFT($D550,3),'STAT 77 Table'!$B:$B,'STAT 77 Table'!$A:$A),"ZZ"&amp;RIGHT($B550,4)),""),"")</f>
        <v/>
      </c>
      <c r="L550" s="396"/>
      <c r="O550" s="388"/>
      <c r="P550" s="388"/>
      <c r="AA550" s="421">
        <f t="shared" si="8"/>
        <v>0</v>
      </c>
    </row>
    <row r="551" spans="1:27" ht="16.5">
      <c r="A551" s="387">
        <f>'STAT 77 Table'!$I$550</f>
        <v>0</v>
      </c>
      <c r="B551"/>
      <c r="C551"/>
      <c r="D551" s="387" t="str">
        <f>IF($B551&lt;&gt;"",IFERROR(IF(LEFT($B551,3)=$Z$2,VLOOKUP($C551,Outbound!$B:$Z,4,FALSE),VLOOKUP($B551,Outbound!$B:$Z,4,FALSE)),"ON ROCS/NOT ON FILE"),"")</f>
        <v/>
      </c>
      <c r="E551" s="387" t="str">
        <f>IF($B551&lt;&gt;"",IFERROR(IF(LEFT($B551,4)=$Z$2,VLOOKUP($C551,Outbound!$B:$Z,5,FALSE),VLOOKUP($B551,Outbound!$B:$Z,5,FALSE)),"ON ROCS/NOT ON FILE"),"")</f>
        <v/>
      </c>
      <c r="F551" s="387" t="str">
        <f>IF(B551&lt;&gt;"",IFERROR(IF(LEFT($B551,3)=$Z$2,VLOOKUP($C551,Outbound!$B:$Z,11,FALSE),VLOOKUP($B551,Outbound!$B:$Z,11,FALSE)),"NON TROVATO"),"")</f>
        <v/>
      </c>
      <c r="G551" s="394" t="str">
        <f>IF(B551&lt;&gt;"",IFERROR(IF(LEFT($B551,3)=$Z$2,VLOOKUP($C551,Outbound!$B:$AAZ,16,FALSE),VLOOKUP($B551,Outbound!$B:$AAZ,16,FALSE)),"NON TROVATO"),"")</f>
        <v/>
      </c>
      <c r="H551" s="394" t="str">
        <f>IF(B551&lt;&gt;"",IFERROR(IF(LEFT($B551,3)=$Z$2,VLOOKUP($C551,Outbound!$B:$AAZ,6,FALSE),VLOOKUP($B551,Outbound!$B:$AAZ,6,FALSE)),"NON TROVATO"),"")</f>
        <v/>
      </c>
      <c r="I551" s="394" t="str">
        <f>IF(B551&lt;&gt;"",IFERROR(IF(LEFT($B551,3)=$Z$2,VLOOKUP($C551,Outbound!$B:$AAZ,52,FALSE),VLOOKUP($B551,Outbound!$B:$AAZ,52,FALSE)),"NON TROVATO"),"")</f>
        <v/>
      </c>
      <c r="J551" s="396"/>
      <c r="K551" s="387" t="str">
        <f>IF(B551&lt;&gt;"",IF($D551&lt;&gt;"ON ROCS/NOT ON FILE",IFERROR(_xlfn.XLOOKUP(LEFT($D551,3),'STAT 77 Table'!$B:$B,'STAT 77 Table'!$A:$A),"ZZ"&amp;RIGHT($B551,4)),""),"")</f>
        <v/>
      </c>
      <c r="L551" s="396"/>
      <c r="O551" s="388"/>
      <c r="P551" s="388"/>
      <c r="AA551" s="421">
        <f t="shared" si="8"/>
        <v>0</v>
      </c>
    </row>
    <row r="552" spans="1:27" ht="16.5">
      <c r="A552" s="387">
        <f>'STAT 77 Table'!$I$551</f>
        <v>0</v>
      </c>
      <c r="B552"/>
      <c r="C552"/>
      <c r="D552" s="387" t="str">
        <f>IF($B552&lt;&gt;"",IFERROR(IF(LEFT($B552,3)=$Z$2,VLOOKUP($C552,Outbound!$B:$Z,4,FALSE),VLOOKUP($B552,Outbound!$B:$Z,4,FALSE)),"ON ROCS/NOT ON FILE"),"")</f>
        <v/>
      </c>
      <c r="E552" s="387" t="str">
        <f>IF($B552&lt;&gt;"",IFERROR(IF(LEFT($B552,4)=$Z$2,VLOOKUP($C552,Outbound!$B:$Z,5,FALSE),VLOOKUP($B552,Outbound!$B:$Z,5,FALSE)),"ON ROCS/NOT ON FILE"),"")</f>
        <v/>
      </c>
      <c r="F552" s="387" t="str">
        <f>IF(B552&lt;&gt;"",IFERROR(IF(LEFT($B552,3)=$Z$2,VLOOKUP($C552,Outbound!$B:$Z,11,FALSE),VLOOKUP($B552,Outbound!$B:$Z,11,FALSE)),"NON TROVATO"),"")</f>
        <v/>
      </c>
      <c r="G552" s="394" t="str">
        <f>IF(B552&lt;&gt;"",IFERROR(IF(LEFT($B552,3)=$Z$2,VLOOKUP($C552,Outbound!$B:$AAZ,16,FALSE),VLOOKUP($B552,Outbound!$B:$AAZ,16,FALSE)),"NON TROVATO"),"")</f>
        <v/>
      </c>
      <c r="H552" s="394" t="str">
        <f>IF(B552&lt;&gt;"",IFERROR(IF(LEFT($B552,3)=$Z$2,VLOOKUP($C552,Outbound!$B:$AAZ,6,FALSE),VLOOKUP($B552,Outbound!$B:$AAZ,6,FALSE)),"NON TROVATO"),"")</f>
        <v/>
      </c>
      <c r="I552" s="394" t="str">
        <f>IF(B552&lt;&gt;"",IFERROR(IF(LEFT($B552,3)=$Z$2,VLOOKUP($C552,Outbound!$B:$AAZ,52,FALSE),VLOOKUP($B552,Outbound!$B:$AAZ,52,FALSE)),"NON TROVATO"),"")</f>
        <v/>
      </c>
      <c r="J552" s="396"/>
      <c r="K552" s="387" t="str">
        <f>IF(B552&lt;&gt;"",IF($D552&lt;&gt;"ON ROCS/NOT ON FILE",IFERROR(_xlfn.XLOOKUP(LEFT($D552,3),'STAT 77 Table'!$B:$B,'STAT 77 Table'!$A:$A),"ZZ"&amp;RIGHT($B552,4)),""),"")</f>
        <v/>
      </c>
      <c r="L552" s="396"/>
      <c r="O552" s="388"/>
      <c r="P552" s="388"/>
      <c r="AA552" s="421">
        <f t="shared" si="8"/>
        <v>0</v>
      </c>
    </row>
    <row r="553" spans="1:27" ht="16.5">
      <c r="A553" s="387">
        <f>'STAT 77 Table'!$I$552</f>
        <v>0</v>
      </c>
      <c r="B553"/>
      <c r="C553"/>
      <c r="D553" s="387" t="str">
        <f>IF($B553&lt;&gt;"",IFERROR(IF(LEFT($B553,3)=$Z$2,VLOOKUP($C553,Outbound!$B:$Z,4,FALSE),VLOOKUP($B553,Outbound!$B:$Z,4,FALSE)),"ON ROCS/NOT ON FILE"),"")</f>
        <v/>
      </c>
      <c r="E553" s="387" t="str">
        <f>IF($B553&lt;&gt;"",IFERROR(IF(LEFT($B553,4)=$Z$2,VLOOKUP($C553,Outbound!$B:$Z,5,FALSE),VLOOKUP($B553,Outbound!$B:$Z,5,FALSE)),"ON ROCS/NOT ON FILE"),"")</f>
        <v/>
      </c>
      <c r="F553" s="387" t="str">
        <f>IF(B553&lt;&gt;"",IFERROR(IF(LEFT($B553,3)=$Z$2,VLOOKUP($C553,Outbound!$B:$Z,11,FALSE),VLOOKUP($B553,Outbound!$B:$Z,11,FALSE)),"NON TROVATO"),"")</f>
        <v/>
      </c>
      <c r="G553" s="394" t="str">
        <f>IF(B553&lt;&gt;"",IFERROR(IF(LEFT($B553,3)=$Z$2,VLOOKUP($C553,Outbound!$B:$AAZ,16,FALSE),VLOOKUP($B553,Outbound!$B:$AAZ,16,FALSE)),"NON TROVATO"),"")</f>
        <v/>
      </c>
      <c r="H553" s="394" t="str">
        <f>IF(B553&lt;&gt;"",IFERROR(IF(LEFT($B553,3)=$Z$2,VLOOKUP($C553,Outbound!$B:$AAZ,6,FALSE),VLOOKUP($B553,Outbound!$B:$AAZ,6,FALSE)),"NON TROVATO"),"")</f>
        <v/>
      </c>
      <c r="I553" s="394" t="str">
        <f>IF(B553&lt;&gt;"",IFERROR(IF(LEFT($B553,3)=$Z$2,VLOOKUP($C553,Outbound!$B:$AAZ,52,FALSE),VLOOKUP($B553,Outbound!$B:$AAZ,52,FALSE)),"NON TROVATO"),"")</f>
        <v/>
      </c>
      <c r="J553" s="396"/>
      <c r="K553" s="387" t="str">
        <f>IF(B553&lt;&gt;"",IF($D553&lt;&gt;"ON ROCS/NOT ON FILE",IFERROR(_xlfn.XLOOKUP(LEFT($D553,3),'STAT 77 Table'!$B:$B,'STAT 77 Table'!$A:$A),"ZZ"&amp;RIGHT($B553,4)),""),"")</f>
        <v/>
      </c>
      <c r="L553" s="396"/>
      <c r="O553" s="388"/>
      <c r="P553" s="388"/>
      <c r="AA553" s="421">
        <f t="shared" si="8"/>
        <v>0</v>
      </c>
    </row>
    <row r="554" spans="1:27" ht="16.5">
      <c r="A554" s="387">
        <f>'STAT 77 Table'!$I$553</f>
        <v>0</v>
      </c>
      <c r="B554"/>
      <c r="C554"/>
      <c r="D554" s="387" t="str">
        <f>IF($B554&lt;&gt;"",IFERROR(IF(LEFT($B554,3)=$Z$2,VLOOKUP($C554,Outbound!$B:$Z,4,FALSE),VLOOKUP($B554,Outbound!$B:$Z,4,FALSE)),"ON ROCS/NOT ON FILE"),"")</f>
        <v/>
      </c>
      <c r="E554" s="387" t="str">
        <f>IF($B554&lt;&gt;"",IFERROR(IF(LEFT($B554,4)=$Z$2,VLOOKUP($C554,Outbound!$B:$Z,5,FALSE),VLOOKUP($B554,Outbound!$B:$Z,5,FALSE)),"ON ROCS/NOT ON FILE"),"")</f>
        <v/>
      </c>
      <c r="F554" s="387" t="str">
        <f>IF(B554&lt;&gt;"",IFERROR(IF(LEFT($B554,3)=$Z$2,VLOOKUP($C554,Outbound!$B:$Z,11,FALSE),VLOOKUP($B554,Outbound!$B:$Z,11,FALSE)),"NON TROVATO"),"")</f>
        <v/>
      </c>
      <c r="G554" s="394" t="str">
        <f>IF(B554&lt;&gt;"",IFERROR(IF(LEFT($B554,3)=$Z$2,VLOOKUP($C554,Outbound!$B:$AAZ,16,FALSE),VLOOKUP($B554,Outbound!$B:$AAZ,16,FALSE)),"NON TROVATO"),"")</f>
        <v/>
      </c>
      <c r="H554" s="394" t="str">
        <f>IF(B554&lt;&gt;"",IFERROR(IF(LEFT($B554,3)=$Z$2,VLOOKUP($C554,Outbound!$B:$AAZ,6,FALSE),VLOOKUP($B554,Outbound!$B:$AAZ,6,FALSE)),"NON TROVATO"),"")</f>
        <v/>
      </c>
      <c r="I554" s="394" t="str">
        <f>IF(B554&lt;&gt;"",IFERROR(IF(LEFT($B554,3)=$Z$2,VLOOKUP($C554,Outbound!$B:$AAZ,52,FALSE),VLOOKUP($B554,Outbound!$B:$AAZ,52,FALSE)),"NON TROVATO"),"")</f>
        <v/>
      </c>
      <c r="J554" s="396"/>
      <c r="K554" s="387" t="str">
        <f>IF(B554&lt;&gt;"",IF($D554&lt;&gt;"ON ROCS/NOT ON FILE",IFERROR(_xlfn.XLOOKUP(LEFT($D554,3),'STAT 77 Table'!$B:$B,'STAT 77 Table'!$A:$A),"ZZ"&amp;RIGHT($B554,4)),""),"")</f>
        <v/>
      </c>
      <c r="L554" s="396"/>
      <c r="O554" s="388"/>
      <c r="P554" s="388"/>
      <c r="AA554" s="421">
        <f t="shared" si="8"/>
        <v>0</v>
      </c>
    </row>
    <row r="555" spans="1:27" ht="16.5">
      <c r="A555" s="387">
        <f>'STAT 77 Table'!$I$554</f>
        <v>0</v>
      </c>
      <c r="B555"/>
      <c r="C555"/>
      <c r="D555" s="387" t="str">
        <f>IF($B555&lt;&gt;"",IFERROR(IF(LEFT($B555,3)=$Z$2,VLOOKUP($C555,Outbound!$B:$Z,4,FALSE),VLOOKUP($B555,Outbound!$B:$Z,4,FALSE)),"ON ROCS/NOT ON FILE"),"")</f>
        <v/>
      </c>
      <c r="E555" s="387" t="str">
        <f>IF($B555&lt;&gt;"",IFERROR(IF(LEFT($B555,4)=$Z$2,VLOOKUP($C555,Outbound!$B:$Z,5,FALSE),VLOOKUP($B555,Outbound!$B:$Z,5,FALSE)),"ON ROCS/NOT ON FILE"),"")</f>
        <v/>
      </c>
      <c r="F555" s="387" t="str">
        <f>IF(B555&lt;&gt;"",IFERROR(IF(LEFT($B555,3)=$Z$2,VLOOKUP($C555,Outbound!$B:$Z,11,FALSE),VLOOKUP($B555,Outbound!$B:$Z,11,FALSE)),"NON TROVATO"),"")</f>
        <v/>
      </c>
      <c r="G555" s="394" t="str">
        <f>IF(B555&lt;&gt;"",IFERROR(IF(LEFT($B555,3)=$Z$2,VLOOKUP($C555,Outbound!$B:$AAZ,16,FALSE),VLOOKUP($B555,Outbound!$B:$AAZ,16,FALSE)),"NON TROVATO"),"")</f>
        <v/>
      </c>
      <c r="H555" s="394" t="str">
        <f>IF(B555&lt;&gt;"",IFERROR(IF(LEFT($B555,3)=$Z$2,VLOOKUP($C555,Outbound!$B:$AAZ,6,FALSE),VLOOKUP($B555,Outbound!$B:$AAZ,6,FALSE)),"NON TROVATO"),"")</f>
        <v/>
      </c>
      <c r="I555" s="394" t="str">
        <f>IF(B555&lt;&gt;"",IFERROR(IF(LEFT($B555,3)=$Z$2,VLOOKUP($C555,Outbound!$B:$AAZ,52,FALSE),VLOOKUP($B555,Outbound!$B:$AAZ,52,FALSE)),"NON TROVATO"),"")</f>
        <v/>
      </c>
      <c r="J555" s="396"/>
      <c r="K555" s="387" t="str">
        <f>IF(B555&lt;&gt;"",IF($D555&lt;&gt;"ON ROCS/NOT ON FILE",IFERROR(_xlfn.XLOOKUP(LEFT($D555,3),'STAT 77 Table'!$B:$B,'STAT 77 Table'!$A:$A),"ZZ"&amp;RIGHT($B555,4)),""),"")</f>
        <v/>
      </c>
      <c r="L555" s="396"/>
      <c r="O555" s="388"/>
      <c r="P555" s="388"/>
      <c r="AA555" s="421">
        <f t="shared" si="8"/>
        <v>0</v>
      </c>
    </row>
    <row r="556" spans="1:27" ht="16.5">
      <c r="A556" s="387">
        <f>'STAT 77 Table'!$I$555</f>
        <v>0</v>
      </c>
      <c r="B556"/>
      <c r="C556"/>
      <c r="D556" s="387" t="str">
        <f>IF($B556&lt;&gt;"",IFERROR(IF(LEFT($B556,3)=$Z$2,VLOOKUP($C556,Outbound!$B:$Z,4,FALSE),VLOOKUP($B556,Outbound!$B:$Z,4,FALSE)),"ON ROCS/NOT ON FILE"),"")</f>
        <v/>
      </c>
      <c r="E556" s="387" t="str">
        <f>IF($B556&lt;&gt;"",IFERROR(IF(LEFT($B556,4)=$Z$2,VLOOKUP($C556,Outbound!$B:$Z,5,FALSE),VLOOKUP($B556,Outbound!$B:$Z,5,FALSE)),"ON ROCS/NOT ON FILE"),"")</f>
        <v/>
      </c>
      <c r="F556" s="387" t="str">
        <f>IF(B556&lt;&gt;"",IFERROR(IF(LEFT($B556,3)=$Z$2,VLOOKUP($C556,Outbound!$B:$Z,11,FALSE),VLOOKUP($B556,Outbound!$B:$Z,11,FALSE)),"NON TROVATO"),"")</f>
        <v/>
      </c>
      <c r="G556" s="394" t="str">
        <f>IF(B556&lt;&gt;"",IFERROR(IF(LEFT($B556,3)=$Z$2,VLOOKUP($C556,Outbound!$B:$AAZ,16,FALSE),VLOOKUP($B556,Outbound!$B:$AAZ,16,FALSE)),"NON TROVATO"),"")</f>
        <v/>
      </c>
      <c r="H556" s="394" t="str">
        <f>IF(B556&lt;&gt;"",IFERROR(IF(LEFT($B556,3)=$Z$2,VLOOKUP($C556,Outbound!$B:$AAZ,6,FALSE),VLOOKUP($B556,Outbound!$B:$AAZ,6,FALSE)),"NON TROVATO"),"")</f>
        <v/>
      </c>
      <c r="I556" s="394" t="str">
        <f>IF(B556&lt;&gt;"",IFERROR(IF(LEFT($B556,3)=$Z$2,VLOOKUP($C556,Outbound!$B:$AAZ,52,FALSE),VLOOKUP($B556,Outbound!$B:$AAZ,52,FALSE)),"NON TROVATO"),"")</f>
        <v/>
      </c>
      <c r="J556" s="396"/>
      <c r="K556" s="387" t="str">
        <f>IF(B556&lt;&gt;"",IF($D556&lt;&gt;"ON ROCS/NOT ON FILE",IFERROR(_xlfn.XLOOKUP(LEFT($D556,3),'STAT 77 Table'!$B:$B,'STAT 77 Table'!$A:$A),"ZZ"&amp;RIGHT($B556,4)),""),"")</f>
        <v/>
      </c>
      <c r="L556" s="396"/>
      <c r="O556" s="388"/>
      <c r="P556" s="388"/>
      <c r="AA556" s="421">
        <f t="shared" si="8"/>
        <v>0</v>
      </c>
    </row>
    <row r="557" spans="1:27" ht="16.5">
      <c r="A557" s="387">
        <f>'STAT 77 Table'!$I$556</f>
        <v>0</v>
      </c>
      <c r="B557"/>
      <c r="C557"/>
      <c r="D557" s="387" t="str">
        <f>IF($B557&lt;&gt;"",IFERROR(IF(LEFT($B557,3)=$Z$2,VLOOKUP($C557,Outbound!$B:$Z,4,FALSE),VLOOKUP($B557,Outbound!$B:$Z,4,FALSE)),"ON ROCS/NOT ON FILE"),"")</f>
        <v/>
      </c>
      <c r="E557" s="387" t="str">
        <f>IF($B557&lt;&gt;"",IFERROR(IF(LEFT($B557,4)=$Z$2,VLOOKUP($C557,Outbound!$B:$Z,5,FALSE),VLOOKUP($B557,Outbound!$B:$Z,5,FALSE)),"ON ROCS/NOT ON FILE"),"")</f>
        <v/>
      </c>
      <c r="F557" s="387" t="str">
        <f>IF(B557&lt;&gt;"",IFERROR(IF(LEFT($B557,3)=$Z$2,VLOOKUP($C557,Outbound!$B:$Z,11,FALSE),VLOOKUP($B557,Outbound!$B:$Z,11,FALSE)),"NON TROVATO"),"")</f>
        <v/>
      </c>
      <c r="G557" s="394" t="str">
        <f>IF(B557&lt;&gt;"",IFERROR(IF(LEFT($B557,3)=$Z$2,VLOOKUP($C557,Outbound!$B:$AAZ,16,FALSE),VLOOKUP($B557,Outbound!$B:$AAZ,16,FALSE)),"NON TROVATO"),"")</f>
        <v/>
      </c>
      <c r="H557" s="394" t="str">
        <f>IF(B557&lt;&gt;"",IFERROR(IF(LEFT($B557,3)=$Z$2,VLOOKUP($C557,Outbound!$B:$AAZ,6,FALSE),VLOOKUP($B557,Outbound!$B:$AAZ,6,FALSE)),"NON TROVATO"),"")</f>
        <v/>
      </c>
      <c r="I557" s="394" t="str">
        <f>IF(B557&lt;&gt;"",IFERROR(IF(LEFT($B557,3)=$Z$2,VLOOKUP($C557,Outbound!$B:$AAZ,52,FALSE),VLOOKUP($B557,Outbound!$B:$AAZ,52,FALSE)),"NON TROVATO"),"")</f>
        <v/>
      </c>
      <c r="J557" s="396"/>
      <c r="K557" s="387" t="str">
        <f>IF(B557&lt;&gt;"",IF($D557&lt;&gt;"ON ROCS/NOT ON FILE",IFERROR(_xlfn.XLOOKUP(LEFT($D557,3),'STAT 77 Table'!$B:$B,'STAT 77 Table'!$A:$A),"ZZ"&amp;RIGHT($B557,4)),""),"")</f>
        <v/>
      </c>
      <c r="L557" s="396"/>
      <c r="O557" s="388"/>
      <c r="P557" s="388"/>
      <c r="AA557" s="421">
        <f t="shared" si="8"/>
        <v>0</v>
      </c>
    </row>
    <row r="558" spans="1:27" ht="16.5">
      <c r="A558" s="387">
        <f>'STAT 77 Table'!$I$557</f>
        <v>0</v>
      </c>
      <c r="B558"/>
      <c r="C558"/>
      <c r="D558" s="387" t="str">
        <f>IF($B558&lt;&gt;"",IFERROR(IF(LEFT($B558,3)=$Z$2,VLOOKUP($C558,Outbound!$B:$Z,4,FALSE),VLOOKUP($B558,Outbound!$B:$Z,4,FALSE)),"ON ROCS/NOT ON FILE"),"")</f>
        <v/>
      </c>
      <c r="E558" s="387" t="str">
        <f>IF($B558&lt;&gt;"",IFERROR(IF(LEFT($B558,4)=$Z$2,VLOOKUP($C558,Outbound!$B:$Z,5,FALSE),VLOOKUP($B558,Outbound!$B:$Z,5,FALSE)),"ON ROCS/NOT ON FILE"),"")</f>
        <v/>
      </c>
      <c r="F558" s="387" t="str">
        <f>IF(B558&lt;&gt;"",IFERROR(IF(LEFT($B558,3)=$Z$2,VLOOKUP($C558,Outbound!$B:$Z,11,FALSE),VLOOKUP($B558,Outbound!$B:$Z,11,FALSE)),"NON TROVATO"),"")</f>
        <v/>
      </c>
      <c r="G558" s="394" t="str">
        <f>IF(B558&lt;&gt;"",IFERROR(IF(LEFT($B558,3)=$Z$2,VLOOKUP($C558,Outbound!$B:$AAZ,16,FALSE),VLOOKUP($B558,Outbound!$B:$AAZ,16,FALSE)),"NON TROVATO"),"")</f>
        <v/>
      </c>
      <c r="H558" s="394" t="str">
        <f>IF(B558&lt;&gt;"",IFERROR(IF(LEFT($B558,3)=$Z$2,VLOOKUP($C558,Outbound!$B:$AAZ,6,FALSE),VLOOKUP($B558,Outbound!$B:$AAZ,6,FALSE)),"NON TROVATO"),"")</f>
        <v/>
      </c>
      <c r="I558" s="394" t="str">
        <f>IF(B558&lt;&gt;"",IFERROR(IF(LEFT($B558,3)=$Z$2,VLOOKUP($C558,Outbound!$B:$AAZ,52,FALSE),VLOOKUP($B558,Outbound!$B:$AAZ,52,FALSE)),"NON TROVATO"),"")</f>
        <v/>
      </c>
      <c r="J558" s="396"/>
      <c r="K558" s="387" t="str">
        <f>IF(B558&lt;&gt;"",IF($D558&lt;&gt;"ON ROCS/NOT ON FILE",IFERROR(_xlfn.XLOOKUP(LEFT($D558,3),'STAT 77 Table'!$B:$B,'STAT 77 Table'!$A:$A),"ZZ"&amp;RIGHT($B558,4)),""),"")</f>
        <v/>
      </c>
      <c r="L558" s="396"/>
      <c r="O558" s="388"/>
      <c r="P558" s="388"/>
      <c r="AA558" s="421">
        <f t="shared" si="8"/>
        <v>0</v>
      </c>
    </row>
    <row r="559" spans="1:27" ht="16.5">
      <c r="A559" s="387">
        <f>'STAT 77 Table'!$I$558</f>
        <v>0</v>
      </c>
      <c r="B559"/>
      <c r="C559"/>
      <c r="D559" s="387" t="str">
        <f>IF($B559&lt;&gt;"",IFERROR(IF(LEFT($B559,3)=$Z$2,VLOOKUP($C559,Outbound!$B:$Z,4,FALSE),VLOOKUP($B559,Outbound!$B:$Z,4,FALSE)),"ON ROCS/NOT ON FILE"),"")</f>
        <v/>
      </c>
      <c r="E559" s="387" t="str">
        <f>IF($B559&lt;&gt;"",IFERROR(IF(LEFT($B559,4)=$Z$2,VLOOKUP($C559,Outbound!$B:$Z,5,FALSE),VLOOKUP($B559,Outbound!$B:$Z,5,FALSE)),"ON ROCS/NOT ON FILE"),"")</f>
        <v/>
      </c>
      <c r="F559" s="387" t="str">
        <f>IF(B559&lt;&gt;"",IFERROR(IF(LEFT($B559,3)=$Z$2,VLOOKUP($C559,Outbound!$B:$Z,11,FALSE),VLOOKUP($B559,Outbound!$B:$Z,11,FALSE)),"NON TROVATO"),"")</f>
        <v/>
      </c>
      <c r="G559" s="394" t="str">
        <f>IF(B559&lt;&gt;"",IFERROR(IF(LEFT($B559,3)=$Z$2,VLOOKUP($C559,Outbound!$B:$AAZ,16,FALSE),VLOOKUP($B559,Outbound!$B:$AAZ,16,FALSE)),"NON TROVATO"),"")</f>
        <v/>
      </c>
      <c r="H559" s="394" t="str">
        <f>IF(B559&lt;&gt;"",IFERROR(IF(LEFT($B559,3)=$Z$2,VLOOKUP($C559,Outbound!$B:$AAZ,6,FALSE),VLOOKUP($B559,Outbound!$B:$AAZ,6,FALSE)),"NON TROVATO"),"")</f>
        <v/>
      </c>
      <c r="I559" s="394" t="str">
        <f>IF(B559&lt;&gt;"",IFERROR(IF(LEFT($B559,3)=$Z$2,VLOOKUP($C559,Outbound!$B:$AAZ,52,FALSE),VLOOKUP($B559,Outbound!$B:$AAZ,52,FALSE)),"NON TROVATO"),"")</f>
        <v/>
      </c>
      <c r="J559" s="396"/>
      <c r="K559" s="387" t="str">
        <f>IF(B559&lt;&gt;"",IF($D559&lt;&gt;"ON ROCS/NOT ON FILE",IFERROR(_xlfn.XLOOKUP(LEFT($D559,3),'STAT 77 Table'!$B:$B,'STAT 77 Table'!$A:$A),"ZZ"&amp;RIGHT($B559,4)),""),"")</f>
        <v/>
      </c>
      <c r="L559" s="396"/>
      <c r="O559" s="388"/>
      <c r="P559" s="388"/>
      <c r="AA559" s="421">
        <f t="shared" si="8"/>
        <v>0</v>
      </c>
    </row>
    <row r="560" spans="1:27" ht="16.5">
      <c r="A560" s="387">
        <f>'STAT 77 Table'!$I$559</f>
        <v>0</v>
      </c>
      <c r="B560"/>
      <c r="C560"/>
      <c r="D560" s="387" t="str">
        <f>IF($B560&lt;&gt;"",IFERROR(IF(LEFT($B560,3)=$Z$2,VLOOKUP($C560,Outbound!$B:$Z,4,FALSE),VLOOKUP($B560,Outbound!$B:$Z,4,FALSE)),"ON ROCS/NOT ON FILE"),"")</f>
        <v/>
      </c>
      <c r="E560" s="387" t="str">
        <f>IF($B560&lt;&gt;"",IFERROR(IF(LEFT($B560,4)=$Z$2,VLOOKUP($C560,Outbound!$B:$Z,5,FALSE),VLOOKUP($B560,Outbound!$B:$Z,5,FALSE)),"ON ROCS/NOT ON FILE"),"")</f>
        <v/>
      </c>
      <c r="F560" s="387" t="str">
        <f>IF(B560&lt;&gt;"",IFERROR(IF(LEFT($B560,3)=$Z$2,VLOOKUP($C560,Outbound!$B:$Z,11,FALSE),VLOOKUP($B560,Outbound!$B:$Z,11,FALSE)),"NON TROVATO"),"")</f>
        <v/>
      </c>
      <c r="G560" s="394" t="str">
        <f>IF(B560&lt;&gt;"",IFERROR(IF(LEFT($B560,3)=$Z$2,VLOOKUP($C560,Outbound!$B:$AAZ,16,FALSE),VLOOKUP($B560,Outbound!$B:$AAZ,16,FALSE)),"NON TROVATO"),"")</f>
        <v/>
      </c>
      <c r="H560" s="394" t="str">
        <f>IF(B560&lt;&gt;"",IFERROR(IF(LEFT($B560,3)=$Z$2,VLOOKUP($C560,Outbound!$B:$AAZ,6,FALSE),VLOOKUP($B560,Outbound!$B:$AAZ,6,FALSE)),"NON TROVATO"),"")</f>
        <v/>
      </c>
      <c r="I560" s="394" t="str">
        <f>IF(B560&lt;&gt;"",IFERROR(IF(LEFT($B560,3)=$Z$2,VLOOKUP($C560,Outbound!$B:$AAZ,52,FALSE),VLOOKUP($B560,Outbound!$B:$AAZ,52,FALSE)),"NON TROVATO"),"")</f>
        <v/>
      </c>
      <c r="J560" s="396"/>
      <c r="K560" s="387" t="str">
        <f>IF(B560&lt;&gt;"",IF($D560&lt;&gt;"ON ROCS/NOT ON FILE",IFERROR(_xlfn.XLOOKUP(LEFT($D560,3),'STAT 77 Table'!$B:$B,'STAT 77 Table'!$A:$A),"ZZ"&amp;RIGHT($B560,4)),""),"")</f>
        <v/>
      </c>
      <c r="L560" s="396"/>
      <c r="O560" s="388"/>
      <c r="P560" s="388"/>
      <c r="AA560" s="421">
        <f t="shared" si="8"/>
        <v>0</v>
      </c>
    </row>
    <row r="561" spans="1:27" ht="16.5">
      <c r="A561" s="387">
        <f>'STAT 77 Table'!$I$560</f>
        <v>0</v>
      </c>
      <c r="B561"/>
      <c r="C561"/>
      <c r="D561" s="387" t="str">
        <f>IF($B561&lt;&gt;"",IFERROR(IF(LEFT($B561,3)=$Z$2,VLOOKUP($C561,Outbound!$B:$Z,4,FALSE),VLOOKUP($B561,Outbound!$B:$Z,4,FALSE)),"ON ROCS/NOT ON FILE"),"")</f>
        <v/>
      </c>
      <c r="E561" s="387" t="str">
        <f>IF($B561&lt;&gt;"",IFERROR(IF(LEFT($B561,4)=$Z$2,VLOOKUP($C561,Outbound!$B:$Z,5,FALSE),VLOOKUP($B561,Outbound!$B:$Z,5,FALSE)),"ON ROCS/NOT ON FILE"),"")</f>
        <v/>
      </c>
      <c r="F561" s="387" t="str">
        <f>IF(B561&lt;&gt;"",IFERROR(IF(LEFT($B561,3)=$Z$2,VLOOKUP($C561,Outbound!$B:$Z,11,FALSE),VLOOKUP($B561,Outbound!$B:$Z,11,FALSE)),"NON TROVATO"),"")</f>
        <v/>
      </c>
      <c r="G561" s="394" t="str">
        <f>IF(B561&lt;&gt;"",IFERROR(IF(LEFT($B561,3)=$Z$2,VLOOKUP($C561,Outbound!$B:$AAZ,16,FALSE),VLOOKUP($B561,Outbound!$B:$AAZ,16,FALSE)),"NON TROVATO"),"")</f>
        <v/>
      </c>
      <c r="H561" s="394" t="str">
        <f>IF(B561&lt;&gt;"",IFERROR(IF(LEFT($B561,3)=$Z$2,VLOOKUP($C561,Outbound!$B:$AAZ,6,FALSE),VLOOKUP($B561,Outbound!$B:$AAZ,6,FALSE)),"NON TROVATO"),"")</f>
        <v/>
      </c>
      <c r="I561" s="394" t="str">
        <f>IF(B561&lt;&gt;"",IFERROR(IF(LEFT($B561,3)=$Z$2,VLOOKUP($C561,Outbound!$B:$AAZ,52,FALSE),VLOOKUP($B561,Outbound!$B:$AAZ,52,FALSE)),"NON TROVATO"),"")</f>
        <v/>
      </c>
      <c r="J561" s="396"/>
      <c r="K561" s="387" t="str">
        <f>IF(B561&lt;&gt;"",IF($D561&lt;&gt;"ON ROCS/NOT ON FILE",IFERROR(_xlfn.XLOOKUP(LEFT($D561,3),'STAT 77 Table'!$B:$B,'STAT 77 Table'!$A:$A),"ZZ"&amp;RIGHT($B561,4)),""),"")</f>
        <v/>
      </c>
      <c r="L561" s="396"/>
      <c r="O561" s="388"/>
      <c r="P561" s="388"/>
      <c r="AA561" s="421">
        <f t="shared" si="8"/>
        <v>0</v>
      </c>
    </row>
    <row r="562" spans="1:27" ht="16.5">
      <c r="A562" s="387">
        <f>'STAT 77 Table'!$I$561</f>
        <v>0</v>
      </c>
      <c r="B562"/>
      <c r="C562"/>
      <c r="D562" s="387" t="str">
        <f>IF($B562&lt;&gt;"",IFERROR(IF(LEFT($B562,3)=$Z$2,VLOOKUP($C562,Outbound!$B:$Z,4,FALSE),VLOOKUP($B562,Outbound!$B:$Z,4,FALSE)),"ON ROCS/NOT ON FILE"),"")</f>
        <v/>
      </c>
      <c r="E562" s="387" t="str">
        <f>IF($B562&lt;&gt;"",IFERROR(IF(LEFT($B562,4)=$Z$2,VLOOKUP($C562,Outbound!$B:$Z,5,FALSE),VLOOKUP($B562,Outbound!$B:$Z,5,FALSE)),"ON ROCS/NOT ON FILE"),"")</f>
        <v/>
      </c>
      <c r="F562" s="387" t="str">
        <f>IF(B562&lt;&gt;"",IFERROR(IF(LEFT($B562,3)=$Z$2,VLOOKUP($C562,Outbound!$B:$Z,11,FALSE),VLOOKUP($B562,Outbound!$B:$Z,11,FALSE)),"NON TROVATO"),"")</f>
        <v/>
      </c>
      <c r="G562" s="394" t="str">
        <f>IF(B562&lt;&gt;"",IFERROR(IF(LEFT($B562,3)=$Z$2,VLOOKUP($C562,Outbound!$B:$AAZ,16,FALSE),VLOOKUP($B562,Outbound!$B:$AAZ,16,FALSE)),"NON TROVATO"),"")</f>
        <v/>
      </c>
      <c r="H562" s="394" t="str">
        <f>IF(B562&lt;&gt;"",IFERROR(IF(LEFT($B562,3)=$Z$2,VLOOKUP($C562,Outbound!$B:$AAZ,6,FALSE),VLOOKUP($B562,Outbound!$B:$AAZ,6,FALSE)),"NON TROVATO"),"")</f>
        <v/>
      </c>
      <c r="I562" s="394" t="str">
        <f>IF(B562&lt;&gt;"",IFERROR(IF(LEFT($B562,3)=$Z$2,VLOOKUP($C562,Outbound!$B:$AAZ,52,FALSE),VLOOKUP($B562,Outbound!$B:$AAZ,52,FALSE)),"NON TROVATO"),"")</f>
        <v/>
      </c>
      <c r="J562" s="396"/>
      <c r="K562" s="387" t="str">
        <f>IF(B562&lt;&gt;"",IF($D562&lt;&gt;"ON ROCS/NOT ON FILE",IFERROR(_xlfn.XLOOKUP(LEFT($D562,3),'STAT 77 Table'!$B:$B,'STAT 77 Table'!$A:$A),"ZZ"&amp;RIGHT($B562,4)),""),"")</f>
        <v/>
      </c>
      <c r="L562" s="396"/>
      <c r="O562" s="388"/>
      <c r="P562" s="388"/>
      <c r="AA562" s="421">
        <f t="shared" si="8"/>
        <v>0</v>
      </c>
    </row>
    <row r="563" spans="1:27" ht="16.5">
      <c r="A563" s="387">
        <f>'STAT 77 Table'!$I$562</f>
        <v>0</v>
      </c>
      <c r="B563"/>
      <c r="C563"/>
      <c r="D563" s="387" t="str">
        <f>IF($B563&lt;&gt;"",IFERROR(IF(LEFT($B563,3)=$Z$2,VLOOKUP($C563,Outbound!$B:$Z,4,FALSE),VLOOKUP($B563,Outbound!$B:$Z,4,FALSE)),"ON ROCS/NOT ON FILE"),"")</f>
        <v/>
      </c>
      <c r="E563" s="387" t="str">
        <f>IF($B563&lt;&gt;"",IFERROR(IF(LEFT($B563,4)=$Z$2,VLOOKUP($C563,Outbound!$B:$Z,5,FALSE),VLOOKUP($B563,Outbound!$B:$Z,5,FALSE)),"ON ROCS/NOT ON FILE"),"")</f>
        <v/>
      </c>
      <c r="F563" s="387" t="str">
        <f>IF(B563&lt;&gt;"",IFERROR(IF(LEFT($B563,3)=$Z$2,VLOOKUP($C563,Outbound!$B:$Z,11,FALSE),VLOOKUP($B563,Outbound!$B:$Z,11,FALSE)),"NON TROVATO"),"")</f>
        <v/>
      </c>
      <c r="G563" s="394" t="str">
        <f>IF(B563&lt;&gt;"",IFERROR(IF(LEFT($B563,3)=$Z$2,VLOOKUP($C563,Outbound!$B:$AAZ,16,FALSE),VLOOKUP($B563,Outbound!$B:$AAZ,16,FALSE)),"NON TROVATO"),"")</f>
        <v/>
      </c>
      <c r="H563" s="394" t="str">
        <f>IF(B563&lt;&gt;"",IFERROR(IF(LEFT($B563,3)=$Z$2,VLOOKUP($C563,Outbound!$B:$AAZ,6,FALSE),VLOOKUP($B563,Outbound!$B:$AAZ,6,FALSE)),"NON TROVATO"),"")</f>
        <v/>
      </c>
      <c r="I563" s="394" t="str">
        <f>IF(B563&lt;&gt;"",IFERROR(IF(LEFT($B563,3)=$Z$2,VLOOKUP($C563,Outbound!$B:$AAZ,52,FALSE),VLOOKUP($B563,Outbound!$B:$AAZ,52,FALSE)),"NON TROVATO"),"")</f>
        <v/>
      </c>
      <c r="J563" s="396"/>
      <c r="K563" s="387" t="str">
        <f>IF(B563&lt;&gt;"",IF($D563&lt;&gt;"ON ROCS/NOT ON FILE",IFERROR(_xlfn.XLOOKUP(LEFT($D563,3),'STAT 77 Table'!$B:$B,'STAT 77 Table'!$A:$A),"ZZ"&amp;RIGHT($B563,4)),""),"")</f>
        <v/>
      </c>
      <c r="L563" s="396"/>
      <c r="O563" s="388"/>
      <c r="P563" s="388"/>
      <c r="AA563" s="421">
        <f t="shared" si="8"/>
        <v>0</v>
      </c>
    </row>
    <row r="564" spans="1:27" ht="16.5">
      <c r="A564" s="387">
        <f>'STAT 77 Table'!$I$563</f>
        <v>0</v>
      </c>
      <c r="B564"/>
      <c r="C564"/>
      <c r="D564" s="387" t="str">
        <f>IF($B564&lt;&gt;"",IFERROR(IF(LEFT($B564,3)=$Z$2,VLOOKUP($C564,Outbound!$B:$Z,4,FALSE),VLOOKUP($B564,Outbound!$B:$Z,4,FALSE)),"ON ROCS/NOT ON FILE"),"")</f>
        <v/>
      </c>
      <c r="E564" s="387" t="str">
        <f>IF($B564&lt;&gt;"",IFERROR(IF(LEFT($B564,4)=$Z$2,VLOOKUP($C564,Outbound!$B:$Z,5,FALSE),VLOOKUP($B564,Outbound!$B:$Z,5,FALSE)),"ON ROCS/NOT ON FILE"),"")</f>
        <v/>
      </c>
      <c r="F564" s="387" t="str">
        <f>IF(B564&lt;&gt;"",IFERROR(IF(LEFT($B564,3)=$Z$2,VLOOKUP($C564,Outbound!$B:$Z,11,FALSE),VLOOKUP($B564,Outbound!$B:$Z,11,FALSE)),"NON TROVATO"),"")</f>
        <v/>
      </c>
      <c r="G564" s="394" t="str">
        <f>IF(B564&lt;&gt;"",IFERROR(IF(LEFT($B564,3)=$Z$2,VLOOKUP($C564,Outbound!$B:$AAZ,16,FALSE),VLOOKUP($B564,Outbound!$B:$AAZ,16,FALSE)),"NON TROVATO"),"")</f>
        <v/>
      </c>
      <c r="H564" s="394" t="str">
        <f>IF(B564&lt;&gt;"",IFERROR(IF(LEFT($B564,3)=$Z$2,VLOOKUP($C564,Outbound!$B:$AAZ,6,FALSE),VLOOKUP($B564,Outbound!$B:$AAZ,6,FALSE)),"NON TROVATO"),"")</f>
        <v/>
      </c>
      <c r="I564" s="394" t="str">
        <f>IF(B564&lt;&gt;"",IFERROR(IF(LEFT($B564,3)=$Z$2,VLOOKUP($C564,Outbound!$B:$AAZ,52,FALSE),VLOOKUP($B564,Outbound!$B:$AAZ,52,FALSE)),"NON TROVATO"),"")</f>
        <v/>
      </c>
      <c r="J564" s="396"/>
      <c r="K564" s="387" t="str">
        <f>IF(B564&lt;&gt;"",IF($D564&lt;&gt;"ON ROCS/NOT ON FILE",IFERROR(_xlfn.XLOOKUP(LEFT($D564,3),'STAT 77 Table'!$B:$B,'STAT 77 Table'!$A:$A),"ZZ"&amp;RIGHT($B564,4)),""),"")</f>
        <v/>
      </c>
      <c r="L564" s="396"/>
      <c r="O564" s="388"/>
      <c r="P564" s="388"/>
      <c r="AA564" s="421">
        <f t="shared" si="8"/>
        <v>0</v>
      </c>
    </row>
    <row r="565" spans="1:27" ht="16.5">
      <c r="A565" s="387">
        <f>'STAT 77 Table'!$I$564</f>
        <v>0</v>
      </c>
      <c r="B565"/>
      <c r="C565"/>
      <c r="D565" s="387" t="str">
        <f>IF($B565&lt;&gt;"",IFERROR(IF(LEFT($B565,3)=$Z$2,VLOOKUP($C565,Outbound!$B:$Z,4,FALSE),VLOOKUP($B565,Outbound!$B:$Z,4,FALSE)),"ON ROCS/NOT ON FILE"),"")</f>
        <v/>
      </c>
      <c r="E565" s="387" t="str">
        <f>IF($B565&lt;&gt;"",IFERROR(IF(LEFT($B565,4)=$Z$2,VLOOKUP($C565,Outbound!$B:$Z,5,FALSE),VLOOKUP($B565,Outbound!$B:$Z,5,FALSE)),"ON ROCS/NOT ON FILE"),"")</f>
        <v/>
      </c>
      <c r="F565" s="387" t="str">
        <f>IF(B565&lt;&gt;"",IFERROR(IF(LEFT($B565,3)=$Z$2,VLOOKUP($C565,Outbound!$B:$Z,11,FALSE),VLOOKUP($B565,Outbound!$B:$Z,11,FALSE)),"NON TROVATO"),"")</f>
        <v/>
      </c>
      <c r="G565" s="394" t="str">
        <f>IF(B565&lt;&gt;"",IFERROR(IF(LEFT($B565,3)=$Z$2,VLOOKUP($C565,Outbound!$B:$AAZ,16,FALSE),VLOOKUP($B565,Outbound!$B:$AAZ,16,FALSE)),"NON TROVATO"),"")</f>
        <v/>
      </c>
      <c r="H565" s="394" t="str">
        <f>IF(B565&lt;&gt;"",IFERROR(IF(LEFT($B565,3)=$Z$2,VLOOKUP($C565,Outbound!$B:$AAZ,6,FALSE),VLOOKUP($B565,Outbound!$B:$AAZ,6,FALSE)),"NON TROVATO"),"")</f>
        <v/>
      </c>
      <c r="I565" s="394" t="str">
        <f>IF(B565&lt;&gt;"",IFERROR(IF(LEFT($B565,3)=$Z$2,VLOOKUP($C565,Outbound!$B:$AAZ,52,FALSE),VLOOKUP($B565,Outbound!$B:$AAZ,52,FALSE)),"NON TROVATO"),"")</f>
        <v/>
      </c>
      <c r="J565" s="396"/>
      <c r="K565" s="387" t="str">
        <f>IF(B565&lt;&gt;"",IF($D565&lt;&gt;"ON ROCS/NOT ON FILE",IFERROR(_xlfn.XLOOKUP(LEFT($D565,3),'STAT 77 Table'!$B:$B,'STAT 77 Table'!$A:$A),"ZZ"&amp;RIGHT($B565,4)),""),"")</f>
        <v/>
      </c>
      <c r="L565" s="396"/>
      <c r="O565" s="388"/>
      <c r="P565" s="388"/>
      <c r="AA565" s="421">
        <f t="shared" si="8"/>
        <v>0</v>
      </c>
    </row>
    <row r="566" spans="1:27" ht="16.5">
      <c r="A566" s="387">
        <f>'STAT 77 Table'!$I$565</f>
        <v>0</v>
      </c>
      <c r="B566"/>
      <c r="C566"/>
      <c r="D566" s="387" t="str">
        <f>IF($B566&lt;&gt;"",IFERROR(IF(LEFT($B566,3)=$Z$2,VLOOKUP($C566,Outbound!$B:$Z,4,FALSE),VLOOKUP($B566,Outbound!$B:$Z,4,FALSE)),"ON ROCS/NOT ON FILE"),"")</f>
        <v/>
      </c>
      <c r="E566" s="387" t="str">
        <f>IF($B566&lt;&gt;"",IFERROR(IF(LEFT($B566,4)=$Z$2,VLOOKUP($C566,Outbound!$B:$Z,5,FALSE),VLOOKUP($B566,Outbound!$B:$Z,5,FALSE)),"ON ROCS/NOT ON FILE"),"")</f>
        <v/>
      </c>
      <c r="F566" s="387" t="str">
        <f>IF(B566&lt;&gt;"",IFERROR(IF(LEFT($B566,3)=$Z$2,VLOOKUP($C566,Outbound!$B:$Z,11,FALSE),VLOOKUP($B566,Outbound!$B:$Z,11,FALSE)),"NON TROVATO"),"")</f>
        <v/>
      </c>
      <c r="G566" s="394" t="str">
        <f>IF(B566&lt;&gt;"",IFERROR(IF(LEFT($B566,3)=$Z$2,VLOOKUP($C566,Outbound!$B:$AAZ,16,FALSE),VLOOKUP($B566,Outbound!$B:$AAZ,16,FALSE)),"NON TROVATO"),"")</f>
        <v/>
      </c>
      <c r="H566" s="394" t="str">
        <f>IF(B566&lt;&gt;"",IFERROR(IF(LEFT($B566,3)=$Z$2,VLOOKUP($C566,Outbound!$B:$AAZ,6,FALSE),VLOOKUP($B566,Outbound!$B:$AAZ,6,FALSE)),"NON TROVATO"),"")</f>
        <v/>
      </c>
      <c r="I566" s="394" t="str">
        <f>IF(B566&lt;&gt;"",IFERROR(IF(LEFT($B566,3)=$Z$2,VLOOKUP($C566,Outbound!$B:$AAZ,52,FALSE),VLOOKUP($B566,Outbound!$B:$AAZ,52,FALSE)),"NON TROVATO"),"")</f>
        <v/>
      </c>
      <c r="J566" s="396"/>
      <c r="K566" s="387" t="str">
        <f>IF(B566&lt;&gt;"",IF($D566&lt;&gt;"ON ROCS/NOT ON FILE",IFERROR(_xlfn.XLOOKUP(LEFT($D566,3),'STAT 77 Table'!$B:$B,'STAT 77 Table'!$A:$A),"ZZ"&amp;RIGHT($B566,4)),""),"")</f>
        <v/>
      </c>
      <c r="L566" s="396"/>
      <c r="O566" s="388"/>
      <c r="P566" s="388"/>
      <c r="AA566" s="421">
        <f t="shared" si="8"/>
        <v>0</v>
      </c>
    </row>
    <row r="567" spans="1:27" ht="16.5">
      <c r="A567" s="387">
        <f>'STAT 77 Table'!$I$566</f>
        <v>0</v>
      </c>
      <c r="B567"/>
      <c r="C567"/>
      <c r="D567" s="387" t="str">
        <f>IF($B567&lt;&gt;"",IFERROR(IF(LEFT($B567,3)=$Z$2,VLOOKUP($C567,Outbound!$B:$Z,4,FALSE),VLOOKUP($B567,Outbound!$B:$Z,4,FALSE)),"ON ROCS/NOT ON FILE"),"")</f>
        <v/>
      </c>
      <c r="E567" s="387" t="str">
        <f>IF($B567&lt;&gt;"",IFERROR(IF(LEFT($B567,4)=$Z$2,VLOOKUP($C567,Outbound!$B:$Z,5,FALSE),VLOOKUP($B567,Outbound!$B:$Z,5,FALSE)),"ON ROCS/NOT ON FILE"),"")</f>
        <v/>
      </c>
      <c r="F567" s="387" t="str">
        <f>IF(B567&lt;&gt;"",IFERROR(IF(LEFT($B567,3)=$Z$2,VLOOKUP($C567,Outbound!$B:$Z,11,FALSE),VLOOKUP($B567,Outbound!$B:$Z,11,FALSE)),"NON TROVATO"),"")</f>
        <v/>
      </c>
      <c r="G567" s="394" t="str">
        <f>IF(B567&lt;&gt;"",IFERROR(IF(LEFT($B567,3)=$Z$2,VLOOKUP($C567,Outbound!$B:$AAZ,16,FALSE),VLOOKUP($B567,Outbound!$B:$AAZ,16,FALSE)),"NON TROVATO"),"")</f>
        <v/>
      </c>
      <c r="H567" s="394" t="str">
        <f>IF(B567&lt;&gt;"",IFERROR(IF(LEFT($B567,3)=$Z$2,VLOOKUP($C567,Outbound!$B:$AAZ,6,FALSE),VLOOKUP($B567,Outbound!$B:$AAZ,6,FALSE)),"NON TROVATO"),"")</f>
        <v/>
      </c>
      <c r="I567" s="394" t="str">
        <f>IF(B567&lt;&gt;"",IFERROR(IF(LEFT($B567,3)=$Z$2,VLOOKUP($C567,Outbound!$B:$AAZ,52,FALSE),VLOOKUP($B567,Outbound!$B:$AAZ,52,FALSE)),"NON TROVATO"),"")</f>
        <v/>
      </c>
      <c r="J567" s="396"/>
      <c r="K567" s="387" t="str">
        <f>IF(B567&lt;&gt;"",IF($D567&lt;&gt;"ON ROCS/NOT ON FILE",IFERROR(_xlfn.XLOOKUP(LEFT($D567,3),'STAT 77 Table'!$B:$B,'STAT 77 Table'!$A:$A),"ZZ"&amp;RIGHT($B567,4)),""),"")</f>
        <v/>
      </c>
      <c r="L567" s="396"/>
      <c r="O567" s="388"/>
      <c r="P567" s="388"/>
      <c r="AA567" s="421">
        <f t="shared" si="8"/>
        <v>0</v>
      </c>
    </row>
    <row r="568" spans="1:27" ht="16.5">
      <c r="A568" s="387">
        <f>'STAT 77 Table'!$I$567</f>
        <v>0</v>
      </c>
      <c r="B568"/>
      <c r="C568"/>
      <c r="D568" s="387" t="str">
        <f>IF($B568&lt;&gt;"",IFERROR(IF(LEFT($B568,3)=$Z$2,VLOOKUP($C568,Outbound!$B:$Z,4,FALSE),VLOOKUP($B568,Outbound!$B:$Z,4,FALSE)),"ON ROCS/NOT ON FILE"),"")</f>
        <v/>
      </c>
      <c r="E568" s="387" t="str">
        <f>IF($B568&lt;&gt;"",IFERROR(IF(LEFT($B568,4)=$Z$2,VLOOKUP($C568,Outbound!$B:$Z,5,FALSE),VLOOKUP($B568,Outbound!$B:$Z,5,FALSE)),"ON ROCS/NOT ON FILE"),"")</f>
        <v/>
      </c>
      <c r="F568" s="387" t="str">
        <f>IF(B568&lt;&gt;"",IFERROR(IF(LEFT($B568,3)=$Z$2,VLOOKUP($C568,Outbound!$B:$Z,11,FALSE),VLOOKUP($B568,Outbound!$B:$Z,11,FALSE)),"NON TROVATO"),"")</f>
        <v/>
      </c>
      <c r="G568" s="394" t="str">
        <f>IF(B568&lt;&gt;"",IFERROR(IF(LEFT($B568,3)=$Z$2,VLOOKUP($C568,Outbound!$B:$AAZ,16,FALSE),VLOOKUP($B568,Outbound!$B:$AAZ,16,FALSE)),"NON TROVATO"),"")</f>
        <v/>
      </c>
      <c r="H568" s="394" t="str">
        <f>IF(B568&lt;&gt;"",IFERROR(IF(LEFT($B568,3)=$Z$2,VLOOKUP($C568,Outbound!$B:$AAZ,6,FALSE),VLOOKUP($B568,Outbound!$B:$AAZ,6,FALSE)),"NON TROVATO"),"")</f>
        <v/>
      </c>
      <c r="I568" s="394" t="str">
        <f>IF(B568&lt;&gt;"",IFERROR(IF(LEFT($B568,3)=$Z$2,VLOOKUP($C568,Outbound!$B:$AAZ,52,FALSE),VLOOKUP($B568,Outbound!$B:$AAZ,52,FALSE)),"NON TROVATO"),"")</f>
        <v/>
      </c>
      <c r="J568" s="396"/>
      <c r="K568" s="387" t="str">
        <f>IF(B568&lt;&gt;"",IF($D568&lt;&gt;"ON ROCS/NOT ON FILE",IFERROR(_xlfn.XLOOKUP(LEFT($D568,3),'STAT 77 Table'!$B:$B,'STAT 77 Table'!$A:$A),"ZZ"&amp;RIGHT($B568,4)),""),"")</f>
        <v/>
      </c>
      <c r="L568" s="396"/>
      <c r="O568" s="388"/>
      <c r="P568" s="388"/>
      <c r="AA568" s="421">
        <f t="shared" si="8"/>
        <v>0</v>
      </c>
    </row>
    <row r="569" spans="1:27" ht="16.5">
      <c r="A569" s="387">
        <f>'STAT 77 Table'!$I$568</f>
        <v>0</v>
      </c>
      <c r="B569"/>
      <c r="C569"/>
      <c r="D569" s="387" t="str">
        <f>IF($B569&lt;&gt;"",IFERROR(IF(LEFT($B569,3)=$Z$2,VLOOKUP($C569,Outbound!$B:$Z,4,FALSE),VLOOKUP($B569,Outbound!$B:$Z,4,FALSE)),"ON ROCS/NOT ON FILE"),"")</f>
        <v/>
      </c>
      <c r="E569" s="387" t="str">
        <f>IF($B569&lt;&gt;"",IFERROR(IF(LEFT($B569,4)=$Z$2,VLOOKUP($C569,Outbound!$B:$Z,5,FALSE),VLOOKUP($B569,Outbound!$B:$Z,5,FALSE)),"ON ROCS/NOT ON FILE"),"")</f>
        <v/>
      </c>
      <c r="F569" s="387" t="str">
        <f>IF(B569&lt;&gt;"",IFERROR(IF(LEFT($B569,3)=$Z$2,VLOOKUP($C569,Outbound!$B:$Z,11,FALSE),VLOOKUP($B569,Outbound!$B:$Z,11,FALSE)),"NON TROVATO"),"")</f>
        <v/>
      </c>
      <c r="G569" s="394" t="str">
        <f>IF(B569&lt;&gt;"",IFERROR(IF(LEFT($B569,3)=$Z$2,VLOOKUP($C569,Outbound!$B:$AAZ,16,FALSE),VLOOKUP($B569,Outbound!$B:$AAZ,16,FALSE)),"NON TROVATO"),"")</f>
        <v/>
      </c>
      <c r="H569" s="394" t="str">
        <f>IF(B569&lt;&gt;"",IFERROR(IF(LEFT($B569,3)=$Z$2,VLOOKUP($C569,Outbound!$B:$AAZ,6,FALSE),VLOOKUP($B569,Outbound!$B:$AAZ,6,FALSE)),"NON TROVATO"),"")</f>
        <v/>
      </c>
      <c r="I569" s="394" t="str">
        <f>IF(B569&lt;&gt;"",IFERROR(IF(LEFT($B569,3)=$Z$2,VLOOKUP($C569,Outbound!$B:$AAZ,52,FALSE),VLOOKUP($B569,Outbound!$B:$AAZ,52,FALSE)),"NON TROVATO"),"")</f>
        <v/>
      </c>
      <c r="J569" s="396"/>
      <c r="K569" s="387" t="str">
        <f>IF(B569&lt;&gt;"",IF($D569&lt;&gt;"ON ROCS/NOT ON FILE",IFERROR(_xlfn.XLOOKUP(LEFT($D569,3),'STAT 77 Table'!$B:$B,'STAT 77 Table'!$A:$A),"ZZ"&amp;RIGHT($B569,4)),""),"")</f>
        <v/>
      </c>
      <c r="L569" s="396"/>
      <c r="O569" s="388"/>
      <c r="P569" s="388"/>
      <c r="AA569" s="421">
        <f t="shared" si="8"/>
        <v>0</v>
      </c>
    </row>
    <row r="570" spans="1:27" ht="16.5">
      <c r="A570" s="387">
        <f>'STAT 77 Table'!$I$569</f>
        <v>0</v>
      </c>
      <c r="B570"/>
      <c r="C570"/>
      <c r="D570" s="387" t="str">
        <f>IF($B570&lt;&gt;"",IFERROR(IF(LEFT($B570,3)=$Z$2,VLOOKUP($C570,Outbound!$B:$Z,4,FALSE),VLOOKUP($B570,Outbound!$B:$Z,4,FALSE)),"ON ROCS/NOT ON FILE"),"")</f>
        <v/>
      </c>
      <c r="E570" s="387" t="str">
        <f>IF($B570&lt;&gt;"",IFERROR(IF(LEFT($B570,4)=$Z$2,VLOOKUP($C570,Outbound!$B:$Z,5,FALSE),VLOOKUP($B570,Outbound!$B:$Z,5,FALSE)),"ON ROCS/NOT ON FILE"),"")</f>
        <v/>
      </c>
      <c r="F570" s="387" t="str">
        <f>IF(B570&lt;&gt;"",IFERROR(IF(LEFT($B570,3)=$Z$2,VLOOKUP($C570,Outbound!$B:$Z,11,FALSE),VLOOKUP($B570,Outbound!$B:$Z,11,FALSE)),"NON TROVATO"),"")</f>
        <v/>
      </c>
      <c r="G570" s="394" t="str">
        <f>IF(B570&lt;&gt;"",IFERROR(IF(LEFT($B570,3)=$Z$2,VLOOKUP($C570,Outbound!$B:$AAZ,16,FALSE),VLOOKUP($B570,Outbound!$B:$AAZ,16,FALSE)),"NON TROVATO"),"")</f>
        <v/>
      </c>
      <c r="H570" s="394" t="str">
        <f>IF(B570&lt;&gt;"",IFERROR(IF(LEFT($B570,3)=$Z$2,VLOOKUP($C570,Outbound!$B:$AAZ,6,FALSE),VLOOKUP($B570,Outbound!$B:$AAZ,6,FALSE)),"NON TROVATO"),"")</f>
        <v/>
      </c>
      <c r="I570" s="394" t="str">
        <f>IF(B570&lt;&gt;"",IFERROR(IF(LEFT($B570,3)=$Z$2,VLOOKUP($C570,Outbound!$B:$AAZ,52,FALSE),VLOOKUP($B570,Outbound!$B:$AAZ,52,FALSE)),"NON TROVATO"),"")</f>
        <v/>
      </c>
      <c r="J570" s="396"/>
      <c r="K570" s="387" t="str">
        <f>IF(B570&lt;&gt;"",IF($D570&lt;&gt;"ON ROCS/NOT ON FILE",IFERROR(_xlfn.XLOOKUP(LEFT($D570,3),'STAT 77 Table'!$B:$B,'STAT 77 Table'!$A:$A),"ZZ"&amp;RIGHT($B570,4)),""),"")</f>
        <v/>
      </c>
      <c r="L570" s="396"/>
      <c r="O570" s="388"/>
      <c r="P570" s="388"/>
      <c r="AA570" s="421">
        <f t="shared" si="8"/>
        <v>0</v>
      </c>
    </row>
    <row r="571" spans="1:27" ht="16.5">
      <c r="A571" s="387">
        <f>'STAT 77 Table'!$I$570</f>
        <v>0</v>
      </c>
      <c r="B571"/>
      <c r="C571"/>
      <c r="D571" s="387" t="str">
        <f>IF($B571&lt;&gt;"",IFERROR(IF(LEFT($B571,3)=$Z$2,VLOOKUP($C571,Outbound!$B:$Z,4,FALSE),VLOOKUP($B571,Outbound!$B:$Z,4,FALSE)),"ON ROCS/NOT ON FILE"),"")</f>
        <v/>
      </c>
      <c r="E571" s="387" t="str">
        <f>IF($B571&lt;&gt;"",IFERROR(IF(LEFT($B571,4)=$Z$2,VLOOKUP($C571,Outbound!$B:$Z,5,FALSE),VLOOKUP($B571,Outbound!$B:$Z,5,FALSE)),"ON ROCS/NOT ON FILE"),"")</f>
        <v/>
      </c>
      <c r="F571" s="387" t="str">
        <f>IF(B571&lt;&gt;"",IFERROR(IF(LEFT($B571,3)=$Z$2,VLOOKUP($C571,Outbound!$B:$Z,11,FALSE),VLOOKUP($B571,Outbound!$B:$Z,11,FALSE)),"NON TROVATO"),"")</f>
        <v/>
      </c>
      <c r="G571" s="394" t="str">
        <f>IF(B571&lt;&gt;"",IFERROR(IF(LEFT($B571,3)=$Z$2,VLOOKUP($C571,Outbound!$B:$AAZ,16,FALSE),VLOOKUP($B571,Outbound!$B:$AAZ,16,FALSE)),"NON TROVATO"),"")</f>
        <v/>
      </c>
      <c r="H571" s="394" t="str">
        <f>IF(B571&lt;&gt;"",IFERROR(IF(LEFT($B571,3)=$Z$2,VLOOKUP($C571,Outbound!$B:$AAZ,6,FALSE),VLOOKUP($B571,Outbound!$B:$AAZ,6,FALSE)),"NON TROVATO"),"")</f>
        <v/>
      </c>
      <c r="I571" s="394" t="str">
        <f>IF(B571&lt;&gt;"",IFERROR(IF(LEFT($B571,3)=$Z$2,VLOOKUP($C571,Outbound!$B:$AAZ,52,FALSE),VLOOKUP($B571,Outbound!$B:$AAZ,52,FALSE)),"NON TROVATO"),"")</f>
        <v/>
      </c>
      <c r="J571" s="396"/>
      <c r="K571" s="387" t="str">
        <f>IF(B571&lt;&gt;"",IF($D571&lt;&gt;"ON ROCS/NOT ON FILE",IFERROR(_xlfn.XLOOKUP(LEFT($D571,3),'STAT 77 Table'!$B:$B,'STAT 77 Table'!$A:$A),"ZZ"&amp;RIGHT($B571,4)),""),"")</f>
        <v/>
      </c>
      <c r="L571" s="396"/>
      <c r="O571" s="388"/>
      <c r="P571" s="388"/>
      <c r="AA571" s="421">
        <f t="shared" si="8"/>
        <v>0</v>
      </c>
    </row>
    <row r="572" spans="1:27" ht="16.5">
      <c r="A572" s="387">
        <f>'STAT 77 Table'!$I$571</f>
        <v>0</v>
      </c>
      <c r="B572"/>
      <c r="C572"/>
      <c r="D572" s="387" t="str">
        <f>IF($B572&lt;&gt;"",IFERROR(IF(LEFT($B572,3)=$Z$2,VLOOKUP($C572,Outbound!$B:$Z,4,FALSE),VLOOKUP($B572,Outbound!$B:$Z,4,FALSE)),"ON ROCS/NOT ON FILE"),"")</f>
        <v/>
      </c>
      <c r="E572" s="387" t="str">
        <f>IF($B572&lt;&gt;"",IFERROR(IF(LEFT($B572,4)=$Z$2,VLOOKUP($C572,Outbound!$B:$Z,5,FALSE),VLOOKUP($B572,Outbound!$B:$Z,5,FALSE)),"ON ROCS/NOT ON FILE"),"")</f>
        <v/>
      </c>
      <c r="F572" s="387" t="str">
        <f>IF(B572&lt;&gt;"",IFERROR(IF(LEFT($B572,3)=$Z$2,VLOOKUP($C572,Outbound!$B:$Z,11,FALSE),VLOOKUP($B572,Outbound!$B:$Z,11,FALSE)),"NON TROVATO"),"")</f>
        <v/>
      </c>
      <c r="G572" s="394" t="str">
        <f>IF(B572&lt;&gt;"",IFERROR(IF(LEFT($B572,3)=$Z$2,VLOOKUP($C572,Outbound!$B:$AAZ,16,FALSE),VLOOKUP($B572,Outbound!$B:$AAZ,16,FALSE)),"NON TROVATO"),"")</f>
        <v/>
      </c>
      <c r="H572" s="394" t="str">
        <f>IF(B572&lt;&gt;"",IFERROR(IF(LEFT($B572,3)=$Z$2,VLOOKUP($C572,Outbound!$B:$AAZ,6,FALSE),VLOOKUP($B572,Outbound!$B:$AAZ,6,FALSE)),"NON TROVATO"),"")</f>
        <v/>
      </c>
      <c r="I572" s="394" t="str">
        <f>IF(B572&lt;&gt;"",IFERROR(IF(LEFT($B572,3)=$Z$2,VLOOKUP($C572,Outbound!$B:$AAZ,52,FALSE),VLOOKUP($B572,Outbound!$B:$AAZ,52,FALSE)),"NON TROVATO"),"")</f>
        <v/>
      </c>
      <c r="J572" s="396"/>
      <c r="K572" s="387" t="str">
        <f>IF(B572&lt;&gt;"",IF($D572&lt;&gt;"ON ROCS/NOT ON FILE",IFERROR(_xlfn.XLOOKUP(LEFT($D572,3),'STAT 77 Table'!$B:$B,'STAT 77 Table'!$A:$A),"ZZ"&amp;RIGHT($B572,4)),""),"")</f>
        <v/>
      </c>
      <c r="L572" s="396"/>
      <c r="O572" s="388"/>
      <c r="P572" s="388"/>
      <c r="AA572" s="421">
        <f t="shared" si="8"/>
        <v>0</v>
      </c>
    </row>
    <row r="573" spans="1:27" ht="16.5">
      <c r="A573" s="387">
        <f>'STAT 77 Table'!$I$572</f>
        <v>0</v>
      </c>
      <c r="B573"/>
      <c r="C573"/>
      <c r="D573" s="387" t="str">
        <f>IF($B573&lt;&gt;"",IFERROR(IF(LEFT($B573,3)=$Z$2,VLOOKUP($C573,Outbound!$B:$Z,4,FALSE),VLOOKUP($B573,Outbound!$B:$Z,4,FALSE)),"ON ROCS/NOT ON FILE"),"")</f>
        <v/>
      </c>
      <c r="E573" s="387" t="str">
        <f>IF($B573&lt;&gt;"",IFERROR(IF(LEFT($B573,4)=$Z$2,VLOOKUP($C573,Outbound!$B:$Z,5,FALSE),VLOOKUP($B573,Outbound!$B:$Z,5,FALSE)),"ON ROCS/NOT ON FILE"),"")</f>
        <v/>
      </c>
      <c r="F573" s="387" t="str">
        <f>IF(B573&lt;&gt;"",IFERROR(IF(LEFT($B573,3)=$Z$2,VLOOKUP($C573,Outbound!$B:$Z,11,FALSE),VLOOKUP($B573,Outbound!$B:$Z,11,FALSE)),"NON TROVATO"),"")</f>
        <v/>
      </c>
      <c r="G573" s="394" t="str">
        <f>IF(B573&lt;&gt;"",IFERROR(IF(LEFT($B573,3)=$Z$2,VLOOKUP($C573,Outbound!$B:$AAZ,16,FALSE),VLOOKUP($B573,Outbound!$B:$AAZ,16,FALSE)),"NON TROVATO"),"")</f>
        <v/>
      </c>
      <c r="H573" s="394" t="str">
        <f>IF(B573&lt;&gt;"",IFERROR(IF(LEFT($B573,3)=$Z$2,VLOOKUP($C573,Outbound!$B:$AAZ,6,FALSE),VLOOKUP($B573,Outbound!$B:$AAZ,6,FALSE)),"NON TROVATO"),"")</f>
        <v/>
      </c>
      <c r="I573" s="394" t="str">
        <f>IF(B573&lt;&gt;"",IFERROR(IF(LEFT($B573,3)=$Z$2,VLOOKUP($C573,Outbound!$B:$AAZ,52,FALSE),VLOOKUP($B573,Outbound!$B:$AAZ,52,FALSE)),"NON TROVATO"),"")</f>
        <v/>
      </c>
      <c r="J573" s="396"/>
      <c r="K573" s="387" t="str">
        <f>IF(B573&lt;&gt;"",IF($D573&lt;&gt;"ON ROCS/NOT ON FILE",IFERROR(_xlfn.XLOOKUP(LEFT($D573,3),'STAT 77 Table'!$B:$B,'STAT 77 Table'!$A:$A),"ZZ"&amp;RIGHT($B573,4)),""),"")</f>
        <v/>
      </c>
      <c r="L573" s="396"/>
      <c r="O573" s="388"/>
      <c r="P573" s="388"/>
      <c r="AA573" s="421">
        <f t="shared" si="8"/>
        <v>0</v>
      </c>
    </row>
    <row r="574" spans="1:27" ht="16.5">
      <c r="A574" s="387">
        <f>'STAT 77 Table'!$I$573</f>
        <v>0</v>
      </c>
      <c r="B574"/>
      <c r="C574"/>
      <c r="D574" s="387" t="str">
        <f>IF($B574&lt;&gt;"",IFERROR(IF(LEFT($B574,3)=$Z$2,VLOOKUP($C574,Outbound!$B:$Z,4,FALSE),VLOOKUP($B574,Outbound!$B:$Z,4,FALSE)),"ON ROCS/NOT ON FILE"),"")</f>
        <v/>
      </c>
      <c r="E574" s="387" t="str">
        <f>IF($B574&lt;&gt;"",IFERROR(IF(LEFT($B574,4)=$Z$2,VLOOKUP($C574,Outbound!$B:$Z,5,FALSE),VLOOKUP($B574,Outbound!$B:$Z,5,FALSE)),"ON ROCS/NOT ON FILE"),"")</f>
        <v/>
      </c>
      <c r="F574" s="387" t="str">
        <f>IF(B574&lt;&gt;"",IFERROR(IF(LEFT($B574,3)=$Z$2,VLOOKUP($C574,Outbound!$B:$Z,11,FALSE),VLOOKUP($B574,Outbound!$B:$Z,11,FALSE)),"NON TROVATO"),"")</f>
        <v/>
      </c>
      <c r="G574" s="394" t="str">
        <f>IF(B574&lt;&gt;"",IFERROR(IF(LEFT($B574,3)=$Z$2,VLOOKUP($C574,Outbound!$B:$AAZ,16,FALSE),VLOOKUP($B574,Outbound!$B:$AAZ,16,FALSE)),"NON TROVATO"),"")</f>
        <v/>
      </c>
      <c r="H574" s="394" t="str">
        <f>IF(B574&lt;&gt;"",IFERROR(IF(LEFT($B574,3)=$Z$2,VLOOKUP($C574,Outbound!$B:$AAZ,6,FALSE),VLOOKUP($B574,Outbound!$B:$AAZ,6,FALSE)),"NON TROVATO"),"")</f>
        <v/>
      </c>
      <c r="I574" s="394" t="str">
        <f>IF(B574&lt;&gt;"",IFERROR(IF(LEFT($B574,3)=$Z$2,VLOOKUP($C574,Outbound!$B:$AAZ,52,FALSE),VLOOKUP($B574,Outbound!$B:$AAZ,52,FALSE)),"NON TROVATO"),"")</f>
        <v/>
      </c>
      <c r="J574" s="396"/>
      <c r="K574" s="387" t="str">
        <f>IF(B574&lt;&gt;"",IF($D574&lt;&gt;"ON ROCS/NOT ON FILE",IFERROR(_xlfn.XLOOKUP(LEFT($D574,3),'STAT 77 Table'!$B:$B,'STAT 77 Table'!$A:$A),"ZZ"&amp;RIGHT($B574,4)),""),"")</f>
        <v/>
      </c>
      <c r="L574" s="396"/>
      <c r="O574" s="388"/>
      <c r="P574" s="388"/>
      <c r="AA574" s="421">
        <f t="shared" si="8"/>
        <v>0</v>
      </c>
    </row>
    <row r="575" spans="1:27" ht="16.5">
      <c r="A575" s="387">
        <f>'STAT 77 Table'!$I$574</f>
        <v>0</v>
      </c>
      <c r="B575"/>
      <c r="C575"/>
      <c r="D575" s="387" t="str">
        <f>IF($B575&lt;&gt;"",IFERROR(IF(LEFT($B575,3)=$Z$2,VLOOKUP($C575,Outbound!$B:$Z,4,FALSE),VLOOKUP($B575,Outbound!$B:$Z,4,FALSE)),"ON ROCS/NOT ON FILE"),"")</f>
        <v/>
      </c>
      <c r="E575" s="387" t="str">
        <f>IF($B575&lt;&gt;"",IFERROR(IF(LEFT($B575,4)=$Z$2,VLOOKUP($C575,Outbound!$B:$Z,5,FALSE),VLOOKUP($B575,Outbound!$B:$Z,5,FALSE)),"ON ROCS/NOT ON FILE"),"")</f>
        <v/>
      </c>
      <c r="F575" s="387" t="str">
        <f>IF(B575&lt;&gt;"",IFERROR(IF(LEFT($B575,3)=$Z$2,VLOOKUP($C575,Outbound!$B:$Z,11,FALSE),VLOOKUP($B575,Outbound!$B:$Z,11,FALSE)),"NON TROVATO"),"")</f>
        <v/>
      </c>
      <c r="G575" s="394" t="str">
        <f>IF(B575&lt;&gt;"",IFERROR(IF(LEFT($B575,3)=$Z$2,VLOOKUP($C575,Outbound!$B:$AAZ,16,FALSE),VLOOKUP($B575,Outbound!$B:$AAZ,16,FALSE)),"NON TROVATO"),"")</f>
        <v/>
      </c>
      <c r="H575" s="394" t="str">
        <f>IF(B575&lt;&gt;"",IFERROR(IF(LEFT($B575,3)=$Z$2,VLOOKUP($C575,Outbound!$B:$AAZ,6,FALSE),VLOOKUP($B575,Outbound!$B:$AAZ,6,FALSE)),"NON TROVATO"),"")</f>
        <v/>
      </c>
      <c r="I575" s="394" t="str">
        <f>IF(B575&lt;&gt;"",IFERROR(IF(LEFT($B575,3)=$Z$2,VLOOKUP($C575,Outbound!$B:$AAZ,52,FALSE),VLOOKUP($B575,Outbound!$B:$AAZ,52,FALSE)),"NON TROVATO"),"")</f>
        <v/>
      </c>
      <c r="J575" s="396"/>
      <c r="K575" s="387" t="str">
        <f>IF(B575&lt;&gt;"",IF($D575&lt;&gt;"ON ROCS/NOT ON FILE",IFERROR(_xlfn.XLOOKUP(LEFT($D575,3),'STAT 77 Table'!$B:$B,'STAT 77 Table'!$A:$A),"ZZ"&amp;RIGHT($B575,4)),""),"")</f>
        <v/>
      </c>
      <c r="L575" s="396"/>
      <c r="O575" s="388"/>
      <c r="P575" s="388"/>
      <c r="AA575" s="421">
        <f t="shared" si="8"/>
        <v>0</v>
      </c>
    </row>
    <row r="576" spans="1:27" ht="16.5">
      <c r="A576" s="387">
        <f>'STAT 77 Table'!$I$575</f>
        <v>0</v>
      </c>
      <c r="B576"/>
      <c r="C576"/>
      <c r="D576" s="387" t="str">
        <f>IF($B576&lt;&gt;"",IFERROR(IF(LEFT($B576,3)=$Z$2,VLOOKUP($C576,Outbound!$B:$Z,4,FALSE),VLOOKUP($B576,Outbound!$B:$Z,4,FALSE)),"ON ROCS/NOT ON FILE"),"")</f>
        <v/>
      </c>
      <c r="E576" s="387" t="str">
        <f>IF($B576&lt;&gt;"",IFERROR(IF(LEFT($B576,4)=$Z$2,VLOOKUP($C576,Outbound!$B:$Z,5,FALSE),VLOOKUP($B576,Outbound!$B:$Z,5,FALSE)),"ON ROCS/NOT ON FILE"),"")</f>
        <v/>
      </c>
      <c r="F576" s="387" t="str">
        <f>IF(B576&lt;&gt;"",IFERROR(IF(LEFT($B576,3)=$Z$2,VLOOKUP($C576,Outbound!$B:$Z,11,FALSE),VLOOKUP($B576,Outbound!$B:$Z,11,FALSE)),"NON TROVATO"),"")</f>
        <v/>
      </c>
      <c r="G576" s="394" t="str">
        <f>IF(B576&lt;&gt;"",IFERROR(IF(LEFT($B576,3)=$Z$2,VLOOKUP($C576,Outbound!$B:$AAZ,16,FALSE),VLOOKUP($B576,Outbound!$B:$AAZ,16,FALSE)),"NON TROVATO"),"")</f>
        <v/>
      </c>
      <c r="H576" s="394" t="str">
        <f>IF(B576&lt;&gt;"",IFERROR(IF(LEFT($B576,3)=$Z$2,VLOOKUP($C576,Outbound!$B:$AAZ,6,FALSE),VLOOKUP($B576,Outbound!$B:$AAZ,6,FALSE)),"NON TROVATO"),"")</f>
        <v/>
      </c>
      <c r="I576" s="394" t="str">
        <f>IF(B576&lt;&gt;"",IFERROR(IF(LEFT($B576,3)=$Z$2,VLOOKUP($C576,Outbound!$B:$AAZ,52,FALSE),VLOOKUP($B576,Outbound!$B:$AAZ,52,FALSE)),"NON TROVATO"),"")</f>
        <v/>
      </c>
      <c r="J576" s="396"/>
      <c r="K576" s="387" t="str">
        <f>IF(B576&lt;&gt;"",IF($D576&lt;&gt;"ON ROCS/NOT ON FILE",IFERROR(_xlfn.XLOOKUP(LEFT($D576,3),'STAT 77 Table'!$B:$B,'STAT 77 Table'!$A:$A),"ZZ"&amp;RIGHT($B576,4)),""),"")</f>
        <v/>
      </c>
      <c r="L576" s="396"/>
      <c r="O576" s="388"/>
      <c r="P576" s="388"/>
      <c r="AA576" s="421">
        <f t="shared" si="8"/>
        <v>0</v>
      </c>
    </row>
    <row r="577" spans="1:27" ht="16.5">
      <c r="A577" s="387">
        <f>'STAT 77 Table'!$I$576</f>
        <v>0</v>
      </c>
      <c r="B577"/>
      <c r="C577"/>
      <c r="D577" s="387" t="str">
        <f>IF($B577&lt;&gt;"",IFERROR(IF(LEFT($B577,3)=$Z$2,VLOOKUP($C577,Outbound!$B:$Z,4,FALSE),VLOOKUP($B577,Outbound!$B:$Z,4,FALSE)),"ON ROCS/NOT ON FILE"),"")</f>
        <v/>
      </c>
      <c r="E577" s="387" t="str">
        <f>IF($B577&lt;&gt;"",IFERROR(IF(LEFT($B577,4)=$Z$2,VLOOKUP($C577,Outbound!$B:$Z,5,FALSE),VLOOKUP($B577,Outbound!$B:$Z,5,FALSE)),"ON ROCS/NOT ON FILE"),"")</f>
        <v/>
      </c>
      <c r="F577" s="387" t="str">
        <f>IF(B577&lt;&gt;"",IFERROR(IF(LEFT($B577,3)=$Z$2,VLOOKUP($C577,Outbound!$B:$Z,11,FALSE),VLOOKUP($B577,Outbound!$B:$Z,11,FALSE)),"NON TROVATO"),"")</f>
        <v/>
      </c>
      <c r="G577" s="394" t="str">
        <f>IF(B577&lt;&gt;"",IFERROR(IF(LEFT($B577,3)=$Z$2,VLOOKUP($C577,Outbound!$B:$AAZ,16,FALSE),VLOOKUP($B577,Outbound!$B:$AAZ,16,FALSE)),"NON TROVATO"),"")</f>
        <v/>
      </c>
      <c r="H577" s="394" t="str">
        <f>IF(B577&lt;&gt;"",IFERROR(IF(LEFT($B577,3)=$Z$2,VLOOKUP($C577,Outbound!$B:$AAZ,6,FALSE),VLOOKUP($B577,Outbound!$B:$AAZ,6,FALSE)),"NON TROVATO"),"")</f>
        <v/>
      </c>
      <c r="I577" s="394" t="str">
        <f>IF(B577&lt;&gt;"",IFERROR(IF(LEFT($B577,3)=$Z$2,VLOOKUP($C577,Outbound!$B:$AAZ,52,FALSE),VLOOKUP($B577,Outbound!$B:$AAZ,52,FALSE)),"NON TROVATO"),"")</f>
        <v/>
      </c>
      <c r="J577" s="396"/>
      <c r="K577" s="387" t="str">
        <f>IF(B577&lt;&gt;"",IF($D577&lt;&gt;"ON ROCS/NOT ON FILE",IFERROR(_xlfn.XLOOKUP(LEFT($D577,3),'STAT 77 Table'!$B:$B,'STAT 77 Table'!$A:$A),"ZZ"&amp;RIGHT($B577,4)),""),"")</f>
        <v/>
      </c>
      <c r="L577" s="396"/>
      <c r="O577" s="388"/>
      <c r="P577" s="388"/>
      <c r="AA577" s="421">
        <f t="shared" si="8"/>
        <v>0</v>
      </c>
    </row>
    <row r="578" spans="1:27" ht="16.5">
      <c r="A578" s="387">
        <f>'STAT 77 Table'!$I$577</f>
        <v>0</v>
      </c>
      <c r="B578"/>
      <c r="C578"/>
      <c r="D578" s="387" t="str">
        <f>IF($B578&lt;&gt;"",IFERROR(IF(LEFT($B578,3)=$Z$2,VLOOKUP($C578,Outbound!$B:$Z,4,FALSE),VLOOKUP($B578,Outbound!$B:$Z,4,FALSE)),"ON ROCS/NOT ON FILE"),"")</f>
        <v/>
      </c>
      <c r="E578" s="387" t="str">
        <f>IF($B578&lt;&gt;"",IFERROR(IF(LEFT($B578,4)=$Z$2,VLOOKUP($C578,Outbound!$B:$Z,5,FALSE),VLOOKUP($B578,Outbound!$B:$Z,5,FALSE)),"ON ROCS/NOT ON FILE"),"")</f>
        <v/>
      </c>
      <c r="F578" s="387" t="str">
        <f>IF(B578&lt;&gt;"",IFERROR(IF(LEFT($B578,3)=$Z$2,VLOOKUP($C578,Outbound!$B:$Z,11,FALSE),VLOOKUP($B578,Outbound!$B:$Z,11,FALSE)),"NON TROVATO"),"")</f>
        <v/>
      </c>
      <c r="G578" s="394" t="str">
        <f>IF(B578&lt;&gt;"",IFERROR(IF(LEFT($B578,3)=$Z$2,VLOOKUP($C578,Outbound!$B:$AAZ,16,FALSE),VLOOKUP($B578,Outbound!$B:$AAZ,16,FALSE)),"NON TROVATO"),"")</f>
        <v/>
      </c>
      <c r="H578" s="394" t="str">
        <f>IF(B578&lt;&gt;"",IFERROR(IF(LEFT($B578,3)=$Z$2,VLOOKUP($C578,Outbound!$B:$AAZ,6,FALSE),VLOOKUP($B578,Outbound!$B:$AAZ,6,FALSE)),"NON TROVATO"),"")</f>
        <v/>
      </c>
      <c r="I578" s="394" t="str">
        <f>IF(B578&lt;&gt;"",IFERROR(IF(LEFT($B578,3)=$Z$2,VLOOKUP($C578,Outbound!$B:$AAZ,52,FALSE),VLOOKUP($B578,Outbound!$B:$AAZ,52,FALSE)),"NON TROVATO"),"")</f>
        <v/>
      </c>
      <c r="J578" s="396"/>
      <c r="K578" s="387" t="str">
        <f>IF(B578&lt;&gt;"",IF($D578&lt;&gt;"ON ROCS/NOT ON FILE",IFERROR(_xlfn.XLOOKUP(LEFT($D578,3),'STAT 77 Table'!$B:$B,'STAT 77 Table'!$A:$A),"ZZ"&amp;RIGHT($B578,4)),""),"")</f>
        <v/>
      </c>
      <c r="L578" s="396"/>
      <c r="O578" s="388"/>
      <c r="P578" s="388"/>
      <c r="AA578" s="421">
        <f t="shared" si="8"/>
        <v>0</v>
      </c>
    </row>
    <row r="579" spans="1:27" ht="16.5">
      <c r="A579" s="387">
        <f>'STAT 77 Table'!$I$578</f>
        <v>0</v>
      </c>
      <c r="B579"/>
      <c r="C579"/>
      <c r="D579" s="387" t="str">
        <f>IF($B579&lt;&gt;"",IFERROR(IF(LEFT($B579,3)=$Z$2,VLOOKUP($C579,Outbound!$B:$Z,4,FALSE),VLOOKUP($B579,Outbound!$B:$Z,4,FALSE)),"ON ROCS/NOT ON FILE"),"")</f>
        <v/>
      </c>
      <c r="E579" s="387" t="str">
        <f>IF($B579&lt;&gt;"",IFERROR(IF(LEFT($B579,4)=$Z$2,VLOOKUP($C579,Outbound!$B:$Z,5,FALSE),VLOOKUP($B579,Outbound!$B:$Z,5,FALSE)),"ON ROCS/NOT ON FILE"),"")</f>
        <v/>
      </c>
      <c r="F579" s="387" t="str">
        <f>IF(B579&lt;&gt;"",IFERROR(IF(LEFT($B579,3)=$Z$2,VLOOKUP($C579,Outbound!$B:$Z,11,FALSE),VLOOKUP($B579,Outbound!$B:$Z,11,FALSE)),"NON TROVATO"),"")</f>
        <v/>
      </c>
      <c r="G579" s="394" t="str">
        <f>IF(B579&lt;&gt;"",IFERROR(IF(LEFT($B579,3)=$Z$2,VLOOKUP($C579,Outbound!$B:$AAZ,16,FALSE),VLOOKUP($B579,Outbound!$B:$AAZ,16,FALSE)),"NON TROVATO"),"")</f>
        <v/>
      </c>
      <c r="H579" s="394" t="str">
        <f>IF(B579&lt;&gt;"",IFERROR(IF(LEFT($B579,3)=$Z$2,VLOOKUP($C579,Outbound!$B:$AAZ,6,FALSE),VLOOKUP($B579,Outbound!$B:$AAZ,6,FALSE)),"NON TROVATO"),"")</f>
        <v/>
      </c>
      <c r="I579" s="394" t="str">
        <f>IF(B579&lt;&gt;"",IFERROR(IF(LEFT($B579,3)=$Z$2,VLOOKUP($C579,Outbound!$B:$AAZ,52,FALSE),VLOOKUP($B579,Outbound!$B:$AAZ,52,FALSE)),"NON TROVATO"),"")</f>
        <v/>
      </c>
      <c r="J579" s="396"/>
      <c r="K579" s="387" t="str">
        <f>IF(B579&lt;&gt;"",IF($D579&lt;&gt;"ON ROCS/NOT ON FILE",IFERROR(_xlfn.XLOOKUP(LEFT($D579,3),'STAT 77 Table'!$B:$B,'STAT 77 Table'!$A:$A),"ZZ"&amp;RIGHT($B579,4)),""),"")</f>
        <v/>
      </c>
      <c r="L579" s="396"/>
      <c r="O579" s="388"/>
      <c r="P579" s="388"/>
      <c r="AA579" s="421">
        <f t="shared" si="8"/>
        <v>0</v>
      </c>
    </row>
    <row r="580" spans="1:27" ht="16.5">
      <c r="A580" s="387">
        <f>'STAT 77 Table'!$I$579</f>
        <v>0</v>
      </c>
      <c r="B580"/>
      <c r="C580"/>
      <c r="D580" s="387" t="str">
        <f>IF($B580&lt;&gt;"",IFERROR(IF(LEFT($B580,3)=$Z$2,VLOOKUP($C580,Outbound!$B:$Z,4,FALSE),VLOOKUP($B580,Outbound!$B:$Z,4,FALSE)),"ON ROCS/NOT ON FILE"),"")</f>
        <v/>
      </c>
      <c r="E580" s="387" t="str">
        <f>IF($B580&lt;&gt;"",IFERROR(IF(LEFT($B580,4)=$Z$2,VLOOKUP($C580,Outbound!$B:$Z,5,FALSE),VLOOKUP($B580,Outbound!$B:$Z,5,FALSE)),"ON ROCS/NOT ON FILE"),"")</f>
        <v/>
      </c>
      <c r="F580" s="387" t="str">
        <f>IF(B580&lt;&gt;"",IFERROR(IF(LEFT($B580,3)=$Z$2,VLOOKUP($C580,Outbound!$B:$Z,11,FALSE),VLOOKUP($B580,Outbound!$B:$Z,11,FALSE)),"NON TROVATO"),"")</f>
        <v/>
      </c>
      <c r="G580" s="394" t="str">
        <f>IF(B580&lt;&gt;"",IFERROR(IF(LEFT($B580,3)=$Z$2,VLOOKUP($C580,Outbound!$B:$AAZ,16,FALSE),VLOOKUP($B580,Outbound!$B:$AAZ,16,FALSE)),"NON TROVATO"),"")</f>
        <v/>
      </c>
      <c r="H580" s="394" t="str">
        <f>IF(B580&lt;&gt;"",IFERROR(IF(LEFT($B580,3)=$Z$2,VLOOKUP($C580,Outbound!$B:$AAZ,6,FALSE),VLOOKUP($B580,Outbound!$B:$AAZ,6,FALSE)),"NON TROVATO"),"")</f>
        <v/>
      </c>
      <c r="I580" s="394" t="str">
        <f>IF(B580&lt;&gt;"",IFERROR(IF(LEFT($B580,3)=$Z$2,VLOOKUP($C580,Outbound!$B:$AAZ,52,FALSE),VLOOKUP($B580,Outbound!$B:$AAZ,52,FALSE)),"NON TROVATO"),"")</f>
        <v/>
      </c>
      <c r="J580" s="396"/>
      <c r="K580" s="387" t="str">
        <f>IF(B580&lt;&gt;"",IF($D580&lt;&gt;"ON ROCS/NOT ON FILE",IFERROR(_xlfn.XLOOKUP(LEFT($D580,3),'STAT 77 Table'!$B:$B,'STAT 77 Table'!$A:$A),"ZZ"&amp;RIGHT($B580,4)),""),"")</f>
        <v/>
      </c>
      <c r="L580" s="396"/>
      <c r="O580" s="388"/>
      <c r="P580" s="388"/>
      <c r="AA580" s="421">
        <f t="shared" ref="AA580:AA643" si="9">IF(LEFT(A580,3)=$X$2,C580,B580)</f>
        <v>0</v>
      </c>
    </row>
    <row r="581" spans="1:27" ht="16.5">
      <c r="A581" s="387">
        <f>'STAT 77 Table'!$I$580</f>
        <v>0</v>
      </c>
      <c r="B581"/>
      <c r="C581"/>
      <c r="D581" s="387" t="str">
        <f>IF($B581&lt;&gt;"",IFERROR(IF(LEFT($B581,3)=$Z$2,VLOOKUP($C581,Outbound!$B:$Z,4,FALSE),VLOOKUP($B581,Outbound!$B:$Z,4,FALSE)),"ON ROCS/NOT ON FILE"),"")</f>
        <v/>
      </c>
      <c r="E581" s="387" t="str">
        <f>IF($B581&lt;&gt;"",IFERROR(IF(LEFT($B581,4)=$Z$2,VLOOKUP($C581,Outbound!$B:$Z,5,FALSE),VLOOKUP($B581,Outbound!$B:$Z,5,FALSE)),"ON ROCS/NOT ON FILE"),"")</f>
        <v/>
      </c>
      <c r="F581" s="387" t="str">
        <f>IF(B581&lt;&gt;"",IFERROR(IF(LEFT($B581,3)=$Z$2,VLOOKUP($C581,Outbound!$B:$Z,11,FALSE),VLOOKUP($B581,Outbound!$B:$Z,11,FALSE)),"NON TROVATO"),"")</f>
        <v/>
      </c>
      <c r="G581" s="394" t="str">
        <f>IF(B581&lt;&gt;"",IFERROR(IF(LEFT($B581,3)=$Z$2,VLOOKUP($C581,Outbound!$B:$AAZ,16,FALSE),VLOOKUP($B581,Outbound!$B:$AAZ,16,FALSE)),"NON TROVATO"),"")</f>
        <v/>
      </c>
      <c r="H581" s="394" t="str">
        <f>IF(B581&lt;&gt;"",IFERROR(IF(LEFT($B581,3)=$Z$2,VLOOKUP($C581,Outbound!$B:$AAZ,6,FALSE),VLOOKUP($B581,Outbound!$B:$AAZ,6,FALSE)),"NON TROVATO"),"")</f>
        <v/>
      </c>
      <c r="I581" s="394" t="str">
        <f>IF(B581&lt;&gt;"",IFERROR(IF(LEFT($B581,3)=$Z$2,VLOOKUP($C581,Outbound!$B:$AAZ,52,FALSE),VLOOKUP($B581,Outbound!$B:$AAZ,52,FALSE)),"NON TROVATO"),"")</f>
        <v/>
      </c>
      <c r="J581" s="396"/>
      <c r="K581" s="387" t="str">
        <f>IF(B581&lt;&gt;"",IF($D581&lt;&gt;"ON ROCS/NOT ON FILE",IFERROR(_xlfn.XLOOKUP(LEFT($D581,3),'STAT 77 Table'!$B:$B,'STAT 77 Table'!$A:$A),"ZZ"&amp;RIGHT($B581,4)),""),"")</f>
        <v/>
      </c>
      <c r="L581" s="396"/>
      <c r="O581" s="388"/>
      <c r="P581" s="388"/>
      <c r="AA581" s="421">
        <f t="shared" si="9"/>
        <v>0</v>
      </c>
    </row>
    <row r="582" spans="1:27" ht="16.5">
      <c r="A582" s="387">
        <f>'STAT 77 Table'!$I$581</f>
        <v>0</v>
      </c>
      <c r="B582"/>
      <c r="C582"/>
      <c r="D582" s="387" t="str">
        <f>IF($B582&lt;&gt;"",IFERROR(IF(LEFT($B582,3)=$Z$2,VLOOKUP($C582,Outbound!$B:$Z,4,FALSE),VLOOKUP($B582,Outbound!$B:$Z,4,FALSE)),"ON ROCS/NOT ON FILE"),"")</f>
        <v/>
      </c>
      <c r="E582" s="387" t="str">
        <f>IF($B582&lt;&gt;"",IFERROR(IF(LEFT($B582,4)=$Z$2,VLOOKUP($C582,Outbound!$B:$Z,5,FALSE),VLOOKUP($B582,Outbound!$B:$Z,5,FALSE)),"ON ROCS/NOT ON FILE"),"")</f>
        <v/>
      </c>
      <c r="F582" s="387" t="str">
        <f>IF(B582&lt;&gt;"",IFERROR(IF(LEFT($B582,3)=$Z$2,VLOOKUP($C582,Outbound!$B:$Z,11,FALSE),VLOOKUP($B582,Outbound!$B:$Z,11,FALSE)),"NON TROVATO"),"")</f>
        <v/>
      </c>
      <c r="G582" s="394" t="str">
        <f>IF(B582&lt;&gt;"",IFERROR(IF(LEFT($B582,3)=$Z$2,VLOOKUP($C582,Outbound!$B:$AAZ,16,FALSE),VLOOKUP($B582,Outbound!$B:$AAZ,16,FALSE)),"NON TROVATO"),"")</f>
        <v/>
      </c>
      <c r="H582" s="394" t="str">
        <f>IF(B582&lt;&gt;"",IFERROR(IF(LEFT($B582,3)=$Z$2,VLOOKUP($C582,Outbound!$B:$AAZ,6,FALSE),VLOOKUP($B582,Outbound!$B:$AAZ,6,FALSE)),"NON TROVATO"),"")</f>
        <v/>
      </c>
      <c r="I582" s="394" t="str">
        <f>IF(B582&lt;&gt;"",IFERROR(IF(LEFT($B582,3)=$Z$2,VLOOKUP($C582,Outbound!$B:$AAZ,52,FALSE),VLOOKUP($B582,Outbound!$B:$AAZ,52,FALSE)),"NON TROVATO"),"")</f>
        <v/>
      </c>
      <c r="J582" s="396"/>
      <c r="K582" s="387" t="str">
        <f>IF(B582&lt;&gt;"",IF($D582&lt;&gt;"ON ROCS/NOT ON FILE",IFERROR(_xlfn.XLOOKUP(LEFT($D582,3),'STAT 77 Table'!$B:$B,'STAT 77 Table'!$A:$A),"ZZ"&amp;RIGHT($B582,4)),""),"")</f>
        <v/>
      </c>
      <c r="L582" s="396"/>
      <c r="O582" s="388"/>
      <c r="P582" s="388"/>
      <c r="AA582" s="421">
        <f t="shared" si="9"/>
        <v>0</v>
      </c>
    </row>
    <row r="583" spans="1:27" ht="16.5">
      <c r="A583" s="387">
        <f>'STAT 77 Table'!$I$582</f>
        <v>0</v>
      </c>
      <c r="B583"/>
      <c r="C583"/>
      <c r="D583" s="387" t="str">
        <f>IF($B583&lt;&gt;"",IFERROR(IF(LEFT($B583,3)=$Z$2,VLOOKUP($C583,Outbound!$B:$Z,4,FALSE),VLOOKUP($B583,Outbound!$B:$Z,4,FALSE)),"ON ROCS/NOT ON FILE"),"")</f>
        <v/>
      </c>
      <c r="E583" s="387" t="str">
        <f>IF($B583&lt;&gt;"",IFERROR(IF(LEFT($B583,4)=$Z$2,VLOOKUP($C583,Outbound!$B:$Z,5,FALSE),VLOOKUP($B583,Outbound!$B:$Z,5,FALSE)),"ON ROCS/NOT ON FILE"),"")</f>
        <v/>
      </c>
      <c r="F583" s="387" t="str">
        <f>IF(B583&lt;&gt;"",IFERROR(IF(LEFT($B583,3)=$Z$2,VLOOKUP($C583,Outbound!$B:$Z,11,FALSE),VLOOKUP($B583,Outbound!$B:$Z,11,FALSE)),"NON TROVATO"),"")</f>
        <v/>
      </c>
      <c r="G583" s="394" t="str">
        <f>IF(B583&lt;&gt;"",IFERROR(IF(LEFT($B583,3)=$Z$2,VLOOKUP($C583,Outbound!$B:$AAZ,16,FALSE),VLOOKUP($B583,Outbound!$B:$AAZ,16,FALSE)),"NON TROVATO"),"")</f>
        <v/>
      </c>
      <c r="H583" s="394" t="str">
        <f>IF(B583&lt;&gt;"",IFERROR(IF(LEFT($B583,3)=$Z$2,VLOOKUP($C583,Outbound!$B:$AAZ,6,FALSE),VLOOKUP($B583,Outbound!$B:$AAZ,6,FALSE)),"NON TROVATO"),"")</f>
        <v/>
      </c>
      <c r="I583" s="394" t="str">
        <f>IF(B583&lt;&gt;"",IFERROR(IF(LEFT($B583,3)=$Z$2,VLOOKUP($C583,Outbound!$B:$AAZ,52,FALSE),VLOOKUP($B583,Outbound!$B:$AAZ,52,FALSE)),"NON TROVATO"),"")</f>
        <v/>
      </c>
      <c r="J583" s="396"/>
      <c r="K583" s="387" t="str">
        <f>IF(B583&lt;&gt;"",IF($D583&lt;&gt;"ON ROCS/NOT ON FILE",IFERROR(_xlfn.XLOOKUP(LEFT($D583,3),'STAT 77 Table'!$B:$B,'STAT 77 Table'!$A:$A),"ZZ"&amp;RIGHT($B583,4)),""),"")</f>
        <v/>
      </c>
      <c r="L583" s="396"/>
      <c r="O583" s="388"/>
      <c r="P583" s="388"/>
      <c r="AA583" s="421">
        <f t="shared" si="9"/>
        <v>0</v>
      </c>
    </row>
    <row r="584" spans="1:27" ht="16.5">
      <c r="A584" s="387">
        <f>'STAT 77 Table'!$I$583</f>
        <v>0</v>
      </c>
      <c r="B584"/>
      <c r="C584"/>
      <c r="D584" s="387" t="str">
        <f>IF($B584&lt;&gt;"",IFERROR(IF(LEFT($B584,3)=$Z$2,VLOOKUP($C584,Outbound!$B:$Z,4,FALSE),VLOOKUP($B584,Outbound!$B:$Z,4,FALSE)),"ON ROCS/NOT ON FILE"),"")</f>
        <v/>
      </c>
      <c r="E584" s="387" t="str">
        <f>IF($B584&lt;&gt;"",IFERROR(IF(LEFT($B584,4)=$Z$2,VLOOKUP($C584,Outbound!$B:$Z,5,FALSE),VLOOKUP($B584,Outbound!$B:$Z,5,FALSE)),"ON ROCS/NOT ON FILE"),"")</f>
        <v/>
      </c>
      <c r="F584" s="387" t="str">
        <f>IF(B584&lt;&gt;"",IFERROR(IF(LEFT($B584,3)=$Z$2,VLOOKUP($C584,Outbound!$B:$Z,11,FALSE),VLOOKUP($B584,Outbound!$B:$Z,11,FALSE)),"NON TROVATO"),"")</f>
        <v/>
      </c>
      <c r="G584" s="394" t="str">
        <f>IF(B584&lt;&gt;"",IFERROR(IF(LEFT($B584,3)=$Z$2,VLOOKUP($C584,Outbound!$B:$AAZ,16,FALSE),VLOOKUP($B584,Outbound!$B:$AAZ,16,FALSE)),"NON TROVATO"),"")</f>
        <v/>
      </c>
      <c r="H584" s="394" t="str">
        <f>IF(B584&lt;&gt;"",IFERROR(IF(LEFT($B584,3)=$Z$2,VLOOKUP($C584,Outbound!$B:$AAZ,6,FALSE),VLOOKUP($B584,Outbound!$B:$AAZ,6,FALSE)),"NON TROVATO"),"")</f>
        <v/>
      </c>
      <c r="I584" s="394" t="str">
        <f>IF(B584&lt;&gt;"",IFERROR(IF(LEFT($B584,3)=$Z$2,VLOOKUP($C584,Outbound!$B:$AAZ,52,FALSE),VLOOKUP($B584,Outbound!$B:$AAZ,52,FALSE)),"NON TROVATO"),"")</f>
        <v/>
      </c>
      <c r="J584" s="396"/>
      <c r="K584" s="387" t="str">
        <f>IF(B584&lt;&gt;"",IF($D584&lt;&gt;"ON ROCS/NOT ON FILE",IFERROR(_xlfn.XLOOKUP(LEFT($D584,3),'STAT 77 Table'!$B:$B,'STAT 77 Table'!$A:$A),"ZZ"&amp;RIGHT($B584,4)),""),"")</f>
        <v/>
      </c>
      <c r="L584" s="396"/>
      <c r="O584" s="388"/>
      <c r="P584" s="388"/>
      <c r="AA584" s="421">
        <f t="shared" si="9"/>
        <v>0</v>
      </c>
    </row>
    <row r="585" spans="1:27" ht="16.5">
      <c r="A585" s="387">
        <f>'STAT 77 Table'!$I$584</f>
        <v>0</v>
      </c>
      <c r="B585"/>
      <c r="C585"/>
      <c r="D585" s="387" t="str">
        <f>IF($B585&lt;&gt;"",IFERROR(IF(LEFT($B585,3)=$Z$2,VLOOKUP($C585,Outbound!$B:$Z,4,FALSE),VLOOKUP($B585,Outbound!$B:$Z,4,FALSE)),"ON ROCS/NOT ON FILE"),"")</f>
        <v/>
      </c>
      <c r="E585" s="387" t="str">
        <f>IF($B585&lt;&gt;"",IFERROR(IF(LEFT($B585,4)=$Z$2,VLOOKUP($C585,Outbound!$B:$Z,5,FALSE),VLOOKUP($B585,Outbound!$B:$Z,5,FALSE)),"ON ROCS/NOT ON FILE"),"")</f>
        <v/>
      </c>
      <c r="F585" s="387" t="str">
        <f>IF(B585&lt;&gt;"",IFERROR(IF(LEFT($B585,3)=$Z$2,VLOOKUP($C585,Outbound!$B:$Z,11,FALSE),VLOOKUP($B585,Outbound!$B:$Z,11,FALSE)),"NON TROVATO"),"")</f>
        <v/>
      </c>
      <c r="G585" s="394" t="str">
        <f>IF(B585&lt;&gt;"",IFERROR(IF(LEFT($B585,3)=$Z$2,VLOOKUP($C585,Outbound!$B:$AAZ,16,FALSE),VLOOKUP($B585,Outbound!$B:$AAZ,16,FALSE)),"NON TROVATO"),"")</f>
        <v/>
      </c>
      <c r="H585" s="394" t="str">
        <f>IF(B585&lt;&gt;"",IFERROR(IF(LEFT($B585,3)=$Z$2,VLOOKUP($C585,Outbound!$B:$AAZ,6,FALSE),VLOOKUP($B585,Outbound!$B:$AAZ,6,FALSE)),"NON TROVATO"),"")</f>
        <v/>
      </c>
      <c r="I585" s="394" t="str">
        <f>IF(B585&lt;&gt;"",IFERROR(IF(LEFT($B585,3)=$Z$2,VLOOKUP($C585,Outbound!$B:$AAZ,52,FALSE),VLOOKUP($B585,Outbound!$B:$AAZ,52,FALSE)),"NON TROVATO"),"")</f>
        <v/>
      </c>
      <c r="J585" s="396"/>
      <c r="K585" s="387" t="str">
        <f>IF(B585&lt;&gt;"",IF($D585&lt;&gt;"ON ROCS/NOT ON FILE",IFERROR(_xlfn.XLOOKUP(LEFT($D585,3),'STAT 77 Table'!$B:$B,'STAT 77 Table'!$A:$A),"ZZ"&amp;RIGHT($B585,4)),""),"")</f>
        <v/>
      </c>
      <c r="L585" s="396"/>
      <c r="O585" s="388"/>
      <c r="P585" s="388"/>
      <c r="AA585" s="421">
        <f t="shared" si="9"/>
        <v>0</v>
      </c>
    </row>
    <row r="586" spans="1:27" ht="16.5">
      <c r="A586" s="387">
        <f>'STAT 77 Table'!$I$585</f>
        <v>0</v>
      </c>
      <c r="B586"/>
      <c r="C586"/>
      <c r="D586" s="387" t="str">
        <f>IF($B586&lt;&gt;"",IFERROR(IF(LEFT($B586,3)=$Z$2,VLOOKUP($C586,Outbound!$B:$Z,4,FALSE),VLOOKUP($B586,Outbound!$B:$Z,4,FALSE)),"ON ROCS/NOT ON FILE"),"")</f>
        <v/>
      </c>
      <c r="E586" s="387" t="str">
        <f>IF($B586&lt;&gt;"",IFERROR(IF(LEFT($B586,4)=$Z$2,VLOOKUP($C586,Outbound!$B:$Z,5,FALSE),VLOOKUP($B586,Outbound!$B:$Z,5,FALSE)),"ON ROCS/NOT ON FILE"),"")</f>
        <v/>
      </c>
      <c r="F586" s="387" t="str">
        <f>IF(B586&lt;&gt;"",IFERROR(IF(LEFT($B586,3)=$Z$2,VLOOKUP($C586,Outbound!$B:$Z,11,FALSE),VLOOKUP($B586,Outbound!$B:$Z,11,FALSE)),"NON TROVATO"),"")</f>
        <v/>
      </c>
      <c r="G586" s="394" t="str">
        <f>IF(B586&lt;&gt;"",IFERROR(IF(LEFT($B586,3)=$Z$2,VLOOKUP($C586,Outbound!$B:$AAZ,16,FALSE),VLOOKUP($B586,Outbound!$B:$AAZ,16,FALSE)),"NON TROVATO"),"")</f>
        <v/>
      </c>
      <c r="H586" s="394" t="str">
        <f>IF(B586&lt;&gt;"",IFERROR(IF(LEFT($B586,3)=$Z$2,VLOOKUP($C586,Outbound!$B:$AAZ,6,FALSE),VLOOKUP($B586,Outbound!$B:$AAZ,6,FALSE)),"NON TROVATO"),"")</f>
        <v/>
      </c>
      <c r="I586" s="394" t="str">
        <f>IF(B586&lt;&gt;"",IFERROR(IF(LEFT($B586,3)=$Z$2,VLOOKUP($C586,Outbound!$B:$AAZ,52,FALSE),VLOOKUP($B586,Outbound!$B:$AAZ,52,FALSE)),"NON TROVATO"),"")</f>
        <v/>
      </c>
      <c r="J586" s="396"/>
      <c r="K586" s="387" t="str">
        <f>IF(B586&lt;&gt;"",IF($D586&lt;&gt;"ON ROCS/NOT ON FILE",IFERROR(_xlfn.XLOOKUP(LEFT($D586,3),'STAT 77 Table'!$B:$B,'STAT 77 Table'!$A:$A),"ZZ"&amp;RIGHT($B586,4)),""),"")</f>
        <v/>
      </c>
      <c r="L586" s="396"/>
      <c r="O586" s="388"/>
      <c r="P586" s="388"/>
      <c r="AA586" s="421">
        <f t="shared" si="9"/>
        <v>0</v>
      </c>
    </row>
    <row r="587" spans="1:27" ht="16.5">
      <c r="A587" s="387">
        <f>'STAT 77 Table'!$I$586</f>
        <v>0</v>
      </c>
      <c r="B587"/>
      <c r="C587"/>
      <c r="D587" s="387" t="str">
        <f>IF($B587&lt;&gt;"",IFERROR(IF(LEFT($B587,3)=$Z$2,VLOOKUP($C587,Outbound!$B:$Z,4,FALSE),VLOOKUP($B587,Outbound!$B:$Z,4,FALSE)),"ON ROCS/NOT ON FILE"),"")</f>
        <v/>
      </c>
      <c r="E587" s="387" t="str">
        <f>IF($B587&lt;&gt;"",IFERROR(IF(LEFT($B587,4)=$Z$2,VLOOKUP($C587,Outbound!$B:$Z,5,FALSE),VLOOKUP($B587,Outbound!$B:$Z,5,FALSE)),"ON ROCS/NOT ON FILE"),"")</f>
        <v/>
      </c>
      <c r="F587" s="387" t="str">
        <f>IF(B587&lt;&gt;"",IFERROR(IF(LEFT($B587,3)=$Z$2,VLOOKUP($C587,Outbound!$B:$Z,11,FALSE),VLOOKUP($B587,Outbound!$B:$Z,11,FALSE)),"NON TROVATO"),"")</f>
        <v/>
      </c>
      <c r="G587" s="394" t="str">
        <f>IF(B587&lt;&gt;"",IFERROR(IF(LEFT($B587,3)=$Z$2,VLOOKUP($C587,Outbound!$B:$AAZ,16,FALSE),VLOOKUP($B587,Outbound!$B:$AAZ,16,FALSE)),"NON TROVATO"),"")</f>
        <v/>
      </c>
      <c r="H587" s="394" t="str">
        <f>IF(B587&lt;&gt;"",IFERROR(IF(LEFT($B587,3)=$Z$2,VLOOKUP($C587,Outbound!$B:$AAZ,6,FALSE),VLOOKUP($B587,Outbound!$B:$AAZ,6,FALSE)),"NON TROVATO"),"")</f>
        <v/>
      </c>
      <c r="I587" s="394" t="str">
        <f>IF(B587&lt;&gt;"",IFERROR(IF(LEFT($B587,3)=$Z$2,VLOOKUP($C587,Outbound!$B:$AAZ,52,FALSE),VLOOKUP($B587,Outbound!$B:$AAZ,52,FALSE)),"NON TROVATO"),"")</f>
        <v/>
      </c>
      <c r="J587" s="396"/>
      <c r="K587" s="387" t="str">
        <f>IF(B587&lt;&gt;"",IF($D587&lt;&gt;"ON ROCS/NOT ON FILE",IFERROR(_xlfn.XLOOKUP(LEFT($D587,3),'STAT 77 Table'!$B:$B,'STAT 77 Table'!$A:$A),"ZZ"&amp;RIGHT($B587,4)),""),"")</f>
        <v/>
      </c>
      <c r="L587" s="396"/>
      <c r="O587" s="388"/>
      <c r="P587" s="388"/>
      <c r="AA587" s="421">
        <f t="shared" si="9"/>
        <v>0</v>
      </c>
    </row>
    <row r="588" spans="1:27" ht="16.5">
      <c r="A588" s="387">
        <f>'STAT 77 Table'!$I$587</f>
        <v>0</v>
      </c>
      <c r="B588"/>
      <c r="C588"/>
      <c r="D588" s="387" t="str">
        <f>IF($B588&lt;&gt;"",IFERROR(IF(LEFT($B588,3)=$Z$2,VLOOKUP($C588,Outbound!$B:$Z,4,FALSE),VLOOKUP($B588,Outbound!$B:$Z,4,FALSE)),"ON ROCS/NOT ON FILE"),"")</f>
        <v/>
      </c>
      <c r="E588" s="387" t="str">
        <f>IF($B588&lt;&gt;"",IFERROR(IF(LEFT($B588,4)=$Z$2,VLOOKUP($C588,Outbound!$B:$Z,5,FALSE),VLOOKUP($B588,Outbound!$B:$Z,5,FALSE)),"ON ROCS/NOT ON FILE"),"")</f>
        <v/>
      </c>
      <c r="F588" s="387" t="str">
        <f>IF(B588&lt;&gt;"",IFERROR(IF(LEFT($B588,3)=$Z$2,VLOOKUP($C588,Outbound!$B:$Z,11,FALSE),VLOOKUP($B588,Outbound!$B:$Z,11,FALSE)),"NON TROVATO"),"")</f>
        <v/>
      </c>
      <c r="G588" s="394" t="str">
        <f>IF(B588&lt;&gt;"",IFERROR(IF(LEFT($B588,3)=$Z$2,VLOOKUP($C588,Outbound!$B:$AAZ,16,FALSE),VLOOKUP($B588,Outbound!$B:$AAZ,16,FALSE)),"NON TROVATO"),"")</f>
        <v/>
      </c>
      <c r="H588" s="394" t="str">
        <f>IF(B588&lt;&gt;"",IFERROR(IF(LEFT($B588,3)=$Z$2,VLOOKUP($C588,Outbound!$B:$AAZ,6,FALSE),VLOOKUP($B588,Outbound!$B:$AAZ,6,FALSE)),"NON TROVATO"),"")</f>
        <v/>
      </c>
      <c r="I588" s="394" t="str">
        <f>IF(B588&lt;&gt;"",IFERROR(IF(LEFT($B588,3)=$Z$2,VLOOKUP($C588,Outbound!$B:$AAZ,52,FALSE),VLOOKUP($B588,Outbound!$B:$AAZ,52,FALSE)),"NON TROVATO"),"")</f>
        <v/>
      </c>
      <c r="J588" s="396"/>
      <c r="K588" s="387" t="str">
        <f>IF(B588&lt;&gt;"",IF($D588&lt;&gt;"ON ROCS/NOT ON FILE",IFERROR(_xlfn.XLOOKUP(LEFT($D588,3),'STAT 77 Table'!$B:$B,'STAT 77 Table'!$A:$A),"ZZ"&amp;RIGHT($B588,4)),""),"")</f>
        <v/>
      </c>
      <c r="L588" s="396"/>
      <c r="O588" s="388"/>
      <c r="P588" s="388"/>
      <c r="AA588" s="421">
        <f t="shared" si="9"/>
        <v>0</v>
      </c>
    </row>
    <row r="589" spans="1:27" ht="16.5">
      <c r="A589" s="387">
        <f>'STAT 77 Table'!$I$588</f>
        <v>0</v>
      </c>
      <c r="B589"/>
      <c r="C589"/>
      <c r="D589" s="387" t="str">
        <f>IF($B589&lt;&gt;"",IFERROR(IF(LEFT($B589,3)=$Z$2,VLOOKUP($C589,Outbound!$B:$Z,4,FALSE),VLOOKUP($B589,Outbound!$B:$Z,4,FALSE)),"ON ROCS/NOT ON FILE"),"")</f>
        <v/>
      </c>
      <c r="E589" s="387" t="str">
        <f>IF($B589&lt;&gt;"",IFERROR(IF(LEFT($B589,4)=$Z$2,VLOOKUP($C589,Outbound!$B:$Z,5,FALSE),VLOOKUP($B589,Outbound!$B:$Z,5,FALSE)),"ON ROCS/NOT ON FILE"),"")</f>
        <v/>
      </c>
      <c r="F589" s="387" t="str">
        <f>IF(B589&lt;&gt;"",IFERROR(IF(LEFT($B589,3)=$Z$2,VLOOKUP($C589,Outbound!$B:$Z,11,FALSE),VLOOKUP($B589,Outbound!$B:$Z,11,FALSE)),"NON TROVATO"),"")</f>
        <v/>
      </c>
      <c r="G589" s="394" t="str">
        <f>IF(B589&lt;&gt;"",IFERROR(IF(LEFT($B589,3)=$Z$2,VLOOKUP($C589,Outbound!$B:$AAZ,16,FALSE),VLOOKUP($B589,Outbound!$B:$AAZ,16,FALSE)),"NON TROVATO"),"")</f>
        <v/>
      </c>
      <c r="H589" s="394" t="str">
        <f>IF(B589&lt;&gt;"",IFERROR(IF(LEFT($B589,3)=$Z$2,VLOOKUP($C589,Outbound!$B:$AAZ,6,FALSE),VLOOKUP($B589,Outbound!$B:$AAZ,6,FALSE)),"NON TROVATO"),"")</f>
        <v/>
      </c>
      <c r="I589" s="394" t="str">
        <f>IF(B589&lt;&gt;"",IFERROR(IF(LEFT($B589,3)=$Z$2,VLOOKUP($C589,Outbound!$B:$AAZ,52,FALSE),VLOOKUP($B589,Outbound!$B:$AAZ,52,FALSE)),"NON TROVATO"),"")</f>
        <v/>
      </c>
      <c r="J589" s="396"/>
      <c r="K589" s="387" t="str">
        <f>IF(B589&lt;&gt;"",IF($D589&lt;&gt;"ON ROCS/NOT ON FILE",IFERROR(_xlfn.XLOOKUP(LEFT($D589,3),'STAT 77 Table'!$B:$B,'STAT 77 Table'!$A:$A),"ZZ"&amp;RIGHT($B589,4)),""),"")</f>
        <v/>
      </c>
      <c r="L589" s="396"/>
      <c r="O589" s="388"/>
      <c r="P589" s="388"/>
      <c r="AA589" s="421">
        <f t="shared" si="9"/>
        <v>0</v>
      </c>
    </row>
    <row r="590" spans="1:27" ht="16.5">
      <c r="A590" s="387">
        <f>'STAT 77 Table'!$I$589</f>
        <v>0</v>
      </c>
      <c r="B590"/>
      <c r="C590"/>
      <c r="D590" s="387" t="str">
        <f>IF($B590&lt;&gt;"",IFERROR(IF(LEFT($B590,3)=$Z$2,VLOOKUP($C590,Outbound!$B:$Z,4,FALSE),VLOOKUP($B590,Outbound!$B:$Z,4,FALSE)),"ON ROCS/NOT ON FILE"),"")</f>
        <v/>
      </c>
      <c r="E590" s="387" t="str">
        <f>IF($B590&lt;&gt;"",IFERROR(IF(LEFT($B590,4)=$Z$2,VLOOKUP($C590,Outbound!$B:$Z,5,FALSE),VLOOKUP($B590,Outbound!$B:$Z,5,FALSE)),"ON ROCS/NOT ON FILE"),"")</f>
        <v/>
      </c>
      <c r="F590" s="387" t="str">
        <f>IF(B590&lt;&gt;"",IFERROR(IF(LEFT($B590,3)=$Z$2,VLOOKUP($C590,Outbound!$B:$Z,11,FALSE),VLOOKUP($B590,Outbound!$B:$Z,11,FALSE)),"NON TROVATO"),"")</f>
        <v/>
      </c>
      <c r="G590" s="394" t="str">
        <f>IF(B590&lt;&gt;"",IFERROR(IF(LEFT($B590,3)=$Z$2,VLOOKUP($C590,Outbound!$B:$AAZ,16,FALSE),VLOOKUP($B590,Outbound!$B:$AAZ,16,FALSE)),"NON TROVATO"),"")</f>
        <v/>
      </c>
      <c r="H590" s="394" t="str">
        <f>IF(B590&lt;&gt;"",IFERROR(IF(LEFT($B590,3)=$Z$2,VLOOKUP($C590,Outbound!$B:$AAZ,6,FALSE),VLOOKUP($B590,Outbound!$B:$AAZ,6,FALSE)),"NON TROVATO"),"")</f>
        <v/>
      </c>
      <c r="I590" s="394" t="str">
        <f>IF(B590&lt;&gt;"",IFERROR(IF(LEFT($B590,3)=$Z$2,VLOOKUP($C590,Outbound!$B:$AAZ,52,FALSE),VLOOKUP($B590,Outbound!$B:$AAZ,52,FALSE)),"NON TROVATO"),"")</f>
        <v/>
      </c>
      <c r="J590" s="396"/>
      <c r="K590" s="387" t="str">
        <f>IF(B590&lt;&gt;"",IF($D590&lt;&gt;"ON ROCS/NOT ON FILE",IFERROR(_xlfn.XLOOKUP(LEFT($D590,3),'STAT 77 Table'!$B:$B,'STAT 77 Table'!$A:$A),"ZZ"&amp;RIGHT($B590,4)),""),"")</f>
        <v/>
      </c>
      <c r="L590" s="396"/>
      <c r="O590" s="388"/>
      <c r="P590" s="388"/>
      <c r="AA590" s="421">
        <f t="shared" si="9"/>
        <v>0</v>
      </c>
    </row>
    <row r="591" spans="1:27" ht="16.5">
      <c r="A591" s="387">
        <f>'STAT 77 Table'!$I$590</f>
        <v>0</v>
      </c>
      <c r="B591"/>
      <c r="C591"/>
      <c r="D591" s="387" t="str">
        <f>IF($B591&lt;&gt;"",IFERROR(IF(LEFT($B591,3)=$Z$2,VLOOKUP($C591,Outbound!$B:$Z,4,FALSE),VLOOKUP($B591,Outbound!$B:$Z,4,FALSE)),"ON ROCS/NOT ON FILE"),"")</f>
        <v/>
      </c>
      <c r="E591" s="387" t="str">
        <f>IF($B591&lt;&gt;"",IFERROR(IF(LEFT($B591,4)=$Z$2,VLOOKUP($C591,Outbound!$B:$Z,5,FALSE),VLOOKUP($B591,Outbound!$B:$Z,5,FALSE)),"ON ROCS/NOT ON FILE"),"")</f>
        <v/>
      </c>
      <c r="F591" s="387" t="str">
        <f>IF(B591&lt;&gt;"",IFERROR(IF(LEFT($B591,3)=$Z$2,VLOOKUP($C591,Outbound!$B:$Z,11,FALSE),VLOOKUP($B591,Outbound!$B:$Z,11,FALSE)),"NON TROVATO"),"")</f>
        <v/>
      </c>
      <c r="G591" s="394" t="str">
        <f>IF(B591&lt;&gt;"",IFERROR(IF(LEFT($B591,3)=$Z$2,VLOOKUP($C591,Outbound!$B:$AAZ,16,FALSE),VLOOKUP($B591,Outbound!$B:$AAZ,16,FALSE)),"NON TROVATO"),"")</f>
        <v/>
      </c>
      <c r="H591" s="394" t="str">
        <f>IF(B591&lt;&gt;"",IFERROR(IF(LEFT($B591,3)=$Z$2,VLOOKUP($C591,Outbound!$B:$AAZ,6,FALSE),VLOOKUP($B591,Outbound!$B:$AAZ,6,FALSE)),"NON TROVATO"),"")</f>
        <v/>
      </c>
      <c r="I591" s="394" t="str">
        <f>IF(B591&lt;&gt;"",IFERROR(IF(LEFT($B591,3)=$Z$2,VLOOKUP($C591,Outbound!$B:$AAZ,52,FALSE),VLOOKUP($B591,Outbound!$B:$AAZ,52,FALSE)),"NON TROVATO"),"")</f>
        <v/>
      </c>
      <c r="J591" s="396"/>
      <c r="K591" s="387" t="str">
        <f>IF(B591&lt;&gt;"",IF($D591&lt;&gt;"ON ROCS/NOT ON FILE",IFERROR(_xlfn.XLOOKUP(LEFT($D591,3),'STAT 77 Table'!$B:$B,'STAT 77 Table'!$A:$A),"ZZ"&amp;RIGHT($B591,4)),""),"")</f>
        <v/>
      </c>
      <c r="L591" s="396"/>
      <c r="O591" s="388"/>
      <c r="P591" s="388"/>
      <c r="AA591" s="421">
        <f t="shared" si="9"/>
        <v>0</v>
      </c>
    </row>
    <row r="592" spans="1:27" ht="16.5">
      <c r="A592" s="387">
        <f>'STAT 77 Table'!$I$591</f>
        <v>0</v>
      </c>
      <c r="B592"/>
      <c r="C592"/>
      <c r="D592" s="387" t="str">
        <f>IF($B592&lt;&gt;"",IFERROR(IF(LEFT($B592,3)=$Z$2,VLOOKUP($C592,Outbound!$B:$Z,4,FALSE),VLOOKUP($B592,Outbound!$B:$Z,4,FALSE)),"ON ROCS/NOT ON FILE"),"")</f>
        <v/>
      </c>
      <c r="E592" s="387" t="str">
        <f>IF($B592&lt;&gt;"",IFERROR(IF(LEFT($B592,4)=$Z$2,VLOOKUP($C592,Outbound!$B:$Z,5,FALSE),VLOOKUP($B592,Outbound!$B:$Z,5,FALSE)),"ON ROCS/NOT ON FILE"),"")</f>
        <v/>
      </c>
      <c r="F592" s="387" t="str">
        <f>IF(B592&lt;&gt;"",IFERROR(IF(LEFT($B592,3)=$Z$2,VLOOKUP($C592,Outbound!$B:$Z,11,FALSE),VLOOKUP($B592,Outbound!$B:$Z,11,FALSE)),"NON TROVATO"),"")</f>
        <v/>
      </c>
      <c r="G592" s="394" t="str">
        <f>IF(B592&lt;&gt;"",IFERROR(IF(LEFT($B592,3)=$Z$2,VLOOKUP($C592,Outbound!$B:$AAZ,16,FALSE),VLOOKUP($B592,Outbound!$B:$AAZ,16,FALSE)),"NON TROVATO"),"")</f>
        <v/>
      </c>
      <c r="H592" s="394" t="str">
        <f>IF(B592&lt;&gt;"",IFERROR(IF(LEFT($B592,3)=$Z$2,VLOOKUP($C592,Outbound!$B:$AAZ,6,FALSE),VLOOKUP($B592,Outbound!$B:$AAZ,6,FALSE)),"NON TROVATO"),"")</f>
        <v/>
      </c>
      <c r="I592" s="394" t="str">
        <f>IF(B592&lt;&gt;"",IFERROR(IF(LEFT($B592,3)=$Z$2,VLOOKUP($C592,Outbound!$B:$AAZ,52,FALSE),VLOOKUP($B592,Outbound!$B:$AAZ,52,FALSE)),"NON TROVATO"),"")</f>
        <v/>
      </c>
      <c r="J592" s="396"/>
      <c r="K592" s="387" t="str">
        <f>IF(B592&lt;&gt;"",IF($D592&lt;&gt;"ON ROCS/NOT ON FILE",IFERROR(_xlfn.XLOOKUP(LEFT($D592,3),'STAT 77 Table'!$B:$B,'STAT 77 Table'!$A:$A),"ZZ"&amp;RIGHT($B592,4)),""),"")</f>
        <v/>
      </c>
      <c r="L592" s="396"/>
      <c r="O592" s="388"/>
      <c r="P592" s="388"/>
      <c r="AA592" s="421">
        <f t="shared" si="9"/>
        <v>0</v>
      </c>
    </row>
    <row r="593" spans="1:27" ht="16.5">
      <c r="A593" s="387">
        <f>'STAT 77 Table'!$I$592</f>
        <v>0</v>
      </c>
      <c r="B593"/>
      <c r="C593"/>
      <c r="D593" s="387" t="str">
        <f>IF($B593&lt;&gt;"",IFERROR(IF(LEFT($B593,3)=$Z$2,VLOOKUP($C593,Outbound!$B:$Z,4,FALSE),VLOOKUP($B593,Outbound!$B:$Z,4,FALSE)),"ON ROCS/NOT ON FILE"),"")</f>
        <v/>
      </c>
      <c r="E593" s="387" t="str">
        <f>IF($B593&lt;&gt;"",IFERROR(IF(LEFT($B593,4)=$Z$2,VLOOKUP($C593,Outbound!$B:$Z,5,FALSE),VLOOKUP($B593,Outbound!$B:$Z,5,FALSE)),"ON ROCS/NOT ON FILE"),"")</f>
        <v/>
      </c>
      <c r="F593" s="387" t="str">
        <f>IF(B593&lt;&gt;"",IFERROR(IF(LEFT($B593,3)=$Z$2,VLOOKUP($C593,Outbound!$B:$Z,11,FALSE),VLOOKUP($B593,Outbound!$B:$Z,11,FALSE)),"NON TROVATO"),"")</f>
        <v/>
      </c>
      <c r="G593" s="394" t="str">
        <f>IF(B593&lt;&gt;"",IFERROR(IF(LEFT($B593,3)=$Z$2,VLOOKUP($C593,Outbound!$B:$AAZ,16,FALSE),VLOOKUP($B593,Outbound!$B:$AAZ,16,FALSE)),"NON TROVATO"),"")</f>
        <v/>
      </c>
      <c r="H593" s="394" t="str">
        <f>IF(B593&lt;&gt;"",IFERROR(IF(LEFT($B593,3)=$Z$2,VLOOKUP($C593,Outbound!$B:$AAZ,6,FALSE),VLOOKUP($B593,Outbound!$B:$AAZ,6,FALSE)),"NON TROVATO"),"")</f>
        <v/>
      </c>
      <c r="I593" s="394" t="str">
        <f>IF(B593&lt;&gt;"",IFERROR(IF(LEFT($B593,3)=$Z$2,VLOOKUP($C593,Outbound!$B:$AAZ,52,FALSE),VLOOKUP($B593,Outbound!$B:$AAZ,52,FALSE)),"NON TROVATO"),"")</f>
        <v/>
      </c>
      <c r="J593" s="396"/>
      <c r="K593" s="387" t="str">
        <f>IF(B593&lt;&gt;"",IF($D593&lt;&gt;"ON ROCS/NOT ON FILE",IFERROR(_xlfn.XLOOKUP(LEFT($D593,3),'STAT 77 Table'!$B:$B,'STAT 77 Table'!$A:$A),"ZZ"&amp;RIGHT($B593,4)),""),"")</f>
        <v/>
      </c>
      <c r="L593" s="396"/>
      <c r="O593" s="388"/>
      <c r="P593" s="388"/>
      <c r="AA593" s="421">
        <f t="shared" si="9"/>
        <v>0</v>
      </c>
    </row>
    <row r="594" spans="1:27" ht="16.5">
      <c r="A594" s="387">
        <f>'STAT 77 Table'!$I$593</f>
        <v>0</v>
      </c>
      <c r="B594"/>
      <c r="C594"/>
      <c r="D594" s="387" t="str">
        <f>IF($B594&lt;&gt;"",IFERROR(IF(LEFT($B594,3)=$Z$2,VLOOKUP($C594,Outbound!$B:$Z,4,FALSE),VLOOKUP($B594,Outbound!$B:$Z,4,FALSE)),"ON ROCS/NOT ON FILE"),"")</f>
        <v/>
      </c>
      <c r="E594" s="387" t="str">
        <f>IF($B594&lt;&gt;"",IFERROR(IF(LEFT($B594,4)=$Z$2,VLOOKUP($C594,Outbound!$B:$Z,5,FALSE),VLOOKUP($B594,Outbound!$B:$Z,5,FALSE)),"ON ROCS/NOT ON FILE"),"")</f>
        <v/>
      </c>
      <c r="F594" s="387" t="str">
        <f>IF(B594&lt;&gt;"",IFERROR(IF(LEFT($B594,3)=$Z$2,VLOOKUP($C594,Outbound!$B:$Z,11,FALSE),VLOOKUP($B594,Outbound!$B:$Z,11,FALSE)),"NON TROVATO"),"")</f>
        <v/>
      </c>
      <c r="G594" s="394" t="str">
        <f>IF(B594&lt;&gt;"",IFERROR(IF(LEFT($B594,3)=$Z$2,VLOOKUP($C594,Outbound!$B:$AAZ,16,FALSE),VLOOKUP($B594,Outbound!$B:$AAZ,16,FALSE)),"NON TROVATO"),"")</f>
        <v/>
      </c>
      <c r="H594" s="394" t="str">
        <f>IF(B594&lt;&gt;"",IFERROR(IF(LEFT($B594,3)=$Z$2,VLOOKUP($C594,Outbound!$B:$AAZ,6,FALSE),VLOOKUP($B594,Outbound!$B:$AAZ,6,FALSE)),"NON TROVATO"),"")</f>
        <v/>
      </c>
      <c r="I594" s="394" t="str">
        <f>IF(B594&lt;&gt;"",IFERROR(IF(LEFT($B594,3)=$Z$2,VLOOKUP($C594,Outbound!$B:$AAZ,52,FALSE),VLOOKUP($B594,Outbound!$B:$AAZ,52,FALSE)),"NON TROVATO"),"")</f>
        <v/>
      </c>
      <c r="J594" s="396"/>
      <c r="K594" s="387" t="str">
        <f>IF(B594&lt;&gt;"",IF($D594&lt;&gt;"ON ROCS/NOT ON FILE",IFERROR(_xlfn.XLOOKUP(LEFT($D594,3),'STAT 77 Table'!$B:$B,'STAT 77 Table'!$A:$A),"ZZ"&amp;RIGHT($B594,4)),""),"")</f>
        <v/>
      </c>
      <c r="L594" s="396"/>
      <c r="O594" s="388"/>
      <c r="P594" s="388"/>
      <c r="AA594" s="421">
        <f t="shared" si="9"/>
        <v>0</v>
      </c>
    </row>
    <row r="595" spans="1:27" ht="16.5">
      <c r="A595" s="387">
        <f>'STAT 77 Table'!$I$594</f>
        <v>0</v>
      </c>
      <c r="B595"/>
      <c r="C595"/>
      <c r="D595" s="387" t="str">
        <f>IF($B595&lt;&gt;"",IFERROR(IF(LEFT($B595,3)=$Z$2,VLOOKUP($C595,Outbound!$B:$Z,4,FALSE),VLOOKUP($B595,Outbound!$B:$Z,4,FALSE)),"ON ROCS/NOT ON FILE"),"")</f>
        <v/>
      </c>
      <c r="E595" s="387" t="str">
        <f>IF($B595&lt;&gt;"",IFERROR(IF(LEFT($B595,4)=$Z$2,VLOOKUP($C595,Outbound!$B:$Z,5,FALSE),VLOOKUP($B595,Outbound!$B:$Z,5,FALSE)),"ON ROCS/NOT ON FILE"),"")</f>
        <v/>
      </c>
      <c r="F595" s="387" t="str">
        <f>IF(B595&lt;&gt;"",IFERROR(IF(LEFT($B595,3)=$Z$2,VLOOKUP($C595,Outbound!$B:$Z,11,FALSE),VLOOKUP($B595,Outbound!$B:$Z,11,FALSE)),"NON TROVATO"),"")</f>
        <v/>
      </c>
      <c r="G595" s="394" t="str">
        <f>IF(B595&lt;&gt;"",IFERROR(IF(LEFT($B595,3)=$Z$2,VLOOKUP($C595,Outbound!$B:$AAZ,16,FALSE),VLOOKUP($B595,Outbound!$B:$AAZ,16,FALSE)),"NON TROVATO"),"")</f>
        <v/>
      </c>
      <c r="H595" s="394" t="str">
        <f>IF(B595&lt;&gt;"",IFERROR(IF(LEFT($B595,3)=$Z$2,VLOOKUP($C595,Outbound!$B:$AAZ,6,FALSE),VLOOKUP($B595,Outbound!$B:$AAZ,6,FALSE)),"NON TROVATO"),"")</f>
        <v/>
      </c>
      <c r="I595" s="394" t="str">
        <f>IF(B595&lt;&gt;"",IFERROR(IF(LEFT($B595,3)=$Z$2,VLOOKUP($C595,Outbound!$B:$AAZ,52,FALSE),VLOOKUP($B595,Outbound!$B:$AAZ,52,FALSE)),"NON TROVATO"),"")</f>
        <v/>
      </c>
      <c r="J595" s="396"/>
      <c r="K595" s="387" t="str">
        <f>IF(B595&lt;&gt;"",IF($D595&lt;&gt;"ON ROCS/NOT ON FILE",IFERROR(_xlfn.XLOOKUP(LEFT($D595,3),'STAT 77 Table'!$B:$B,'STAT 77 Table'!$A:$A),"ZZ"&amp;RIGHT($B595,4)),""),"")</f>
        <v/>
      </c>
      <c r="L595" s="396"/>
      <c r="O595" s="388"/>
      <c r="P595" s="388"/>
      <c r="AA595" s="421">
        <f t="shared" si="9"/>
        <v>0</v>
      </c>
    </row>
    <row r="596" spans="1:27" ht="16.5">
      <c r="A596" s="387">
        <f>'STAT 77 Table'!$I$595</f>
        <v>0</v>
      </c>
      <c r="B596"/>
      <c r="C596"/>
      <c r="D596" s="387" t="str">
        <f>IF($B596&lt;&gt;"",IFERROR(IF(LEFT($B596,3)=$Z$2,VLOOKUP($C596,Outbound!$B:$Z,4,FALSE),VLOOKUP($B596,Outbound!$B:$Z,4,FALSE)),"ON ROCS/NOT ON FILE"),"")</f>
        <v/>
      </c>
      <c r="E596" s="387" t="str">
        <f>IF($B596&lt;&gt;"",IFERROR(IF(LEFT($B596,4)=$Z$2,VLOOKUP($C596,Outbound!$B:$Z,5,FALSE),VLOOKUP($B596,Outbound!$B:$Z,5,FALSE)),"ON ROCS/NOT ON FILE"),"")</f>
        <v/>
      </c>
      <c r="F596" s="387" t="str">
        <f>IF(B596&lt;&gt;"",IFERROR(IF(LEFT($B596,3)=$Z$2,VLOOKUP($C596,Outbound!$B:$Z,11,FALSE),VLOOKUP($B596,Outbound!$B:$Z,11,FALSE)),"NON TROVATO"),"")</f>
        <v/>
      </c>
      <c r="G596" s="394" t="str">
        <f>IF(B596&lt;&gt;"",IFERROR(IF(LEFT($B596,3)=$Z$2,VLOOKUP($C596,Outbound!$B:$AAZ,16,FALSE),VLOOKUP($B596,Outbound!$B:$AAZ,16,FALSE)),"NON TROVATO"),"")</f>
        <v/>
      </c>
      <c r="H596" s="394" t="str">
        <f>IF(B596&lt;&gt;"",IFERROR(IF(LEFT($B596,3)=$Z$2,VLOOKUP($C596,Outbound!$B:$AAZ,6,FALSE),VLOOKUP($B596,Outbound!$B:$AAZ,6,FALSE)),"NON TROVATO"),"")</f>
        <v/>
      </c>
      <c r="I596" s="394" t="str">
        <f>IF(B596&lt;&gt;"",IFERROR(IF(LEFT($B596,3)=$Z$2,VLOOKUP($C596,Outbound!$B:$AAZ,52,FALSE),VLOOKUP($B596,Outbound!$B:$AAZ,52,FALSE)),"NON TROVATO"),"")</f>
        <v/>
      </c>
      <c r="J596" s="396"/>
      <c r="K596" s="387" t="str">
        <f>IF(B596&lt;&gt;"",IF($D596&lt;&gt;"ON ROCS/NOT ON FILE",IFERROR(_xlfn.XLOOKUP(LEFT($D596,3),'STAT 77 Table'!$B:$B,'STAT 77 Table'!$A:$A),"ZZ"&amp;RIGHT($B596,4)),""),"")</f>
        <v/>
      </c>
      <c r="L596" s="396"/>
      <c r="O596" s="388"/>
      <c r="P596" s="388"/>
      <c r="AA596" s="421">
        <f t="shared" si="9"/>
        <v>0</v>
      </c>
    </row>
    <row r="597" spans="1:27" ht="16.5">
      <c r="A597" s="387">
        <f>'STAT 77 Table'!$I$596</f>
        <v>0</v>
      </c>
      <c r="B597"/>
      <c r="C597"/>
      <c r="D597" s="387" t="str">
        <f>IF($B597&lt;&gt;"",IFERROR(IF(LEFT($B597,3)=$Z$2,VLOOKUP($C597,Outbound!$B:$Z,4,FALSE),VLOOKUP($B597,Outbound!$B:$Z,4,FALSE)),"ON ROCS/NOT ON FILE"),"")</f>
        <v/>
      </c>
      <c r="E597" s="387" t="str">
        <f>IF($B597&lt;&gt;"",IFERROR(IF(LEFT($B597,4)=$Z$2,VLOOKUP($C597,Outbound!$B:$Z,5,FALSE),VLOOKUP($B597,Outbound!$B:$Z,5,FALSE)),"ON ROCS/NOT ON FILE"),"")</f>
        <v/>
      </c>
      <c r="F597" s="387" t="str">
        <f>IF(B597&lt;&gt;"",IFERROR(IF(LEFT($B597,3)=$Z$2,VLOOKUP($C597,Outbound!$B:$Z,11,FALSE),VLOOKUP($B597,Outbound!$B:$Z,11,FALSE)),"NON TROVATO"),"")</f>
        <v/>
      </c>
      <c r="G597" s="394" t="str">
        <f>IF(B597&lt;&gt;"",IFERROR(IF(LEFT($B597,3)=$Z$2,VLOOKUP($C597,Outbound!$B:$AAZ,16,FALSE),VLOOKUP($B597,Outbound!$B:$AAZ,16,FALSE)),"NON TROVATO"),"")</f>
        <v/>
      </c>
      <c r="H597" s="394" t="str">
        <f>IF(B597&lt;&gt;"",IFERROR(IF(LEFT($B597,3)=$Z$2,VLOOKUP($C597,Outbound!$B:$AAZ,6,FALSE),VLOOKUP($B597,Outbound!$B:$AAZ,6,FALSE)),"NON TROVATO"),"")</f>
        <v/>
      </c>
      <c r="I597" s="394" t="str">
        <f>IF(B597&lt;&gt;"",IFERROR(IF(LEFT($B597,3)=$Z$2,VLOOKUP($C597,Outbound!$B:$AAZ,52,FALSE),VLOOKUP($B597,Outbound!$B:$AAZ,52,FALSE)),"NON TROVATO"),"")</f>
        <v/>
      </c>
      <c r="J597" s="396"/>
      <c r="K597" s="387" t="str">
        <f>IF(B597&lt;&gt;"",IF($D597&lt;&gt;"ON ROCS/NOT ON FILE",IFERROR(_xlfn.XLOOKUP(LEFT($D597,3),'STAT 77 Table'!$B:$B,'STAT 77 Table'!$A:$A),"ZZ"&amp;RIGHT($B597,4)),""),"")</f>
        <v/>
      </c>
      <c r="L597" s="396"/>
      <c r="O597" s="388"/>
      <c r="P597" s="388"/>
      <c r="AA597" s="421">
        <f t="shared" si="9"/>
        <v>0</v>
      </c>
    </row>
    <row r="598" spans="1:27" ht="16.5">
      <c r="A598" s="387">
        <f>'STAT 77 Table'!$I$597</f>
        <v>0</v>
      </c>
      <c r="B598"/>
      <c r="C598"/>
      <c r="D598" s="387" t="str">
        <f>IF($B598&lt;&gt;"",IFERROR(IF(LEFT($B598,3)=$Z$2,VLOOKUP($C598,Outbound!$B:$Z,4,FALSE),VLOOKUP($B598,Outbound!$B:$Z,4,FALSE)),"ON ROCS/NOT ON FILE"),"")</f>
        <v/>
      </c>
      <c r="E598" s="387" t="str">
        <f>IF($B598&lt;&gt;"",IFERROR(IF(LEFT($B598,4)=$Z$2,VLOOKUP($C598,Outbound!$B:$Z,5,FALSE),VLOOKUP($B598,Outbound!$B:$Z,5,FALSE)),"ON ROCS/NOT ON FILE"),"")</f>
        <v/>
      </c>
      <c r="F598" s="387" t="str">
        <f>IF(B598&lt;&gt;"",IFERROR(IF(LEFT($B598,3)=$Z$2,VLOOKUP($C598,Outbound!$B:$Z,11,FALSE),VLOOKUP($B598,Outbound!$B:$Z,11,FALSE)),"NON TROVATO"),"")</f>
        <v/>
      </c>
      <c r="G598" s="394" t="str">
        <f>IF(B598&lt;&gt;"",IFERROR(IF(LEFT($B598,3)=$Z$2,VLOOKUP($C598,Outbound!$B:$AAZ,16,FALSE),VLOOKUP($B598,Outbound!$B:$AAZ,16,FALSE)),"NON TROVATO"),"")</f>
        <v/>
      </c>
      <c r="H598" s="394" t="str">
        <f>IF(B598&lt;&gt;"",IFERROR(IF(LEFT($B598,3)=$Z$2,VLOOKUP($C598,Outbound!$B:$AAZ,6,FALSE),VLOOKUP($B598,Outbound!$B:$AAZ,6,FALSE)),"NON TROVATO"),"")</f>
        <v/>
      </c>
      <c r="I598" s="394" t="str">
        <f>IF(B598&lt;&gt;"",IFERROR(IF(LEFT($B598,3)=$Z$2,VLOOKUP($C598,Outbound!$B:$AAZ,52,FALSE),VLOOKUP($B598,Outbound!$B:$AAZ,52,FALSE)),"NON TROVATO"),"")</f>
        <v/>
      </c>
      <c r="J598" s="396"/>
      <c r="K598" s="387" t="str">
        <f>IF(B598&lt;&gt;"",IF($D598&lt;&gt;"ON ROCS/NOT ON FILE",IFERROR(_xlfn.XLOOKUP(LEFT($D598,3),'STAT 77 Table'!$B:$B,'STAT 77 Table'!$A:$A),"ZZ"&amp;RIGHT($B598,4)),""),"")</f>
        <v/>
      </c>
      <c r="L598" s="396"/>
      <c r="O598" s="388"/>
      <c r="P598" s="388"/>
      <c r="AA598" s="421">
        <f t="shared" si="9"/>
        <v>0</v>
      </c>
    </row>
    <row r="599" spans="1:27" ht="16.5">
      <c r="A599" s="387">
        <f>'STAT 77 Table'!$I$598</f>
        <v>0</v>
      </c>
      <c r="B599"/>
      <c r="C599"/>
      <c r="D599" s="387" t="str">
        <f>IF($B599&lt;&gt;"",IFERROR(IF(LEFT($B599,3)=$Z$2,VLOOKUP($C599,Outbound!$B:$Z,4,FALSE),VLOOKUP($B599,Outbound!$B:$Z,4,FALSE)),"ON ROCS/NOT ON FILE"),"")</f>
        <v/>
      </c>
      <c r="E599" s="387" t="str">
        <f>IF($B599&lt;&gt;"",IFERROR(IF(LEFT($B599,4)=$Z$2,VLOOKUP($C599,Outbound!$B:$Z,5,FALSE),VLOOKUP($B599,Outbound!$B:$Z,5,FALSE)),"ON ROCS/NOT ON FILE"),"")</f>
        <v/>
      </c>
      <c r="F599" s="387" t="str">
        <f>IF(B599&lt;&gt;"",IFERROR(IF(LEFT($B599,3)=$Z$2,VLOOKUP($C599,Outbound!$B:$Z,11,FALSE),VLOOKUP($B599,Outbound!$B:$Z,11,FALSE)),"NON TROVATO"),"")</f>
        <v/>
      </c>
      <c r="G599" s="394" t="str">
        <f>IF(B599&lt;&gt;"",IFERROR(IF(LEFT($B599,3)=$Z$2,VLOOKUP($C599,Outbound!$B:$AAZ,16,FALSE),VLOOKUP($B599,Outbound!$B:$AAZ,16,FALSE)),"NON TROVATO"),"")</f>
        <v/>
      </c>
      <c r="H599" s="394" t="str">
        <f>IF(B599&lt;&gt;"",IFERROR(IF(LEFT($B599,3)=$Z$2,VLOOKUP($C599,Outbound!$B:$AAZ,6,FALSE),VLOOKUP($B599,Outbound!$B:$AAZ,6,FALSE)),"NON TROVATO"),"")</f>
        <v/>
      </c>
      <c r="I599" s="394" t="str">
        <f>IF(B599&lt;&gt;"",IFERROR(IF(LEFT($B599,3)=$Z$2,VLOOKUP($C599,Outbound!$B:$AAZ,52,FALSE),VLOOKUP($B599,Outbound!$B:$AAZ,52,FALSE)),"NON TROVATO"),"")</f>
        <v/>
      </c>
      <c r="J599" s="396"/>
      <c r="K599" s="387" t="str">
        <f>IF(B599&lt;&gt;"",IF($D599&lt;&gt;"ON ROCS/NOT ON FILE",IFERROR(_xlfn.XLOOKUP(LEFT($D599,3),'STAT 77 Table'!$B:$B,'STAT 77 Table'!$A:$A),"ZZ"&amp;RIGHT($B599,4)),""),"")</f>
        <v/>
      </c>
      <c r="L599" s="396"/>
      <c r="O599" s="388"/>
      <c r="P599" s="388"/>
      <c r="AA599" s="421">
        <f t="shared" si="9"/>
        <v>0</v>
      </c>
    </row>
    <row r="600" spans="1:27" ht="16.5">
      <c r="A600" s="387">
        <f>'STAT 77 Table'!$I$599</f>
        <v>0</v>
      </c>
      <c r="B600"/>
      <c r="C600"/>
      <c r="D600" s="387" t="str">
        <f>IF($B600&lt;&gt;"",IFERROR(IF(LEFT($B600,3)=$Z$2,VLOOKUP($C600,Outbound!$B:$Z,4,FALSE),VLOOKUP($B600,Outbound!$B:$Z,4,FALSE)),"ON ROCS/NOT ON FILE"),"")</f>
        <v/>
      </c>
      <c r="E600" s="387" t="str">
        <f>IF($B600&lt;&gt;"",IFERROR(IF(LEFT($B600,4)=$Z$2,VLOOKUP($C600,Outbound!$B:$Z,5,FALSE),VLOOKUP($B600,Outbound!$B:$Z,5,FALSE)),"ON ROCS/NOT ON FILE"),"")</f>
        <v/>
      </c>
      <c r="F600" s="387" t="str">
        <f>IF(B600&lt;&gt;"",IFERROR(IF(LEFT($B600,3)=$Z$2,VLOOKUP($C600,Outbound!$B:$Z,11,FALSE),VLOOKUP($B600,Outbound!$B:$Z,11,FALSE)),"NON TROVATO"),"")</f>
        <v/>
      </c>
      <c r="G600" s="394" t="str">
        <f>IF(B600&lt;&gt;"",IFERROR(IF(LEFT($B600,3)=$Z$2,VLOOKUP($C600,Outbound!$B:$AAZ,16,FALSE),VLOOKUP($B600,Outbound!$B:$AAZ,16,FALSE)),"NON TROVATO"),"")</f>
        <v/>
      </c>
      <c r="H600" s="394" t="str">
        <f>IF(B600&lt;&gt;"",IFERROR(IF(LEFT($B600,3)=$Z$2,VLOOKUP($C600,Outbound!$B:$AAZ,6,FALSE),VLOOKUP($B600,Outbound!$B:$AAZ,6,FALSE)),"NON TROVATO"),"")</f>
        <v/>
      </c>
      <c r="I600" s="394" t="str">
        <f>IF(B600&lt;&gt;"",IFERROR(IF(LEFT($B600,3)=$Z$2,VLOOKUP($C600,Outbound!$B:$AAZ,52,FALSE),VLOOKUP($B600,Outbound!$B:$AAZ,52,FALSE)),"NON TROVATO"),"")</f>
        <v/>
      </c>
      <c r="J600" s="396"/>
      <c r="K600" s="387" t="str">
        <f>IF(B600&lt;&gt;"",IF($D600&lt;&gt;"ON ROCS/NOT ON FILE",IFERROR(_xlfn.XLOOKUP(LEFT($D600,3),'STAT 77 Table'!$B:$B,'STAT 77 Table'!$A:$A),"ZZ"&amp;RIGHT($B600,4)),""),"")</f>
        <v/>
      </c>
      <c r="L600" s="396"/>
      <c r="O600" s="388"/>
      <c r="P600" s="388"/>
      <c r="AA600" s="421">
        <f t="shared" si="9"/>
        <v>0</v>
      </c>
    </row>
    <row r="601" spans="1:27" ht="16.5">
      <c r="A601" s="387">
        <f>'STAT 77 Table'!$I$600</f>
        <v>0</v>
      </c>
      <c r="B601"/>
      <c r="C601"/>
      <c r="D601" s="387" t="str">
        <f>IF($B601&lt;&gt;"",IFERROR(IF(LEFT($B601,3)=$Z$2,VLOOKUP($C601,Outbound!$B:$Z,4,FALSE),VLOOKUP($B601,Outbound!$B:$Z,4,FALSE)),"ON ROCS/NOT ON FILE"),"")</f>
        <v/>
      </c>
      <c r="E601" s="387" t="str">
        <f>IF($B601&lt;&gt;"",IFERROR(IF(LEFT($B601,4)=$Z$2,VLOOKUP($C601,Outbound!$B:$Z,5,FALSE),VLOOKUP($B601,Outbound!$B:$Z,5,FALSE)),"ON ROCS/NOT ON FILE"),"")</f>
        <v/>
      </c>
      <c r="F601" s="387" t="str">
        <f>IF(B601&lt;&gt;"",IFERROR(IF(LEFT($B601,3)=$Z$2,VLOOKUP($C601,Outbound!$B:$Z,11,FALSE),VLOOKUP($B601,Outbound!$B:$Z,11,FALSE)),"NON TROVATO"),"")</f>
        <v/>
      </c>
      <c r="G601" s="394" t="str">
        <f>IF(B601&lt;&gt;"",IFERROR(IF(LEFT($B601,3)=$Z$2,VLOOKUP($C601,Outbound!$B:$AAZ,16,FALSE),VLOOKUP($B601,Outbound!$B:$AAZ,16,FALSE)),"NON TROVATO"),"")</f>
        <v/>
      </c>
      <c r="H601" s="394" t="str">
        <f>IF(B601&lt;&gt;"",IFERROR(IF(LEFT($B601,3)=$Z$2,VLOOKUP($C601,Outbound!$B:$AAZ,6,FALSE),VLOOKUP($B601,Outbound!$B:$AAZ,6,FALSE)),"NON TROVATO"),"")</f>
        <v/>
      </c>
      <c r="I601" s="394" t="str">
        <f>IF(B601&lt;&gt;"",IFERROR(IF(LEFT($B601,3)=$Z$2,VLOOKUP($C601,Outbound!$B:$AAZ,52,FALSE),VLOOKUP($B601,Outbound!$B:$AAZ,52,FALSE)),"NON TROVATO"),"")</f>
        <v/>
      </c>
      <c r="J601" s="396"/>
      <c r="K601" s="387" t="str">
        <f>IF(B601&lt;&gt;"",IF($D601&lt;&gt;"ON ROCS/NOT ON FILE",IFERROR(_xlfn.XLOOKUP(LEFT($D601,3),'STAT 77 Table'!$B:$B,'STAT 77 Table'!$A:$A),"ZZ"&amp;RIGHT($B601,4)),""),"")</f>
        <v/>
      </c>
      <c r="L601" s="396"/>
      <c r="O601" s="388"/>
      <c r="P601" s="388"/>
      <c r="AA601" s="421">
        <f t="shared" si="9"/>
        <v>0</v>
      </c>
    </row>
    <row r="602" spans="1:27" ht="16.5">
      <c r="A602" s="387">
        <f>'STAT 77 Table'!$I$601</f>
        <v>0</v>
      </c>
      <c r="B602"/>
      <c r="C602"/>
      <c r="D602" s="387" t="str">
        <f>IF($B602&lt;&gt;"",IFERROR(IF(LEFT($B602,3)=$Z$2,VLOOKUP($C602,Outbound!$B:$Z,4,FALSE),VLOOKUP($B602,Outbound!$B:$Z,4,FALSE)),"ON ROCS/NOT ON FILE"),"")</f>
        <v/>
      </c>
      <c r="E602" s="387" t="str">
        <f>IF($B602&lt;&gt;"",IFERROR(IF(LEFT($B602,4)=$Z$2,VLOOKUP($C602,Outbound!$B:$Z,5,FALSE),VLOOKUP($B602,Outbound!$B:$Z,5,FALSE)),"ON ROCS/NOT ON FILE"),"")</f>
        <v/>
      </c>
      <c r="F602" s="387" t="str">
        <f>IF(B602&lt;&gt;"",IFERROR(IF(LEFT($B602,3)=$Z$2,VLOOKUP($C602,Outbound!$B:$Z,11,FALSE),VLOOKUP($B602,Outbound!$B:$Z,11,FALSE)),"NON TROVATO"),"")</f>
        <v/>
      </c>
      <c r="G602" s="394" t="str">
        <f>IF(B602&lt;&gt;"",IFERROR(IF(LEFT($B602,3)=$Z$2,VLOOKUP($C602,Outbound!$B:$AAZ,16,FALSE),VLOOKUP($B602,Outbound!$B:$AAZ,16,FALSE)),"NON TROVATO"),"")</f>
        <v/>
      </c>
      <c r="H602" s="394" t="str">
        <f>IF(B602&lt;&gt;"",IFERROR(IF(LEFT($B602,3)=$Z$2,VLOOKUP($C602,Outbound!$B:$AAZ,6,FALSE),VLOOKUP($B602,Outbound!$B:$AAZ,6,FALSE)),"NON TROVATO"),"")</f>
        <v/>
      </c>
      <c r="I602" s="394" t="str">
        <f>IF(B602&lt;&gt;"",IFERROR(IF(LEFT($B602,3)=$Z$2,VLOOKUP($C602,Outbound!$B:$AAZ,52,FALSE),VLOOKUP($B602,Outbound!$B:$AAZ,52,FALSE)),"NON TROVATO"),"")</f>
        <v/>
      </c>
      <c r="J602" s="396"/>
      <c r="K602" s="387" t="str">
        <f>IF(B602&lt;&gt;"",IF($D602&lt;&gt;"ON ROCS/NOT ON FILE",IFERROR(_xlfn.XLOOKUP(LEFT($D602,3),'STAT 77 Table'!$B:$B,'STAT 77 Table'!$A:$A),"ZZ"&amp;RIGHT($B602,4)),""),"")</f>
        <v/>
      </c>
      <c r="L602" s="396"/>
      <c r="O602" s="388"/>
      <c r="P602" s="388"/>
      <c r="AA602" s="421">
        <f t="shared" si="9"/>
        <v>0</v>
      </c>
    </row>
    <row r="603" spans="1:27" ht="16.5">
      <c r="A603" s="387">
        <f>'STAT 77 Table'!$I$602</f>
        <v>0</v>
      </c>
      <c r="B603"/>
      <c r="C603"/>
      <c r="D603" s="387" t="str">
        <f>IF($B603&lt;&gt;"",IFERROR(IF(LEFT($B603,3)=$Z$2,VLOOKUP($C603,Outbound!$B:$Z,4,FALSE),VLOOKUP($B603,Outbound!$B:$Z,4,FALSE)),"ON ROCS/NOT ON FILE"),"")</f>
        <v/>
      </c>
      <c r="E603" s="387" t="str">
        <f>IF($B603&lt;&gt;"",IFERROR(IF(LEFT($B603,4)=$Z$2,VLOOKUP($C603,Outbound!$B:$Z,5,FALSE),VLOOKUP($B603,Outbound!$B:$Z,5,FALSE)),"ON ROCS/NOT ON FILE"),"")</f>
        <v/>
      </c>
      <c r="F603" s="387" t="str">
        <f>IF(B603&lt;&gt;"",IFERROR(IF(LEFT($B603,3)=$Z$2,VLOOKUP($C603,Outbound!$B:$Z,11,FALSE),VLOOKUP($B603,Outbound!$B:$Z,11,FALSE)),"NON TROVATO"),"")</f>
        <v/>
      </c>
      <c r="G603" s="394" t="str">
        <f>IF(B603&lt;&gt;"",IFERROR(IF(LEFT($B603,3)=$Z$2,VLOOKUP($C603,Outbound!$B:$AAZ,16,FALSE),VLOOKUP($B603,Outbound!$B:$AAZ,16,FALSE)),"NON TROVATO"),"")</f>
        <v/>
      </c>
      <c r="H603" s="394" t="str">
        <f>IF(B603&lt;&gt;"",IFERROR(IF(LEFT($B603,3)=$Z$2,VLOOKUP($C603,Outbound!$B:$AAZ,6,FALSE),VLOOKUP($B603,Outbound!$B:$AAZ,6,FALSE)),"NON TROVATO"),"")</f>
        <v/>
      </c>
      <c r="I603" s="394" t="str">
        <f>IF(B603&lt;&gt;"",IFERROR(IF(LEFT($B603,3)=$Z$2,VLOOKUP($C603,Outbound!$B:$AAZ,52,FALSE),VLOOKUP($B603,Outbound!$B:$AAZ,52,FALSE)),"NON TROVATO"),"")</f>
        <v/>
      </c>
      <c r="J603" s="396"/>
      <c r="K603" s="387" t="str">
        <f>IF(B603&lt;&gt;"",IF($D603&lt;&gt;"ON ROCS/NOT ON FILE",IFERROR(_xlfn.XLOOKUP(LEFT($D603,3),'STAT 77 Table'!$B:$B,'STAT 77 Table'!$A:$A),"ZZ"&amp;RIGHT($B603,4)),""),"")</f>
        <v/>
      </c>
      <c r="L603" s="396"/>
      <c r="O603" s="388"/>
      <c r="P603" s="388"/>
      <c r="AA603" s="421">
        <f t="shared" si="9"/>
        <v>0</v>
      </c>
    </row>
    <row r="604" spans="1:27" ht="16.5">
      <c r="A604" s="387">
        <f>'STAT 77 Table'!$I$603</f>
        <v>0</v>
      </c>
      <c r="B604"/>
      <c r="C604"/>
      <c r="D604" s="387" t="str">
        <f>IF($B604&lt;&gt;"",IFERROR(IF(LEFT($B604,3)=$Z$2,VLOOKUP($C604,Outbound!$B:$Z,4,FALSE),VLOOKUP($B604,Outbound!$B:$Z,4,FALSE)),"ON ROCS/NOT ON FILE"),"")</f>
        <v/>
      </c>
      <c r="E604" s="387" t="str">
        <f>IF($B604&lt;&gt;"",IFERROR(IF(LEFT($B604,4)=$Z$2,VLOOKUP($C604,Outbound!$B:$Z,5,FALSE),VLOOKUP($B604,Outbound!$B:$Z,5,FALSE)),"ON ROCS/NOT ON FILE"),"")</f>
        <v/>
      </c>
      <c r="F604" s="387" t="str">
        <f>IF(B604&lt;&gt;"",IFERROR(IF(LEFT($B604,3)=$Z$2,VLOOKUP($C604,Outbound!$B:$Z,11,FALSE),VLOOKUP($B604,Outbound!$B:$Z,11,FALSE)),"NON TROVATO"),"")</f>
        <v/>
      </c>
      <c r="G604" s="394" t="str">
        <f>IF(B604&lt;&gt;"",IFERROR(IF(LEFT($B604,3)=$Z$2,VLOOKUP($C604,Outbound!$B:$AAZ,16,FALSE),VLOOKUP($B604,Outbound!$B:$AAZ,16,FALSE)),"NON TROVATO"),"")</f>
        <v/>
      </c>
      <c r="H604" s="394" t="str">
        <f>IF(B604&lt;&gt;"",IFERROR(IF(LEFT($B604,3)=$Z$2,VLOOKUP($C604,Outbound!$B:$AAZ,6,FALSE),VLOOKUP($B604,Outbound!$B:$AAZ,6,FALSE)),"NON TROVATO"),"")</f>
        <v/>
      </c>
      <c r="I604" s="394" t="str">
        <f>IF(B604&lt;&gt;"",IFERROR(IF(LEFT($B604,3)=$Z$2,VLOOKUP($C604,Outbound!$B:$AAZ,52,FALSE),VLOOKUP($B604,Outbound!$B:$AAZ,52,FALSE)),"NON TROVATO"),"")</f>
        <v/>
      </c>
      <c r="J604" s="396"/>
      <c r="K604" s="387" t="str">
        <f>IF(B604&lt;&gt;"",IF($D604&lt;&gt;"ON ROCS/NOT ON FILE",IFERROR(_xlfn.XLOOKUP(LEFT($D604,3),'STAT 77 Table'!$B:$B,'STAT 77 Table'!$A:$A),"ZZ"&amp;RIGHT($B604,4)),""),"")</f>
        <v/>
      </c>
      <c r="L604" s="396"/>
      <c r="O604" s="388"/>
      <c r="P604" s="388"/>
      <c r="AA604" s="421">
        <f t="shared" si="9"/>
        <v>0</v>
      </c>
    </row>
    <row r="605" spans="1:27" ht="16.5">
      <c r="A605" s="387">
        <f>'STAT 77 Table'!$I$604</f>
        <v>0</v>
      </c>
      <c r="B605"/>
      <c r="C605"/>
      <c r="D605" s="387" t="str">
        <f>IF($B605&lt;&gt;"",IFERROR(IF(LEFT($B605,3)=$Z$2,VLOOKUP($C605,Outbound!$B:$Z,4,FALSE),VLOOKUP($B605,Outbound!$B:$Z,4,FALSE)),"ON ROCS/NOT ON FILE"),"")</f>
        <v/>
      </c>
      <c r="E605" s="387" t="str">
        <f>IF($B605&lt;&gt;"",IFERROR(IF(LEFT($B605,4)=$Z$2,VLOOKUP($C605,Outbound!$B:$Z,5,FALSE),VLOOKUP($B605,Outbound!$B:$Z,5,FALSE)),"ON ROCS/NOT ON FILE"),"")</f>
        <v/>
      </c>
      <c r="F605" s="387" t="str">
        <f>IF(B605&lt;&gt;"",IFERROR(IF(LEFT($B605,3)=$Z$2,VLOOKUP($C605,Outbound!$B:$Z,11,FALSE),VLOOKUP($B605,Outbound!$B:$Z,11,FALSE)),"NON TROVATO"),"")</f>
        <v/>
      </c>
      <c r="G605" s="394" t="str">
        <f>IF(B605&lt;&gt;"",IFERROR(IF(LEFT($B605,3)=$Z$2,VLOOKUP($C605,Outbound!$B:$AAZ,16,FALSE),VLOOKUP($B605,Outbound!$B:$AAZ,16,FALSE)),"NON TROVATO"),"")</f>
        <v/>
      </c>
      <c r="H605" s="394" t="str">
        <f>IF(B605&lt;&gt;"",IFERROR(IF(LEFT($B605,3)=$Z$2,VLOOKUP($C605,Outbound!$B:$AAZ,6,FALSE),VLOOKUP($B605,Outbound!$B:$AAZ,6,FALSE)),"NON TROVATO"),"")</f>
        <v/>
      </c>
      <c r="I605" s="394" t="str">
        <f>IF(B605&lt;&gt;"",IFERROR(IF(LEFT($B605,3)=$Z$2,VLOOKUP($C605,Outbound!$B:$AAZ,52,FALSE),VLOOKUP($B605,Outbound!$B:$AAZ,52,FALSE)),"NON TROVATO"),"")</f>
        <v/>
      </c>
      <c r="J605" s="396"/>
      <c r="K605" s="387" t="str">
        <f>IF(B605&lt;&gt;"",IF($D605&lt;&gt;"ON ROCS/NOT ON FILE",IFERROR(_xlfn.XLOOKUP(LEFT($D605,3),'STAT 77 Table'!$B:$B,'STAT 77 Table'!$A:$A),"ZZ"&amp;RIGHT($B605,4)),""),"")</f>
        <v/>
      </c>
      <c r="L605" s="396"/>
      <c r="O605" s="388"/>
      <c r="P605" s="388"/>
      <c r="AA605" s="421">
        <f t="shared" si="9"/>
        <v>0</v>
      </c>
    </row>
    <row r="606" spans="1:27" ht="16.5">
      <c r="A606" s="387">
        <f>'STAT 77 Table'!$I$605</f>
        <v>0</v>
      </c>
      <c r="B606"/>
      <c r="C606"/>
      <c r="D606" s="387" t="str">
        <f>IF($B606&lt;&gt;"",IFERROR(IF(LEFT($B606,3)=$Z$2,VLOOKUP($C606,Outbound!$B:$Z,4,FALSE),VLOOKUP($B606,Outbound!$B:$Z,4,FALSE)),"ON ROCS/NOT ON FILE"),"")</f>
        <v/>
      </c>
      <c r="E606" s="387" t="str">
        <f>IF($B606&lt;&gt;"",IFERROR(IF(LEFT($B606,4)=$Z$2,VLOOKUP($C606,Outbound!$B:$Z,5,FALSE),VLOOKUP($B606,Outbound!$B:$Z,5,FALSE)),"ON ROCS/NOT ON FILE"),"")</f>
        <v/>
      </c>
      <c r="F606" s="387" t="str">
        <f>IF(B606&lt;&gt;"",IFERROR(IF(LEFT($B606,3)=$Z$2,VLOOKUP($C606,Outbound!$B:$Z,11,FALSE),VLOOKUP($B606,Outbound!$B:$Z,11,FALSE)),"NON TROVATO"),"")</f>
        <v/>
      </c>
      <c r="G606" s="394" t="str">
        <f>IF(B606&lt;&gt;"",IFERROR(IF(LEFT($B606,3)=$Z$2,VLOOKUP($C606,Outbound!$B:$AAZ,16,FALSE),VLOOKUP($B606,Outbound!$B:$AAZ,16,FALSE)),"NON TROVATO"),"")</f>
        <v/>
      </c>
      <c r="H606" s="394" t="str">
        <f>IF(B606&lt;&gt;"",IFERROR(IF(LEFT($B606,3)=$Z$2,VLOOKUP($C606,Outbound!$B:$AAZ,6,FALSE),VLOOKUP($B606,Outbound!$B:$AAZ,6,FALSE)),"NON TROVATO"),"")</f>
        <v/>
      </c>
      <c r="I606" s="394" t="str">
        <f>IF(B606&lt;&gt;"",IFERROR(IF(LEFT($B606,3)=$Z$2,VLOOKUP($C606,Outbound!$B:$AAZ,52,FALSE),VLOOKUP($B606,Outbound!$B:$AAZ,52,FALSE)),"NON TROVATO"),"")</f>
        <v/>
      </c>
      <c r="J606" s="396"/>
      <c r="K606" s="387" t="str">
        <f>IF(B606&lt;&gt;"",IF($D606&lt;&gt;"ON ROCS/NOT ON FILE",IFERROR(_xlfn.XLOOKUP(LEFT($D606,3),'STAT 77 Table'!$B:$B,'STAT 77 Table'!$A:$A),"ZZ"&amp;RIGHT($B606,4)),""),"")</f>
        <v/>
      </c>
      <c r="L606" s="396"/>
      <c r="O606" s="388"/>
      <c r="P606" s="388"/>
      <c r="AA606" s="421">
        <f t="shared" si="9"/>
        <v>0</v>
      </c>
    </row>
    <row r="607" spans="1:27" ht="16.5">
      <c r="A607" s="387">
        <f>'STAT 77 Table'!$I$606</f>
        <v>0</v>
      </c>
      <c r="B607"/>
      <c r="C607"/>
      <c r="D607" s="387" t="str">
        <f>IF($B607&lt;&gt;"",IFERROR(IF(LEFT($B607,3)=$Z$2,VLOOKUP($C607,Outbound!$B:$Z,4,FALSE),VLOOKUP($B607,Outbound!$B:$Z,4,FALSE)),"ON ROCS/NOT ON FILE"),"")</f>
        <v/>
      </c>
      <c r="E607" s="387" t="str">
        <f>IF($B607&lt;&gt;"",IFERROR(IF(LEFT($B607,4)=$Z$2,VLOOKUP($C607,Outbound!$B:$Z,5,FALSE),VLOOKUP($B607,Outbound!$B:$Z,5,FALSE)),"ON ROCS/NOT ON FILE"),"")</f>
        <v/>
      </c>
      <c r="F607" s="387" t="str">
        <f>IF(B607&lt;&gt;"",IFERROR(IF(LEFT($B607,3)=$Z$2,VLOOKUP($C607,Outbound!$B:$Z,11,FALSE),VLOOKUP($B607,Outbound!$B:$Z,11,FALSE)),"NON TROVATO"),"")</f>
        <v/>
      </c>
      <c r="G607" s="394" t="str">
        <f>IF(B607&lt;&gt;"",IFERROR(IF(LEFT($B607,3)=$Z$2,VLOOKUP($C607,Outbound!$B:$AAZ,16,FALSE),VLOOKUP($B607,Outbound!$B:$AAZ,16,FALSE)),"NON TROVATO"),"")</f>
        <v/>
      </c>
      <c r="H607" s="394" t="str">
        <f>IF(B607&lt;&gt;"",IFERROR(IF(LEFT($B607,3)=$Z$2,VLOOKUP($C607,Outbound!$B:$AAZ,6,FALSE),VLOOKUP($B607,Outbound!$B:$AAZ,6,FALSE)),"NON TROVATO"),"")</f>
        <v/>
      </c>
      <c r="I607" s="394" t="str">
        <f>IF(B607&lt;&gt;"",IFERROR(IF(LEFT($B607,3)=$Z$2,VLOOKUP($C607,Outbound!$B:$AAZ,52,FALSE),VLOOKUP($B607,Outbound!$B:$AAZ,52,FALSE)),"NON TROVATO"),"")</f>
        <v/>
      </c>
      <c r="J607" s="396"/>
      <c r="K607" s="387" t="str">
        <f>IF(B607&lt;&gt;"",IF($D607&lt;&gt;"ON ROCS/NOT ON FILE",IFERROR(_xlfn.XLOOKUP(LEFT($D607,3),'STAT 77 Table'!$B:$B,'STAT 77 Table'!$A:$A),"ZZ"&amp;RIGHT($B607,4)),""),"")</f>
        <v/>
      </c>
      <c r="L607" s="396"/>
      <c r="O607" s="388"/>
      <c r="P607" s="388"/>
      <c r="AA607" s="421">
        <f t="shared" si="9"/>
        <v>0</v>
      </c>
    </row>
    <row r="608" spans="1:27" ht="16.5">
      <c r="A608" s="387">
        <f>'STAT 77 Table'!$I$607</f>
        <v>0</v>
      </c>
      <c r="B608"/>
      <c r="C608"/>
      <c r="D608" s="387" t="str">
        <f>IF($B608&lt;&gt;"",IFERROR(IF(LEFT($B608,3)=$Z$2,VLOOKUP($C608,Outbound!$B:$Z,4,FALSE),VLOOKUP($B608,Outbound!$B:$Z,4,FALSE)),"ON ROCS/NOT ON FILE"),"")</f>
        <v/>
      </c>
      <c r="E608" s="387" t="str">
        <f>IF($B608&lt;&gt;"",IFERROR(IF(LEFT($B608,4)=$Z$2,VLOOKUP($C608,Outbound!$B:$Z,5,FALSE),VLOOKUP($B608,Outbound!$B:$Z,5,FALSE)),"ON ROCS/NOT ON FILE"),"")</f>
        <v/>
      </c>
      <c r="F608" s="387" t="str">
        <f>IF(B608&lt;&gt;"",IFERROR(IF(LEFT($B608,3)=$Z$2,VLOOKUP($C608,Outbound!$B:$Z,11,FALSE),VLOOKUP($B608,Outbound!$B:$Z,11,FALSE)),"NON TROVATO"),"")</f>
        <v/>
      </c>
      <c r="G608" s="394" t="str">
        <f>IF(B608&lt;&gt;"",IFERROR(IF(LEFT($B608,3)=$Z$2,VLOOKUP($C608,Outbound!$B:$AAZ,16,FALSE),VLOOKUP($B608,Outbound!$B:$AAZ,16,FALSE)),"NON TROVATO"),"")</f>
        <v/>
      </c>
      <c r="H608" s="394" t="str">
        <f>IF(B608&lt;&gt;"",IFERROR(IF(LEFT($B608,3)=$Z$2,VLOOKUP($C608,Outbound!$B:$AAZ,6,FALSE),VLOOKUP($B608,Outbound!$B:$AAZ,6,FALSE)),"NON TROVATO"),"")</f>
        <v/>
      </c>
      <c r="I608" s="394" t="str">
        <f>IF(B608&lt;&gt;"",IFERROR(IF(LEFT($B608,3)=$Z$2,VLOOKUP($C608,Outbound!$B:$AAZ,52,FALSE),VLOOKUP($B608,Outbound!$B:$AAZ,52,FALSE)),"NON TROVATO"),"")</f>
        <v/>
      </c>
      <c r="J608" s="396"/>
      <c r="K608" s="387" t="str">
        <f>IF(B608&lt;&gt;"",IF($D608&lt;&gt;"ON ROCS/NOT ON FILE",IFERROR(_xlfn.XLOOKUP(LEFT($D608,3),'STAT 77 Table'!$B:$B,'STAT 77 Table'!$A:$A),"ZZ"&amp;RIGHT($B608,4)),""),"")</f>
        <v/>
      </c>
      <c r="L608" s="396"/>
      <c r="O608" s="388"/>
      <c r="P608" s="388"/>
      <c r="AA608" s="421">
        <f t="shared" si="9"/>
        <v>0</v>
      </c>
    </row>
    <row r="609" spans="1:27" ht="16.5">
      <c r="A609" s="387">
        <f>'STAT 77 Table'!$I$608</f>
        <v>0</v>
      </c>
      <c r="B609"/>
      <c r="C609"/>
      <c r="D609" s="387" t="str">
        <f>IF($B609&lt;&gt;"",IFERROR(IF(LEFT($B609,3)=$Z$2,VLOOKUP($C609,Outbound!$B:$Z,4,FALSE),VLOOKUP($B609,Outbound!$B:$Z,4,FALSE)),"ON ROCS/NOT ON FILE"),"")</f>
        <v/>
      </c>
      <c r="E609" s="387" t="str">
        <f>IF($B609&lt;&gt;"",IFERROR(IF(LEFT($B609,4)=$Z$2,VLOOKUP($C609,Outbound!$B:$Z,5,FALSE),VLOOKUP($B609,Outbound!$B:$Z,5,FALSE)),"ON ROCS/NOT ON FILE"),"")</f>
        <v/>
      </c>
      <c r="F609" s="387" t="str">
        <f>IF(B609&lt;&gt;"",IFERROR(IF(LEFT($B609,3)=$Z$2,VLOOKUP($C609,Outbound!$B:$Z,11,FALSE),VLOOKUP($B609,Outbound!$B:$Z,11,FALSE)),"NON TROVATO"),"")</f>
        <v/>
      </c>
      <c r="G609" s="394" t="str">
        <f>IF(B609&lt;&gt;"",IFERROR(IF(LEFT($B609,3)=$Z$2,VLOOKUP($C609,Outbound!$B:$AAZ,16,FALSE),VLOOKUP($B609,Outbound!$B:$AAZ,16,FALSE)),"NON TROVATO"),"")</f>
        <v/>
      </c>
      <c r="H609" s="394" t="str">
        <f>IF(B609&lt;&gt;"",IFERROR(IF(LEFT($B609,3)=$Z$2,VLOOKUP($C609,Outbound!$B:$AAZ,6,FALSE),VLOOKUP($B609,Outbound!$B:$AAZ,6,FALSE)),"NON TROVATO"),"")</f>
        <v/>
      </c>
      <c r="I609" s="394" t="str">
        <f>IF(B609&lt;&gt;"",IFERROR(IF(LEFT($B609,3)=$Z$2,VLOOKUP($C609,Outbound!$B:$AAZ,52,FALSE),VLOOKUP($B609,Outbound!$B:$AAZ,52,FALSE)),"NON TROVATO"),"")</f>
        <v/>
      </c>
      <c r="J609" s="396"/>
      <c r="K609" s="387" t="str">
        <f>IF(B609&lt;&gt;"",IF($D609&lt;&gt;"ON ROCS/NOT ON FILE",IFERROR(_xlfn.XLOOKUP(LEFT($D609,3),'STAT 77 Table'!$B:$B,'STAT 77 Table'!$A:$A),"ZZ"&amp;RIGHT($B609,4)),""),"")</f>
        <v/>
      </c>
      <c r="L609" s="396"/>
      <c r="O609" s="388"/>
      <c r="P609" s="388"/>
      <c r="AA609" s="421">
        <f t="shared" si="9"/>
        <v>0</v>
      </c>
    </row>
    <row r="610" spans="1:27" ht="16.5">
      <c r="A610" s="387">
        <f>'STAT 77 Table'!$I$609</f>
        <v>0</v>
      </c>
      <c r="B610"/>
      <c r="C610"/>
      <c r="D610" s="387" t="str">
        <f>IF($B610&lt;&gt;"",IFERROR(IF(LEFT($B610,3)=$Z$2,VLOOKUP($C610,Outbound!$B:$Z,4,FALSE),VLOOKUP($B610,Outbound!$B:$Z,4,FALSE)),"ON ROCS/NOT ON FILE"),"")</f>
        <v/>
      </c>
      <c r="E610" s="387" t="str">
        <f>IF($B610&lt;&gt;"",IFERROR(IF(LEFT($B610,4)=$Z$2,VLOOKUP($C610,Outbound!$B:$Z,5,FALSE),VLOOKUP($B610,Outbound!$B:$Z,5,FALSE)),"ON ROCS/NOT ON FILE"),"")</f>
        <v/>
      </c>
      <c r="F610" s="387" t="str">
        <f>IF(B610&lt;&gt;"",IFERROR(IF(LEFT($B610,3)=$Z$2,VLOOKUP($C610,Outbound!$B:$Z,11,FALSE),VLOOKUP($B610,Outbound!$B:$Z,11,FALSE)),"NON TROVATO"),"")</f>
        <v/>
      </c>
      <c r="G610" s="394" t="str">
        <f>IF(B610&lt;&gt;"",IFERROR(IF(LEFT($B610,3)=$Z$2,VLOOKUP($C610,Outbound!$B:$AAZ,16,FALSE),VLOOKUP($B610,Outbound!$B:$AAZ,16,FALSE)),"NON TROVATO"),"")</f>
        <v/>
      </c>
      <c r="H610" s="394" t="str">
        <f>IF(B610&lt;&gt;"",IFERROR(IF(LEFT($B610,3)=$Z$2,VLOOKUP($C610,Outbound!$B:$AAZ,6,FALSE),VLOOKUP($B610,Outbound!$B:$AAZ,6,FALSE)),"NON TROVATO"),"")</f>
        <v/>
      </c>
      <c r="I610" s="394" t="str">
        <f>IF(B610&lt;&gt;"",IFERROR(IF(LEFT($B610,3)=$Z$2,VLOOKUP($C610,Outbound!$B:$AAZ,52,FALSE),VLOOKUP($B610,Outbound!$B:$AAZ,52,FALSE)),"NON TROVATO"),"")</f>
        <v/>
      </c>
      <c r="J610" s="396"/>
      <c r="K610" s="387" t="str">
        <f>IF(B610&lt;&gt;"",IF($D610&lt;&gt;"ON ROCS/NOT ON FILE",IFERROR(_xlfn.XLOOKUP(LEFT($D610,3),'STAT 77 Table'!$B:$B,'STAT 77 Table'!$A:$A),"ZZ"&amp;RIGHT($B610,4)),""),"")</f>
        <v/>
      </c>
      <c r="L610" s="396"/>
      <c r="O610" s="388"/>
      <c r="P610" s="388"/>
      <c r="AA610" s="421">
        <f t="shared" si="9"/>
        <v>0</v>
      </c>
    </row>
    <row r="611" spans="1:27" ht="16.5">
      <c r="A611" s="387">
        <f>'STAT 77 Table'!$I$610</f>
        <v>0</v>
      </c>
      <c r="B611"/>
      <c r="C611"/>
      <c r="D611" s="387" t="str">
        <f>IF($B611&lt;&gt;"",IFERROR(IF(LEFT($B611,3)=$Z$2,VLOOKUP($C611,Outbound!$B:$Z,4,FALSE),VLOOKUP($B611,Outbound!$B:$Z,4,FALSE)),"ON ROCS/NOT ON FILE"),"")</f>
        <v/>
      </c>
      <c r="E611" s="387" t="str">
        <f>IF($B611&lt;&gt;"",IFERROR(IF(LEFT($B611,4)=$Z$2,VLOOKUP($C611,Outbound!$B:$Z,5,FALSE),VLOOKUP($B611,Outbound!$B:$Z,5,FALSE)),"ON ROCS/NOT ON FILE"),"")</f>
        <v/>
      </c>
      <c r="F611" s="387" t="str">
        <f>IF(B611&lt;&gt;"",IFERROR(IF(LEFT($B611,3)=$Z$2,VLOOKUP($C611,Outbound!$B:$Z,11,FALSE),VLOOKUP($B611,Outbound!$B:$Z,11,FALSE)),"NON TROVATO"),"")</f>
        <v/>
      </c>
      <c r="G611" s="394" t="str">
        <f>IF(B611&lt;&gt;"",IFERROR(IF(LEFT($B611,3)=$Z$2,VLOOKUP($C611,Outbound!$B:$AAZ,16,FALSE),VLOOKUP($B611,Outbound!$B:$AAZ,16,FALSE)),"NON TROVATO"),"")</f>
        <v/>
      </c>
      <c r="H611" s="394" t="str">
        <f>IF(B611&lt;&gt;"",IFERROR(IF(LEFT($B611,3)=$Z$2,VLOOKUP($C611,Outbound!$B:$AAZ,6,FALSE),VLOOKUP($B611,Outbound!$B:$AAZ,6,FALSE)),"NON TROVATO"),"")</f>
        <v/>
      </c>
      <c r="I611" s="394" t="str">
        <f>IF(B611&lt;&gt;"",IFERROR(IF(LEFT($B611,3)=$Z$2,VLOOKUP($C611,Outbound!$B:$AAZ,52,FALSE),VLOOKUP($B611,Outbound!$B:$AAZ,52,FALSE)),"NON TROVATO"),"")</f>
        <v/>
      </c>
      <c r="J611" s="396"/>
      <c r="K611" s="387" t="str">
        <f>IF(B611&lt;&gt;"",IF($D611&lt;&gt;"ON ROCS/NOT ON FILE",IFERROR(_xlfn.XLOOKUP(LEFT($D611,3),'STAT 77 Table'!$B:$B,'STAT 77 Table'!$A:$A),"ZZ"&amp;RIGHT($B611,4)),""),"")</f>
        <v/>
      </c>
      <c r="L611" s="396"/>
      <c r="O611" s="388"/>
      <c r="P611" s="388"/>
      <c r="AA611" s="421">
        <f t="shared" si="9"/>
        <v>0</v>
      </c>
    </row>
    <row r="612" spans="1:27" ht="16.5">
      <c r="A612" s="387">
        <f>'STAT 77 Table'!$I$611</f>
        <v>0</v>
      </c>
      <c r="B612"/>
      <c r="C612"/>
      <c r="D612" s="387" t="str">
        <f>IF($B612&lt;&gt;"",IFERROR(IF(LEFT($B612,3)=$Z$2,VLOOKUP($C612,Outbound!$B:$Z,4,FALSE),VLOOKUP($B612,Outbound!$B:$Z,4,FALSE)),"ON ROCS/NOT ON FILE"),"")</f>
        <v/>
      </c>
      <c r="E612" s="387" t="str">
        <f>IF($B612&lt;&gt;"",IFERROR(IF(LEFT($B612,4)=$Z$2,VLOOKUP($C612,Outbound!$B:$Z,5,FALSE),VLOOKUP($B612,Outbound!$B:$Z,5,FALSE)),"ON ROCS/NOT ON FILE"),"")</f>
        <v/>
      </c>
      <c r="F612" s="387" t="str">
        <f>IF(B612&lt;&gt;"",IFERROR(IF(LEFT($B612,3)=$Z$2,VLOOKUP($C612,Outbound!$B:$Z,11,FALSE),VLOOKUP($B612,Outbound!$B:$Z,11,FALSE)),"NON TROVATO"),"")</f>
        <v/>
      </c>
      <c r="G612" s="394" t="str">
        <f>IF(B612&lt;&gt;"",IFERROR(IF(LEFT($B612,3)=$Z$2,VLOOKUP($C612,Outbound!$B:$AAZ,16,FALSE),VLOOKUP($B612,Outbound!$B:$AAZ,16,FALSE)),"NON TROVATO"),"")</f>
        <v/>
      </c>
      <c r="H612" s="394" t="str">
        <f>IF(B612&lt;&gt;"",IFERROR(IF(LEFT($B612,3)=$Z$2,VLOOKUP($C612,Outbound!$B:$AAZ,6,FALSE),VLOOKUP($B612,Outbound!$B:$AAZ,6,FALSE)),"NON TROVATO"),"")</f>
        <v/>
      </c>
      <c r="I612" s="394" t="str">
        <f>IF(B612&lt;&gt;"",IFERROR(IF(LEFT($B612,3)=$Z$2,VLOOKUP($C612,Outbound!$B:$AAZ,52,FALSE),VLOOKUP($B612,Outbound!$B:$AAZ,52,FALSE)),"NON TROVATO"),"")</f>
        <v/>
      </c>
      <c r="J612" s="396"/>
      <c r="K612" s="387" t="str">
        <f>IF(B612&lt;&gt;"",IF($D612&lt;&gt;"ON ROCS/NOT ON FILE",IFERROR(_xlfn.XLOOKUP(LEFT($D612,3),'STAT 77 Table'!$B:$B,'STAT 77 Table'!$A:$A),"ZZ"&amp;RIGHT($B612,4)),""),"")</f>
        <v/>
      </c>
      <c r="L612" s="396"/>
      <c r="O612" s="388"/>
      <c r="P612" s="388"/>
      <c r="AA612" s="421">
        <f t="shared" si="9"/>
        <v>0</v>
      </c>
    </row>
    <row r="613" spans="1:27" ht="16.5">
      <c r="A613" s="387">
        <f>'STAT 77 Table'!$I$612</f>
        <v>0</v>
      </c>
      <c r="B613"/>
      <c r="C613"/>
      <c r="D613" s="387" t="str">
        <f>IF($B613&lt;&gt;"",IFERROR(IF(LEFT($B613,3)=$Z$2,VLOOKUP($C613,Outbound!$B:$Z,4,FALSE),VLOOKUP($B613,Outbound!$B:$Z,4,FALSE)),"ON ROCS/NOT ON FILE"),"")</f>
        <v/>
      </c>
      <c r="E613" s="387" t="str">
        <f>IF($B613&lt;&gt;"",IFERROR(IF(LEFT($B613,4)=$Z$2,VLOOKUP($C613,Outbound!$B:$Z,5,FALSE),VLOOKUP($B613,Outbound!$B:$Z,5,FALSE)),"ON ROCS/NOT ON FILE"),"")</f>
        <v/>
      </c>
      <c r="F613" s="387" t="str">
        <f>IF(B613&lt;&gt;"",IFERROR(IF(LEFT($B613,3)=$Z$2,VLOOKUP($C613,Outbound!$B:$Z,11,FALSE),VLOOKUP($B613,Outbound!$B:$Z,11,FALSE)),"NON TROVATO"),"")</f>
        <v/>
      </c>
      <c r="G613" s="394" t="str">
        <f>IF(B613&lt;&gt;"",IFERROR(IF(LEFT($B613,3)=$Z$2,VLOOKUP($C613,Outbound!$B:$AAZ,16,FALSE),VLOOKUP($B613,Outbound!$B:$AAZ,16,FALSE)),"NON TROVATO"),"")</f>
        <v/>
      </c>
      <c r="H613" s="394" t="str">
        <f>IF(B613&lt;&gt;"",IFERROR(IF(LEFT($B613,3)=$Z$2,VLOOKUP($C613,Outbound!$B:$AAZ,6,FALSE),VLOOKUP($B613,Outbound!$B:$AAZ,6,FALSE)),"NON TROVATO"),"")</f>
        <v/>
      </c>
      <c r="I613" s="394" t="str">
        <f>IF(B613&lt;&gt;"",IFERROR(IF(LEFT($B613,3)=$Z$2,VLOOKUP($C613,Outbound!$B:$AAZ,52,FALSE),VLOOKUP($B613,Outbound!$B:$AAZ,52,FALSE)),"NON TROVATO"),"")</f>
        <v/>
      </c>
      <c r="J613" s="396"/>
      <c r="K613" s="387" t="str">
        <f>IF(B613&lt;&gt;"",IF($D613&lt;&gt;"ON ROCS/NOT ON FILE",IFERROR(_xlfn.XLOOKUP(LEFT($D613,3),'STAT 77 Table'!$B:$B,'STAT 77 Table'!$A:$A),"ZZ"&amp;RIGHT($B613,4)),""),"")</f>
        <v/>
      </c>
      <c r="L613" s="396"/>
      <c r="O613" s="388"/>
      <c r="P613" s="388"/>
      <c r="AA613" s="421">
        <f t="shared" si="9"/>
        <v>0</v>
      </c>
    </row>
    <row r="614" spans="1:27" ht="16.5">
      <c r="A614" s="387">
        <f>'STAT 77 Table'!$I$613</f>
        <v>0</v>
      </c>
      <c r="B614"/>
      <c r="C614"/>
      <c r="D614" s="387" t="str">
        <f>IF($B614&lt;&gt;"",IFERROR(IF(LEFT($B614,3)=$Z$2,VLOOKUP($C614,Outbound!$B:$Z,4,FALSE),VLOOKUP($B614,Outbound!$B:$Z,4,FALSE)),"ON ROCS/NOT ON FILE"),"")</f>
        <v/>
      </c>
      <c r="E614" s="387" t="str">
        <f>IF($B614&lt;&gt;"",IFERROR(IF(LEFT($B614,4)=$Z$2,VLOOKUP($C614,Outbound!$B:$Z,5,FALSE),VLOOKUP($B614,Outbound!$B:$Z,5,FALSE)),"ON ROCS/NOT ON FILE"),"")</f>
        <v/>
      </c>
      <c r="F614" s="387" t="str">
        <f>IF(B614&lt;&gt;"",IFERROR(IF(LEFT($B614,3)=$Z$2,VLOOKUP($C614,Outbound!$B:$Z,11,FALSE),VLOOKUP($B614,Outbound!$B:$Z,11,FALSE)),"NON TROVATO"),"")</f>
        <v/>
      </c>
      <c r="G614" s="394" t="str">
        <f>IF(B614&lt;&gt;"",IFERROR(IF(LEFT($B614,3)=$Z$2,VLOOKUP($C614,Outbound!$B:$AAZ,16,FALSE),VLOOKUP($B614,Outbound!$B:$AAZ,16,FALSE)),"NON TROVATO"),"")</f>
        <v/>
      </c>
      <c r="H614" s="394" t="str">
        <f>IF(B614&lt;&gt;"",IFERROR(IF(LEFT($B614,3)=$Z$2,VLOOKUP($C614,Outbound!$B:$AAZ,6,FALSE),VLOOKUP($B614,Outbound!$B:$AAZ,6,FALSE)),"NON TROVATO"),"")</f>
        <v/>
      </c>
      <c r="I614" s="394" t="str">
        <f>IF(B614&lt;&gt;"",IFERROR(IF(LEFT($B614,3)=$Z$2,VLOOKUP($C614,Outbound!$B:$AAZ,52,FALSE),VLOOKUP($B614,Outbound!$B:$AAZ,52,FALSE)),"NON TROVATO"),"")</f>
        <v/>
      </c>
      <c r="J614" s="396"/>
      <c r="K614" s="387" t="str">
        <f>IF(B614&lt;&gt;"",IF($D614&lt;&gt;"ON ROCS/NOT ON FILE",IFERROR(_xlfn.XLOOKUP(LEFT($D614,3),'STAT 77 Table'!$B:$B,'STAT 77 Table'!$A:$A),"ZZ"&amp;RIGHT($B614,4)),""),"")</f>
        <v/>
      </c>
      <c r="L614" s="396"/>
      <c r="O614" s="388"/>
      <c r="P614" s="388"/>
      <c r="AA614" s="421">
        <f t="shared" si="9"/>
        <v>0</v>
      </c>
    </row>
    <row r="615" spans="1:27" ht="16.5">
      <c r="A615" s="387">
        <f>'STAT 77 Table'!$I$614</f>
        <v>0</v>
      </c>
      <c r="B615"/>
      <c r="C615"/>
      <c r="D615" s="387" t="str">
        <f>IF($B615&lt;&gt;"",IFERROR(IF(LEFT($B615,3)=$Z$2,VLOOKUP($C615,Outbound!$B:$Z,4,FALSE),VLOOKUP($B615,Outbound!$B:$Z,4,FALSE)),"ON ROCS/NOT ON FILE"),"")</f>
        <v/>
      </c>
      <c r="E615" s="387" t="str">
        <f>IF($B615&lt;&gt;"",IFERROR(IF(LEFT($B615,4)=$Z$2,VLOOKUP($C615,Outbound!$B:$Z,5,FALSE),VLOOKUP($B615,Outbound!$B:$Z,5,FALSE)),"ON ROCS/NOT ON FILE"),"")</f>
        <v/>
      </c>
      <c r="F615" s="387" t="str">
        <f>IF(B615&lt;&gt;"",IFERROR(IF(LEFT($B615,3)=$Z$2,VLOOKUP($C615,Outbound!$B:$Z,11,FALSE),VLOOKUP($B615,Outbound!$B:$Z,11,FALSE)),"NON TROVATO"),"")</f>
        <v/>
      </c>
      <c r="G615" s="394" t="str">
        <f>IF(B615&lt;&gt;"",IFERROR(IF(LEFT($B615,3)=$Z$2,VLOOKUP($C615,Outbound!$B:$AAZ,16,FALSE),VLOOKUP($B615,Outbound!$B:$AAZ,16,FALSE)),"NON TROVATO"),"")</f>
        <v/>
      </c>
      <c r="H615" s="394" t="str">
        <f>IF(B615&lt;&gt;"",IFERROR(IF(LEFT($B615,3)=$Z$2,VLOOKUP($C615,Outbound!$B:$AAZ,6,FALSE),VLOOKUP($B615,Outbound!$B:$AAZ,6,FALSE)),"NON TROVATO"),"")</f>
        <v/>
      </c>
      <c r="I615" s="394" t="str">
        <f>IF(B615&lt;&gt;"",IFERROR(IF(LEFT($B615,3)=$Z$2,VLOOKUP($C615,Outbound!$B:$AAZ,52,FALSE),VLOOKUP($B615,Outbound!$B:$AAZ,52,FALSE)),"NON TROVATO"),"")</f>
        <v/>
      </c>
      <c r="J615" s="396"/>
      <c r="K615" s="387" t="str">
        <f>IF(B615&lt;&gt;"",IF($D615&lt;&gt;"ON ROCS/NOT ON FILE",IFERROR(_xlfn.XLOOKUP(LEFT($D615,3),'STAT 77 Table'!$B:$B,'STAT 77 Table'!$A:$A),"ZZ"&amp;RIGHT($B615,4)),""),"")</f>
        <v/>
      </c>
      <c r="L615" s="396"/>
      <c r="O615" s="388"/>
      <c r="P615" s="388"/>
      <c r="AA615" s="421">
        <f t="shared" si="9"/>
        <v>0</v>
      </c>
    </row>
    <row r="616" spans="1:27" ht="16.5">
      <c r="A616" s="387">
        <f>'STAT 77 Table'!$I$615</f>
        <v>0</v>
      </c>
      <c r="B616"/>
      <c r="C616"/>
      <c r="D616" s="387" t="str">
        <f>IF($B616&lt;&gt;"",IFERROR(IF(LEFT($B616,3)=$Z$2,VLOOKUP($C616,Outbound!$B:$Z,4,FALSE),VLOOKUP($B616,Outbound!$B:$Z,4,FALSE)),"ON ROCS/NOT ON FILE"),"")</f>
        <v/>
      </c>
      <c r="E616" s="387" t="str">
        <f>IF($B616&lt;&gt;"",IFERROR(IF(LEFT($B616,4)=$Z$2,VLOOKUP($C616,Outbound!$B:$Z,5,FALSE),VLOOKUP($B616,Outbound!$B:$Z,5,FALSE)),"ON ROCS/NOT ON FILE"),"")</f>
        <v/>
      </c>
      <c r="F616" s="387" t="str">
        <f>IF(B616&lt;&gt;"",IFERROR(IF(LEFT($B616,3)=$Z$2,VLOOKUP($C616,Outbound!$B:$Z,11,FALSE),VLOOKUP($B616,Outbound!$B:$Z,11,FALSE)),"NON TROVATO"),"")</f>
        <v/>
      </c>
      <c r="G616" s="394" t="str">
        <f>IF(B616&lt;&gt;"",IFERROR(IF(LEFT($B616,3)=$Z$2,VLOOKUP($C616,Outbound!$B:$AAZ,16,FALSE),VLOOKUP($B616,Outbound!$B:$AAZ,16,FALSE)),"NON TROVATO"),"")</f>
        <v/>
      </c>
      <c r="H616" s="394" t="str">
        <f>IF(B616&lt;&gt;"",IFERROR(IF(LEFT($B616,3)=$Z$2,VLOOKUP($C616,Outbound!$B:$AAZ,6,FALSE),VLOOKUP($B616,Outbound!$B:$AAZ,6,FALSE)),"NON TROVATO"),"")</f>
        <v/>
      </c>
      <c r="I616" s="394" t="str">
        <f>IF(B616&lt;&gt;"",IFERROR(IF(LEFT($B616,3)=$Z$2,VLOOKUP($C616,Outbound!$B:$AAZ,52,FALSE),VLOOKUP($B616,Outbound!$B:$AAZ,52,FALSE)),"NON TROVATO"),"")</f>
        <v/>
      </c>
      <c r="J616" s="396"/>
      <c r="K616" s="387" t="str">
        <f>IF(B616&lt;&gt;"",IF($D616&lt;&gt;"ON ROCS/NOT ON FILE",IFERROR(_xlfn.XLOOKUP(LEFT($D616,3),'STAT 77 Table'!$B:$B,'STAT 77 Table'!$A:$A),"ZZ"&amp;RIGHT($B616,4)),""),"")</f>
        <v/>
      </c>
      <c r="L616" s="396"/>
      <c r="O616" s="388"/>
      <c r="P616" s="388"/>
      <c r="AA616" s="421">
        <f t="shared" si="9"/>
        <v>0</v>
      </c>
    </row>
    <row r="617" spans="1:27" ht="16.5">
      <c r="A617" s="387">
        <f>'STAT 77 Table'!$I$616</f>
        <v>0</v>
      </c>
      <c r="B617"/>
      <c r="C617"/>
      <c r="D617" s="387" t="str">
        <f>IF($B617&lt;&gt;"",IFERROR(IF(LEFT($B617,3)=$Z$2,VLOOKUP($C617,Outbound!$B:$Z,4,FALSE),VLOOKUP($B617,Outbound!$B:$Z,4,FALSE)),"ON ROCS/NOT ON FILE"),"")</f>
        <v/>
      </c>
      <c r="E617" s="387" t="str">
        <f>IF($B617&lt;&gt;"",IFERROR(IF(LEFT($B617,4)=$Z$2,VLOOKUP($C617,Outbound!$B:$Z,5,FALSE),VLOOKUP($B617,Outbound!$B:$Z,5,FALSE)),"ON ROCS/NOT ON FILE"),"")</f>
        <v/>
      </c>
      <c r="F617" s="387" t="str">
        <f>IF(B617&lt;&gt;"",IFERROR(IF(LEFT($B617,3)=$Z$2,VLOOKUP($C617,Outbound!$B:$Z,11,FALSE),VLOOKUP($B617,Outbound!$B:$Z,11,FALSE)),"NON TROVATO"),"")</f>
        <v/>
      </c>
      <c r="G617" s="394" t="str">
        <f>IF(B617&lt;&gt;"",IFERROR(IF(LEFT($B617,3)=$Z$2,VLOOKUP($C617,Outbound!$B:$AAZ,16,FALSE),VLOOKUP($B617,Outbound!$B:$AAZ,16,FALSE)),"NON TROVATO"),"")</f>
        <v/>
      </c>
      <c r="H617" s="394" t="str">
        <f>IF(B617&lt;&gt;"",IFERROR(IF(LEFT($B617,3)=$Z$2,VLOOKUP($C617,Outbound!$B:$AAZ,6,FALSE),VLOOKUP($B617,Outbound!$B:$AAZ,6,FALSE)),"NON TROVATO"),"")</f>
        <v/>
      </c>
      <c r="I617" s="394" t="str">
        <f>IF(B617&lt;&gt;"",IFERROR(IF(LEFT($B617,3)=$Z$2,VLOOKUP($C617,Outbound!$B:$AAZ,52,FALSE),VLOOKUP($B617,Outbound!$B:$AAZ,52,FALSE)),"NON TROVATO"),"")</f>
        <v/>
      </c>
      <c r="J617" s="396"/>
      <c r="K617" s="387" t="str">
        <f>IF(B617&lt;&gt;"",IF($D617&lt;&gt;"ON ROCS/NOT ON FILE",IFERROR(_xlfn.XLOOKUP(LEFT($D617,3),'STAT 77 Table'!$B:$B,'STAT 77 Table'!$A:$A),"ZZ"&amp;RIGHT($B617,4)),""),"")</f>
        <v/>
      </c>
      <c r="L617" s="396"/>
      <c r="O617" s="388"/>
      <c r="P617" s="388"/>
      <c r="AA617" s="421">
        <f t="shared" si="9"/>
        <v>0</v>
      </c>
    </row>
    <row r="618" spans="1:27" ht="16.5">
      <c r="A618" s="387">
        <f>'STAT 77 Table'!$I$617</f>
        <v>0</v>
      </c>
      <c r="B618"/>
      <c r="C618"/>
      <c r="D618" s="387" t="str">
        <f>IF($B618&lt;&gt;"",IFERROR(IF(LEFT($B618,3)=$Z$2,VLOOKUP($C618,Outbound!$B:$Z,4,FALSE),VLOOKUP($B618,Outbound!$B:$Z,4,FALSE)),"ON ROCS/NOT ON FILE"),"")</f>
        <v/>
      </c>
      <c r="E618" s="387" t="str">
        <f>IF($B618&lt;&gt;"",IFERROR(IF(LEFT($B618,4)=$Z$2,VLOOKUP($C618,Outbound!$B:$Z,5,FALSE),VLOOKUP($B618,Outbound!$B:$Z,5,FALSE)),"ON ROCS/NOT ON FILE"),"")</f>
        <v/>
      </c>
      <c r="F618" s="387" t="str">
        <f>IF(B618&lt;&gt;"",IFERROR(IF(LEFT($B618,3)=$Z$2,VLOOKUP($C618,Outbound!$B:$Z,11,FALSE),VLOOKUP($B618,Outbound!$B:$Z,11,FALSE)),"NON TROVATO"),"")</f>
        <v/>
      </c>
      <c r="G618" s="394" t="str">
        <f>IF(B618&lt;&gt;"",IFERROR(IF(LEFT($B618,3)=$Z$2,VLOOKUP($C618,Outbound!$B:$AAZ,16,FALSE),VLOOKUP($B618,Outbound!$B:$AAZ,16,FALSE)),"NON TROVATO"),"")</f>
        <v/>
      </c>
      <c r="H618" s="394" t="str">
        <f>IF(B618&lt;&gt;"",IFERROR(IF(LEFT($B618,3)=$Z$2,VLOOKUP($C618,Outbound!$B:$AAZ,6,FALSE),VLOOKUP($B618,Outbound!$B:$AAZ,6,FALSE)),"NON TROVATO"),"")</f>
        <v/>
      </c>
      <c r="I618" s="394" t="str">
        <f>IF(B618&lt;&gt;"",IFERROR(IF(LEFT($B618,3)=$Z$2,VLOOKUP($C618,Outbound!$B:$AAZ,52,FALSE),VLOOKUP($B618,Outbound!$B:$AAZ,52,FALSE)),"NON TROVATO"),"")</f>
        <v/>
      </c>
      <c r="J618" s="396"/>
      <c r="K618" s="387" t="str">
        <f>IF(B618&lt;&gt;"",IF($D618&lt;&gt;"ON ROCS/NOT ON FILE",IFERROR(_xlfn.XLOOKUP(LEFT($D618,3),'STAT 77 Table'!$B:$B,'STAT 77 Table'!$A:$A),"ZZ"&amp;RIGHT($B618,4)),""),"")</f>
        <v/>
      </c>
      <c r="L618" s="396"/>
      <c r="O618" s="388"/>
      <c r="P618" s="388"/>
      <c r="AA618" s="421">
        <f t="shared" si="9"/>
        <v>0</v>
      </c>
    </row>
    <row r="619" spans="1:27" ht="16.5">
      <c r="A619" s="387">
        <f>'STAT 77 Table'!$I$618</f>
        <v>0</v>
      </c>
      <c r="B619"/>
      <c r="C619"/>
      <c r="D619" s="387" t="str">
        <f>IF($B619&lt;&gt;"",IFERROR(IF(LEFT($B619,3)=$Z$2,VLOOKUP($C619,Outbound!$B:$Z,4,FALSE),VLOOKUP($B619,Outbound!$B:$Z,4,FALSE)),"ON ROCS/NOT ON FILE"),"")</f>
        <v/>
      </c>
      <c r="E619" s="387" t="str">
        <f>IF($B619&lt;&gt;"",IFERROR(IF(LEFT($B619,4)=$Z$2,VLOOKUP($C619,Outbound!$B:$Z,5,FALSE),VLOOKUP($B619,Outbound!$B:$Z,5,FALSE)),"ON ROCS/NOT ON FILE"),"")</f>
        <v/>
      </c>
      <c r="F619" s="387" t="str">
        <f>IF(B619&lt;&gt;"",IFERROR(IF(LEFT($B619,3)=$Z$2,VLOOKUP($C619,Outbound!$B:$Z,11,FALSE),VLOOKUP($B619,Outbound!$B:$Z,11,FALSE)),"NON TROVATO"),"")</f>
        <v/>
      </c>
      <c r="G619" s="394" t="str">
        <f>IF(B619&lt;&gt;"",IFERROR(IF(LEFT($B619,3)=$Z$2,VLOOKUP($C619,Outbound!$B:$AAZ,16,FALSE),VLOOKUP($B619,Outbound!$B:$AAZ,16,FALSE)),"NON TROVATO"),"")</f>
        <v/>
      </c>
      <c r="H619" s="394" t="str">
        <f>IF(B619&lt;&gt;"",IFERROR(IF(LEFT($B619,3)=$Z$2,VLOOKUP($C619,Outbound!$B:$AAZ,6,FALSE),VLOOKUP($B619,Outbound!$B:$AAZ,6,FALSE)),"NON TROVATO"),"")</f>
        <v/>
      </c>
      <c r="I619" s="394" t="str">
        <f>IF(B619&lt;&gt;"",IFERROR(IF(LEFT($B619,3)=$Z$2,VLOOKUP($C619,Outbound!$B:$AAZ,52,FALSE),VLOOKUP($B619,Outbound!$B:$AAZ,52,FALSE)),"NON TROVATO"),"")</f>
        <v/>
      </c>
      <c r="J619" s="396"/>
      <c r="K619" s="387" t="str">
        <f>IF(B619&lt;&gt;"",IF($D619&lt;&gt;"ON ROCS/NOT ON FILE",IFERROR(_xlfn.XLOOKUP(LEFT($D619,3),'STAT 77 Table'!$B:$B,'STAT 77 Table'!$A:$A),"ZZ"&amp;RIGHT($B619,4)),""),"")</f>
        <v/>
      </c>
      <c r="L619" s="396"/>
      <c r="O619" s="388"/>
      <c r="P619" s="388"/>
      <c r="AA619" s="421">
        <f t="shared" si="9"/>
        <v>0</v>
      </c>
    </row>
    <row r="620" spans="1:27" ht="16.5">
      <c r="A620" s="387">
        <f>'STAT 77 Table'!$I$619</f>
        <v>0</v>
      </c>
      <c r="B620"/>
      <c r="C620"/>
      <c r="D620" s="387" t="str">
        <f>IF($B620&lt;&gt;"",IFERROR(IF(LEFT($B620,3)=$Z$2,VLOOKUP($C620,Outbound!$B:$Z,4,FALSE),VLOOKUP($B620,Outbound!$B:$Z,4,FALSE)),"ON ROCS/NOT ON FILE"),"")</f>
        <v/>
      </c>
      <c r="E620" s="387" t="str">
        <f>IF($B620&lt;&gt;"",IFERROR(IF(LEFT($B620,4)=$Z$2,VLOOKUP($C620,Outbound!$B:$Z,5,FALSE),VLOOKUP($B620,Outbound!$B:$Z,5,FALSE)),"ON ROCS/NOT ON FILE"),"")</f>
        <v/>
      </c>
      <c r="F620" s="387" t="str">
        <f>IF(B620&lt;&gt;"",IFERROR(IF(LEFT($B620,3)=$Z$2,VLOOKUP($C620,Outbound!$B:$Z,11,FALSE),VLOOKUP($B620,Outbound!$B:$Z,11,FALSE)),"NON TROVATO"),"")</f>
        <v/>
      </c>
      <c r="G620" s="394" t="str">
        <f>IF(B620&lt;&gt;"",IFERROR(IF(LEFT($B620,3)=$Z$2,VLOOKUP($C620,Outbound!$B:$AAZ,16,FALSE),VLOOKUP($B620,Outbound!$B:$AAZ,16,FALSE)),"NON TROVATO"),"")</f>
        <v/>
      </c>
      <c r="H620" s="394" t="str">
        <f>IF(B620&lt;&gt;"",IFERROR(IF(LEFT($B620,3)=$Z$2,VLOOKUP($C620,Outbound!$B:$AAZ,6,FALSE),VLOOKUP($B620,Outbound!$B:$AAZ,6,FALSE)),"NON TROVATO"),"")</f>
        <v/>
      </c>
      <c r="I620" s="394" t="str">
        <f>IF(B620&lt;&gt;"",IFERROR(IF(LEFT($B620,3)=$Z$2,VLOOKUP($C620,Outbound!$B:$AAZ,52,FALSE),VLOOKUP($B620,Outbound!$B:$AAZ,52,FALSE)),"NON TROVATO"),"")</f>
        <v/>
      </c>
      <c r="J620" s="396"/>
      <c r="K620" s="387" t="str">
        <f>IF(B620&lt;&gt;"",IF($D620&lt;&gt;"ON ROCS/NOT ON FILE",IFERROR(_xlfn.XLOOKUP(LEFT($D620,3),'STAT 77 Table'!$B:$B,'STAT 77 Table'!$A:$A),"ZZ"&amp;RIGHT($B620,4)),""),"")</f>
        <v/>
      </c>
      <c r="L620" s="396"/>
      <c r="O620" s="388"/>
      <c r="P620" s="388"/>
      <c r="AA620" s="421">
        <f t="shared" si="9"/>
        <v>0</v>
      </c>
    </row>
    <row r="621" spans="1:27" ht="16.5">
      <c r="A621" s="387">
        <f>'STAT 77 Table'!$I$620</f>
        <v>0</v>
      </c>
      <c r="B621"/>
      <c r="C621"/>
      <c r="D621" s="387" t="str">
        <f>IF($B621&lt;&gt;"",IFERROR(IF(LEFT($B621,3)=$Z$2,VLOOKUP($C621,Outbound!$B:$Z,4,FALSE),VLOOKUP($B621,Outbound!$B:$Z,4,FALSE)),"ON ROCS/NOT ON FILE"),"")</f>
        <v/>
      </c>
      <c r="E621" s="387" t="str">
        <f>IF($B621&lt;&gt;"",IFERROR(IF(LEFT($B621,4)=$Z$2,VLOOKUP($C621,Outbound!$B:$Z,5,FALSE),VLOOKUP($B621,Outbound!$B:$Z,5,FALSE)),"ON ROCS/NOT ON FILE"),"")</f>
        <v/>
      </c>
      <c r="F621" s="387" t="str">
        <f>IF(B621&lt;&gt;"",IFERROR(IF(LEFT($B621,3)=$Z$2,VLOOKUP($C621,Outbound!$B:$Z,11,FALSE),VLOOKUP($B621,Outbound!$B:$Z,11,FALSE)),"NON TROVATO"),"")</f>
        <v/>
      </c>
      <c r="G621" s="394" t="str">
        <f>IF(B621&lt;&gt;"",IFERROR(IF(LEFT($B621,3)=$Z$2,VLOOKUP($C621,Outbound!$B:$AAZ,16,FALSE),VLOOKUP($B621,Outbound!$B:$AAZ,16,FALSE)),"NON TROVATO"),"")</f>
        <v/>
      </c>
      <c r="H621" s="394" t="str">
        <f>IF(B621&lt;&gt;"",IFERROR(IF(LEFT($B621,3)=$Z$2,VLOOKUP($C621,Outbound!$B:$AAZ,6,FALSE),VLOOKUP($B621,Outbound!$B:$AAZ,6,FALSE)),"NON TROVATO"),"")</f>
        <v/>
      </c>
      <c r="I621" s="394" t="str">
        <f>IF(B621&lt;&gt;"",IFERROR(IF(LEFT($B621,3)=$Z$2,VLOOKUP($C621,Outbound!$B:$AAZ,52,FALSE),VLOOKUP($B621,Outbound!$B:$AAZ,52,FALSE)),"NON TROVATO"),"")</f>
        <v/>
      </c>
      <c r="J621" s="396"/>
      <c r="K621" s="387" t="str">
        <f>IF(B621&lt;&gt;"",IF($D621&lt;&gt;"ON ROCS/NOT ON FILE",IFERROR(_xlfn.XLOOKUP(LEFT($D621,3),'STAT 77 Table'!$B:$B,'STAT 77 Table'!$A:$A),"ZZ"&amp;RIGHT($B621,4)),""),"")</f>
        <v/>
      </c>
      <c r="L621" s="396"/>
      <c r="O621" s="388"/>
      <c r="P621" s="388"/>
      <c r="AA621" s="421">
        <f t="shared" si="9"/>
        <v>0</v>
      </c>
    </row>
    <row r="622" spans="1:27" ht="16.5">
      <c r="A622" s="387">
        <f>'STAT 77 Table'!$I$621</f>
        <v>0</v>
      </c>
      <c r="B622"/>
      <c r="C622"/>
      <c r="D622" s="387" t="str">
        <f>IF($B622&lt;&gt;"",IFERROR(IF(LEFT($B622,3)=$Z$2,VLOOKUP($C622,Outbound!$B:$Z,4,FALSE),VLOOKUP($B622,Outbound!$B:$Z,4,FALSE)),"ON ROCS/NOT ON FILE"),"")</f>
        <v/>
      </c>
      <c r="E622" s="387" t="str">
        <f>IF($B622&lt;&gt;"",IFERROR(IF(LEFT($B622,4)=$Z$2,VLOOKUP($C622,Outbound!$B:$Z,5,FALSE),VLOOKUP($B622,Outbound!$B:$Z,5,FALSE)),"ON ROCS/NOT ON FILE"),"")</f>
        <v/>
      </c>
      <c r="F622" s="387" t="str">
        <f>IF(B622&lt;&gt;"",IFERROR(IF(LEFT($B622,3)=$Z$2,VLOOKUP($C622,Outbound!$B:$Z,11,FALSE),VLOOKUP($B622,Outbound!$B:$Z,11,FALSE)),"NON TROVATO"),"")</f>
        <v/>
      </c>
      <c r="G622" s="394" t="str">
        <f>IF(B622&lt;&gt;"",IFERROR(IF(LEFT($B622,3)=$Z$2,VLOOKUP($C622,Outbound!$B:$AAZ,16,FALSE),VLOOKUP($B622,Outbound!$B:$AAZ,16,FALSE)),"NON TROVATO"),"")</f>
        <v/>
      </c>
      <c r="H622" s="394" t="str">
        <f>IF(B622&lt;&gt;"",IFERROR(IF(LEFT($B622,3)=$Z$2,VLOOKUP($C622,Outbound!$B:$AAZ,6,FALSE),VLOOKUP($B622,Outbound!$B:$AAZ,6,FALSE)),"NON TROVATO"),"")</f>
        <v/>
      </c>
      <c r="I622" s="394" t="str">
        <f>IF(B622&lt;&gt;"",IFERROR(IF(LEFT($B622,3)=$Z$2,VLOOKUP($C622,Outbound!$B:$AAZ,52,FALSE),VLOOKUP($B622,Outbound!$B:$AAZ,52,FALSE)),"NON TROVATO"),"")</f>
        <v/>
      </c>
      <c r="J622" s="396"/>
      <c r="K622" s="387" t="str">
        <f>IF(B622&lt;&gt;"",IF($D622&lt;&gt;"ON ROCS/NOT ON FILE",IFERROR(_xlfn.XLOOKUP(LEFT($D622,3),'STAT 77 Table'!$B:$B,'STAT 77 Table'!$A:$A),"ZZ"&amp;RIGHT($B622,4)),""),"")</f>
        <v/>
      </c>
      <c r="L622" s="396"/>
      <c r="O622" s="388"/>
      <c r="P622" s="388"/>
      <c r="AA622" s="421">
        <f t="shared" si="9"/>
        <v>0</v>
      </c>
    </row>
    <row r="623" spans="1:27" ht="16.5">
      <c r="A623" s="387">
        <f>'STAT 77 Table'!$I$622</f>
        <v>0</v>
      </c>
      <c r="B623"/>
      <c r="C623"/>
      <c r="D623" s="387" t="str">
        <f>IF($B623&lt;&gt;"",IFERROR(IF(LEFT($B623,3)=$Z$2,VLOOKUP($C623,Outbound!$B:$Z,4,FALSE),VLOOKUP($B623,Outbound!$B:$Z,4,FALSE)),"ON ROCS/NOT ON FILE"),"")</f>
        <v/>
      </c>
      <c r="E623" s="387" t="str">
        <f>IF($B623&lt;&gt;"",IFERROR(IF(LEFT($B623,4)=$Z$2,VLOOKUP($C623,Outbound!$B:$Z,5,FALSE),VLOOKUP($B623,Outbound!$B:$Z,5,FALSE)),"ON ROCS/NOT ON FILE"),"")</f>
        <v/>
      </c>
      <c r="F623" s="387" t="str">
        <f>IF(B623&lt;&gt;"",IFERROR(IF(LEFT($B623,3)=$Z$2,VLOOKUP($C623,Outbound!$B:$Z,11,FALSE),VLOOKUP($B623,Outbound!$B:$Z,11,FALSE)),"NON TROVATO"),"")</f>
        <v/>
      </c>
      <c r="G623" s="394" t="str">
        <f>IF(B623&lt;&gt;"",IFERROR(IF(LEFT($B623,3)=$Z$2,VLOOKUP($C623,Outbound!$B:$AAZ,16,FALSE),VLOOKUP($B623,Outbound!$B:$AAZ,16,FALSE)),"NON TROVATO"),"")</f>
        <v/>
      </c>
      <c r="H623" s="394" t="str">
        <f>IF(B623&lt;&gt;"",IFERROR(IF(LEFT($B623,3)=$Z$2,VLOOKUP($C623,Outbound!$B:$AAZ,6,FALSE),VLOOKUP($B623,Outbound!$B:$AAZ,6,FALSE)),"NON TROVATO"),"")</f>
        <v/>
      </c>
      <c r="I623" s="394" t="str">
        <f>IF(B623&lt;&gt;"",IFERROR(IF(LEFT($B623,3)=$Z$2,VLOOKUP($C623,Outbound!$B:$AAZ,52,FALSE),VLOOKUP($B623,Outbound!$B:$AAZ,52,FALSE)),"NON TROVATO"),"")</f>
        <v/>
      </c>
      <c r="J623" s="396"/>
      <c r="K623" s="387" t="str">
        <f>IF(B623&lt;&gt;"",IF($D623&lt;&gt;"ON ROCS/NOT ON FILE",IFERROR(_xlfn.XLOOKUP(LEFT($D623,3),'STAT 77 Table'!$B:$B,'STAT 77 Table'!$A:$A),"ZZ"&amp;RIGHT($B623,4)),""),"")</f>
        <v/>
      </c>
      <c r="L623" s="396"/>
      <c r="O623" s="388"/>
      <c r="P623" s="388"/>
      <c r="AA623" s="421">
        <f t="shared" si="9"/>
        <v>0</v>
      </c>
    </row>
    <row r="624" spans="1:27" ht="16.5">
      <c r="A624" s="387">
        <f>'STAT 77 Table'!$I$623</f>
        <v>0</v>
      </c>
      <c r="B624"/>
      <c r="C624"/>
      <c r="D624" s="387" t="str">
        <f>IF($B624&lt;&gt;"",IFERROR(IF(LEFT($B624,3)=$Z$2,VLOOKUP($C624,Outbound!$B:$Z,4,FALSE),VLOOKUP($B624,Outbound!$B:$Z,4,FALSE)),"ON ROCS/NOT ON FILE"),"")</f>
        <v/>
      </c>
      <c r="E624" s="387" t="str">
        <f>IF($B624&lt;&gt;"",IFERROR(IF(LEFT($B624,4)=$Z$2,VLOOKUP($C624,Outbound!$B:$Z,5,FALSE),VLOOKUP($B624,Outbound!$B:$Z,5,FALSE)),"ON ROCS/NOT ON FILE"),"")</f>
        <v/>
      </c>
      <c r="F624" s="387" t="str">
        <f>IF(B624&lt;&gt;"",IFERROR(IF(LEFT($B624,3)=$Z$2,VLOOKUP($C624,Outbound!$B:$Z,11,FALSE),VLOOKUP($B624,Outbound!$B:$Z,11,FALSE)),"NON TROVATO"),"")</f>
        <v/>
      </c>
      <c r="G624" s="394" t="str">
        <f>IF(B624&lt;&gt;"",IFERROR(IF(LEFT($B624,3)=$Z$2,VLOOKUP($C624,Outbound!$B:$AAZ,16,FALSE),VLOOKUP($B624,Outbound!$B:$AAZ,16,FALSE)),"NON TROVATO"),"")</f>
        <v/>
      </c>
      <c r="H624" s="394" t="str">
        <f>IF(B624&lt;&gt;"",IFERROR(IF(LEFT($B624,3)=$Z$2,VLOOKUP($C624,Outbound!$B:$AAZ,6,FALSE),VLOOKUP($B624,Outbound!$B:$AAZ,6,FALSE)),"NON TROVATO"),"")</f>
        <v/>
      </c>
      <c r="I624" s="394" t="str">
        <f>IF(B624&lt;&gt;"",IFERROR(IF(LEFT($B624,3)=$Z$2,VLOOKUP($C624,Outbound!$B:$AAZ,52,FALSE),VLOOKUP($B624,Outbound!$B:$AAZ,52,FALSE)),"NON TROVATO"),"")</f>
        <v/>
      </c>
      <c r="J624" s="396"/>
      <c r="K624" s="387" t="str">
        <f>IF(B624&lt;&gt;"",IF($D624&lt;&gt;"ON ROCS/NOT ON FILE",IFERROR(_xlfn.XLOOKUP(LEFT($D624,3),'STAT 77 Table'!$B:$B,'STAT 77 Table'!$A:$A),"ZZ"&amp;RIGHT($B624,4)),""),"")</f>
        <v/>
      </c>
      <c r="L624" s="396"/>
      <c r="O624" s="388"/>
      <c r="P624" s="388"/>
      <c r="AA624" s="421">
        <f t="shared" si="9"/>
        <v>0</v>
      </c>
    </row>
    <row r="625" spans="1:27" ht="16.5">
      <c r="A625" s="387">
        <f>'STAT 77 Table'!$I$624</f>
        <v>0</v>
      </c>
      <c r="B625"/>
      <c r="C625"/>
      <c r="D625" s="387" t="str">
        <f>IF($B625&lt;&gt;"",IFERROR(IF(LEFT($B625,3)=$Z$2,VLOOKUP($C625,Outbound!$B:$Z,4,FALSE),VLOOKUP($B625,Outbound!$B:$Z,4,FALSE)),"ON ROCS/NOT ON FILE"),"")</f>
        <v/>
      </c>
      <c r="E625" s="387" t="str">
        <f>IF($B625&lt;&gt;"",IFERROR(IF(LEFT($B625,4)=$Z$2,VLOOKUP($C625,Outbound!$B:$Z,5,FALSE),VLOOKUP($B625,Outbound!$B:$Z,5,FALSE)),"ON ROCS/NOT ON FILE"),"")</f>
        <v/>
      </c>
      <c r="F625" s="387" t="str">
        <f>IF(B625&lt;&gt;"",IFERROR(IF(LEFT($B625,3)=$Z$2,VLOOKUP($C625,Outbound!$B:$Z,11,FALSE),VLOOKUP($B625,Outbound!$B:$Z,11,FALSE)),"NON TROVATO"),"")</f>
        <v/>
      </c>
      <c r="G625" s="394" t="str">
        <f>IF(B625&lt;&gt;"",IFERROR(IF(LEFT($B625,3)=$Z$2,VLOOKUP($C625,Outbound!$B:$AAZ,16,FALSE),VLOOKUP($B625,Outbound!$B:$AAZ,16,FALSE)),"NON TROVATO"),"")</f>
        <v/>
      </c>
      <c r="H625" s="394" t="str">
        <f>IF(B625&lt;&gt;"",IFERROR(IF(LEFT($B625,3)=$Z$2,VLOOKUP($C625,Outbound!$B:$AAZ,6,FALSE),VLOOKUP($B625,Outbound!$B:$AAZ,6,FALSE)),"NON TROVATO"),"")</f>
        <v/>
      </c>
      <c r="I625" s="394" t="str">
        <f>IF(B625&lt;&gt;"",IFERROR(IF(LEFT($B625,3)=$Z$2,VLOOKUP($C625,Outbound!$B:$AAZ,52,FALSE),VLOOKUP($B625,Outbound!$B:$AAZ,52,FALSE)),"NON TROVATO"),"")</f>
        <v/>
      </c>
      <c r="J625" s="396"/>
      <c r="K625" s="387" t="str">
        <f>IF(B625&lt;&gt;"",IF($D625&lt;&gt;"ON ROCS/NOT ON FILE",IFERROR(_xlfn.XLOOKUP(LEFT($D625,3),'STAT 77 Table'!$B:$B,'STAT 77 Table'!$A:$A),"ZZ"&amp;RIGHT($B625,4)),""),"")</f>
        <v/>
      </c>
      <c r="L625" s="396"/>
      <c r="O625" s="388"/>
      <c r="P625" s="388"/>
      <c r="AA625" s="421">
        <f t="shared" si="9"/>
        <v>0</v>
      </c>
    </row>
    <row r="626" spans="1:27" ht="16.5">
      <c r="A626" s="387">
        <f>'STAT 77 Table'!$I$625</f>
        <v>0</v>
      </c>
      <c r="B626"/>
      <c r="C626"/>
      <c r="D626" s="387" t="str">
        <f>IF($B626&lt;&gt;"",IFERROR(IF(LEFT($B626,3)=$Z$2,VLOOKUP($C626,Outbound!$B:$Z,4,FALSE),VLOOKUP($B626,Outbound!$B:$Z,4,FALSE)),"ON ROCS/NOT ON FILE"),"")</f>
        <v/>
      </c>
      <c r="E626" s="387" t="str">
        <f>IF($B626&lt;&gt;"",IFERROR(IF(LEFT($B626,4)=$Z$2,VLOOKUP($C626,Outbound!$B:$Z,5,FALSE),VLOOKUP($B626,Outbound!$B:$Z,5,FALSE)),"ON ROCS/NOT ON FILE"),"")</f>
        <v/>
      </c>
      <c r="F626" s="387" t="str">
        <f>IF(B626&lt;&gt;"",IFERROR(IF(LEFT($B626,3)=$Z$2,VLOOKUP($C626,Outbound!$B:$Z,11,FALSE),VLOOKUP($B626,Outbound!$B:$Z,11,FALSE)),"NON TROVATO"),"")</f>
        <v/>
      </c>
      <c r="G626" s="394" t="str">
        <f>IF(B626&lt;&gt;"",IFERROR(IF(LEFT($B626,3)=$Z$2,VLOOKUP($C626,Outbound!$B:$AAZ,16,FALSE),VLOOKUP($B626,Outbound!$B:$AAZ,16,FALSE)),"NON TROVATO"),"")</f>
        <v/>
      </c>
      <c r="H626" s="394" t="str">
        <f>IF(B626&lt;&gt;"",IFERROR(IF(LEFT($B626,3)=$Z$2,VLOOKUP($C626,Outbound!$B:$AAZ,6,FALSE),VLOOKUP($B626,Outbound!$B:$AAZ,6,FALSE)),"NON TROVATO"),"")</f>
        <v/>
      </c>
      <c r="I626" s="394" t="str">
        <f>IF(B626&lt;&gt;"",IFERROR(IF(LEFT($B626,3)=$Z$2,VLOOKUP($C626,Outbound!$B:$AAZ,52,FALSE),VLOOKUP($B626,Outbound!$B:$AAZ,52,FALSE)),"NON TROVATO"),"")</f>
        <v/>
      </c>
      <c r="J626" s="396"/>
      <c r="K626" s="387" t="str">
        <f>IF(B626&lt;&gt;"",IF($D626&lt;&gt;"ON ROCS/NOT ON FILE",IFERROR(_xlfn.XLOOKUP(LEFT($D626,3),'STAT 77 Table'!$B:$B,'STAT 77 Table'!$A:$A),"ZZ"&amp;RIGHT($B626,4)),""),"")</f>
        <v/>
      </c>
      <c r="L626" s="396"/>
      <c r="O626" s="388"/>
      <c r="P626" s="388"/>
      <c r="AA626" s="421">
        <f t="shared" si="9"/>
        <v>0</v>
      </c>
    </row>
    <row r="627" spans="1:27" ht="16.5">
      <c r="A627" s="387">
        <f>'STAT 77 Table'!$I$626</f>
        <v>0</v>
      </c>
      <c r="B627"/>
      <c r="C627"/>
      <c r="D627" s="387" t="str">
        <f>IF($B627&lt;&gt;"",IFERROR(IF(LEFT($B627,3)=$Z$2,VLOOKUP($C627,Outbound!$B:$Z,4,FALSE),VLOOKUP($B627,Outbound!$B:$Z,4,FALSE)),"ON ROCS/NOT ON FILE"),"")</f>
        <v/>
      </c>
      <c r="E627" s="387" t="str">
        <f>IF($B627&lt;&gt;"",IFERROR(IF(LEFT($B627,4)=$Z$2,VLOOKUP($C627,Outbound!$B:$Z,5,FALSE),VLOOKUP($B627,Outbound!$B:$Z,5,FALSE)),"ON ROCS/NOT ON FILE"),"")</f>
        <v/>
      </c>
      <c r="F627" s="387" t="str">
        <f>IF(B627&lt;&gt;"",IFERROR(IF(LEFT($B627,3)=$Z$2,VLOOKUP($C627,Outbound!$B:$Z,11,FALSE),VLOOKUP($B627,Outbound!$B:$Z,11,FALSE)),"NON TROVATO"),"")</f>
        <v/>
      </c>
      <c r="G627" s="394" t="str">
        <f>IF(B627&lt;&gt;"",IFERROR(IF(LEFT($B627,3)=$Z$2,VLOOKUP($C627,Outbound!$B:$AAZ,16,FALSE),VLOOKUP($B627,Outbound!$B:$AAZ,16,FALSE)),"NON TROVATO"),"")</f>
        <v/>
      </c>
      <c r="H627" s="394" t="str">
        <f>IF(B627&lt;&gt;"",IFERROR(IF(LEFT($B627,3)=$Z$2,VLOOKUP($C627,Outbound!$B:$AAZ,6,FALSE),VLOOKUP($B627,Outbound!$B:$AAZ,6,FALSE)),"NON TROVATO"),"")</f>
        <v/>
      </c>
      <c r="I627" s="394" t="str">
        <f>IF(B627&lt;&gt;"",IFERROR(IF(LEFT($B627,3)=$Z$2,VLOOKUP($C627,Outbound!$B:$AAZ,52,FALSE),VLOOKUP($B627,Outbound!$B:$AAZ,52,FALSE)),"NON TROVATO"),"")</f>
        <v/>
      </c>
      <c r="J627" s="396"/>
      <c r="K627" s="387" t="str">
        <f>IF(B627&lt;&gt;"",IF($D627&lt;&gt;"ON ROCS/NOT ON FILE",IFERROR(_xlfn.XLOOKUP(LEFT($D627,3),'STAT 77 Table'!$B:$B,'STAT 77 Table'!$A:$A),"ZZ"&amp;RIGHT($B627,4)),""),"")</f>
        <v/>
      </c>
      <c r="L627" s="396"/>
      <c r="O627" s="388"/>
      <c r="P627" s="388"/>
      <c r="AA627" s="421">
        <f t="shared" si="9"/>
        <v>0</v>
      </c>
    </row>
    <row r="628" spans="1:27" ht="16.5">
      <c r="A628" s="387">
        <f>'STAT 77 Table'!$I$627</f>
        <v>0</v>
      </c>
      <c r="B628"/>
      <c r="C628"/>
      <c r="D628" s="387" t="str">
        <f>IF($B628&lt;&gt;"",IFERROR(IF(LEFT($B628,3)=$Z$2,VLOOKUP($C628,Outbound!$B:$Z,4,FALSE),VLOOKUP($B628,Outbound!$B:$Z,4,FALSE)),"ON ROCS/NOT ON FILE"),"")</f>
        <v/>
      </c>
      <c r="E628" s="387" t="str">
        <f>IF($B628&lt;&gt;"",IFERROR(IF(LEFT($B628,4)=$Z$2,VLOOKUP($C628,Outbound!$B:$Z,5,FALSE),VLOOKUP($B628,Outbound!$B:$Z,5,FALSE)),"ON ROCS/NOT ON FILE"),"")</f>
        <v/>
      </c>
      <c r="F628" s="387" t="str">
        <f>IF(B628&lt;&gt;"",IFERROR(IF(LEFT($B628,3)=$Z$2,VLOOKUP($C628,Outbound!$B:$Z,11,FALSE),VLOOKUP($B628,Outbound!$B:$Z,11,FALSE)),"NON TROVATO"),"")</f>
        <v/>
      </c>
      <c r="G628" s="394" t="str">
        <f>IF(B628&lt;&gt;"",IFERROR(IF(LEFT($B628,3)=$Z$2,VLOOKUP($C628,Outbound!$B:$AAZ,16,FALSE),VLOOKUP($B628,Outbound!$B:$AAZ,16,FALSE)),"NON TROVATO"),"")</f>
        <v/>
      </c>
      <c r="H628" s="394" t="str">
        <f>IF(B628&lt;&gt;"",IFERROR(IF(LEFT($B628,3)=$Z$2,VLOOKUP($C628,Outbound!$B:$AAZ,6,FALSE),VLOOKUP($B628,Outbound!$B:$AAZ,6,FALSE)),"NON TROVATO"),"")</f>
        <v/>
      </c>
      <c r="I628" s="394" t="str">
        <f>IF(B628&lt;&gt;"",IFERROR(IF(LEFT($B628,3)=$Z$2,VLOOKUP($C628,Outbound!$B:$AAZ,52,FALSE),VLOOKUP($B628,Outbound!$B:$AAZ,52,FALSE)),"NON TROVATO"),"")</f>
        <v/>
      </c>
      <c r="J628" s="396"/>
      <c r="K628" s="387" t="str">
        <f>IF(B628&lt;&gt;"",IF($D628&lt;&gt;"ON ROCS/NOT ON FILE",IFERROR(_xlfn.XLOOKUP(LEFT($D628,3),'STAT 77 Table'!$B:$B,'STAT 77 Table'!$A:$A),"ZZ"&amp;RIGHT($B628,4)),""),"")</f>
        <v/>
      </c>
      <c r="L628" s="396"/>
      <c r="O628" s="388"/>
      <c r="P628" s="388"/>
      <c r="AA628" s="421">
        <f t="shared" si="9"/>
        <v>0</v>
      </c>
    </row>
    <row r="629" spans="1:27" ht="16.5">
      <c r="A629" s="387">
        <f>'STAT 77 Table'!$I$628</f>
        <v>0</v>
      </c>
      <c r="B629"/>
      <c r="C629"/>
      <c r="D629" s="387" t="str">
        <f>IF($B629&lt;&gt;"",IFERROR(IF(LEFT($B629,3)=$Z$2,VLOOKUP($C629,Outbound!$B:$Z,4,FALSE),VLOOKUP($B629,Outbound!$B:$Z,4,FALSE)),"ON ROCS/NOT ON FILE"),"")</f>
        <v/>
      </c>
      <c r="E629" s="387" t="str">
        <f>IF($B629&lt;&gt;"",IFERROR(IF(LEFT($B629,4)=$Z$2,VLOOKUP($C629,Outbound!$B:$Z,5,FALSE),VLOOKUP($B629,Outbound!$B:$Z,5,FALSE)),"ON ROCS/NOT ON FILE"),"")</f>
        <v/>
      </c>
      <c r="F629" s="387" t="str">
        <f>IF(B629&lt;&gt;"",IFERROR(IF(LEFT($B629,3)=$Z$2,VLOOKUP($C629,Outbound!$B:$Z,11,FALSE),VLOOKUP($B629,Outbound!$B:$Z,11,FALSE)),"NON TROVATO"),"")</f>
        <v/>
      </c>
      <c r="G629" s="394" t="str">
        <f>IF(B629&lt;&gt;"",IFERROR(IF(LEFT($B629,3)=$Z$2,VLOOKUP($C629,Outbound!$B:$AAZ,16,FALSE),VLOOKUP($B629,Outbound!$B:$AAZ,16,FALSE)),"NON TROVATO"),"")</f>
        <v/>
      </c>
      <c r="H629" s="394" t="str">
        <f>IF(B629&lt;&gt;"",IFERROR(IF(LEFT($B629,3)=$Z$2,VLOOKUP($C629,Outbound!$B:$AAZ,6,FALSE),VLOOKUP($B629,Outbound!$B:$AAZ,6,FALSE)),"NON TROVATO"),"")</f>
        <v/>
      </c>
      <c r="I629" s="394" t="str">
        <f>IF(B629&lt;&gt;"",IFERROR(IF(LEFT($B629,3)=$Z$2,VLOOKUP($C629,Outbound!$B:$AAZ,52,FALSE),VLOOKUP($B629,Outbound!$B:$AAZ,52,FALSE)),"NON TROVATO"),"")</f>
        <v/>
      </c>
      <c r="J629" s="396"/>
      <c r="K629" s="387" t="str">
        <f>IF(B629&lt;&gt;"",IF($D629&lt;&gt;"ON ROCS/NOT ON FILE",IFERROR(_xlfn.XLOOKUP(LEFT($D629,3),'STAT 77 Table'!$B:$B,'STAT 77 Table'!$A:$A),"ZZ"&amp;RIGHT($B629,4)),""),"")</f>
        <v/>
      </c>
      <c r="L629" s="396"/>
      <c r="O629" s="388"/>
      <c r="P629" s="388"/>
      <c r="AA629" s="421">
        <f t="shared" si="9"/>
        <v>0</v>
      </c>
    </row>
    <row r="630" spans="1:27" ht="16.5">
      <c r="A630" s="387">
        <f>'STAT 77 Table'!$I$629</f>
        <v>0</v>
      </c>
      <c r="B630"/>
      <c r="C630"/>
      <c r="D630" s="387" t="str">
        <f>IF($B630&lt;&gt;"",IFERROR(IF(LEFT($B630,3)=$Z$2,VLOOKUP($C630,Outbound!$B:$Z,4,FALSE),VLOOKUP($B630,Outbound!$B:$Z,4,FALSE)),"ON ROCS/NOT ON FILE"),"")</f>
        <v/>
      </c>
      <c r="E630" s="387" t="str">
        <f>IF($B630&lt;&gt;"",IFERROR(IF(LEFT($B630,4)=$Z$2,VLOOKUP($C630,Outbound!$B:$Z,5,FALSE),VLOOKUP($B630,Outbound!$B:$Z,5,FALSE)),"ON ROCS/NOT ON FILE"),"")</f>
        <v/>
      </c>
      <c r="F630" s="387" t="str">
        <f>IF(B630&lt;&gt;"",IFERROR(IF(LEFT($B630,3)=$Z$2,VLOOKUP($C630,Outbound!$B:$Z,11,FALSE),VLOOKUP($B630,Outbound!$B:$Z,11,FALSE)),"NON TROVATO"),"")</f>
        <v/>
      </c>
      <c r="G630" s="394" t="str">
        <f>IF(B630&lt;&gt;"",IFERROR(IF(LEFT($B630,3)=$Z$2,VLOOKUP($C630,Outbound!$B:$AAZ,16,FALSE),VLOOKUP($B630,Outbound!$B:$AAZ,16,FALSE)),"NON TROVATO"),"")</f>
        <v/>
      </c>
      <c r="H630" s="394" t="str">
        <f>IF(B630&lt;&gt;"",IFERROR(IF(LEFT($B630,3)=$Z$2,VLOOKUP($C630,Outbound!$B:$AAZ,6,FALSE),VLOOKUP($B630,Outbound!$B:$AAZ,6,FALSE)),"NON TROVATO"),"")</f>
        <v/>
      </c>
      <c r="I630" s="394" t="str">
        <f>IF(B630&lt;&gt;"",IFERROR(IF(LEFT($B630,3)=$Z$2,VLOOKUP($C630,Outbound!$B:$AAZ,52,FALSE),VLOOKUP($B630,Outbound!$B:$AAZ,52,FALSE)),"NON TROVATO"),"")</f>
        <v/>
      </c>
      <c r="J630" s="396"/>
      <c r="K630" s="387" t="str">
        <f>IF(B630&lt;&gt;"",IF($D630&lt;&gt;"ON ROCS/NOT ON FILE",IFERROR(_xlfn.XLOOKUP(LEFT($D630,3),'STAT 77 Table'!$B:$B,'STAT 77 Table'!$A:$A),"ZZ"&amp;RIGHT($B630,4)),""),"")</f>
        <v/>
      </c>
      <c r="L630" s="396"/>
      <c r="O630" s="388"/>
      <c r="P630" s="388"/>
      <c r="AA630" s="421">
        <f t="shared" si="9"/>
        <v>0</v>
      </c>
    </row>
    <row r="631" spans="1:27" ht="16.5">
      <c r="A631" s="387">
        <f>'STAT 77 Table'!$I$630</f>
        <v>0</v>
      </c>
      <c r="B631"/>
      <c r="C631"/>
      <c r="D631" s="387" t="str">
        <f>IF($B631&lt;&gt;"",IFERROR(IF(LEFT($B631,3)=$Z$2,VLOOKUP($C631,Outbound!$B:$Z,4,FALSE),VLOOKUP($B631,Outbound!$B:$Z,4,FALSE)),"ON ROCS/NOT ON FILE"),"")</f>
        <v/>
      </c>
      <c r="E631" s="387" t="str">
        <f>IF($B631&lt;&gt;"",IFERROR(IF(LEFT($B631,4)=$Z$2,VLOOKUP($C631,Outbound!$B:$Z,5,FALSE),VLOOKUP($B631,Outbound!$B:$Z,5,FALSE)),"ON ROCS/NOT ON FILE"),"")</f>
        <v/>
      </c>
      <c r="F631" s="387" t="str">
        <f>IF(B631&lt;&gt;"",IFERROR(IF(LEFT($B631,3)=$Z$2,VLOOKUP($C631,Outbound!$B:$Z,11,FALSE),VLOOKUP($B631,Outbound!$B:$Z,11,FALSE)),"NON TROVATO"),"")</f>
        <v/>
      </c>
      <c r="G631" s="394" t="str">
        <f>IF(B631&lt;&gt;"",IFERROR(IF(LEFT($B631,3)=$Z$2,VLOOKUP($C631,Outbound!$B:$AAZ,16,FALSE),VLOOKUP($B631,Outbound!$B:$AAZ,16,FALSE)),"NON TROVATO"),"")</f>
        <v/>
      </c>
      <c r="H631" s="394" t="str">
        <f>IF(B631&lt;&gt;"",IFERROR(IF(LEFT($B631,3)=$Z$2,VLOOKUP($C631,Outbound!$B:$AAZ,6,FALSE),VLOOKUP($B631,Outbound!$B:$AAZ,6,FALSE)),"NON TROVATO"),"")</f>
        <v/>
      </c>
      <c r="I631" s="394" t="str">
        <f>IF(B631&lt;&gt;"",IFERROR(IF(LEFT($B631,3)=$Z$2,VLOOKUP($C631,Outbound!$B:$AAZ,52,FALSE),VLOOKUP($B631,Outbound!$B:$AAZ,52,FALSE)),"NON TROVATO"),"")</f>
        <v/>
      </c>
      <c r="J631" s="396"/>
      <c r="K631" s="387" t="str">
        <f>IF(B631&lt;&gt;"",IF($D631&lt;&gt;"ON ROCS/NOT ON FILE",IFERROR(_xlfn.XLOOKUP(LEFT($D631,3),'STAT 77 Table'!$B:$B,'STAT 77 Table'!$A:$A),"ZZ"&amp;RIGHT($B631,4)),""),"")</f>
        <v/>
      </c>
      <c r="L631" s="396"/>
      <c r="O631" s="388"/>
      <c r="P631" s="388"/>
      <c r="AA631" s="421">
        <f t="shared" si="9"/>
        <v>0</v>
      </c>
    </row>
    <row r="632" spans="1:27" ht="16.5">
      <c r="A632" s="387">
        <f>'STAT 77 Table'!$I$631</f>
        <v>0</v>
      </c>
      <c r="B632"/>
      <c r="C632"/>
      <c r="D632" s="387" t="str">
        <f>IF($B632&lt;&gt;"",IFERROR(IF(LEFT($B632,3)=$Z$2,VLOOKUP($C632,Outbound!$B:$Z,4,FALSE),VLOOKUP($B632,Outbound!$B:$Z,4,FALSE)),"ON ROCS/NOT ON FILE"),"")</f>
        <v/>
      </c>
      <c r="E632" s="387" t="str">
        <f>IF($B632&lt;&gt;"",IFERROR(IF(LEFT($B632,4)=$Z$2,VLOOKUP($C632,Outbound!$B:$Z,5,FALSE),VLOOKUP($B632,Outbound!$B:$Z,5,FALSE)),"ON ROCS/NOT ON FILE"),"")</f>
        <v/>
      </c>
      <c r="F632" s="387" t="str">
        <f>IF(B632&lt;&gt;"",IFERROR(IF(LEFT($B632,3)=$Z$2,VLOOKUP($C632,Outbound!$B:$Z,11,FALSE),VLOOKUP($B632,Outbound!$B:$Z,11,FALSE)),"NON TROVATO"),"")</f>
        <v/>
      </c>
      <c r="G632" s="394" t="str">
        <f>IF(B632&lt;&gt;"",IFERROR(IF(LEFT($B632,3)=$Z$2,VLOOKUP($C632,Outbound!$B:$AAZ,16,FALSE),VLOOKUP($B632,Outbound!$B:$AAZ,16,FALSE)),"NON TROVATO"),"")</f>
        <v/>
      </c>
      <c r="H632" s="394" t="str">
        <f>IF(B632&lt;&gt;"",IFERROR(IF(LEFT($B632,3)=$Z$2,VLOOKUP($C632,Outbound!$B:$AAZ,6,FALSE),VLOOKUP($B632,Outbound!$B:$AAZ,6,FALSE)),"NON TROVATO"),"")</f>
        <v/>
      </c>
      <c r="I632" s="394" t="str">
        <f>IF(B632&lt;&gt;"",IFERROR(IF(LEFT($B632,3)=$Z$2,VLOOKUP($C632,Outbound!$B:$AAZ,52,FALSE),VLOOKUP($B632,Outbound!$B:$AAZ,52,FALSE)),"NON TROVATO"),"")</f>
        <v/>
      </c>
      <c r="J632" s="396"/>
      <c r="K632" s="387" t="str">
        <f>IF(B632&lt;&gt;"",IF($D632&lt;&gt;"ON ROCS/NOT ON FILE",IFERROR(_xlfn.XLOOKUP(LEFT($D632,3),'STAT 77 Table'!$B:$B,'STAT 77 Table'!$A:$A),"ZZ"&amp;RIGHT($B632,4)),""),"")</f>
        <v/>
      </c>
      <c r="L632" s="396"/>
      <c r="O632" s="388"/>
      <c r="P632" s="388"/>
      <c r="AA632" s="421">
        <f t="shared" si="9"/>
        <v>0</v>
      </c>
    </row>
    <row r="633" spans="1:27" ht="16.5">
      <c r="A633" s="387">
        <f>'STAT 77 Table'!$I$632</f>
        <v>0</v>
      </c>
      <c r="B633"/>
      <c r="C633"/>
      <c r="D633" s="387" t="str">
        <f>IF($B633&lt;&gt;"",IFERROR(IF(LEFT($B633,3)=$Z$2,VLOOKUP($C633,Outbound!$B:$Z,4,FALSE),VLOOKUP($B633,Outbound!$B:$Z,4,FALSE)),"ON ROCS/NOT ON FILE"),"")</f>
        <v/>
      </c>
      <c r="E633" s="387" t="str">
        <f>IF($B633&lt;&gt;"",IFERROR(IF(LEFT($B633,4)=$Z$2,VLOOKUP($C633,Outbound!$B:$Z,5,FALSE),VLOOKUP($B633,Outbound!$B:$Z,5,FALSE)),"ON ROCS/NOT ON FILE"),"")</f>
        <v/>
      </c>
      <c r="F633" s="387" t="str">
        <f>IF(B633&lt;&gt;"",IFERROR(IF(LEFT($B633,3)=$Z$2,VLOOKUP($C633,Outbound!$B:$Z,11,FALSE),VLOOKUP($B633,Outbound!$B:$Z,11,FALSE)),"NON TROVATO"),"")</f>
        <v/>
      </c>
      <c r="G633" s="394" t="str">
        <f>IF(B633&lt;&gt;"",IFERROR(IF(LEFT($B633,3)=$Z$2,VLOOKUP($C633,Outbound!$B:$AAZ,16,FALSE),VLOOKUP($B633,Outbound!$B:$AAZ,16,FALSE)),"NON TROVATO"),"")</f>
        <v/>
      </c>
      <c r="H633" s="394" t="str">
        <f>IF(B633&lt;&gt;"",IFERROR(IF(LEFT($B633,3)=$Z$2,VLOOKUP($C633,Outbound!$B:$AAZ,6,FALSE),VLOOKUP($B633,Outbound!$B:$AAZ,6,FALSE)),"NON TROVATO"),"")</f>
        <v/>
      </c>
      <c r="I633" s="394" t="str">
        <f>IF(B633&lt;&gt;"",IFERROR(IF(LEFT($B633,3)=$Z$2,VLOOKUP($C633,Outbound!$B:$AAZ,52,FALSE),VLOOKUP($B633,Outbound!$B:$AAZ,52,FALSE)),"NON TROVATO"),"")</f>
        <v/>
      </c>
      <c r="J633" s="396"/>
      <c r="K633" s="387" t="str">
        <f>IF(B633&lt;&gt;"",IF($D633&lt;&gt;"ON ROCS/NOT ON FILE",IFERROR(_xlfn.XLOOKUP(LEFT($D633,3),'STAT 77 Table'!$B:$B,'STAT 77 Table'!$A:$A),"ZZ"&amp;RIGHT($B633,4)),""),"")</f>
        <v/>
      </c>
      <c r="L633" s="396"/>
      <c r="O633" s="388"/>
      <c r="P633" s="388"/>
      <c r="AA633" s="421">
        <f t="shared" si="9"/>
        <v>0</v>
      </c>
    </row>
    <row r="634" spans="1:27" ht="16.5">
      <c r="A634" s="387">
        <f>'STAT 77 Table'!$I$633</f>
        <v>0</v>
      </c>
      <c r="B634"/>
      <c r="C634"/>
      <c r="D634" s="387" t="str">
        <f>IF($B634&lt;&gt;"",IFERROR(IF(LEFT($B634,3)=$Z$2,VLOOKUP($C634,Outbound!$B:$Z,4,FALSE),VLOOKUP($B634,Outbound!$B:$Z,4,FALSE)),"ON ROCS/NOT ON FILE"),"")</f>
        <v/>
      </c>
      <c r="E634" s="387" t="str">
        <f>IF($B634&lt;&gt;"",IFERROR(IF(LEFT($B634,4)=$Z$2,VLOOKUP($C634,Outbound!$B:$Z,5,FALSE),VLOOKUP($B634,Outbound!$B:$Z,5,FALSE)),"ON ROCS/NOT ON FILE"),"")</f>
        <v/>
      </c>
      <c r="F634" s="387" t="str">
        <f>IF(B634&lt;&gt;"",IFERROR(IF(LEFT($B634,3)=$Z$2,VLOOKUP($C634,Outbound!$B:$Z,11,FALSE),VLOOKUP($B634,Outbound!$B:$Z,11,FALSE)),"NON TROVATO"),"")</f>
        <v/>
      </c>
      <c r="G634" s="394" t="str">
        <f>IF(B634&lt;&gt;"",IFERROR(IF(LEFT($B634,3)=$Z$2,VLOOKUP($C634,Outbound!$B:$AAZ,16,FALSE),VLOOKUP($B634,Outbound!$B:$AAZ,16,FALSE)),"NON TROVATO"),"")</f>
        <v/>
      </c>
      <c r="H634" s="394" t="str">
        <f>IF(B634&lt;&gt;"",IFERROR(IF(LEFT($B634,3)=$Z$2,VLOOKUP($C634,Outbound!$B:$AAZ,6,FALSE),VLOOKUP($B634,Outbound!$B:$AAZ,6,FALSE)),"NON TROVATO"),"")</f>
        <v/>
      </c>
      <c r="I634" s="394" t="str">
        <f>IF(B634&lt;&gt;"",IFERROR(IF(LEFT($B634,3)=$Z$2,VLOOKUP($C634,Outbound!$B:$AAZ,52,FALSE),VLOOKUP($B634,Outbound!$B:$AAZ,52,FALSE)),"NON TROVATO"),"")</f>
        <v/>
      </c>
      <c r="J634" s="396"/>
      <c r="K634" s="387" t="str">
        <f>IF(B634&lt;&gt;"",IF($D634&lt;&gt;"ON ROCS/NOT ON FILE",IFERROR(_xlfn.XLOOKUP(LEFT($D634,3),'STAT 77 Table'!$B:$B,'STAT 77 Table'!$A:$A),"ZZ"&amp;RIGHT($B634,4)),""),"")</f>
        <v/>
      </c>
      <c r="L634" s="396"/>
      <c r="O634" s="388"/>
      <c r="P634" s="388"/>
      <c r="AA634" s="421">
        <f t="shared" si="9"/>
        <v>0</v>
      </c>
    </row>
    <row r="635" spans="1:27" ht="16.5">
      <c r="A635" s="387">
        <f>'STAT 77 Table'!$I$634</f>
        <v>0</v>
      </c>
      <c r="B635"/>
      <c r="C635"/>
      <c r="D635" s="387" t="str">
        <f>IF($B635&lt;&gt;"",IFERROR(IF(LEFT($B635,3)=$Z$2,VLOOKUP($C635,Outbound!$B:$Z,4,FALSE),VLOOKUP($B635,Outbound!$B:$Z,4,FALSE)),"ON ROCS/NOT ON FILE"),"")</f>
        <v/>
      </c>
      <c r="E635" s="387" t="str">
        <f>IF($B635&lt;&gt;"",IFERROR(IF(LEFT($B635,4)=$Z$2,VLOOKUP($C635,Outbound!$B:$Z,5,FALSE),VLOOKUP($B635,Outbound!$B:$Z,5,FALSE)),"ON ROCS/NOT ON FILE"),"")</f>
        <v/>
      </c>
      <c r="F635" s="387" t="str">
        <f>IF(B635&lt;&gt;"",IFERROR(IF(LEFT($B635,3)=$Z$2,VLOOKUP($C635,Outbound!$B:$Z,11,FALSE),VLOOKUP($B635,Outbound!$B:$Z,11,FALSE)),"NON TROVATO"),"")</f>
        <v/>
      </c>
      <c r="G635" s="394" t="str">
        <f>IF(B635&lt;&gt;"",IFERROR(IF(LEFT($B635,3)=$Z$2,VLOOKUP($C635,Outbound!$B:$AAZ,16,FALSE),VLOOKUP($B635,Outbound!$B:$AAZ,16,FALSE)),"NON TROVATO"),"")</f>
        <v/>
      </c>
      <c r="H635" s="394" t="str">
        <f>IF(B635&lt;&gt;"",IFERROR(IF(LEFT($B635,3)=$Z$2,VLOOKUP($C635,Outbound!$B:$AAZ,6,FALSE),VLOOKUP($B635,Outbound!$B:$AAZ,6,FALSE)),"NON TROVATO"),"")</f>
        <v/>
      </c>
      <c r="I635" s="394" t="str">
        <f>IF(B635&lt;&gt;"",IFERROR(IF(LEFT($B635,3)=$Z$2,VLOOKUP($C635,Outbound!$B:$AAZ,52,FALSE),VLOOKUP($B635,Outbound!$B:$AAZ,52,FALSE)),"NON TROVATO"),"")</f>
        <v/>
      </c>
      <c r="J635" s="396"/>
      <c r="K635" s="387" t="str">
        <f>IF(B635&lt;&gt;"",IF($D635&lt;&gt;"ON ROCS/NOT ON FILE",IFERROR(_xlfn.XLOOKUP(LEFT($D635,3),'STAT 77 Table'!$B:$B,'STAT 77 Table'!$A:$A),"ZZ"&amp;RIGHT($B635,4)),""),"")</f>
        <v/>
      </c>
      <c r="L635" s="396"/>
      <c r="O635" s="388"/>
      <c r="P635" s="388"/>
      <c r="AA635" s="421">
        <f t="shared" si="9"/>
        <v>0</v>
      </c>
    </row>
    <row r="636" spans="1:27" ht="16.5">
      <c r="A636" s="387">
        <f>'STAT 77 Table'!$I$635</f>
        <v>0</v>
      </c>
      <c r="B636"/>
      <c r="C636"/>
      <c r="D636" s="387" t="str">
        <f>IF($B636&lt;&gt;"",IFERROR(IF(LEFT($B636,3)=$Z$2,VLOOKUP($C636,Outbound!$B:$Z,4,FALSE),VLOOKUP($B636,Outbound!$B:$Z,4,FALSE)),"ON ROCS/NOT ON FILE"),"")</f>
        <v/>
      </c>
      <c r="E636" s="387" t="str">
        <f>IF($B636&lt;&gt;"",IFERROR(IF(LEFT($B636,4)=$Z$2,VLOOKUP($C636,Outbound!$B:$Z,5,FALSE),VLOOKUP($B636,Outbound!$B:$Z,5,FALSE)),"ON ROCS/NOT ON FILE"),"")</f>
        <v/>
      </c>
      <c r="F636" s="387" t="str">
        <f>IF(B636&lt;&gt;"",IFERROR(IF(LEFT($B636,3)=$Z$2,VLOOKUP($C636,Outbound!$B:$Z,11,FALSE),VLOOKUP($B636,Outbound!$B:$Z,11,FALSE)),"NON TROVATO"),"")</f>
        <v/>
      </c>
      <c r="G636" s="394" t="str">
        <f>IF(B636&lt;&gt;"",IFERROR(IF(LEFT($B636,3)=$Z$2,VLOOKUP($C636,Outbound!$B:$AAZ,16,FALSE),VLOOKUP($B636,Outbound!$B:$AAZ,16,FALSE)),"NON TROVATO"),"")</f>
        <v/>
      </c>
      <c r="H636" s="394" t="str">
        <f>IF(B636&lt;&gt;"",IFERROR(IF(LEFT($B636,3)=$Z$2,VLOOKUP($C636,Outbound!$B:$AAZ,6,FALSE),VLOOKUP($B636,Outbound!$B:$AAZ,6,FALSE)),"NON TROVATO"),"")</f>
        <v/>
      </c>
      <c r="I636" s="394" t="str">
        <f>IF(B636&lt;&gt;"",IFERROR(IF(LEFT($B636,3)=$Z$2,VLOOKUP($C636,Outbound!$B:$AAZ,52,FALSE),VLOOKUP($B636,Outbound!$B:$AAZ,52,FALSE)),"NON TROVATO"),"")</f>
        <v/>
      </c>
      <c r="J636" s="396"/>
      <c r="K636" s="387" t="str">
        <f>IF(B636&lt;&gt;"",IF($D636&lt;&gt;"ON ROCS/NOT ON FILE",IFERROR(_xlfn.XLOOKUP(LEFT($D636,3),'STAT 77 Table'!$B:$B,'STAT 77 Table'!$A:$A),"ZZ"&amp;RIGHT($B636,4)),""),"")</f>
        <v/>
      </c>
      <c r="L636" s="396"/>
      <c r="O636" s="388"/>
      <c r="P636" s="388"/>
      <c r="AA636" s="421">
        <f t="shared" si="9"/>
        <v>0</v>
      </c>
    </row>
    <row r="637" spans="1:27" ht="16.5">
      <c r="A637" s="387">
        <f>'STAT 77 Table'!$I$636</f>
        <v>0</v>
      </c>
      <c r="B637"/>
      <c r="C637"/>
      <c r="D637" s="387" t="str">
        <f>IF($B637&lt;&gt;"",IFERROR(IF(LEFT($B637,3)=$Z$2,VLOOKUP($C637,Outbound!$B:$Z,4,FALSE),VLOOKUP($B637,Outbound!$B:$Z,4,FALSE)),"ON ROCS/NOT ON FILE"),"")</f>
        <v/>
      </c>
      <c r="E637" s="387" t="str">
        <f>IF($B637&lt;&gt;"",IFERROR(IF(LEFT($B637,4)=$Z$2,VLOOKUP($C637,Outbound!$B:$Z,5,FALSE),VLOOKUP($B637,Outbound!$B:$Z,5,FALSE)),"ON ROCS/NOT ON FILE"),"")</f>
        <v/>
      </c>
      <c r="F637" s="387" t="str">
        <f>IF(B637&lt;&gt;"",IFERROR(IF(LEFT($B637,3)=$Z$2,VLOOKUP($C637,Outbound!$B:$Z,11,FALSE),VLOOKUP($B637,Outbound!$B:$Z,11,FALSE)),"NON TROVATO"),"")</f>
        <v/>
      </c>
      <c r="G637" s="394" t="str">
        <f>IF(B637&lt;&gt;"",IFERROR(IF(LEFT($B637,3)=$Z$2,VLOOKUP($C637,Outbound!$B:$AAZ,16,FALSE),VLOOKUP($B637,Outbound!$B:$AAZ,16,FALSE)),"NON TROVATO"),"")</f>
        <v/>
      </c>
      <c r="H637" s="394" t="str">
        <f>IF(B637&lt;&gt;"",IFERROR(IF(LEFT($B637,3)=$Z$2,VLOOKUP($C637,Outbound!$B:$AAZ,6,FALSE),VLOOKUP($B637,Outbound!$B:$AAZ,6,FALSE)),"NON TROVATO"),"")</f>
        <v/>
      </c>
      <c r="I637" s="394" t="str">
        <f>IF(B637&lt;&gt;"",IFERROR(IF(LEFT($B637,3)=$Z$2,VLOOKUP($C637,Outbound!$B:$AAZ,52,FALSE),VLOOKUP($B637,Outbound!$B:$AAZ,52,FALSE)),"NON TROVATO"),"")</f>
        <v/>
      </c>
      <c r="J637" s="396"/>
      <c r="K637" s="387" t="str">
        <f>IF(B637&lt;&gt;"",IF($D637&lt;&gt;"ON ROCS/NOT ON FILE",IFERROR(_xlfn.XLOOKUP(LEFT($D637,3),'STAT 77 Table'!$B:$B,'STAT 77 Table'!$A:$A),"ZZ"&amp;RIGHT($B637,4)),""),"")</f>
        <v/>
      </c>
      <c r="L637" s="396"/>
      <c r="O637" s="388"/>
      <c r="P637" s="388"/>
      <c r="AA637" s="421">
        <f t="shared" si="9"/>
        <v>0</v>
      </c>
    </row>
    <row r="638" spans="1:27" ht="16.5">
      <c r="A638" s="387">
        <f>'STAT 77 Table'!$I$637</f>
        <v>0</v>
      </c>
      <c r="B638"/>
      <c r="C638"/>
      <c r="D638" s="387" t="str">
        <f>IF($B638&lt;&gt;"",IFERROR(IF(LEFT($B638,3)=$Z$2,VLOOKUP($C638,Outbound!$B:$Z,4,FALSE),VLOOKUP($B638,Outbound!$B:$Z,4,FALSE)),"ON ROCS/NOT ON FILE"),"")</f>
        <v/>
      </c>
      <c r="E638" s="387" t="str">
        <f>IF($B638&lt;&gt;"",IFERROR(IF(LEFT($B638,4)=$Z$2,VLOOKUP($C638,Outbound!$B:$Z,5,FALSE),VLOOKUP($B638,Outbound!$B:$Z,5,FALSE)),"ON ROCS/NOT ON FILE"),"")</f>
        <v/>
      </c>
      <c r="F638" s="387" t="str">
        <f>IF(B638&lt;&gt;"",IFERROR(IF(LEFT($B638,3)=$Z$2,VLOOKUP($C638,Outbound!$B:$Z,11,FALSE),VLOOKUP($B638,Outbound!$B:$Z,11,FALSE)),"NON TROVATO"),"")</f>
        <v/>
      </c>
      <c r="G638" s="394" t="str">
        <f>IF(B638&lt;&gt;"",IFERROR(IF(LEFT($B638,3)=$Z$2,VLOOKUP($C638,Outbound!$B:$AAZ,16,FALSE),VLOOKUP($B638,Outbound!$B:$AAZ,16,FALSE)),"NON TROVATO"),"")</f>
        <v/>
      </c>
      <c r="H638" s="394" t="str">
        <f>IF(B638&lt;&gt;"",IFERROR(IF(LEFT($B638,3)=$Z$2,VLOOKUP($C638,Outbound!$B:$AAZ,6,FALSE),VLOOKUP($B638,Outbound!$B:$AAZ,6,FALSE)),"NON TROVATO"),"")</f>
        <v/>
      </c>
      <c r="I638" s="394" t="str">
        <f>IF(B638&lt;&gt;"",IFERROR(IF(LEFT($B638,3)=$Z$2,VLOOKUP($C638,Outbound!$B:$AAZ,52,FALSE),VLOOKUP($B638,Outbound!$B:$AAZ,52,FALSE)),"NON TROVATO"),"")</f>
        <v/>
      </c>
      <c r="J638" s="396"/>
      <c r="K638" s="387" t="str">
        <f>IF(B638&lt;&gt;"",IF($D638&lt;&gt;"ON ROCS/NOT ON FILE",IFERROR(_xlfn.XLOOKUP(LEFT($D638,3),'STAT 77 Table'!$B:$B,'STAT 77 Table'!$A:$A),"ZZ"&amp;RIGHT($B638,4)),""),"")</f>
        <v/>
      </c>
      <c r="L638" s="396"/>
      <c r="O638" s="388"/>
      <c r="P638" s="388"/>
      <c r="AA638" s="421">
        <f t="shared" si="9"/>
        <v>0</v>
      </c>
    </row>
    <row r="639" spans="1:27" ht="16.5">
      <c r="A639" s="387">
        <f>'STAT 77 Table'!$I$638</f>
        <v>0</v>
      </c>
      <c r="B639"/>
      <c r="C639"/>
      <c r="D639" s="387" t="str">
        <f>IF($B639&lt;&gt;"",IFERROR(IF(LEFT($B639,3)=$Z$2,VLOOKUP($C639,Outbound!$B:$Z,4,FALSE),VLOOKUP($B639,Outbound!$B:$Z,4,FALSE)),"ON ROCS/NOT ON FILE"),"")</f>
        <v/>
      </c>
      <c r="E639" s="387" t="str">
        <f>IF($B639&lt;&gt;"",IFERROR(IF(LEFT($B639,4)=$Z$2,VLOOKUP($C639,Outbound!$B:$Z,5,FALSE),VLOOKUP($B639,Outbound!$B:$Z,5,FALSE)),"ON ROCS/NOT ON FILE"),"")</f>
        <v/>
      </c>
      <c r="F639" s="387" t="str">
        <f>IF(B639&lt;&gt;"",IFERROR(IF(LEFT($B639,3)=$Z$2,VLOOKUP($C639,Outbound!$B:$Z,11,FALSE),VLOOKUP($B639,Outbound!$B:$Z,11,FALSE)),"NON TROVATO"),"")</f>
        <v/>
      </c>
      <c r="G639" s="394" t="str">
        <f>IF(B639&lt;&gt;"",IFERROR(IF(LEFT($B639,3)=$Z$2,VLOOKUP($C639,Outbound!$B:$AAZ,16,FALSE),VLOOKUP($B639,Outbound!$B:$AAZ,16,FALSE)),"NON TROVATO"),"")</f>
        <v/>
      </c>
      <c r="H639" s="394" t="str">
        <f>IF(B639&lt;&gt;"",IFERROR(IF(LEFT($B639,3)=$Z$2,VLOOKUP($C639,Outbound!$B:$AAZ,6,FALSE),VLOOKUP($B639,Outbound!$B:$AAZ,6,FALSE)),"NON TROVATO"),"")</f>
        <v/>
      </c>
      <c r="I639" s="394" t="str">
        <f>IF(B639&lt;&gt;"",IFERROR(IF(LEFT($B639,3)=$Z$2,VLOOKUP($C639,Outbound!$B:$AAZ,52,FALSE),VLOOKUP($B639,Outbound!$B:$AAZ,52,FALSE)),"NON TROVATO"),"")</f>
        <v/>
      </c>
      <c r="J639" s="396"/>
      <c r="K639" s="387" t="str">
        <f>IF(B639&lt;&gt;"",IF($D639&lt;&gt;"ON ROCS/NOT ON FILE",IFERROR(_xlfn.XLOOKUP(LEFT($D639,3),'STAT 77 Table'!$B:$B,'STAT 77 Table'!$A:$A),"ZZ"&amp;RIGHT($B639,4)),""),"")</f>
        <v/>
      </c>
      <c r="L639" s="396"/>
      <c r="O639" s="388"/>
      <c r="P639" s="388"/>
      <c r="AA639" s="421">
        <f t="shared" si="9"/>
        <v>0</v>
      </c>
    </row>
    <row r="640" spans="1:27" ht="16.5">
      <c r="A640" s="387">
        <f>'STAT 77 Table'!$I$639</f>
        <v>0</v>
      </c>
      <c r="B640"/>
      <c r="C640"/>
      <c r="D640" s="387" t="str">
        <f>IF($B640&lt;&gt;"",IFERROR(IF(LEFT($B640,3)=$Z$2,VLOOKUP($C640,Outbound!$B:$Z,4,FALSE),VLOOKUP($B640,Outbound!$B:$Z,4,FALSE)),"ON ROCS/NOT ON FILE"),"")</f>
        <v/>
      </c>
      <c r="E640" s="387" t="str">
        <f>IF($B640&lt;&gt;"",IFERROR(IF(LEFT($B640,4)=$Z$2,VLOOKUP($C640,Outbound!$B:$Z,5,FALSE),VLOOKUP($B640,Outbound!$B:$Z,5,FALSE)),"ON ROCS/NOT ON FILE"),"")</f>
        <v/>
      </c>
      <c r="F640" s="387" t="str">
        <f>IF(B640&lt;&gt;"",IFERROR(IF(LEFT($B640,3)=$Z$2,VLOOKUP($C640,Outbound!$B:$Z,11,FALSE),VLOOKUP($B640,Outbound!$B:$Z,11,FALSE)),"NON TROVATO"),"")</f>
        <v/>
      </c>
      <c r="G640" s="394" t="str">
        <f>IF(B640&lt;&gt;"",IFERROR(IF(LEFT($B640,3)=$Z$2,VLOOKUP($C640,Outbound!$B:$AAZ,16,FALSE),VLOOKUP($B640,Outbound!$B:$AAZ,16,FALSE)),"NON TROVATO"),"")</f>
        <v/>
      </c>
      <c r="H640" s="394" t="str">
        <f>IF(B640&lt;&gt;"",IFERROR(IF(LEFT($B640,3)=$Z$2,VLOOKUP($C640,Outbound!$B:$AAZ,6,FALSE),VLOOKUP($B640,Outbound!$B:$AAZ,6,FALSE)),"NON TROVATO"),"")</f>
        <v/>
      </c>
      <c r="I640" s="394" t="str">
        <f>IF(B640&lt;&gt;"",IFERROR(IF(LEFT($B640,3)=$Z$2,VLOOKUP($C640,Outbound!$B:$AAZ,52,FALSE),VLOOKUP($B640,Outbound!$B:$AAZ,52,FALSE)),"NON TROVATO"),"")</f>
        <v/>
      </c>
      <c r="J640" s="396"/>
      <c r="K640" s="387" t="str">
        <f>IF(B640&lt;&gt;"",IF($D640&lt;&gt;"ON ROCS/NOT ON FILE",IFERROR(_xlfn.XLOOKUP(LEFT($D640,3),'STAT 77 Table'!$B:$B,'STAT 77 Table'!$A:$A),"ZZ"&amp;RIGHT($B640,4)),""),"")</f>
        <v/>
      </c>
      <c r="L640" s="396"/>
      <c r="O640" s="388"/>
      <c r="P640" s="388"/>
      <c r="AA640" s="421">
        <f t="shared" si="9"/>
        <v>0</v>
      </c>
    </row>
    <row r="641" spans="1:27" ht="16.5">
      <c r="A641" s="387">
        <f>'STAT 77 Table'!$I$640</f>
        <v>0</v>
      </c>
      <c r="B641"/>
      <c r="C641"/>
      <c r="D641" s="387" t="str">
        <f>IF($B641&lt;&gt;"",IFERROR(IF(LEFT($B641,3)=$Z$2,VLOOKUP($C641,Outbound!$B:$Z,4,FALSE),VLOOKUP($B641,Outbound!$B:$Z,4,FALSE)),"ON ROCS/NOT ON FILE"),"")</f>
        <v/>
      </c>
      <c r="E641" s="387" t="str">
        <f>IF($B641&lt;&gt;"",IFERROR(IF(LEFT($B641,4)=$Z$2,VLOOKUP($C641,Outbound!$B:$Z,5,FALSE),VLOOKUP($B641,Outbound!$B:$Z,5,FALSE)),"ON ROCS/NOT ON FILE"),"")</f>
        <v/>
      </c>
      <c r="F641" s="387" t="str">
        <f>IF(B641&lt;&gt;"",IFERROR(IF(LEFT($B641,3)=$Z$2,VLOOKUP($C641,Outbound!$B:$Z,11,FALSE),VLOOKUP($B641,Outbound!$B:$Z,11,FALSE)),"NON TROVATO"),"")</f>
        <v/>
      </c>
      <c r="G641" s="394" t="str">
        <f>IF(B641&lt;&gt;"",IFERROR(IF(LEFT($B641,3)=$Z$2,VLOOKUP($C641,Outbound!$B:$AAZ,16,FALSE),VLOOKUP($B641,Outbound!$B:$AAZ,16,FALSE)),"NON TROVATO"),"")</f>
        <v/>
      </c>
      <c r="H641" s="394" t="str">
        <f>IF(B641&lt;&gt;"",IFERROR(IF(LEFT($B641,3)=$Z$2,VLOOKUP($C641,Outbound!$B:$AAZ,6,FALSE),VLOOKUP($B641,Outbound!$B:$AAZ,6,FALSE)),"NON TROVATO"),"")</f>
        <v/>
      </c>
      <c r="I641" s="394" t="str">
        <f>IF(B641&lt;&gt;"",IFERROR(IF(LEFT($B641,3)=$Z$2,VLOOKUP($C641,Outbound!$B:$AAZ,52,FALSE),VLOOKUP($B641,Outbound!$B:$AAZ,52,FALSE)),"NON TROVATO"),"")</f>
        <v/>
      </c>
      <c r="J641" s="396"/>
      <c r="K641" s="387" t="str">
        <f>IF(B641&lt;&gt;"",IF($D641&lt;&gt;"ON ROCS/NOT ON FILE",IFERROR(_xlfn.XLOOKUP(LEFT($D641,3),'STAT 77 Table'!$B:$B,'STAT 77 Table'!$A:$A),"ZZ"&amp;RIGHT($B641,4)),""),"")</f>
        <v/>
      </c>
      <c r="L641" s="396"/>
      <c r="O641" s="388"/>
      <c r="P641" s="388"/>
      <c r="AA641" s="421">
        <f t="shared" si="9"/>
        <v>0</v>
      </c>
    </row>
    <row r="642" spans="1:27" ht="16.5">
      <c r="A642" s="387">
        <f>'STAT 77 Table'!$I$641</f>
        <v>0</v>
      </c>
      <c r="B642"/>
      <c r="C642"/>
      <c r="D642" s="387" t="str">
        <f>IF($B642&lt;&gt;"",IFERROR(IF(LEFT($B642,3)=$Z$2,VLOOKUP($C642,Outbound!$B:$Z,4,FALSE),VLOOKUP($B642,Outbound!$B:$Z,4,FALSE)),"ON ROCS/NOT ON FILE"),"")</f>
        <v/>
      </c>
      <c r="E642" s="387" t="str">
        <f>IF($B642&lt;&gt;"",IFERROR(IF(LEFT($B642,4)=$Z$2,VLOOKUP($C642,Outbound!$B:$Z,5,FALSE),VLOOKUP($B642,Outbound!$B:$Z,5,FALSE)),"ON ROCS/NOT ON FILE"),"")</f>
        <v/>
      </c>
      <c r="F642" s="387" t="str">
        <f>IF(B642&lt;&gt;"",IFERROR(IF(LEFT($B642,3)=$Z$2,VLOOKUP($C642,Outbound!$B:$Z,11,FALSE),VLOOKUP($B642,Outbound!$B:$Z,11,FALSE)),"NON TROVATO"),"")</f>
        <v/>
      </c>
      <c r="G642" s="394" t="str">
        <f>IF(B642&lt;&gt;"",IFERROR(IF(LEFT($B642,3)=$Z$2,VLOOKUP($C642,Outbound!$B:$AAZ,16,FALSE),VLOOKUP($B642,Outbound!$B:$AAZ,16,FALSE)),"NON TROVATO"),"")</f>
        <v/>
      </c>
      <c r="H642" s="394" t="str">
        <f>IF(B642&lt;&gt;"",IFERROR(IF(LEFT($B642,3)=$Z$2,VLOOKUP($C642,Outbound!$B:$AAZ,6,FALSE),VLOOKUP($B642,Outbound!$B:$AAZ,6,FALSE)),"NON TROVATO"),"")</f>
        <v/>
      </c>
      <c r="I642" s="394" t="str">
        <f>IF(B642&lt;&gt;"",IFERROR(IF(LEFT($B642,3)=$Z$2,VLOOKUP($C642,Outbound!$B:$AAZ,52,FALSE),VLOOKUP($B642,Outbound!$B:$AAZ,52,FALSE)),"NON TROVATO"),"")</f>
        <v/>
      </c>
      <c r="J642" s="396"/>
      <c r="K642" s="387" t="str">
        <f>IF(B642&lt;&gt;"",IF($D642&lt;&gt;"ON ROCS/NOT ON FILE",IFERROR(_xlfn.XLOOKUP(LEFT($D642,3),'STAT 77 Table'!$B:$B,'STAT 77 Table'!$A:$A),"ZZ"&amp;RIGHT($B642,4)),""),"")</f>
        <v/>
      </c>
      <c r="L642" s="396"/>
      <c r="O642" s="388"/>
      <c r="P642" s="388"/>
      <c r="AA642" s="421">
        <f t="shared" si="9"/>
        <v>0</v>
      </c>
    </row>
    <row r="643" spans="1:27" ht="16.5">
      <c r="A643" s="387">
        <f>'STAT 77 Table'!$I$642</f>
        <v>0</v>
      </c>
      <c r="B643"/>
      <c r="C643"/>
      <c r="D643" s="387" t="str">
        <f>IF($B643&lt;&gt;"",IFERROR(IF(LEFT($B643,3)=$Z$2,VLOOKUP($C643,Outbound!$B:$Z,4,FALSE),VLOOKUP($B643,Outbound!$B:$Z,4,FALSE)),"ON ROCS/NOT ON FILE"),"")</f>
        <v/>
      </c>
      <c r="E643" s="387" t="str">
        <f>IF($B643&lt;&gt;"",IFERROR(IF(LEFT($B643,4)=$Z$2,VLOOKUP($C643,Outbound!$B:$Z,5,FALSE),VLOOKUP($B643,Outbound!$B:$Z,5,FALSE)),"ON ROCS/NOT ON FILE"),"")</f>
        <v/>
      </c>
      <c r="F643" s="387" t="str">
        <f>IF(B643&lt;&gt;"",IFERROR(IF(LEFT($B643,3)=$Z$2,VLOOKUP($C643,Outbound!$B:$Z,11,FALSE),VLOOKUP($B643,Outbound!$B:$Z,11,FALSE)),"NON TROVATO"),"")</f>
        <v/>
      </c>
      <c r="G643" s="394" t="str">
        <f>IF(B643&lt;&gt;"",IFERROR(IF(LEFT($B643,3)=$Z$2,VLOOKUP($C643,Outbound!$B:$AAZ,16,FALSE),VLOOKUP($B643,Outbound!$B:$AAZ,16,FALSE)),"NON TROVATO"),"")</f>
        <v/>
      </c>
      <c r="H643" s="394" t="str">
        <f>IF(B643&lt;&gt;"",IFERROR(IF(LEFT($B643,3)=$Z$2,VLOOKUP($C643,Outbound!$B:$AAZ,6,FALSE),VLOOKUP($B643,Outbound!$B:$AAZ,6,FALSE)),"NON TROVATO"),"")</f>
        <v/>
      </c>
      <c r="I643" s="394" t="str">
        <f>IF(B643&lt;&gt;"",IFERROR(IF(LEFT($B643,3)=$Z$2,VLOOKUP($C643,Outbound!$B:$AAZ,52,FALSE),VLOOKUP($B643,Outbound!$B:$AAZ,52,FALSE)),"NON TROVATO"),"")</f>
        <v/>
      </c>
      <c r="J643" s="396"/>
      <c r="K643" s="387" t="str">
        <f>IF(B643&lt;&gt;"",IF($D643&lt;&gt;"ON ROCS/NOT ON FILE",IFERROR(_xlfn.XLOOKUP(LEFT($D643,3),'STAT 77 Table'!$B:$B,'STAT 77 Table'!$A:$A),"ZZ"&amp;RIGHT($B643,4)),""),"")</f>
        <v/>
      </c>
      <c r="L643" s="396"/>
      <c r="O643" s="388"/>
      <c r="P643" s="388"/>
      <c r="AA643" s="421">
        <f t="shared" si="9"/>
        <v>0</v>
      </c>
    </row>
    <row r="644" spans="1:27" ht="16.5">
      <c r="A644" s="387">
        <f>'STAT 77 Table'!$I$643</f>
        <v>0</v>
      </c>
      <c r="B644"/>
      <c r="C644"/>
      <c r="D644" s="387" t="str">
        <f>IF($B644&lt;&gt;"",IFERROR(IF(LEFT($B644,3)=$Z$2,VLOOKUP($C644,Outbound!$B:$Z,4,FALSE),VLOOKUP($B644,Outbound!$B:$Z,4,FALSE)),"ON ROCS/NOT ON FILE"),"")</f>
        <v/>
      </c>
      <c r="E644" s="387" t="str">
        <f>IF($B644&lt;&gt;"",IFERROR(IF(LEFT($B644,4)=$Z$2,VLOOKUP($C644,Outbound!$B:$Z,5,FALSE),VLOOKUP($B644,Outbound!$B:$Z,5,FALSE)),"ON ROCS/NOT ON FILE"),"")</f>
        <v/>
      </c>
      <c r="F644" s="387" t="str">
        <f>IF(B644&lt;&gt;"",IFERROR(IF(LEFT($B644,3)=$Z$2,VLOOKUP($C644,Outbound!$B:$Z,11,FALSE),VLOOKUP($B644,Outbound!$B:$Z,11,FALSE)),"NON TROVATO"),"")</f>
        <v/>
      </c>
      <c r="G644" s="394" t="str">
        <f>IF(B644&lt;&gt;"",IFERROR(IF(LEFT($B644,3)=$Z$2,VLOOKUP($C644,Outbound!$B:$AAZ,16,FALSE),VLOOKUP($B644,Outbound!$B:$AAZ,16,FALSE)),"NON TROVATO"),"")</f>
        <v/>
      </c>
      <c r="H644" s="394" t="str">
        <f>IF(B644&lt;&gt;"",IFERROR(IF(LEFT($B644,3)=$Z$2,VLOOKUP($C644,Outbound!$B:$AAZ,6,FALSE),VLOOKUP($B644,Outbound!$B:$AAZ,6,FALSE)),"NON TROVATO"),"")</f>
        <v/>
      </c>
      <c r="I644" s="394" t="str">
        <f>IF(B644&lt;&gt;"",IFERROR(IF(LEFT($B644,3)=$Z$2,VLOOKUP($C644,Outbound!$B:$AAZ,52,FALSE),VLOOKUP($B644,Outbound!$B:$AAZ,52,FALSE)),"NON TROVATO"),"")</f>
        <v/>
      </c>
      <c r="J644" s="396"/>
      <c r="K644" s="387" t="str">
        <f>IF(B644&lt;&gt;"",IF($D644&lt;&gt;"ON ROCS/NOT ON FILE",IFERROR(_xlfn.XLOOKUP(LEFT($D644,3),'STAT 77 Table'!$B:$B,'STAT 77 Table'!$A:$A),"ZZ"&amp;RIGHT($B644,4)),""),"")</f>
        <v/>
      </c>
      <c r="L644" s="396"/>
      <c r="O644" s="388"/>
      <c r="P644" s="388"/>
      <c r="AA644" s="421">
        <f t="shared" ref="AA644:AA707" si="10">IF(LEFT(A644,3)=$X$2,C644,B644)</f>
        <v>0</v>
      </c>
    </row>
    <row r="645" spans="1:27" ht="16.5">
      <c r="A645" s="387">
        <f>'STAT 77 Table'!$I$644</f>
        <v>0</v>
      </c>
      <c r="B645"/>
      <c r="C645"/>
      <c r="D645" s="387" t="str">
        <f>IF($B645&lt;&gt;"",IFERROR(IF(LEFT($B645,3)=$Z$2,VLOOKUP($C645,Outbound!$B:$Z,4,FALSE),VLOOKUP($B645,Outbound!$B:$Z,4,FALSE)),"ON ROCS/NOT ON FILE"),"")</f>
        <v/>
      </c>
      <c r="E645" s="387" t="str">
        <f>IF($B645&lt;&gt;"",IFERROR(IF(LEFT($B645,4)=$Z$2,VLOOKUP($C645,Outbound!$B:$Z,5,FALSE),VLOOKUP($B645,Outbound!$B:$Z,5,FALSE)),"ON ROCS/NOT ON FILE"),"")</f>
        <v/>
      </c>
      <c r="F645" s="387" t="str">
        <f>IF(B645&lt;&gt;"",IFERROR(IF(LEFT($B645,3)=$Z$2,VLOOKUP($C645,Outbound!$B:$Z,11,FALSE),VLOOKUP($B645,Outbound!$B:$Z,11,FALSE)),"NON TROVATO"),"")</f>
        <v/>
      </c>
      <c r="G645" s="394" t="str">
        <f>IF(B645&lt;&gt;"",IFERROR(IF(LEFT($B645,3)=$Z$2,VLOOKUP($C645,Outbound!$B:$AAZ,16,FALSE),VLOOKUP($B645,Outbound!$B:$AAZ,16,FALSE)),"NON TROVATO"),"")</f>
        <v/>
      </c>
      <c r="H645" s="394" t="str">
        <f>IF(B645&lt;&gt;"",IFERROR(IF(LEFT($B645,3)=$Z$2,VLOOKUP($C645,Outbound!$B:$AAZ,6,FALSE),VLOOKUP($B645,Outbound!$B:$AAZ,6,FALSE)),"NON TROVATO"),"")</f>
        <v/>
      </c>
      <c r="I645" s="394" t="str">
        <f>IF(B645&lt;&gt;"",IFERROR(IF(LEFT($B645,3)=$Z$2,VLOOKUP($C645,Outbound!$B:$AAZ,52,FALSE),VLOOKUP($B645,Outbound!$B:$AAZ,52,FALSE)),"NON TROVATO"),"")</f>
        <v/>
      </c>
      <c r="J645" s="396"/>
      <c r="K645" s="387" t="str">
        <f>IF(B645&lt;&gt;"",IF($D645&lt;&gt;"ON ROCS/NOT ON FILE",IFERROR(_xlfn.XLOOKUP(LEFT($D645,3),'STAT 77 Table'!$B:$B,'STAT 77 Table'!$A:$A),"ZZ"&amp;RIGHT($B645,4)),""),"")</f>
        <v/>
      </c>
      <c r="L645" s="396"/>
      <c r="O645" s="388"/>
      <c r="P645" s="388"/>
      <c r="AA645" s="421">
        <f t="shared" si="10"/>
        <v>0</v>
      </c>
    </row>
    <row r="646" spans="1:27" ht="16.5">
      <c r="A646" s="387">
        <f>'STAT 77 Table'!$I$645</f>
        <v>0</v>
      </c>
      <c r="B646"/>
      <c r="C646"/>
      <c r="D646" s="387" t="str">
        <f>IF($B646&lt;&gt;"",IFERROR(IF(LEFT($B646,3)=$Z$2,VLOOKUP($C646,Outbound!$B:$Z,4,FALSE),VLOOKUP($B646,Outbound!$B:$Z,4,FALSE)),"ON ROCS/NOT ON FILE"),"")</f>
        <v/>
      </c>
      <c r="E646" s="387" t="str">
        <f>IF($B646&lt;&gt;"",IFERROR(IF(LEFT($B646,4)=$Z$2,VLOOKUP($C646,Outbound!$B:$Z,5,FALSE),VLOOKUP($B646,Outbound!$B:$Z,5,FALSE)),"ON ROCS/NOT ON FILE"),"")</f>
        <v/>
      </c>
      <c r="F646" s="387" t="str">
        <f>IF(B646&lt;&gt;"",IFERROR(IF(LEFT($B646,3)=$Z$2,VLOOKUP($C646,Outbound!$B:$Z,11,FALSE),VLOOKUP($B646,Outbound!$B:$Z,11,FALSE)),"NON TROVATO"),"")</f>
        <v/>
      </c>
      <c r="G646" s="394" t="str">
        <f>IF(B646&lt;&gt;"",IFERROR(IF(LEFT($B646,3)=$Z$2,VLOOKUP($C646,Outbound!$B:$AAZ,16,FALSE),VLOOKUP($B646,Outbound!$B:$AAZ,16,FALSE)),"NON TROVATO"),"")</f>
        <v/>
      </c>
      <c r="H646" s="394" t="str">
        <f>IF(B646&lt;&gt;"",IFERROR(IF(LEFT($B646,3)=$Z$2,VLOOKUP($C646,Outbound!$B:$AAZ,6,FALSE),VLOOKUP($B646,Outbound!$B:$AAZ,6,FALSE)),"NON TROVATO"),"")</f>
        <v/>
      </c>
      <c r="I646" s="394" t="str">
        <f>IF(B646&lt;&gt;"",IFERROR(IF(LEFT($B646,3)=$Z$2,VLOOKUP($C646,Outbound!$B:$AAZ,52,FALSE),VLOOKUP($B646,Outbound!$B:$AAZ,52,FALSE)),"NON TROVATO"),"")</f>
        <v/>
      </c>
      <c r="J646" s="396"/>
      <c r="K646" s="387" t="str">
        <f>IF(B646&lt;&gt;"",IF($D646&lt;&gt;"ON ROCS/NOT ON FILE",IFERROR(_xlfn.XLOOKUP(LEFT($D646,3),'STAT 77 Table'!$B:$B,'STAT 77 Table'!$A:$A),"ZZ"&amp;RIGHT($B646,4)),""),"")</f>
        <v/>
      </c>
      <c r="L646" s="396"/>
      <c r="O646" s="388"/>
      <c r="P646" s="388"/>
      <c r="AA646" s="421">
        <f t="shared" si="10"/>
        <v>0</v>
      </c>
    </row>
    <row r="647" spans="1:27" ht="16.5">
      <c r="A647" s="387">
        <f>'STAT 77 Table'!$I$646</f>
        <v>0</v>
      </c>
      <c r="B647"/>
      <c r="C647"/>
      <c r="D647" s="387" t="str">
        <f>IF($B647&lt;&gt;"",IFERROR(IF(LEFT($B647,3)=$Z$2,VLOOKUP($C647,Outbound!$B:$Z,4,FALSE),VLOOKUP($B647,Outbound!$B:$Z,4,FALSE)),"ON ROCS/NOT ON FILE"),"")</f>
        <v/>
      </c>
      <c r="E647" s="387" t="str">
        <f>IF($B647&lt;&gt;"",IFERROR(IF(LEFT($B647,4)=$Z$2,VLOOKUP($C647,Outbound!$B:$Z,5,FALSE),VLOOKUP($B647,Outbound!$B:$Z,5,FALSE)),"ON ROCS/NOT ON FILE"),"")</f>
        <v/>
      </c>
      <c r="F647" s="387" t="str">
        <f>IF(B647&lt;&gt;"",IFERROR(IF(LEFT($B647,3)=$Z$2,VLOOKUP($C647,Outbound!$B:$Z,11,FALSE),VLOOKUP($B647,Outbound!$B:$Z,11,FALSE)),"NON TROVATO"),"")</f>
        <v/>
      </c>
      <c r="G647" s="394" t="str">
        <f>IF(B647&lt;&gt;"",IFERROR(IF(LEFT($B647,3)=$Z$2,VLOOKUP($C647,Outbound!$B:$AAZ,16,FALSE),VLOOKUP($B647,Outbound!$B:$AAZ,16,FALSE)),"NON TROVATO"),"")</f>
        <v/>
      </c>
      <c r="H647" s="394" t="str">
        <f>IF(B647&lt;&gt;"",IFERROR(IF(LEFT($B647,3)=$Z$2,VLOOKUP($C647,Outbound!$B:$AAZ,6,FALSE),VLOOKUP($B647,Outbound!$B:$AAZ,6,FALSE)),"NON TROVATO"),"")</f>
        <v/>
      </c>
      <c r="I647" s="394" t="str">
        <f>IF(B647&lt;&gt;"",IFERROR(IF(LEFT($B647,3)=$Z$2,VLOOKUP($C647,Outbound!$B:$AAZ,52,FALSE),VLOOKUP($B647,Outbound!$B:$AAZ,52,FALSE)),"NON TROVATO"),"")</f>
        <v/>
      </c>
      <c r="J647" s="396"/>
      <c r="K647" s="387" t="str">
        <f>IF(B647&lt;&gt;"",IF($D647&lt;&gt;"ON ROCS/NOT ON FILE",IFERROR(_xlfn.XLOOKUP(LEFT($D647,3),'STAT 77 Table'!$B:$B,'STAT 77 Table'!$A:$A),"ZZ"&amp;RIGHT($B647,4)),""),"")</f>
        <v/>
      </c>
      <c r="L647" s="396"/>
      <c r="O647" s="388"/>
      <c r="P647" s="388"/>
      <c r="AA647" s="421">
        <f t="shared" si="10"/>
        <v>0</v>
      </c>
    </row>
    <row r="648" spans="1:27" ht="16.5">
      <c r="A648" s="387">
        <f>'STAT 77 Table'!$I$647</f>
        <v>0</v>
      </c>
      <c r="B648"/>
      <c r="C648"/>
      <c r="D648" s="387" t="str">
        <f>IF($B648&lt;&gt;"",IFERROR(IF(LEFT($B648,3)=$Z$2,VLOOKUP($C648,Outbound!$B:$Z,4,FALSE),VLOOKUP($B648,Outbound!$B:$Z,4,FALSE)),"ON ROCS/NOT ON FILE"),"")</f>
        <v/>
      </c>
      <c r="E648" s="387" t="str">
        <f>IF($B648&lt;&gt;"",IFERROR(IF(LEFT($B648,4)=$Z$2,VLOOKUP($C648,Outbound!$B:$Z,5,FALSE),VLOOKUP($B648,Outbound!$B:$Z,5,FALSE)),"ON ROCS/NOT ON FILE"),"")</f>
        <v/>
      </c>
      <c r="F648" s="387" t="str">
        <f>IF(B648&lt;&gt;"",IFERROR(IF(LEFT($B648,3)=$Z$2,VLOOKUP($C648,Outbound!$B:$Z,11,FALSE),VLOOKUP($B648,Outbound!$B:$Z,11,FALSE)),"NON TROVATO"),"")</f>
        <v/>
      </c>
      <c r="G648" s="394" t="str">
        <f>IF(B648&lt;&gt;"",IFERROR(IF(LEFT($B648,3)=$Z$2,VLOOKUP($C648,Outbound!$B:$AAZ,16,FALSE),VLOOKUP($B648,Outbound!$B:$AAZ,16,FALSE)),"NON TROVATO"),"")</f>
        <v/>
      </c>
      <c r="H648" s="394" t="str">
        <f>IF(B648&lt;&gt;"",IFERROR(IF(LEFT($B648,3)=$Z$2,VLOOKUP($C648,Outbound!$B:$AAZ,6,FALSE),VLOOKUP($B648,Outbound!$B:$AAZ,6,FALSE)),"NON TROVATO"),"")</f>
        <v/>
      </c>
      <c r="I648" s="394" t="str">
        <f>IF(B648&lt;&gt;"",IFERROR(IF(LEFT($B648,3)=$Z$2,VLOOKUP($C648,Outbound!$B:$AAZ,52,FALSE),VLOOKUP($B648,Outbound!$B:$AAZ,52,FALSE)),"NON TROVATO"),"")</f>
        <v/>
      </c>
      <c r="J648" s="396"/>
      <c r="K648" s="387" t="str">
        <f>IF(B648&lt;&gt;"",IF($D648&lt;&gt;"ON ROCS/NOT ON FILE",IFERROR(_xlfn.XLOOKUP(LEFT($D648,3),'STAT 77 Table'!$B:$B,'STAT 77 Table'!$A:$A),"ZZ"&amp;RIGHT($B648,4)),""),"")</f>
        <v/>
      </c>
      <c r="L648" s="396"/>
      <c r="O648" s="388"/>
      <c r="P648" s="388"/>
      <c r="AA648" s="421">
        <f t="shared" si="10"/>
        <v>0</v>
      </c>
    </row>
    <row r="649" spans="1:27" ht="16.5">
      <c r="A649" s="387">
        <f>'STAT 77 Table'!$I$648</f>
        <v>0</v>
      </c>
      <c r="B649"/>
      <c r="C649"/>
      <c r="D649" s="387" t="str">
        <f>IF($B649&lt;&gt;"",IFERROR(IF(LEFT($B649,3)=$Z$2,VLOOKUP($C649,Outbound!$B:$Z,4,FALSE),VLOOKUP($B649,Outbound!$B:$Z,4,FALSE)),"ON ROCS/NOT ON FILE"),"")</f>
        <v/>
      </c>
      <c r="E649" s="387" t="str">
        <f>IF($B649&lt;&gt;"",IFERROR(IF(LEFT($B649,4)=$Z$2,VLOOKUP($C649,Outbound!$B:$Z,5,FALSE),VLOOKUP($B649,Outbound!$B:$Z,5,FALSE)),"ON ROCS/NOT ON FILE"),"")</f>
        <v/>
      </c>
      <c r="F649" s="387" t="str">
        <f>IF(B649&lt;&gt;"",IFERROR(IF(LEFT($B649,3)=$Z$2,VLOOKUP($C649,Outbound!$B:$Z,11,FALSE),VLOOKUP($B649,Outbound!$B:$Z,11,FALSE)),"NON TROVATO"),"")</f>
        <v/>
      </c>
      <c r="G649" s="394" t="str">
        <f>IF(B649&lt;&gt;"",IFERROR(IF(LEFT($B649,3)=$Z$2,VLOOKUP($C649,Outbound!$B:$AAZ,16,FALSE),VLOOKUP($B649,Outbound!$B:$AAZ,16,FALSE)),"NON TROVATO"),"")</f>
        <v/>
      </c>
      <c r="H649" s="394" t="str">
        <f>IF(B649&lt;&gt;"",IFERROR(IF(LEFT($B649,3)=$Z$2,VLOOKUP($C649,Outbound!$B:$AAZ,6,FALSE),VLOOKUP($B649,Outbound!$B:$AAZ,6,FALSE)),"NON TROVATO"),"")</f>
        <v/>
      </c>
      <c r="I649" s="394" t="str">
        <f>IF(B649&lt;&gt;"",IFERROR(IF(LEFT($B649,3)=$Z$2,VLOOKUP($C649,Outbound!$B:$AAZ,52,FALSE),VLOOKUP($B649,Outbound!$B:$AAZ,52,FALSE)),"NON TROVATO"),"")</f>
        <v/>
      </c>
      <c r="J649" s="396"/>
      <c r="K649" s="387" t="str">
        <f>IF(B649&lt;&gt;"",IF($D649&lt;&gt;"ON ROCS/NOT ON FILE",IFERROR(_xlfn.XLOOKUP(LEFT($D649,3),'STAT 77 Table'!$B:$B,'STAT 77 Table'!$A:$A),"ZZ"&amp;RIGHT($B649,4)),""),"")</f>
        <v/>
      </c>
      <c r="L649" s="396"/>
      <c r="O649" s="388"/>
      <c r="P649" s="388"/>
      <c r="AA649" s="421">
        <f t="shared" si="10"/>
        <v>0</v>
      </c>
    </row>
    <row r="650" spans="1:27" ht="16.5">
      <c r="A650" s="387">
        <f>'STAT 77 Table'!$I$649</f>
        <v>0</v>
      </c>
      <c r="B650"/>
      <c r="C650"/>
      <c r="D650" s="387" t="str">
        <f>IF($B650&lt;&gt;"",IFERROR(IF(LEFT($B650,3)=$Z$2,VLOOKUP($C650,Outbound!$B:$Z,4,FALSE),VLOOKUP($B650,Outbound!$B:$Z,4,FALSE)),"ON ROCS/NOT ON FILE"),"")</f>
        <v/>
      </c>
      <c r="E650" s="387" t="str">
        <f>IF($B650&lt;&gt;"",IFERROR(IF(LEFT($B650,4)=$Z$2,VLOOKUP($C650,Outbound!$B:$Z,5,FALSE),VLOOKUP($B650,Outbound!$B:$Z,5,FALSE)),"ON ROCS/NOT ON FILE"),"")</f>
        <v/>
      </c>
      <c r="F650" s="387" t="str">
        <f>IF(B650&lt;&gt;"",IFERROR(IF(LEFT($B650,3)=$Z$2,VLOOKUP($C650,Outbound!$B:$Z,11,FALSE),VLOOKUP($B650,Outbound!$B:$Z,11,FALSE)),"NON TROVATO"),"")</f>
        <v/>
      </c>
      <c r="G650" s="394" t="str">
        <f>IF(B650&lt;&gt;"",IFERROR(IF(LEFT($B650,3)=$Z$2,VLOOKUP($C650,Outbound!$B:$AAZ,16,FALSE),VLOOKUP($B650,Outbound!$B:$AAZ,16,FALSE)),"NON TROVATO"),"")</f>
        <v/>
      </c>
      <c r="H650" s="394" t="str">
        <f>IF(B650&lt;&gt;"",IFERROR(IF(LEFT($B650,3)=$Z$2,VLOOKUP($C650,Outbound!$B:$AAZ,6,FALSE),VLOOKUP($B650,Outbound!$B:$AAZ,6,FALSE)),"NON TROVATO"),"")</f>
        <v/>
      </c>
      <c r="I650" s="394" t="str">
        <f>IF(B650&lt;&gt;"",IFERROR(IF(LEFT($B650,3)=$Z$2,VLOOKUP($C650,Outbound!$B:$AAZ,52,FALSE),VLOOKUP($B650,Outbound!$B:$AAZ,52,FALSE)),"NON TROVATO"),"")</f>
        <v/>
      </c>
      <c r="J650" s="396"/>
      <c r="K650" s="387" t="str">
        <f>IF(B650&lt;&gt;"",IF($D650&lt;&gt;"ON ROCS/NOT ON FILE",IFERROR(_xlfn.XLOOKUP(LEFT($D650,3),'STAT 77 Table'!$B:$B,'STAT 77 Table'!$A:$A),"ZZ"&amp;RIGHT($B650,4)),""),"")</f>
        <v/>
      </c>
      <c r="L650" s="396"/>
      <c r="O650" s="388"/>
      <c r="P650" s="388"/>
      <c r="AA650" s="421">
        <f t="shared" si="10"/>
        <v>0</v>
      </c>
    </row>
    <row r="651" spans="1:27" ht="16.5">
      <c r="A651" s="387">
        <f>'STAT 77 Table'!$I$650</f>
        <v>0</v>
      </c>
      <c r="B651"/>
      <c r="C651"/>
      <c r="D651" s="387" t="str">
        <f>IF($B651&lt;&gt;"",IFERROR(IF(LEFT($B651,3)=$Z$2,VLOOKUP($C651,Outbound!$B:$Z,4,FALSE),VLOOKUP($B651,Outbound!$B:$Z,4,FALSE)),"ON ROCS/NOT ON FILE"),"")</f>
        <v/>
      </c>
      <c r="E651" s="387" t="str">
        <f>IF($B651&lt;&gt;"",IFERROR(IF(LEFT($B651,4)=$Z$2,VLOOKUP($C651,Outbound!$B:$Z,5,FALSE),VLOOKUP($B651,Outbound!$B:$Z,5,FALSE)),"ON ROCS/NOT ON FILE"),"")</f>
        <v/>
      </c>
      <c r="F651" s="387" t="str">
        <f>IF(B651&lt;&gt;"",IFERROR(IF(LEFT($B651,3)=$Z$2,VLOOKUP($C651,Outbound!$B:$Z,11,FALSE),VLOOKUP($B651,Outbound!$B:$Z,11,FALSE)),"NON TROVATO"),"")</f>
        <v/>
      </c>
      <c r="G651" s="394" t="str">
        <f>IF(B651&lt;&gt;"",IFERROR(IF(LEFT($B651,3)=$Z$2,VLOOKUP($C651,Outbound!$B:$AAZ,16,FALSE),VLOOKUP($B651,Outbound!$B:$AAZ,16,FALSE)),"NON TROVATO"),"")</f>
        <v/>
      </c>
      <c r="H651" s="394" t="str">
        <f>IF(B651&lt;&gt;"",IFERROR(IF(LEFT($B651,3)=$Z$2,VLOOKUP($C651,Outbound!$B:$AAZ,6,FALSE),VLOOKUP($B651,Outbound!$B:$AAZ,6,FALSE)),"NON TROVATO"),"")</f>
        <v/>
      </c>
      <c r="I651" s="394" t="str">
        <f>IF(B651&lt;&gt;"",IFERROR(IF(LEFT($B651,3)=$Z$2,VLOOKUP($C651,Outbound!$B:$AAZ,52,FALSE),VLOOKUP($B651,Outbound!$B:$AAZ,52,FALSE)),"NON TROVATO"),"")</f>
        <v/>
      </c>
      <c r="J651" s="396"/>
      <c r="K651" s="387" t="str">
        <f>IF(B651&lt;&gt;"",IF($D651&lt;&gt;"ON ROCS/NOT ON FILE",IFERROR(_xlfn.XLOOKUP(LEFT($D651,3),'STAT 77 Table'!$B:$B,'STAT 77 Table'!$A:$A),"ZZ"&amp;RIGHT($B651,4)),""),"")</f>
        <v/>
      </c>
      <c r="L651" s="396"/>
      <c r="O651" s="388"/>
      <c r="P651" s="388"/>
      <c r="AA651" s="421">
        <f t="shared" si="10"/>
        <v>0</v>
      </c>
    </row>
    <row r="652" spans="1:27" ht="16.5">
      <c r="A652" s="387">
        <f>'STAT 77 Table'!$I$651</f>
        <v>0</v>
      </c>
      <c r="B652"/>
      <c r="C652"/>
      <c r="D652" s="387" t="str">
        <f>IF($B652&lt;&gt;"",IFERROR(IF(LEFT($B652,3)=$Z$2,VLOOKUP($C652,Outbound!$B:$Z,4,FALSE),VLOOKUP($B652,Outbound!$B:$Z,4,FALSE)),"ON ROCS/NOT ON FILE"),"")</f>
        <v/>
      </c>
      <c r="E652" s="387" t="str">
        <f>IF($B652&lt;&gt;"",IFERROR(IF(LEFT($B652,4)=$Z$2,VLOOKUP($C652,Outbound!$B:$Z,5,FALSE),VLOOKUP($B652,Outbound!$B:$Z,5,FALSE)),"ON ROCS/NOT ON FILE"),"")</f>
        <v/>
      </c>
      <c r="F652" s="387" t="str">
        <f>IF(B652&lt;&gt;"",IFERROR(IF(LEFT($B652,3)=$Z$2,VLOOKUP($C652,Outbound!$B:$Z,11,FALSE),VLOOKUP($B652,Outbound!$B:$Z,11,FALSE)),"NON TROVATO"),"")</f>
        <v/>
      </c>
      <c r="G652" s="394" t="str">
        <f>IF(B652&lt;&gt;"",IFERROR(IF(LEFT($B652,3)=$Z$2,VLOOKUP($C652,Outbound!$B:$AAZ,16,FALSE),VLOOKUP($B652,Outbound!$B:$AAZ,16,FALSE)),"NON TROVATO"),"")</f>
        <v/>
      </c>
      <c r="H652" s="394" t="str">
        <f>IF(B652&lt;&gt;"",IFERROR(IF(LEFT($B652,3)=$Z$2,VLOOKUP($C652,Outbound!$B:$AAZ,6,FALSE),VLOOKUP($B652,Outbound!$B:$AAZ,6,FALSE)),"NON TROVATO"),"")</f>
        <v/>
      </c>
      <c r="I652" s="394" t="str">
        <f>IF(B652&lt;&gt;"",IFERROR(IF(LEFT($B652,3)=$Z$2,VLOOKUP($C652,Outbound!$B:$AAZ,52,FALSE),VLOOKUP($B652,Outbound!$B:$AAZ,52,FALSE)),"NON TROVATO"),"")</f>
        <v/>
      </c>
      <c r="J652" s="396"/>
      <c r="K652" s="387" t="str">
        <f>IF(B652&lt;&gt;"",IF($D652&lt;&gt;"ON ROCS/NOT ON FILE",IFERROR(_xlfn.XLOOKUP(LEFT($D652,3),'STAT 77 Table'!$B:$B,'STAT 77 Table'!$A:$A),"ZZ"&amp;RIGHT($B652,4)),""),"")</f>
        <v/>
      </c>
      <c r="L652" s="396"/>
      <c r="O652" s="388"/>
      <c r="P652" s="388"/>
      <c r="AA652" s="421">
        <f t="shared" si="10"/>
        <v>0</v>
      </c>
    </row>
    <row r="653" spans="1:27" ht="16.5">
      <c r="A653" s="387">
        <f>'STAT 77 Table'!$I$652</f>
        <v>0</v>
      </c>
      <c r="B653"/>
      <c r="C653"/>
      <c r="D653" s="387" t="str">
        <f>IF($B653&lt;&gt;"",IFERROR(IF(LEFT($B653,3)=$Z$2,VLOOKUP($C653,Outbound!$B:$Z,4,FALSE),VLOOKUP($B653,Outbound!$B:$Z,4,FALSE)),"ON ROCS/NOT ON FILE"),"")</f>
        <v/>
      </c>
      <c r="E653" s="387" t="str">
        <f>IF($B653&lt;&gt;"",IFERROR(IF(LEFT($B653,4)=$Z$2,VLOOKUP($C653,Outbound!$B:$Z,5,FALSE),VLOOKUP($B653,Outbound!$B:$Z,5,FALSE)),"ON ROCS/NOT ON FILE"),"")</f>
        <v/>
      </c>
      <c r="F653" s="387" t="str">
        <f>IF(B653&lt;&gt;"",IFERROR(IF(LEFT($B653,3)=$Z$2,VLOOKUP($C653,Outbound!$B:$Z,11,FALSE),VLOOKUP($B653,Outbound!$B:$Z,11,FALSE)),"NON TROVATO"),"")</f>
        <v/>
      </c>
      <c r="G653" s="394" t="str">
        <f>IF(B653&lt;&gt;"",IFERROR(IF(LEFT($B653,3)=$Z$2,VLOOKUP($C653,Outbound!$B:$AAZ,16,FALSE),VLOOKUP($B653,Outbound!$B:$AAZ,16,FALSE)),"NON TROVATO"),"")</f>
        <v/>
      </c>
      <c r="H653" s="394" t="str">
        <f>IF(B653&lt;&gt;"",IFERROR(IF(LEFT($B653,3)=$Z$2,VLOOKUP($C653,Outbound!$B:$AAZ,6,FALSE),VLOOKUP($B653,Outbound!$B:$AAZ,6,FALSE)),"NON TROVATO"),"")</f>
        <v/>
      </c>
      <c r="I653" s="394" t="str">
        <f>IF(B653&lt;&gt;"",IFERROR(IF(LEFT($B653,3)=$Z$2,VLOOKUP($C653,Outbound!$B:$AAZ,52,FALSE),VLOOKUP($B653,Outbound!$B:$AAZ,52,FALSE)),"NON TROVATO"),"")</f>
        <v/>
      </c>
      <c r="J653" s="396"/>
      <c r="K653" s="387" t="str">
        <f>IF(B653&lt;&gt;"",IF($D653&lt;&gt;"ON ROCS/NOT ON FILE",IFERROR(_xlfn.XLOOKUP(LEFT($D653,3),'STAT 77 Table'!$B:$B,'STAT 77 Table'!$A:$A),"ZZ"&amp;RIGHT($B653,4)),""),"")</f>
        <v/>
      </c>
      <c r="L653" s="396"/>
      <c r="O653" s="388"/>
      <c r="P653" s="388"/>
      <c r="AA653" s="421">
        <f t="shared" si="10"/>
        <v>0</v>
      </c>
    </row>
    <row r="654" spans="1:27" ht="16.5">
      <c r="A654" s="387">
        <f>'STAT 77 Table'!$I$653</f>
        <v>0</v>
      </c>
      <c r="B654"/>
      <c r="C654"/>
      <c r="D654" s="387" t="str">
        <f>IF($B654&lt;&gt;"",IFERROR(IF(LEFT($B654,3)=$Z$2,VLOOKUP($C654,Outbound!$B:$Z,4,FALSE),VLOOKUP($B654,Outbound!$B:$Z,4,FALSE)),"ON ROCS/NOT ON FILE"),"")</f>
        <v/>
      </c>
      <c r="E654" s="387" t="str">
        <f>IF($B654&lt;&gt;"",IFERROR(IF(LEFT($B654,4)=$Z$2,VLOOKUP($C654,Outbound!$B:$Z,5,FALSE),VLOOKUP($B654,Outbound!$B:$Z,5,FALSE)),"ON ROCS/NOT ON FILE"),"")</f>
        <v/>
      </c>
      <c r="F654" s="387" t="str">
        <f>IF(B654&lt;&gt;"",IFERROR(IF(LEFT($B654,3)=$Z$2,VLOOKUP($C654,Outbound!$B:$Z,11,FALSE),VLOOKUP($B654,Outbound!$B:$Z,11,FALSE)),"NON TROVATO"),"")</f>
        <v/>
      </c>
      <c r="G654" s="394" t="str">
        <f>IF(B654&lt;&gt;"",IFERROR(IF(LEFT($B654,3)=$Z$2,VLOOKUP($C654,Outbound!$B:$AAZ,16,FALSE),VLOOKUP($B654,Outbound!$B:$AAZ,16,FALSE)),"NON TROVATO"),"")</f>
        <v/>
      </c>
      <c r="H654" s="394" t="str">
        <f>IF(B654&lt;&gt;"",IFERROR(IF(LEFT($B654,3)=$Z$2,VLOOKUP($C654,Outbound!$B:$AAZ,6,FALSE),VLOOKUP($B654,Outbound!$B:$AAZ,6,FALSE)),"NON TROVATO"),"")</f>
        <v/>
      </c>
      <c r="I654" s="394" t="str">
        <f>IF(B654&lt;&gt;"",IFERROR(IF(LEFT($B654,3)=$Z$2,VLOOKUP($C654,Outbound!$B:$AAZ,52,FALSE),VLOOKUP($B654,Outbound!$B:$AAZ,52,FALSE)),"NON TROVATO"),"")</f>
        <v/>
      </c>
      <c r="J654" s="396"/>
      <c r="K654" s="387" t="str">
        <f>IF(B654&lt;&gt;"",IF($D654&lt;&gt;"ON ROCS/NOT ON FILE",IFERROR(_xlfn.XLOOKUP(LEFT($D654,3),'STAT 77 Table'!$B:$B,'STAT 77 Table'!$A:$A),"ZZ"&amp;RIGHT($B654,4)),""),"")</f>
        <v/>
      </c>
      <c r="L654" s="396"/>
      <c r="O654" s="388"/>
      <c r="P654" s="388"/>
      <c r="AA654" s="421">
        <f t="shared" si="10"/>
        <v>0</v>
      </c>
    </row>
    <row r="655" spans="1:27" ht="16.5">
      <c r="A655" s="387">
        <f>'STAT 77 Table'!$I$654</f>
        <v>0</v>
      </c>
      <c r="B655"/>
      <c r="C655"/>
      <c r="D655" s="387" t="str">
        <f>IF($B655&lt;&gt;"",IFERROR(IF(LEFT($B655,3)=$Z$2,VLOOKUP($C655,Outbound!$B:$Z,4,FALSE),VLOOKUP($B655,Outbound!$B:$Z,4,FALSE)),"ON ROCS/NOT ON FILE"),"")</f>
        <v/>
      </c>
      <c r="E655" s="387" t="str">
        <f>IF($B655&lt;&gt;"",IFERROR(IF(LEFT($B655,4)=$Z$2,VLOOKUP($C655,Outbound!$B:$Z,5,FALSE),VLOOKUP($B655,Outbound!$B:$Z,5,FALSE)),"ON ROCS/NOT ON FILE"),"")</f>
        <v/>
      </c>
      <c r="F655" s="387" t="str">
        <f>IF(B655&lt;&gt;"",IFERROR(IF(LEFT($B655,3)=$Z$2,VLOOKUP($C655,Outbound!$B:$Z,11,FALSE),VLOOKUP($B655,Outbound!$B:$Z,11,FALSE)),"NON TROVATO"),"")</f>
        <v/>
      </c>
      <c r="G655" s="394" t="str">
        <f>IF(B655&lt;&gt;"",IFERROR(IF(LEFT($B655,3)=$Z$2,VLOOKUP($C655,Outbound!$B:$AAZ,16,FALSE),VLOOKUP($B655,Outbound!$B:$AAZ,16,FALSE)),"NON TROVATO"),"")</f>
        <v/>
      </c>
      <c r="H655" s="394" t="str">
        <f>IF(B655&lt;&gt;"",IFERROR(IF(LEFT($B655,3)=$Z$2,VLOOKUP($C655,Outbound!$B:$AAZ,6,FALSE),VLOOKUP($B655,Outbound!$B:$AAZ,6,FALSE)),"NON TROVATO"),"")</f>
        <v/>
      </c>
      <c r="I655" s="394" t="str">
        <f>IF(B655&lt;&gt;"",IFERROR(IF(LEFT($B655,3)=$Z$2,VLOOKUP($C655,Outbound!$B:$AAZ,52,FALSE),VLOOKUP($B655,Outbound!$B:$AAZ,52,FALSE)),"NON TROVATO"),"")</f>
        <v/>
      </c>
      <c r="J655" s="396"/>
      <c r="K655" s="387" t="str">
        <f>IF(B655&lt;&gt;"",IF($D655&lt;&gt;"ON ROCS/NOT ON FILE",IFERROR(_xlfn.XLOOKUP(LEFT($D655,3),'STAT 77 Table'!$B:$B,'STAT 77 Table'!$A:$A),"ZZ"&amp;RIGHT($B655,4)),""),"")</f>
        <v/>
      </c>
      <c r="L655" s="396"/>
      <c r="O655" s="388"/>
      <c r="P655" s="388"/>
      <c r="AA655" s="421">
        <f t="shared" si="10"/>
        <v>0</v>
      </c>
    </row>
    <row r="656" spans="1:27" ht="16.5">
      <c r="A656" s="387">
        <f>'STAT 77 Table'!$I$655</f>
        <v>0</v>
      </c>
      <c r="B656"/>
      <c r="C656"/>
      <c r="D656" s="387" t="str">
        <f>IF($B656&lt;&gt;"",IFERROR(IF(LEFT($B656,3)=$Z$2,VLOOKUP($C656,Outbound!$B:$Z,4,FALSE),VLOOKUP($B656,Outbound!$B:$Z,4,FALSE)),"ON ROCS/NOT ON FILE"),"")</f>
        <v/>
      </c>
      <c r="E656" s="387" t="str">
        <f>IF($B656&lt;&gt;"",IFERROR(IF(LEFT($B656,4)=$Z$2,VLOOKUP($C656,Outbound!$B:$Z,5,FALSE),VLOOKUP($B656,Outbound!$B:$Z,5,FALSE)),"ON ROCS/NOT ON FILE"),"")</f>
        <v/>
      </c>
      <c r="F656" s="387" t="str">
        <f>IF(B656&lt;&gt;"",IFERROR(IF(LEFT($B656,3)=$Z$2,VLOOKUP($C656,Outbound!$B:$Z,11,FALSE),VLOOKUP($B656,Outbound!$B:$Z,11,FALSE)),"NON TROVATO"),"")</f>
        <v/>
      </c>
      <c r="G656" s="394" t="str">
        <f>IF(B656&lt;&gt;"",IFERROR(IF(LEFT($B656,3)=$Z$2,VLOOKUP($C656,Outbound!$B:$AAZ,16,FALSE),VLOOKUP($B656,Outbound!$B:$AAZ,16,FALSE)),"NON TROVATO"),"")</f>
        <v/>
      </c>
      <c r="H656" s="394" t="str">
        <f>IF(B656&lt;&gt;"",IFERROR(IF(LEFT($B656,3)=$Z$2,VLOOKUP($C656,Outbound!$B:$AAZ,6,FALSE),VLOOKUP($B656,Outbound!$B:$AAZ,6,FALSE)),"NON TROVATO"),"")</f>
        <v/>
      </c>
      <c r="I656" s="394" t="str">
        <f>IF(B656&lt;&gt;"",IFERROR(IF(LEFT($B656,3)=$Z$2,VLOOKUP($C656,Outbound!$B:$AAZ,52,FALSE),VLOOKUP($B656,Outbound!$B:$AAZ,52,FALSE)),"NON TROVATO"),"")</f>
        <v/>
      </c>
      <c r="J656" s="396"/>
      <c r="K656" s="387" t="str">
        <f>IF(B656&lt;&gt;"",IF($D656&lt;&gt;"ON ROCS/NOT ON FILE",IFERROR(_xlfn.XLOOKUP(LEFT($D656,3),'STAT 77 Table'!$B:$B,'STAT 77 Table'!$A:$A),"ZZ"&amp;RIGHT($B656,4)),""),"")</f>
        <v/>
      </c>
      <c r="L656" s="396"/>
      <c r="O656" s="388"/>
      <c r="P656" s="388"/>
      <c r="AA656" s="421">
        <f t="shared" si="10"/>
        <v>0</v>
      </c>
    </row>
    <row r="657" spans="1:27" ht="16.5">
      <c r="A657" s="387">
        <f>'STAT 77 Table'!$I$656</f>
        <v>0</v>
      </c>
      <c r="B657"/>
      <c r="C657"/>
      <c r="D657" s="387" t="str">
        <f>IF($B657&lt;&gt;"",IFERROR(IF(LEFT($B657,3)=$Z$2,VLOOKUP($C657,Outbound!$B:$Z,4,FALSE),VLOOKUP($B657,Outbound!$B:$Z,4,FALSE)),"ON ROCS/NOT ON FILE"),"")</f>
        <v/>
      </c>
      <c r="E657" s="387" t="str">
        <f>IF($B657&lt;&gt;"",IFERROR(IF(LEFT($B657,4)=$Z$2,VLOOKUP($C657,Outbound!$B:$Z,5,FALSE),VLOOKUP($B657,Outbound!$B:$Z,5,FALSE)),"ON ROCS/NOT ON FILE"),"")</f>
        <v/>
      </c>
      <c r="F657" s="387" t="str">
        <f>IF(B657&lt;&gt;"",IFERROR(IF(LEFT($B657,3)=$Z$2,VLOOKUP($C657,Outbound!$B:$Z,11,FALSE),VLOOKUP($B657,Outbound!$B:$Z,11,FALSE)),"NON TROVATO"),"")</f>
        <v/>
      </c>
      <c r="G657" s="394" t="str">
        <f>IF(B657&lt;&gt;"",IFERROR(IF(LEFT($B657,3)=$Z$2,VLOOKUP($C657,Outbound!$B:$AAZ,16,FALSE),VLOOKUP($B657,Outbound!$B:$AAZ,16,FALSE)),"NON TROVATO"),"")</f>
        <v/>
      </c>
      <c r="H657" s="394" t="str">
        <f>IF(B657&lt;&gt;"",IFERROR(IF(LEFT($B657,3)=$Z$2,VLOOKUP($C657,Outbound!$B:$AAZ,6,FALSE),VLOOKUP($B657,Outbound!$B:$AAZ,6,FALSE)),"NON TROVATO"),"")</f>
        <v/>
      </c>
      <c r="I657" s="394" t="str">
        <f>IF(B657&lt;&gt;"",IFERROR(IF(LEFT($B657,3)=$Z$2,VLOOKUP($C657,Outbound!$B:$AAZ,52,FALSE),VLOOKUP($B657,Outbound!$B:$AAZ,52,FALSE)),"NON TROVATO"),"")</f>
        <v/>
      </c>
      <c r="J657" s="396"/>
      <c r="K657" s="387" t="str">
        <f>IF(B657&lt;&gt;"",IF($D657&lt;&gt;"ON ROCS/NOT ON FILE",IFERROR(_xlfn.XLOOKUP(LEFT($D657,3),'STAT 77 Table'!$B:$B,'STAT 77 Table'!$A:$A),"ZZ"&amp;RIGHT($B657,4)),""),"")</f>
        <v/>
      </c>
      <c r="L657" s="396"/>
      <c r="O657" s="388"/>
      <c r="P657" s="388"/>
      <c r="AA657" s="421">
        <f t="shared" si="10"/>
        <v>0</v>
      </c>
    </row>
    <row r="658" spans="1:27" ht="16.5">
      <c r="A658" s="387">
        <f>'STAT 77 Table'!$I$657</f>
        <v>0</v>
      </c>
      <c r="B658"/>
      <c r="C658"/>
      <c r="D658" s="387" t="str">
        <f>IF($B658&lt;&gt;"",IFERROR(IF(LEFT($B658,3)=$Z$2,VLOOKUP($C658,Outbound!$B:$Z,4,FALSE),VLOOKUP($B658,Outbound!$B:$Z,4,FALSE)),"ON ROCS/NOT ON FILE"),"")</f>
        <v/>
      </c>
      <c r="E658" s="387" t="str">
        <f>IF($B658&lt;&gt;"",IFERROR(IF(LEFT($B658,4)=$Z$2,VLOOKUP($C658,Outbound!$B:$Z,5,FALSE),VLOOKUP($B658,Outbound!$B:$Z,5,FALSE)),"ON ROCS/NOT ON FILE"),"")</f>
        <v/>
      </c>
      <c r="F658" s="387" t="str">
        <f>IF(B658&lt;&gt;"",IFERROR(IF(LEFT($B658,3)=$Z$2,VLOOKUP($C658,Outbound!$B:$Z,11,FALSE),VLOOKUP($B658,Outbound!$B:$Z,11,FALSE)),"NON TROVATO"),"")</f>
        <v/>
      </c>
      <c r="G658" s="394" t="str">
        <f>IF(B658&lt;&gt;"",IFERROR(IF(LEFT($B658,3)=$Z$2,VLOOKUP($C658,Outbound!$B:$AAZ,16,FALSE),VLOOKUP($B658,Outbound!$B:$AAZ,16,FALSE)),"NON TROVATO"),"")</f>
        <v/>
      </c>
      <c r="H658" s="394" t="str">
        <f>IF(B658&lt;&gt;"",IFERROR(IF(LEFT($B658,3)=$Z$2,VLOOKUP($C658,Outbound!$B:$AAZ,6,FALSE),VLOOKUP($B658,Outbound!$B:$AAZ,6,FALSE)),"NON TROVATO"),"")</f>
        <v/>
      </c>
      <c r="I658" s="394" t="str">
        <f>IF(B658&lt;&gt;"",IFERROR(IF(LEFT($B658,3)=$Z$2,VLOOKUP($C658,Outbound!$B:$AAZ,52,FALSE),VLOOKUP($B658,Outbound!$B:$AAZ,52,FALSE)),"NON TROVATO"),"")</f>
        <v/>
      </c>
      <c r="J658" s="396"/>
      <c r="K658" s="387" t="str">
        <f>IF(B658&lt;&gt;"",IF($D658&lt;&gt;"ON ROCS/NOT ON FILE",IFERROR(_xlfn.XLOOKUP(LEFT($D658,3),'STAT 77 Table'!$B:$B,'STAT 77 Table'!$A:$A),"ZZ"&amp;RIGHT($B658,4)),""),"")</f>
        <v/>
      </c>
      <c r="L658" s="396"/>
      <c r="O658" s="388"/>
      <c r="P658" s="388"/>
      <c r="AA658" s="421">
        <f t="shared" si="10"/>
        <v>0</v>
      </c>
    </row>
    <row r="659" spans="1:27" ht="16.5">
      <c r="A659" s="387">
        <f>'STAT 77 Table'!$I$658</f>
        <v>0</v>
      </c>
      <c r="B659"/>
      <c r="C659"/>
      <c r="D659" s="387" t="str">
        <f>IF($B659&lt;&gt;"",IFERROR(IF(LEFT($B659,3)=$Z$2,VLOOKUP($C659,Outbound!$B:$Z,4,FALSE),VLOOKUP($B659,Outbound!$B:$Z,4,FALSE)),"ON ROCS/NOT ON FILE"),"")</f>
        <v/>
      </c>
      <c r="E659" s="387" t="str">
        <f>IF($B659&lt;&gt;"",IFERROR(IF(LEFT($B659,4)=$Z$2,VLOOKUP($C659,Outbound!$B:$Z,5,FALSE),VLOOKUP($B659,Outbound!$B:$Z,5,FALSE)),"ON ROCS/NOT ON FILE"),"")</f>
        <v/>
      </c>
      <c r="F659" s="387" t="str">
        <f>IF(B659&lt;&gt;"",IFERROR(IF(LEFT($B659,3)=$Z$2,VLOOKUP($C659,Outbound!$B:$Z,11,FALSE),VLOOKUP($B659,Outbound!$B:$Z,11,FALSE)),"NON TROVATO"),"")</f>
        <v/>
      </c>
      <c r="G659" s="394" t="str">
        <f>IF(B659&lt;&gt;"",IFERROR(IF(LEFT($B659,3)=$Z$2,VLOOKUP($C659,Outbound!$B:$AAZ,16,FALSE),VLOOKUP($B659,Outbound!$B:$AAZ,16,FALSE)),"NON TROVATO"),"")</f>
        <v/>
      </c>
      <c r="H659" s="394" t="str">
        <f>IF(B659&lt;&gt;"",IFERROR(IF(LEFT($B659,3)=$Z$2,VLOOKUP($C659,Outbound!$B:$AAZ,6,FALSE),VLOOKUP($B659,Outbound!$B:$AAZ,6,FALSE)),"NON TROVATO"),"")</f>
        <v/>
      </c>
      <c r="I659" s="394" t="str">
        <f>IF(B659&lt;&gt;"",IFERROR(IF(LEFT($B659,3)=$Z$2,VLOOKUP($C659,Outbound!$B:$AAZ,52,FALSE),VLOOKUP($B659,Outbound!$B:$AAZ,52,FALSE)),"NON TROVATO"),"")</f>
        <v/>
      </c>
      <c r="J659" s="396"/>
      <c r="K659" s="387" t="str">
        <f>IF(B659&lt;&gt;"",IF($D659&lt;&gt;"ON ROCS/NOT ON FILE",IFERROR(_xlfn.XLOOKUP(LEFT($D659,3),'STAT 77 Table'!$B:$B,'STAT 77 Table'!$A:$A),"ZZ"&amp;RIGHT($B659,4)),""),"")</f>
        <v/>
      </c>
      <c r="L659" s="396"/>
      <c r="O659" s="388"/>
      <c r="P659" s="388"/>
      <c r="AA659" s="421">
        <f t="shared" si="10"/>
        <v>0</v>
      </c>
    </row>
    <row r="660" spans="1:27" ht="16.5">
      <c r="A660" s="387">
        <f>'STAT 77 Table'!$I$659</f>
        <v>0</v>
      </c>
      <c r="B660"/>
      <c r="C660"/>
      <c r="D660" s="387" t="str">
        <f>IF($B660&lt;&gt;"",IFERROR(IF(LEFT($B660,3)=$Z$2,VLOOKUP($C660,Outbound!$B:$Z,4,FALSE),VLOOKUP($B660,Outbound!$B:$Z,4,FALSE)),"ON ROCS/NOT ON FILE"),"")</f>
        <v/>
      </c>
      <c r="E660" s="387" t="str">
        <f>IF($B660&lt;&gt;"",IFERROR(IF(LEFT($B660,4)=$Z$2,VLOOKUP($C660,Outbound!$B:$Z,5,FALSE),VLOOKUP($B660,Outbound!$B:$Z,5,FALSE)),"ON ROCS/NOT ON FILE"),"")</f>
        <v/>
      </c>
      <c r="F660" s="387" t="str">
        <f>IF(B660&lt;&gt;"",IFERROR(IF(LEFT($B660,3)=$Z$2,VLOOKUP($C660,Outbound!$B:$Z,11,FALSE),VLOOKUP($B660,Outbound!$B:$Z,11,FALSE)),"NON TROVATO"),"")</f>
        <v/>
      </c>
      <c r="G660" s="394" t="str">
        <f>IF(B660&lt;&gt;"",IFERROR(IF(LEFT($B660,3)=$Z$2,VLOOKUP($C660,Outbound!$B:$AAZ,16,FALSE),VLOOKUP($B660,Outbound!$B:$AAZ,16,FALSE)),"NON TROVATO"),"")</f>
        <v/>
      </c>
      <c r="H660" s="394" t="str">
        <f>IF(B660&lt;&gt;"",IFERROR(IF(LEFT($B660,3)=$Z$2,VLOOKUP($C660,Outbound!$B:$AAZ,6,FALSE),VLOOKUP($B660,Outbound!$B:$AAZ,6,FALSE)),"NON TROVATO"),"")</f>
        <v/>
      </c>
      <c r="I660" s="394" t="str">
        <f>IF(B660&lt;&gt;"",IFERROR(IF(LEFT($B660,3)=$Z$2,VLOOKUP($C660,Outbound!$B:$AAZ,52,FALSE),VLOOKUP($B660,Outbound!$B:$AAZ,52,FALSE)),"NON TROVATO"),"")</f>
        <v/>
      </c>
      <c r="J660" s="396"/>
      <c r="K660" s="387" t="str">
        <f>IF(B660&lt;&gt;"",IF($D660&lt;&gt;"ON ROCS/NOT ON FILE",IFERROR(_xlfn.XLOOKUP(LEFT($D660,3),'STAT 77 Table'!$B:$B,'STAT 77 Table'!$A:$A),"ZZ"&amp;RIGHT($B660,4)),""),"")</f>
        <v/>
      </c>
      <c r="L660" s="396"/>
      <c r="O660" s="388"/>
      <c r="P660" s="388"/>
      <c r="AA660" s="421">
        <f t="shared" si="10"/>
        <v>0</v>
      </c>
    </row>
    <row r="661" spans="1:27" ht="16.5">
      <c r="A661" s="387">
        <f>'STAT 77 Table'!$I$660</f>
        <v>0</v>
      </c>
      <c r="B661"/>
      <c r="C661"/>
      <c r="D661" s="387" t="str">
        <f>IF($B661&lt;&gt;"",IFERROR(IF(LEFT($B661,3)=$Z$2,VLOOKUP($C661,Outbound!$B:$Z,4,FALSE),VLOOKUP($B661,Outbound!$B:$Z,4,FALSE)),"ON ROCS/NOT ON FILE"),"")</f>
        <v/>
      </c>
      <c r="E661" s="387" t="str">
        <f>IF($B661&lt;&gt;"",IFERROR(IF(LEFT($B661,4)=$Z$2,VLOOKUP($C661,Outbound!$B:$Z,5,FALSE),VLOOKUP($B661,Outbound!$B:$Z,5,FALSE)),"ON ROCS/NOT ON FILE"),"")</f>
        <v/>
      </c>
      <c r="F661" s="387" t="str">
        <f>IF(B661&lt;&gt;"",IFERROR(IF(LEFT($B661,3)=$Z$2,VLOOKUP($C661,Outbound!$B:$Z,11,FALSE),VLOOKUP($B661,Outbound!$B:$Z,11,FALSE)),"NON TROVATO"),"")</f>
        <v/>
      </c>
      <c r="G661" s="394" t="str">
        <f>IF(B661&lt;&gt;"",IFERROR(IF(LEFT($B661,3)=$Z$2,VLOOKUP($C661,Outbound!$B:$AAZ,16,FALSE),VLOOKUP($B661,Outbound!$B:$AAZ,16,FALSE)),"NON TROVATO"),"")</f>
        <v/>
      </c>
      <c r="H661" s="394" t="str">
        <f>IF(B661&lt;&gt;"",IFERROR(IF(LEFT($B661,3)=$Z$2,VLOOKUP($C661,Outbound!$B:$AAZ,6,FALSE),VLOOKUP($B661,Outbound!$B:$AAZ,6,FALSE)),"NON TROVATO"),"")</f>
        <v/>
      </c>
      <c r="I661" s="394" t="str">
        <f>IF(B661&lt;&gt;"",IFERROR(IF(LEFT($B661,3)=$Z$2,VLOOKUP($C661,Outbound!$B:$AAZ,52,FALSE),VLOOKUP($B661,Outbound!$B:$AAZ,52,FALSE)),"NON TROVATO"),"")</f>
        <v/>
      </c>
      <c r="J661" s="396"/>
      <c r="K661" s="387" t="str">
        <f>IF(B661&lt;&gt;"",IF($D661&lt;&gt;"ON ROCS/NOT ON FILE",IFERROR(_xlfn.XLOOKUP(LEFT($D661,3),'STAT 77 Table'!$B:$B,'STAT 77 Table'!$A:$A),"ZZ"&amp;RIGHT($B661,4)),""),"")</f>
        <v/>
      </c>
      <c r="L661" s="396"/>
      <c r="O661" s="388"/>
      <c r="P661" s="388"/>
      <c r="AA661" s="421">
        <f t="shared" si="10"/>
        <v>0</v>
      </c>
    </row>
    <row r="662" spans="1:27" ht="16.5">
      <c r="A662" s="387">
        <f>'STAT 77 Table'!$I$661</f>
        <v>0</v>
      </c>
      <c r="B662"/>
      <c r="C662"/>
      <c r="D662" s="387" t="str">
        <f>IF($B662&lt;&gt;"",IFERROR(IF(LEFT($B662,3)=$Z$2,VLOOKUP($C662,Outbound!$B:$Z,4,FALSE),VLOOKUP($B662,Outbound!$B:$Z,4,FALSE)),"ON ROCS/NOT ON FILE"),"")</f>
        <v/>
      </c>
      <c r="E662" s="387" t="str">
        <f>IF($B662&lt;&gt;"",IFERROR(IF(LEFT($B662,4)=$Z$2,VLOOKUP($C662,Outbound!$B:$Z,5,FALSE),VLOOKUP($B662,Outbound!$B:$Z,5,FALSE)),"ON ROCS/NOT ON FILE"),"")</f>
        <v/>
      </c>
      <c r="F662" s="387" t="str">
        <f>IF(B662&lt;&gt;"",IFERROR(IF(LEFT($B662,3)=$Z$2,VLOOKUP($C662,Outbound!$B:$Z,11,FALSE),VLOOKUP($B662,Outbound!$B:$Z,11,FALSE)),"NON TROVATO"),"")</f>
        <v/>
      </c>
      <c r="G662" s="394" t="str">
        <f>IF(B662&lt;&gt;"",IFERROR(IF(LEFT($B662,3)=$Z$2,VLOOKUP($C662,Outbound!$B:$AAZ,16,FALSE),VLOOKUP($B662,Outbound!$B:$AAZ,16,FALSE)),"NON TROVATO"),"")</f>
        <v/>
      </c>
      <c r="H662" s="394" t="str">
        <f>IF(B662&lt;&gt;"",IFERROR(IF(LEFT($B662,3)=$Z$2,VLOOKUP($C662,Outbound!$B:$AAZ,6,FALSE),VLOOKUP($B662,Outbound!$B:$AAZ,6,FALSE)),"NON TROVATO"),"")</f>
        <v/>
      </c>
      <c r="I662" s="394" t="str">
        <f>IF(B662&lt;&gt;"",IFERROR(IF(LEFT($B662,3)=$Z$2,VLOOKUP($C662,Outbound!$B:$AAZ,52,FALSE),VLOOKUP($B662,Outbound!$B:$AAZ,52,FALSE)),"NON TROVATO"),"")</f>
        <v/>
      </c>
      <c r="J662" s="396"/>
      <c r="K662" s="387" t="str">
        <f>IF(B662&lt;&gt;"",IF($D662&lt;&gt;"ON ROCS/NOT ON FILE",IFERROR(_xlfn.XLOOKUP(LEFT($D662,3),'STAT 77 Table'!$B:$B,'STAT 77 Table'!$A:$A),"ZZ"&amp;RIGHT($B662,4)),""),"")</f>
        <v/>
      </c>
      <c r="L662" s="396"/>
      <c r="O662" s="388"/>
      <c r="P662" s="388"/>
      <c r="AA662" s="421">
        <f t="shared" si="10"/>
        <v>0</v>
      </c>
    </row>
    <row r="663" spans="1:27" ht="16.5">
      <c r="A663" s="387">
        <f>'STAT 77 Table'!$I$662</f>
        <v>0</v>
      </c>
      <c r="B663"/>
      <c r="C663"/>
      <c r="D663" s="387" t="str">
        <f>IF($B663&lt;&gt;"",IFERROR(IF(LEFT($B663,3)=$Z$2,VLOOKUP($C663,Outbound!$B:$Z,4,FALSE),VLOOKUP($B663,Outbound!$B:$Z,4,FALSE)),"ON ROCS/NOT ON FILE"),"")</f>
        <v/>
      </c>
      <c r="E663" s="387" t="str">
        <f>IF($B663&lt;&gt;"",IFERROR(IF(LEFT($B663,4)=$Z$2,VLOOKUP($C663,Outbound!$B:$Z,5,FALSE),VLOOKUP($B663,Outbound!$B:$Z,5,FALSE)),"ON ROCS/NOT ON FILE"),"")</f>
        <v/>
      </c>
      <c r="F663" s="387" t="str">
        <f>IF(B663&lt;&gt;"",IFERROR(IF(LEFT($B663,3)=$Z$2,VLOOKUP($C663,Outbound!$B:$Z,11,FALSE),VLOOKUP($B663,Outbound!$B:$Z,11,FALSE)),"NON TROVATO"),"")</f>
        <v/>
      </c>
      <c r="G663" s="394" t="str">
        <f>IF(B663&lt;&gt;"",IFERROR(IF(LEFT($B663,3)=$Z$2,VLOOKUP($C663,Outbound!$B:$AAZ,16,FALSE),VLOOKUP($B663,Outbound!$B:$AAZ,16,FALSE)),"NON TROVATO"),"")</f>
        <v/>
      </c>
      <c r="H663" s="394" t="str">
        <f>IF(B663&lt;&gt;"",IFERROR(IF(LEFT($B663,3)=$Z$2,VLOOKUP($C663,Outbound!$B:$AAZ,6,FALSE),VLOOKUP($B663,Outbound!$B:$AAZ,6,FALSE)),"NON TROVATO"),"")</f>
        <v/>
      </c>
      <c r="I663" s="394" t="str">
        <f>IF(B663&lt;&gt;"",IFERROR(IF(LEFT($B663,3)=$Z$2,VLOOKUP($C663,Outbound!$B:$AAZ,52,FALSE),VLOOKUP($B663,Outbound!$B:$AAZ,52,FALSE)),"NON TROVATO"),"")</f>
        <v/>
      </c>
      <c r="J663" s="396"/>
      <c r="K663" s="387" t="str">
        <f>IF(B663&lt;&gt;"",IF($D663&lt;&gt;"ON ROCS/NOT ON FILE",IFERROR(_xlfn.XLOOKUP(LEFT($D663,3),'STAT 77 Table'!$B:$B,'STAT 77 Table'!$A:$A),"ZZ"&amp;RIGHT($B663,4)),""),"")</f>
        <v/>
      </c>
      <c r="L663" s="396"/>
      <c r="O663" s="388"/>
      <c r="P663" s="388"/>
      <c r="AA663" s="421">
        <f t="shared" si="10"/>
        <v>0</v>
      </c>
    </row>
    <row r="664" spans="1:27" ht="16.5">
      <c r="A664" s="387">
        <f>'STAT 77 Table'!$I$663</f>
        <v>0</v>
      </c>
      <c r="B664"/>
      <c r="C664"/>
      <c r="D664" s="387" t="str">
        <f>IF($B664&lt;&gt;"",IFERROR(IF(LEFT($B664,3)=$Z$2,VLOOKUP($C664,Outbound!$B:$Z,4,FALSE),VLOOKUP($B664,Outbound!$B:$Z,4,FALSE)),"ON ROCS/NOT ON FILE"),"")</f>
        <v/>
      </c>
      <c r="E664" s="387" t="str">
        <f>IF($B664&lt;&gt;"",IFERROR(IF(LEFT($B664,4)=$Z$2,VLOOKUP($C664,Outbound!$B:$Z,5,FALSE),VLOOKUP($B664,Outbound!$B:$Z,5,FALSE)),"ON ROCS/NOT ON FILE"),"")</f>
        <v/>
      </c>
      <c r="F664" s="387" t="str">
        <f>IF(B664&lt;&gt;"",IFERROR(IF(LEFT($B664,3)=$Z$2,VLOOKUP($C664,Outbound!$B:$Z,11,FALSE),VLOOKUP($B664,Outbound!$B:$Z,11,FALSE)),"NON TROVATO"),"")</f>
        <v/>
      </c>
      <c r="G664" s="394" t="str">
        <f>IF(B664&lt;&gt;"",IFERROR(IF(LEFT($B664,3)=$Z$2,VLOOKUP($C664,Outbound!$B:$AAZ,16,FALSE),VLOOKUP($B664,Outbound!$B:$AAZ,16,FALSE)),"NON TROVATO"),"")</f>
        <v/>
      </c>
      <c r="H664" s="394" t="str">
        <f>IF(B664&lt;&gt;"",IFERROR(IF(LEFT($B664,3)=$Z$2,VLOOKUP($C664,Outbound!$B:$AAZ,6,FALSE),VLOOKUP($B664,Outbound!$B:$AAZ,6,FALSE)),"NON TROVATO"),"")</f>
        <v/>
      </c>
      <c r="I664" s="394" t="str">
        <f>IF(B664&lt;&gt;"",IFERROR(IF(LEFT($B664,3)=$Z$2,VLOOKUP($C664,Outbound!$B:$AAZ,52,FALSE),VLOOKUP($B664,Outbound!$B:$AAZ,52,FALSE)),"NON TROVATO"),"")</f>
        <v/>
      </c>
      <c r="J664" s="396"/>
      <c r="K664" s="387" t="str">
        <f>IF(B664&lt;&gt;"",IF($D664&lt;&gt;"ON ROCS/NOT ON FILE",IFERROR(_xlfn.XLOOKUP(LEFT($D664,3),'STAT 77 Table'!$B:$B,'STAT 77 Table'!$A:$A),"ZZ"&amp;RIGHT($B664,4)),""),"")</f>
        <v/>
      </c>
      <c r="L664" s="396"/>
      <c r="O664" s="388"/>
      <c r="P664" s="388"/>
      <c r="AA664" s="421">
        <f t="shared" si="10"/>
        <v>0</v>
      </c>
    </row>
    <row r="665" spans="1:27" ht="16.5">
      <c r="A665" s="387">
        <f>'STAT 77 Table'!$I$664</f>
        <v>0</v>
      </c>
      <c r="B665"/>
      <c r="C665"/>
      <c r="D665" s="387" t="str">
        <f>IF($B665&lt;&gt;"",IFERROR(IF(LEFT($B665,3)=$Z$2,VLOOKUP($C665,Outbound!$B:$Z,4,FALSE),VLOOKUP($B665,Outbound!$B:$Z,4,FALSE)),"ON ROCS/NOT ON FILE"),"")</f>
        <v/>
      </c>
      <c r="E665" s="387" t="str">
        <f>IF($B665&lt;&gt;"",IFERROR(IF(LEFT($B665,4)=$Z$2,VLOOKUP($C665,Outbound!$B:$Z,5,FALSE),VLOOKUP($B665,Outbound!$B:$Z,5,FALSE)),"ON ROCS/NOT ON FILE"),"")</f>
        <v/>
      </c>
      <c r="F665" s="387" t="str">
        <f>IF(B665&lt;&gt;"",IFERROR(IF(LEFT($B665,3)=$Z$2,VLOOKUP($C665,Outbound!$B:$Z,11,FALSE),VLOOKUP($B665,Outbound!$B:$Z,11,FALSE)),"NON TROVATO"),"")</f>
        <v/>
      </c>
      <c r="G665" s="394" t="str">
        <f>IF(B665&lt;&gt;"",IFERROR(IF(LEFT($B665,3)=$Z$2,VLOOKUP($C665,Outbound!$B:$AAZ,16,FALSE),VLOOKUP($B665,Outbound!$B:$AAZ,16,FALSE)),"NON TROVATO"),"")</f>
        <v/>
      </c>
      <c r="H665" s="394" t="str">
        <f>IF(B665&lt;&gt;"",IFERROR(IF(LEFT($B665,3)=$Z$2,VLOOKUP($C665,Outbound!$B:$AAZ,6,FALSE),VLOOKUP($B665,Outbound!$B:$AAZ,6,FALSE)),"NON TROVATO"),"")</f>
        <v/>
      </c>
      <c r="I665" s="394" t="str">
        <f>IF(B665&lt;&gt;"",IFERROR(IF(LEFT($B665,3)=$Z$2,VLOOKUP($C665,Outbound!$B:$AAZ,52,FALSE),VLOOKUP($B665,Outbound!$B:$AAZ,52,FALSE)),"NON TROVATO"),"")</f>
        <v/>
      </c>
      <c r="J665" s="396"/>
      <c r="K665" s="387" t="str">
        <f>IF(B665&lt;&gt;"",IF($D665&lt;&gt;"ON ROCS/NOT ON FILE",IFERROR(_xlfn.XLOOKUP(LEFT($D665,3),'STAT 77 Table'!$B:$B,'STAT 77 Table'!$A:$A),"ZZ"&amp;RIGHT($B665,4)),""),"")</f>
        <v/>
      </c>
      <c r="L665" s="396"/>
      <c r="O665" s="388"/>
      <c r="P665" s="388"/>
      <c r="AA665" s="421">
        <f t="shared" si="10"/>
        <v>0</v>
      </c>
    </row>
    <row r="666" spans="1:27" ht="16.5">
      <c r="A666" s="387">
        <f>'STAT 77 Table'!$I$665</f>
        <v>0</v>
      </c>
      <c r="B666"/>
      <c r="C666"/>
      <c r="D666" s="387" t="str">
        <f>IF($B666&lt;&gt;"",IFERROR(IF(LEFT($B666,3)=$Z$2,VLOOKUP($C666,Outbound!$B:$Z,4,FALSE),VLOOKUP($B666,Outbound!$B:$Z,4,FALSE)),"ON ROCS/NOT ON FILE"),"")</f>
        <v/>
      </c>
      <c r="E666" s="387" t="str">
        <f>IF($B666&lt;&gt;"",IFERROR(IF(LEFT($B666,4)=$Z$2,VLOOKUP($C666,Outbound!$B:$Z,5,FALSE),VLOOKUP($B666,Outbound!$B:$Z,5,FALSE)),"ON ROCS/NOT ON FILE"),"")</f>
        <v/>
      </c>
      <c r="F666" s="387" t="str">
        <f>IF(B666&lt;&gt;"",IFERROR(IF(LEFT($B666,3)=$Z$2,VLOOKUP($C666,Outbound!$B:$Z,11,FALSE),VLOOKUP($B666,Outbound!$B:$Z,11,FALSE)),"NON TROVATO"),"")</f>
        <v/>
      </c>
      <c r="G666" s="394" t="str">
        <f>IF(B666&lt;&gt;"",IFERROR(IF(LEFT($B666,3)=$Z$2,VLOOKUP($C666,Outbound!$B:$AAZ,16,FALSE),VLOOKUP($B666,Outbound!$B:$AAZ,16,FALSE)),"NON TROVATO"),"")</f>
        <v/>
      </c>
      <c r="H666" s="394" t="str">
        <f>IF(B666&lt;&gt;"",IFERROR(IF(LEFT($B666,3)=$Z$2,VLOOKUP($C666,Outbound!$B:$AAZ,6,FALSE),VLOOKUP($B666,Outbound!$B:$AAZ,6,FALSE)),"NON TROVATO"),"")</f>
        <v/>
      </c>
      <c r="I666" s="394" t="str">
        <f>IF(B666&lt;&gt;"",IFERROR(IF(LEFT($B666,3)=$Z$2,VLOOKUP($C666,Outbound!$B:$AAZ,52,FALSE),VLOOKUP($B666,Outbound!$B:$AAZ,52,FALSE)),"NON TROVATO"),"")</f>
        <v/>
      </c>
      <c r="J666" s="396"/>
      <c r="K666" s="387" t="str">
        <f>IF(B666&lt;&gt;"",IF($D666&lt;&gt;"ON ROCS/NOT ON FILE",IFERROR(_xlfn.XLOOKUP(LEFT($D666,3),'STAT 77 Table'!$B:$B,'STAT 77 Table'!$A:$A),"ZZ"&amp;RIGHT($B666,4)),""),"")</f>
        <v/>
      </c>
      <c r="L666" s="396"/>
      <c r="O666" s="388"/>
      <c r="P666" s="388"/>
      <c r="AA666" s="421">
        <f t="shared" si="10"/>
        <v>0</v>
      </c>
    </row>
    <row r="667" spans="1:27" ht="16.5">
      <c r="A667" s="387">
        <f>'STAT 77 Table'!$I$666</f>
        <v>0</v>
      </c>
      <c r="B667"/>
      <c r="C667"/>
      <c r="D667" s="387" t="str">
        <f>IF($B667&lt;&gt;"",IFERROR(IF(LEFT($B667,3)=$Z$2,VLOOKUP($C667,Outbound!$B:$Z,4,FALSE),VLOOKUP($B667,Outbound!$B:$Z,4,FALSE)),"ON ROCS/NOT ON FILE"),"")</f>
        <v/>
      </c>
      <c r="E667" s="387" t="str">
        <f>IF($B667&lt;&gt;"",IFERROR(IF(LEFT($B667,4)=$Z$2,VLOOKUP($C667,Outbound!$B:$Z,5,FALSE),VLOOKUP($B667,Outbound!$B:$Z,5,FALSE)),"ON ROCS/NOT ON FILE"),"")</f>
        <v/>
      </c>
      <c r="F667" s="387" t="str">
        <f>IF(B667&lt;&gt;"",IFERROR(IF(LEFT($B667,3)=$Z$2,VLOOKUP($C667,Outbound!$B:$Z,11,FALSE),VLOOKUP($B667,Outbound!$B:$Z,11,FALSE)),"NON TROVATO"),"")</f>
        <v/>
      </c>
      <c r="G667" s="394" t="str">
        <f>IF(B667&lt;&gt;"",IFERROR(IF(LEFT($B667,3)=$Z$2,VLOOKUP($C667,Outbound!$B:$AAZ,16,FALSE),VLOOKUP($B667,Outbound!$B:$AAZ,16,FALSE)),"NON TROVATO"),"")</f>
        <v/>
      </c>
      <c r="H667" s="394" t="str">
        <f>IF(B667&lt;&gt;"",IFERROR(IF(LEFT($B667,3)=$Z$2,VLOOKUP($C667,Outbound!$B:$AAZ,6,FALSE),VLOOKUP($B667,Outbound!$B:$AAZ,6,FALSE)),"NON TROVATO"),"")</f>
        <v/>
      </c>
      <c r="I667" s="394" t="str">
        <f>IF(B667&lt;&gt;"",IFERROR(IF(LEFT($B667,3)=$Z$2,VLOOKUP($C667,Outbound!$B:$AAZ,52,FALSE),VLOOKUP($B667,Outbound!$B:$AAZ,52,FALSE)),"NON TROVATO"),"")</f>
        <v/>
      </c>
      <c r="J667" s="396"/>
      <c r="K667" s="387" t="str">
        <f>IF(B667&lt;&gt;"",IF($D667&lt;&gt;"ON ROCS/NOT ON FILE",IFERROR(_xlfn.XLOOKUP(LEFT($D667,3),'STAT 77 Table'!$B:$B,'STAT 77 Table'!$A:$A),"ZZ"&amp;RIGHT($B667,4)),""),"")</f>
        <v/>
      </c>
      <c r="L667" s="396"/>
      <c r="O667" s="388"/>
      <c r="P667" s="388"/>
      <c r="AA667" s="421">
        <f t="shared" si="10"/>
        <v>0</v>
      </c>
    </row>
    <row r="668" spans="1:27" ht="16.5">
      <c r="A668" s="387">
        <f>'STAT 77 Table'!$I$667</f>
        <v>0</v>
      </c>
      <c r="B668"/>
      <c r="C668"/>
      <c r="D668" s="387" t="str">
        <f>IF($B668&lt;&gt;"",IFERROR(IF(LEFT($B668,3)=$Z$2,VLOOKUP($C668,Outbound!$B:$Z,4,FALSE),VLOOKUP($B668,Outbound!$B:$Z,4,FALSE)),"ON ROCS/NOT ON FILE"),"")</f>
        <v/>
      </c>
      <c r="E668" s="387" t="str">
        <f>IF($B668&lt;&gt;"",IFERROR(IF(LEFT($B668,4)=$Z$2,VLOOKUP($C668,Outbound!$B:$Z,5,FALSE),VLOOKUP($B668,Outbound!$B:$Z,5,FALSE)),"ON ROCS/NOT ON FILE"),"")</f>
        <v/>
      </c>
      <c r="F668" s="387" t="str">
        <f>IF(B668&lt;&gt;"",IFERROR(IF(LEFT($B668,3)=$Z$2,VLOOKUP($C668,Outbound!$B:$Z,11,FALSE),VLOOKUP($B668,Outbound!$B:$Z,11,FALSE)),"NON TROVATO"),"")</f>
        <v/>
      </c>
      <c r="G668" s="394" t="str">
        <f>IF(B668&lt;&gt;"",IFERROR(IF(LEFT($B668,3)=$Z$2,VLOOKUP($C668,Outbound!$B:$AAZ,16,FALSE),VLOOKUP($B668,Outbound!$B:$AAZ,16,FALSE)),"NON TROVATO"),"")</f>
        <v/>
      </c>
      <c r="H668" s="394" t="str">
        <f>IF(B668&lt;&gt;"",IFERROR(IF(LEFT($B668,3)=$Z$2,VLOOKUP($C668,Outbound!$B:$AAZ,6,FALSE),VLOOKUP($B668,Outbound!$B:$AAZ,6,FALSE)),"NON TROVATO"),"")</f>
        <v/>
      </c>
      <c r="I668" s="394" t="str">
        <f>IF(B668&lt;&gt;"",IFERROR(IF(LEFT($B668,3)=$Z$2,VLOOKUP($C668,Outbound!$B:$AAZ,52,FALSE),VLOOKUP($B668,Outbound!$B:$AAZ,52,FALSE)),"NON TROVATO"),"")</f>
        <v/>
      </c>
      <c r="J668" s="396"/>
      <c r="K668" s="387" t="str">
        <f>IF(B668&lt;&gt;"",IF($D668&lt;&gt;"ON ROCS/NOT ON FILE",IFERROR(_xlfn.XLOOKUP(LEFT($D668,3),'STAT 77 Table'!$B:$B,'STAT 77 Table'!$A:$A),"ZZ"&amp;RIGHT($B668,4)),""),"")</f>
        <v/>
      </c>
      <c r="L668" s="396"/>
      <c r="O668" s="388"/>
      <c r="P668" s="388"/>
      <c r="AA668" s="421">
        <f t="shared" si="10"/>
        <v>0</v>
      </c>
    </row>
    <row r="669" spans="1:27" ht="16.5">
      <c r="A669" s="387">
        <f>'STAT 77 Table'!$I$668</f>
        <v>0</v>
      </c>
      <c r="B669"/>
      <c r="C669"/>
      <c r="D669" s="387" t="str">
        <f>IF($B669&lt;&gt;"",IFERROR(IF(LEFT($B669,3)=$Z$2,VLOOKUP($C669,Outbound!$B:$Z,4,FALSE),VLOOKUP($B669,Outbound!$B:$Z,4,FALSE)),"ON ROCS/NOT ON FILE"),"")</f>
        <v/>
      </c>
      <c r="E669" s="387" t="str">
        <f>IF($B669&lt;&gt;"",IFERROR(IF(LEFT($B669,4)=$Z$2,VLOOKUP($C669,Outbound!$B:$Z,5,FALSE),VLOOKUP($B669,Outbound!$B:$Z,5,FALSE)),"ON ROCS/NOT ON FILE"),"")</f>
        <v/>
      </c>
      <c r="F669" s="387" t="str">
        <f>IF(B669&lt;&gt;"",IFERROR(IF(LEFT($B669,3)=$Z$2,VLOOKUP($C669,Outbound!$B:$Z,11,FALSE),VLOOKUP($B669,Outbound!$B:$Z,11,FALSE)),"NON TROVATO"),"")</f>
        <v/>
      </c>
      <c r="G669" s="394" t="str">
        <f>IF(B669&lt;&gt;"",IFERROR(IF(LEFT($B669,3)=$Z$2,VLOOKUP($C669,Outbound!$B:$AAZ,16,FALSE),VLOOKUP($B669,Outbound!$B:$AAZ,16,FALSE)),"NON TROVATO"),"")</f>
        <v/>
      </c>
      <c r="H669" s="394" t="str">
        <f>IF(B669&lt;&gt;"",IFERROR(IF(LEFT($B669,3)=$Z$2,VLOOKUP($C669,Outbound!$B:$AAZ,6,FALSE),VLOOKUP($B669,Outbound!$B:$AAZ,6,FALSE)),"NON TROVATO"),"")</f>
        <v/>
      </c>
      <c r="I669" s="394" t="str">
        <f>IF(B669&lt;&gt;"",IFERROR(IF(LEFT($B669,3)=$Z$2,VLOOKUP($C669,Outbound!$B:$AAZ,52,FALSE),VLOOKUP($B669,Outbound!$B:$AAZ,52,FALSE)),"NON TROVATO"),"")</f>
        <v/>
      </c>
      <c r="J669" s="396"/>
      <c r="K669" s="387" t="str">
        <f>IF(B669&lt;&gt;"",IF($D669&lt;&gt;"ON ROCS/NOT ON FILE",IFERROR(_xlfn.XLOOKUP(LEFT($D669,3),'STAT 77 Table'!$B:$B,'STAT 77 Table'!$A:$A),"ZZ"&amp;RIGHT($B669,4)),""),"")</f>
        <v/>
      </c>
      <c r="L669" s="396"/>
      <c r="O669" s="388"/>
      <c r="P669" s="388"/>
      <c r="AA669" s="421">
        <f t="shared" si="10"/>
        <v>0</v>
      </c>
    </row>
    <row r="670" spans="1:27" ht="16.5">
      <c r="A670" s="387">
        <f>'STAT 77 Table'!$I$669</f>
        <v>0</v>
      </c>
      <c r="B670"/>
      <c r="C670"/>
      <c r="D670" s="387" t="str">
        <f>IF($B670&lt;&gt;"",IFERROR(IF(LEFT($B670,3)=$Z$2,VLOOKUP($C670,Outbound!$B:$Z,4,FALSE),VLOOKUP($B670,Outbound!$B:$Z,4,FALSE)),"ON ROCS/NOT ON FILE"),"")</f>
        <v/>
      </c>
      <c r="E670" s="387" t="str">
        <f>IF($B670&lt;&gt;"",IFERROR(IF(LEFT($B670,4)=$Z$2,VLOOKUP($C670,Outbound!$B:$Z,5,FALSE),VLOOKUP($B670,Outbound!$B:$Z,5,FALSE)),"ON ROCS/NOT ON FILE"),"")</f>
        <v/>
      </c>
      <c r="F670" s="387" t="str">
        <f>IF(B670&lt;&gt;"",IFERROR(IF(LEFT($B670,3)=$Z$2,VLOOKUP($C670,Outbound!$B:$Z,11,FALSE),VLOOKUP($B670,Outbound!$B:$Z,11,FALSE)),"NON TROVATO"),"")</f>
        <v/>
      </c>
      <c r="G670" s="394" t="str">
        <f>IF(B670&lt;&gt;"",IFERROR(IF(LEFT($B670,3)=$Z$2,VLOOKUP($C670,Outbound!$B:$AAZ,16,FALSE),VLOOKUP($B670,Outbound!$B:$AAZ,16,FALSE)),"NON TROVATO"),"")</f>
        <v/>
      </c>
      <c r="H670" s="394" t="str">
        <f>IF(B670&lt;&gt;"",IFERROR(IF(LEFT($B670,3)=$Z$2,VLOOKUP($C670,Outbound!$B:$AAZ,6,FALSE),VLOOKUP($B670,Outbound!$B:$AAZ,6,FALSE)),"NON TROVATO"),"")</f>
        <v/>
      </c>
      <c r="I670" s="394" t="str">
        <f>IF(B670&lt;&gt;"",IFERROR(IF(LEFT($B670,3)=$Z$2,VLOOKUP($C670,Outbound!$B:$AAZ,52,FALSE),VLOOKUP($B670,Outbound!$B:$AAZ,52,FALSE)),"NON TROVATO"),"")</f>
        <v/>
      </c>
      <c r="J670" s="396"/>
      <c r="K670" s="387" t="str">
        <f>IF(B670&lt;&gt;"",IF($D670&lt;&gt;"ON ROCS/NOT ON FILE",IFERROR(_xlfn.XLOOKUP(LEFT($D670,3),'STAT 77 Table'!$B:$B,'STAT 77 Table'!$A:$A),"ZZ"&amp;RIGHT($B670,4)),""),"")</f>
        <v/>
      </c>
      <c r="L670" s="396"/>
      <c r="O670" s="388"/>
      <c r="P670" s="388"/>
      <c r="AA670" s="421">
        <f t="shared" si="10"/>
        <v>0</v>
      </c>
    </row>
    <row r="671" spans="1:27" ht="16.5">
      <c r="A671" s="387">
        <f>'STAT 77 Table'!$I$670</f>
        <v>0</v>
      </c>
      <c r="B671"/>
      <c r="C671"/>
      <c r="D671" s="387" t="str">
        <f>IF($B671&lt;&gt;"",IFERROR(IF(LEFT($B671,3)=$Z$2,VLOOKUP($C671,Outbound!$B:$Z,4,FALSE),VLOOKUP($B671,Outbound!$B:$Z,4,FALSE)),"ON ROCS/NOT ON FILE"),"")</f>
        <v/>
      </c>
      <c r="E671" s="387" t="str">
        <f>IF($B671&lt;&gt;"",IFERROR(IF(LEFT($B671,4)=$Z$2,VLOOKUP($C671,Outbound!$B:$Z,5,FALSE),VLOOKUP($B671,Outbound!$B:$Z,5,FALSE)),"ON ROCS/NOT ON FILE"),"")</f>
        <v/>
      </c>
      <c r="F671" s="387" t="str">
        <f>IF(B671&lt;&gt;"",IFERROR(IF(LEFT($B671,3)=$Z$2,VLOOKUP($C671,Outbound!$B:$Z,11,FALSE),VLOOKUP($B671,Outbound!$B:$Z,11,FALSE)),"NON TROVATO"),"")</f>
        <v/>
      </c>
      <c r="G671" s="394" t="str">
        <f>IF(B671&lt;&gt;"",IFERROR(IF(LEFT($B671,3)=$Z$2,VLOOKUP($C671,Outbound!$B:$AAZ,16,FALSE),VLOOKUP($B671,Outbound!$B:$AAZ,16,FALSE)),"NON TROVATO"),"")</f>
        <v/>
      </c>
      <c r="H671" s="394" t="str">
        <f>IF(B671&lt;&gt;"",IFERROR(IF(LEFT($B671,3)=$Z$2,VLOOKUP($C671,Outbound!$B:$AAZ,6,FALSE),VLOOKUP($B671,Outbound!$B:$AAZ,6,FALSE)),"NON TROVATO"),"")</f>
        <v/>
      </c>
      <c r="I671" s="394" t="str">
        <f>IF(B671&lt;&gt;"",IFERROR(IF(LEFT($B671,3)=$Z$2,VLOOKUP($C671,Outbound!$B:$AAZ,52,FALSE),VLOOKUP($B671,Outbound!$B:$AAZ,52,FALSE)),"NON TROVATO"),"")</f>
        <v/>
      </c>
      <c r="J671" s="396"/>
      <c r="K671" s="387" t="str">
        <f>IF(B671&lt;&gt;"",IF($D671&lt;&gt;"ON ROCS/NOT ON FILE",IFERROR(_xlfn.XLOOKUP(LEFT($D671,3),'STAT 77 Table'!$B:$B,'STAT 77 Table'!$A:$A),"ZZ"&amp;RIGHT($B671,4)),""),"")</f>
        <v/>
      </c>
      <c r="L671" s="396"/>
      <c r="O671" s="388"/>
      <c r="P671" s="388"/>
      <c r="AA671" s="421">
        <f t="shared" si="10"/>
        <v>0</v>
      </c>
    </row>
    <row r="672" spans="1:27" ht="16.5">
      <c r="A672" s="387">
        <f>'STAT 77 Table'!$I$671</f>
        <v>0</v>
      </c>
      <c r="B672"/>
      <c r="C672"/>
      <c r="D672" s="387" t="str">
        <f>IF($B672&lt;&gt;"",IFERROR(IF(LEFT($B672,3)=$Z$2,VLOOKUP($C672,Outbound!$B:$Z,4,FALSE),VLOOKUP($B672,Outbound!$B:$Z,4,FALSE)),"ON ROCS/NOT ON FILE"),"")</f>
        <v/>
      </c>
      <c r="E672" s="387" t="str">
        <f>IF($B672&lt;&gt;"",IFERROR(IF(LEFT($B672,4)=$Z$2,VLOOKUP($C672,Outbound!$B:$Z,5,FALSE),VLOOKUP($B672,Outbound!$B:$Z,5,FALSE)),"ON ROCS/NOT ON FILE"),"")</f>
        <v/>
      </c>
      <c r="F672" s="387" t="str">
        <f>IF(B672&lt;&gt;"",IFERROR(IF(LEFT($B672,3)=$Z$2,VLOOKUP($C672,Outbound!$B:$Z,11,FALSE),VLOOKUP($B672,Outbound!$B:$Z,11,FALSE)),"NON TROVATO"),"")</f>
        <v/>
      </c>
      <c r="G672" s="394" t="str">
        <f>IF(B672&lt;&gt;"",IFERROR(IF(LEFT($B672,3)=$Z$2,VLOOKUP($C672,Outbound!$B:$AAZ,16,FALSE),VLOOKUP($B672,Outbound!$B:$AAZ,16,FALSE)),"NON TROVATO"),"")</f>
        <v/>
      </c>
      <c r="H672" s="394" t="str">
        <f>IF(B672&lt;&gt;"",IFERROR(IF(LEFT($B672,3)=$Z$2,VLOOKUP($C672,Outbound!$B:$AAZ,6,FALSE),VLOOKUP($B672,Outbound!$B:$AAZ,6,FALSE)),"NON TROVATO"),"")</f>
        <v/>
      </c>
      <c r="I672" s="394" t="str">
        <f>IF(B672&lt;&gt;"",IFERROR(IF(LEFT($B672,3)=$Z$2,VLOOKUP($C672,Outbound!$B:$AAZ,52,FALSE),VLOOKUP($B672,Outbound!$B:$AAZ,52,FALSE)),"NON TROVATO"),"")</f>
        <v/>
      </c>
      <c r="J672" s="396"/>
      <c r="K672" s="387" t="str">
        <f>IF(B672&lt;&gt;"",IF($D672&lt;&gt;"ON ROCS/NOT ON FILE",IFERROR(_xlfn.XLOOKUP(LEFT($D672,3),'STAT 77 Table'!$B:$B,'STAT 77 Table'!$A:$A),"ZZ"&amp;RIGHT($B672,4)),""),"")</f>
        <v/>
      </c>
      <c r="L672" s="396"/>
      <c r="O672" s="388"/>
      <c r="P672" s="388"/>
      <c r="AA672" s="421">
        <f t="shared" si="10"/>
        <v>0</v>
      </c>
    </row>
    <row r="673" spans="1:27" ht="16.5">
      <c r="A673" s="387">
        <f>'STAT 77 Table'!$I$672</f>
        <v>0</v>
      </c>
      <c r="B673"/>
      <c r="C673"/>
      <c r="D673" s="387" t="str">
        <f>IF($B673&lt;&gt;"",IFERROR(IF(LEFT($B673,3)=$Z$2,VLOOKUP($C673,Outbound!$B:$Z,4,FALSE),VLOOKUP($B673,Outbound!$B:$Z,4,FALSE)),"ON ROCS/NOT ON FILE"),"")</f>
        <v/>
      </c>
      <c r="E673" s="387" t="str">
        <f>IF($B673&lt;&gt;"",IFERROR(IF(LEFT($B673,4)=$Z$2,VLOOKUP($C673,Outbound!$B:$Z,5,FALSE),VLOOKUP($B673,Outbound!$B:$Z,5,FALSE)),"ON ROCS/NOT ON FILE"),"")</f>
        <v/>
      </c>
      <c r="F673" s="387" t="str">
        <f>IF(B673&lt;&gt;"",IFERROR(IF(LEFT($B673,3)=$Z$2,VLOOKUP($C673,Outbound!$B:$Z,11,FALSE),VLOOKUP($B673,Outbound!$B:$Z,11,FALSE)),"NON TROVATO"),"")</f>
        <v/>
      </c>
      <c r="G673" s="394" t="str">
        <f>IF(B673&lt;&gt;"",IFERROR(IF(LEFT($B673,3)=$Z$2,VLOOKUP($C673,Outbound!$B:$AAZ,16,FALSE),VLOOKUP($B673,Outbound!$B:$AAZ,16,FALSE)),"NON TROVATO"),"")</f>
        <v/>
      </c>
      <c r="H673" s="394" t="str">
        <f>IF(B673&lt;&gt;"",IFERROR(IF(LEFT($B673,3)=$Z$2,VLOOKUP($C673,Outbound!$B:$AAZ,6,FALSE),VLOOKUP($B673,Outbound!$B:$AAZ,6,FALSE)),"NON TROVATO"),"")</f>
        <v/>
      </c>
      <c r="I673" s="394" t="str">
        <f>IF(B673&lt;&gt;"",IFERROR(IF(LEFT($B673,3)=$Z$2,VLOOKUP($C673,Outbound!$B:$AAZ,52,FALSE),VLOOKUP($B673,Outbound!$B:$AAZ,52,FALSE)),"NON TROVATO"),"")</f>
        <v/>
      </c>
      <c r="J673" s="396"/>
      <c r="K673" s="387" t="str">
        <f>IF(B673&lt;&gt;"",IF($D673&lt;&gt;"ON ROCS/NOT ON FILE",IFERROR(_xlfn.XLOOKUP(LEFT($D673,3),'STAT 77 Table'!$B:$B,'STAT 77 Table'!$A:$A),"ZZ"&amp;RIGHT($B673,4)),""),"")</f>
        <v/>
      </c>
      <c r="L673" s="396"/>
      <c r="O673" s="388"/>
      <c r="P673" s="388"/>
      <c r="AA673" s="421">
        <f t="shared" si="10"/>
        <v>0</v>
      </c>
    </row>
    <row r="674" spans="1:27" ht="16.5">
      <c r="A674" s="387">
        <f>'STAT 77 Table'!$I$673</f>
        <v>0</v>
      </c>
      <c r="B674"/>
      <c r="C674"/>
      <c r="D674" s="387" t="str">
        <f>IF($B674&lt;&gt;"",IFERROR(IF(LEFT($B674,3)=$Z$2,VLOOKUP($C674,Outbound!$B:$Z,4,FALSE),VLOOKUP($B674,Outbound!$B:$Z,4,FALSE)),"ON ROCS/NOT ON FILE"),"")</f>
        <v/>
      </c>
      <c r="E674" s="387" t="str">
        <f>IF($B674&lt;&gt;"",IFERROR(IF(LEFT($B674,4)=$Z$2,VLOOKUP($C674,Outbound!$B:$Z,5,FALSE),VLOOKUP($B674,Outbound!$B:$Z,5,FALSE)),"ON ROCS/NOT ON FILE"),"")</f>
        <v/>
      </c>
      <c r="F674" s="387" t="str">
        <f>IF(B674&lt;&gt;"",IFERROR(IF(LEFT($B674,3)=$Z$2,VLOOKUP($C674,Outbound!$B:$Z,11,FALSE),VLOOKUP($B674,Outbound!$B:$Z,11,FALSE)),"NON TROVATO"),"")</f>
        <v/>
      </c>
      <c r="G674" s="394" t="str">
        <f>IF(B674&lt;&gt;"",IFERROR(IF(LEFT($B674,3)=$Z$2,VLOOKUP($C674,Outbound!$B:$AAZ,16,FALSE),VLOOKUP($B674,Outbound!$B:$AAZ,16,FALSE)),"NON TROVATO"),"")</f>
        <v/>
      </c>
      <c r="H674" s="394" t="str">
        <f>IF(B674&lt;&gt;"",IFERROR(IF(LEFT($B674,3)=$Z$2,VLOOKUP($C674,Outbound!$B:$AAZ,6,FALSE),VLOOKUP($B674,Outbound!$B:$AAZ,6,FALSE)),"NON TROVATO"),"")</f>
        <v/>
      </c>
      <c r="I674" s="394" t="str">
        <f>IF(B674&lt;&gt;"",IFERROR(IF(LEFT($B674,3)=$Z$2,VLOOKUP($C674,Outbound!$B:$AAZ,52,FALSE),VLOOKUP($B674,Outbound!$B:$AAZ,52,FALSE)),"NON TROVATO"),"")</f>
        <v/>
      </c>
      <c r="J674" s="396"/>
      <c r="K674" s="387" t="str">
        <f>IF(B674&lt;&gt;"",IF($D674&lt;&gt;"ON ROCS/NOT ON FILE",IFERROR(_xlfn.XLOOKUP(LEFT($D674,3),'STAT 77 Table'!$B:$B,'STAT 77 Table'!$A:$A),"ZZ"&amp;RIGHT($B674,4)),""),"")</f>
        <v/>
      </c>
      <c r="L674" s="396"/>
      <c r="O674" s="388"/>
      <c r="P674" s="388"/>
      <c r="AA674" s="421">
        <f t="shared" si="10"/>
        <v>0</v>
      </c>
    </row>
    <row r="675" spans="1:27" ht="16.5">
      <c r="A675" s="387">
        <f>'STAT 77 Table'!$I$674</f>
        <v>0</v>
      </c>
      <c r="B675"/>
      <c r="C675"/>
      <c r="D675" s="387" t="str">
        <f>IF($B675&lt;&gt;"",IFERROR(IF(LEFT($B675,3)=$Z$2,VLOOKUP($C675,Outbound!$B:$Z,4,FALSE),VLOOKUP($B675,Outbound!$B:$Z,4,FALSE)),"ON ROCS/NOT ON FILE"),"")</f>
        <v/>
      </c>
      <c r="E675" s="387" t="str">
        <f>IF($B675&lt;&gt;"",IFERROR(IF(LEFT($B675,4)=$Z$2,VLOOKUP($C675,Outbound!$B:$Z,5,FALSE),VLOOKUP($B675,Outbound!$B:$Z,5,FALSE)),"ON ROCS/NOT ON FILE"),"")</f>
        <v/>
      </c>
      <c r="F675" s="387" t="str">
        <f>IF(B675&lt;&gt;"",IFERROR(IF(LEFT($B675,3)=$Z$2,VLOOKUP($C675,Outbound!$B:$Z,11,FALSE),VLOOKUP($B675,Outbound!$B:$Z,11,FALSE)),"NON TROVATO"),"")</f>
        <v/>
      </c>
      <c r="G675" s="394" t="str">
        <f>IF(B675&lt;&gt;"",IFERROR(IF(LEFT($B675,3)=$Z$2,VLOOKUP($C675,Outbound!$B:$AAZ,16,FALSE),VLOOKUP($B675,Outbound!$B:$AAZ,16,FALSE)),"NON TROVATO"),"")</f>
        <v/>
      </c>
      <c r="H675" s="394" t="str">
        <f>IF(B675&lt;&gt;"",IFERROR(IF(LEFT($B675,3)=$Z$2,VLOOKUP($C675,Outbound!$B:$AAZ,6,FALSE),VLOOKUP($B675,Outbound!$B:$AAZ,6,FALSE)),"NON TROVATO"),"")</f>
        <v/>
      </c>
      <c r="I675" s="394" t="str">
        <f>IF(B675&lt;&gt;"",IFERROR(IF(LEFT($B675,3)=$Z$2,VLOOKUP($C675,Outbound!$B:$AAZ,52,FALSE),VLOOKUP($B675,Outbound!$B:$AAZ,52,FALSE)),"NON TROVATO"),"")</f>
        <v/>
      </c>
      <c r="J675" s="396"/>
      <c r="K675" s="387" t="str">
        <f>IF(B675&lt;&gt;"",IF($D675&lt;&gt;"ON ROCS/NOT ON FILE",IFERROR(_xlfn.XLOOKUP(LEFT($D675,3),'STAT 77 Table'!$B:$B,'STAT 77 Table'!$A:$A),"ZZ"&amp;RIGHT($B675,4)),""),"")</f>
        <v/>
      </c>
      <c r="L675" s="396"/>
      <c r="O675" s="388"/>
      <c r="P675" s="388"/>
      <c r="AA675" s="421">
        <f t="shared" si="10"/>
        <v>0</v>
      </c>
    </row>
    <row r="676" spans="1:27" ht="16.5">
      <c r="A676" s="387">
        <f>'STAT 77 Table'!$I$675</f>
        <v>0</v>
      </c>
      <c r="B676"/>
      <c r="C676"/>
      <c r="D676" s="387" t="str">
        <f>IF($B676&lt;&gt;"",IFERROR(IF(LEFT($B676,3)=$Z$2,VLOOKUP($C676,Outbound!$B:$Z,4,FALSE),VLOOKUP($B676,Outbound!$B:$Z,4,FALSE)),"ON ROCS/NOT ON FILE"),"")</f>
        <v/>
      </c>
      <c r="E676" s="387" t="str">
        <f>IF($B676&lt;&gt;"",IFERROR(IF(LEFT($B676,4)=$Z$2,VLOOKUP($C676,Outbound!$B:$Z,5,FALSE),VLOOKUP($B676,Outbound!$B:$Z,5,FALSE)),"ON ROCS/NOT ON FILE"),"")</f>
        <v/>
      </c>
      <c r="F676" s="387" t="str">
        <f>IF(B676&lt;&gt;"",IFERROR(IF(LEFT($B676,3)=$Z$2,VLOOKUP($C676,Outbound!$B:$Z,11,FALSE),VLOOKUP($B676,Outbound!$B:$Z,11,FALSE)),"NON TROVATO"),"")</f>
        <v/>
      </c>
      <c r="G676" s="394" t="str">
        <f>IF(B676&lt;&gt;"",IFERROR(IF(LEFT($B676,3)=$Z$2,VLOOKUP($C676,Outbound!$B:$AAZ,16,FALSE),VLOOKUP($B676,Outbound!$B:$AAZ,16,FALSE)),"NON TROVATO"),"")</f>
        <v/>
      </c>
      <c r="H676" s="394" t="str">
        <f>IF(B676&lt;&gt;"",IFERROR(IF(LEFT($B676,3)=$Z$2,VLOOKUP($C676,Outbound!$B:$AAZ,6,FALSE),VLOOKUP($B676,Outbound!$B:$AAZ,6,FALSE)),"NON TROVATO"),"")</f>
        <v/>
      </c>
      <c r="I676" s="394" t="str">
        <f>IF(B676&lt;&gt;"",IFERROR(IF(LEFT($B676,3)=$Z$2,VLOOKUP($C676,Outbound!$B:$AAZ,52,FALSE),VLOOKUP($B676,Outbound!$B:$AAZ,52,FALSE)),"NON TROVATO"),"")</f>
        <v/>
      </c>
      <c r="J676" s="396"/>
      <c r="K676" s="387" t="str">
        <f>IF(B676&lt;&gt;"",IF($D676&lt;&gt;"ON ROCS/NOT ON FILE",IFERROR(_xlfn.XLOOKUP(LEFT($D676,3),'STAT 77 Table'!$B:$B,'STAT 77 Table'!$A:$A),"ZZ"&amp;RIGHT($B676,4)),""),"")</f>
        <v/>
      </c>
      <c r="L676" s="396"/>
      <c r="O676" s="388"/>
      <c r="P676" s="388"/>
      <c r="AA676" s="421">
        <f t="shared" si="10"/>
        <v>0</v>
      </c>
    </row>
    <row r="677" spans="1:27" ht="16.5">
      <c r="A677" s="387">
        <f>'STAT 77 Table'!$I$676</f>
        <v>0</v>
      </c>
      <c r="B677"/>
      <c r="C677"/>
      <c r="D677" s="387" t="str">
        <f>IF($B677&lt;&gt;"",IFERROR(IF(LEFT($B677,3)=$Z$2,VLOOKUP($C677,Outbound!$B:$Z,4,FALSE),VLOOKUP($B677,Outbound!$B:$Z,4,FALSE)),"ON ROCS/NOT ON FILE"),"")</f>
        <v/>
      </c>
      <c r="E677" s="387" t="str">
        <f>IF($B677&lt;&gt;"",IFERROR(IF(LEFT($B677,4)=$Z$2,VLOOKUP($C677,Outbound!$B:$Z,5,FALSE),VLOOKUP($B677,Outbound!$B:$Z,5,FALSE)),"ON ROCS/NOT ON FILE"),"")</f>
        <v/>
      </c>
      <c r="F677" s="387" t="str">
        <f>IF(B677&lt;&gt;"",IFERROR(IF(LEFT($B677,3)=$Z$2,VLOOKUP($C677,Outbound!$B:$Z,11,FALSE),VLOOKUP($B677,Outbound!$B:$Z,11,FALSE)),"NON TROVATO"),"")</f>
        <v/>
      </c>
      <c r="G677" s="394" t="str">
        <f>IF(B677&lt;&gt;"",IFERROR(IF(LEFT($B677,3)=$Z$2,VLOOKUP($C677,Outbound!$B:$AAZ,16,FALSE),VLOOKUP($B677,Outbound!$B:$AAZ,16,FALSE)),"NON TROVATO"),"")</f>
        <v/>
      </c>
      <c r="H677" s="394" t="str">
        <f>IF(B677&lt;&gt;"",IFERROR(IF(LEFT($B677,3)=$Z$2,VLOOKUP($C677,Outbound!$B:$AAZ,6,FALSE),VLOOKUP($B677,Outbound!$B:$AAZ,6,FALSE)),"NON TROVATO"),"")</f>
        <v/>
      </c>
      <c r="I677" s="394" t="str">
        <f>IF(B677&lt;&gt;"",IFERROR(IF(LEFT($B677,3)=$Z$2,VLOOKUP($C677,Outbound!$B:$AAZ,52,FALSE),VLOOKUP($B677,Outbound!$B:$AAZ,52,FALSE)),"NON TROVATO"),"")</f>
        <v/>
      </c>
      <c r="J677" s="396"/>
      <c r="K677" s="387" t="str">
        <f>IF(B677&lt;&gt;"",IF($D677&lt;&gt;"ON ROCS/NOT ON FILE",IFERROR(_xlfn.XLOOKUP(LEFT($D677,3),'STAT 77 Table'!$B:$B,'STAT 77 Table'!$A:$A),"ZZ"&amp;RIGHT($B677,4)),""),"")</f>
        <v/>
      </c>
      <c r="L677" s="396"/>
      <c r="O677" s="388"/>
      <c r="P677" s="388"/>
      <c r="AA677" s="421">
        <f t="shared" si="10"/>
        <v>0</v>
      </c>
    </row>
    <row r="678" spans="1:27" ht="16.5">
      <c r="A678" s="387">
        <f>'STAT 77 Table'!$I$677</f>
        <v>0</v>
      </c>
      <c r="B678"/>
      <c r="C678"/>
      <c r="D678" s="387" t="str">
        <f>IF($B678&lt;&gt;"",IFERROR(IF(LEFT($B678,3)=$Z$2,VLOOKUP($C678,Outbound!$B:$Z,4,FALSE),VLOOKUP($B678,Outbound!$B:$Z,4,FALSE)),"ON ROCS/NOT ON FILE"),"")</f>
        <v/>
      </c>
      <c r="E678" s="387" t="str">
        <f>IF($B678&lt;&gt;"",IFERROR(IF(LEFT($B678,4)=$Z$2,VLOOKUP($C678,Outbound!$B:$Z,5,FALSE),VLOOKUP($B678,Outbound!$B:$Z,5,FALSE)),"ON ROCS/NOT ON FILE"),"")</f>
        <v/>
      </c>
      <c r="F678" s="387" t="str">
        <f>IF(B678&lt;&gt;"",IFERROR(IF(LEFT($B678,3)=$Z$2,VLOOKUP($C678,Outbound!$B:$Z,11,FALSE),VLOOKUP($B678,Outbound!$B:$Z,11,FALSE)),"NON TROVATO"),"")</f>
        <v/>
      </c>
      <c r="G678" s="394" t="str">
        <f>IF(B678&lt;&gt;"",IFERROR(IF(LEFT($B678,3)=$Z$2,VLOOKUP($C678,Outbound!$B:$AAZ,16,FALSE),VLOOKUP($B678,Outbound!$B:$AAZ,16,FALSE)),"NON TROVATO"),"")</f>
        <v/>
      </c>
      <c r="H678" s="394" t="str">
        <f>IF(B678&lt;&gt;"",IFERROR(IF(LEFT($B678,3)=$Z$2,VLOOKUP($C678,Outbound!$B:$AAZ,6,FALSE),VLOOKUP($B678,Outbound!$B:$AAZ,6,FALSE)),"NON TROVATO"),"")</f>
        <v/>
      </c>
      <c r="I678" s="394" t="str">
        <f>IF(B678&lt;&gt;"",IFERROR(IF(LEFT($B678,3)=$Z$2,VLOOKUP($C678,Outbound!$B:$AAZ,52,FALSE),VLOOKUP($B678,Outbound!$B:$AAZ,52,FALSE)),"NON TROVATO"),"")</f>
        <v/>
      </c>
      <c r="J678" s="396"/>
      <c r="K678" s="387" t="str">
        <f>IF(B678&lt;&gt;"",IF($D678&lt;&gt;"ON ROCS/NOT ON FILE",IFERROR(_xlfn.XLOOKUP(LEFT($D678,3),'STAT 77 Table'!$B:$B,'STAT 77 Table'!$A:$A),"ZZ"&amp;RIGHT($B678,4)),""),"")</f>
        <v/>
      </c>
      <c r="L678" s="396"/>
      <c r="O678" s="388"/>
      <c r="P678" s="388"/>
      <c r="AA678" s="421">
        <f t="shared" si="10"/>
        <v>0</v>
      </c>
    </row>
    <row r="679" spans="1:27" ht="16.5">
      <c r="A679" s="387">
        <f>'STAT 77 Table'!$I$678</f>
        <v>0</v>
      </c>
      <c r="B679"/>
      <c r="C679"/>
      <c r="D679" s="387" t="str">
        <f>IF($B679&lt;&gt;"",IFERROR(IF(LEFT($B679,3)=$Z$2,VLOOKUP($C679,Outbound!$B:$Z,4,FALSE),VLOOKUP($B679,Outbound!$B:$Z,4,FALSE)),"ON ROCS/NOT ON FILE"),"")</f>
        <v/>
      </c>
      <c r="E679" s="387" t="str">
        <f>IF($B679&lt;&gt;"",IFERROR(IF(LEFT($B679,4)=$Z$2,VLOOKUP($C679,Outbound!$B:$Z,5,FALSE),VLOOKUP($B679,Outbound!$B:$Z,5,FALSE)),"ON ROCS/NOT ON FILE"),"")</f>
        <v/>
      </c>
      <c r="F679" s="387" t="str">
        <f>IF(B679&lt;&gt;"",IFERROR(IF(LEFT($B679,3)=$Z$2,VLOOKUP($C679,Outbound!$B:$Z,11,FALSE),VLOOKUP($B679,Outbound!$B:$Z,11,FALSE)),"NON TROVATO"),"")</f>
        <v/>
      </c>
      <c r="G679" s="394" t="str">
        <f>IF(B679&lt;&gt;"",IFERROR(IF(LEFT($B679,3)=$Z$2,VLOOKUP($C679,Outbound!$B:$AAZ,16,FALSE),VLOOKUP($B679,Outbound!$B:$AAZ,16,FALSE)),"NON TROVATO"),"")</f>
        <v/>
      </c>
      <c r="H679" s="394" t="str">
        <f>IF(B679&lt;&gt;"",IFERROR(IF(LEFT($B679,3)=$Z$2,VLOOKUP($C679,Outbound!$B:$AAZ,6,FALSE),VLOOKUP($B679,Outbound!$B:$AAZ,6,FALSE)),"NON TROVATO"),"")</f>
        <v/>
      </c>
      <c r="I679" s="394" t="str">
        <f>IF(B679&lt;&gt;"",IFERROR(IF(LEFT($B679,3)=$Z$2,VLOOKUP($C679,Outbound!$B:$AAZ,52,FALSE),VLOOKUP($B679,Outbound!$B:$AAZ,52,FALSE)),"NON TROVATO"),"")</f>
        <v/>
      </c>
      <c r="J679" s="396"/>
      <c r="K679" s="387" t="str">
        <f>IF(B679&lt;&gt;"",IF($D679&lt;&gt;"ON ROCS/NOT ON FILE",IFERROR(_xlfn.XLOOKUP(LEFT($D679,3),'STAT 77 Table'!$B:$B,'STAT 77 Table'!$A:$A),"ZZ"&amp;RIGHT($B679,4)),""),"")</f>
        <v/>
      </c>
      <c r="L679" s="396"/>
      <c r="O679" s="388"/>
      <c r="P679" s="388"/>
      <c r="AA679" s="421">
        <f t="shared" si="10"/>
        <v>0</v>
      </c>
    </row>
    <row r="680" spans="1:27" ht="16.5">
      <c r="A680" s="387">
        <f>'STAT 77 Table'!$I$679</f>
        <v>0</v>
      </c>
      <c r="B680"/>
      <c r="C680"/>
      <c r="D680" s="387" t="str">
        <f>IF($B680&lt;&gt;"",IFERROR(IF(LEFT($B680,3)=$Z$2,VLOOKUP($C680,Outbound!$B:$Z,4,FALSE),VLOOKUP($B680,Outbound!$B:$Z,4,FALSE)),"ON ROCS/NOT ON FILE"),"")</f>
        <v/>
      </c>
      <c r="E680" s="387" t="str">
        <f>IF($B680&lt;&gt;"",IFERROR(IF(LEFT($B680,4)=$Z$2,VLOOKUP($C680,Outbound!$B:$Z,5,FALSE),VLOOKUP($B680,Outbound!$B:$Z,5,FALSE)),"ON ROCS/NOT ON FILE"),"")</f>
        <v/>
      </c>
      <c r="F680" s="387" t="str">
        <f>IF(B680&lt;&gt;"",IFERROR(IF(LEFT($B680,3)=$Z$2,VLOOKUP($C680,Outbound!$B:$Z,11,FALSE),VLOOKUP($B680,Outbound!$B:$Z,11,FALSE)),"NON TROVATO"),"")</f>
        <v/>
      </c>
      <c r="G680" s="394" t="str">
        <f>IF(B680&lt;&gt;"",IFERROR(IF(LEFT($B680,3)=$Z$2,VLOOKUP($C680,Outbound!$B:$AAZ,16,FALSE),VLOOKUP($B680,Outbound!$B:$AAZ,16,FALSE)),"NON TROVATO"),"")</f>
        <v/>
      </c>
      <c r="H680" s="394" t="str">
        <f>IF(B680&lt;&gt;"",IFERROR(IF(LEFT($B680,3)=$Z$2,VLOOKUP($C680,Outbound!$B:$AAZ,6,FALSE),VLOOKUP($B680,Outbound!$B:$AAZ,6,FALSE)),"NON TROVATO"),"")</f>
        <v/>
      </c>
      <c r="I680" s="394" t="str">
        <f>IF(B680&lt;&gt;"",IFERROR(IF(LEFT($B680,3)=$Z$2,VLOOKUP($C680,Outbound!$B:$AAZ,52,FALSE),VLOOKUP($B680,Outbound!$B:$AAZ,52,FALSE)),"NON TROVATO"),"")</f>
        <v/>
      </c>
      <c r="J680" s="396"/>
      <c r="K680" s="387" t="str">
        <f>IF(B680&lt;&gt;"",IF($D680&lt;&gt;"ON ROCS/NOT ON FILE",IFERROR(_xlfn.XLOOKUP(LEFT($D680,3),'STAT 77 Table'!$B:$B,'STAT 77 Table'!$A:$A),"ZZ"&amp;RIGHT($B680,4)),""),"")</f>
        <v/>
      </c>
      <c r="L680" s="396"/>
      <c r="O680" s="388"/>
      <c r="P680" s="388"/>
      <c r="AA680" s="421">
        <f t="shared" si="10"/>
        <v>0</v>
      </c>
    </row>
    <row r="681" spans="1:27" ht="16.5">
      <c r="A681" s="387">
        <f>'STAT 77 Table'!$I$680</f>
        <v>0</v>
      </c>
      <c r="B681"/>
      <c r="C681"/>
      <c r="D681" s="387" t="str">
        <f>IF($B681&lt;&gt;"",IFERROR(IF(LEFT($B681,3)=$Z$2,VLOOKUP($C681,Outbound!$B:$Z,4,FALSE),VLOOKUP($B681,Outbound!$B:$Z,4,FALSE)),"ON ROCS/NOT ON FILE"),"")</f>
        <v/>
      </c>
      <c r="E681" s="387" t="str">
        <f>IF($B681&lt;&gt;"",IFERROR(IF(LEFT($B681,4)=$Z$2,VLOOKUP($C681,Outbound!$B:$Z,5,FALSE),VLOOKUP($B681,Outbound!$B:$Z,5,FALSE)),"ON ROCS/NOT ON FILE"),"")</f>
        <v/>
      </c>
      <c r="F681" s="387" t="str">
        <f>IF(B681&lt;&gt;"",IFERROR(IF(LEFT($B681,3)=$Z$2,VLOOKUP($C681,Outbound!$B:$Z,11,FALSE),VLOOKUP($B681,Outbound!$B:$Z,11,FALSE)),"NON TROVATO"),"")</f>
        <v/>
      </c>
      <c r="G681" s="394" t="str">
        <f>IF(B681&lt;&gt;"",IFERROR(IF(LEFT($B681,3)=$Z$2,VLOOKUP($C681,Outbound!$B:$AAZ,16,FALSE),VLOOKUP($B681,Outbound!$B:$AAZ,16,FALSE)),"NON TROVATO"),"")</f>
        <v/>
      </c>
      <c r="H681" s="394" t="str">
        <f>IF(B681&lt;&gt;"",IFERROR(IF(LEFT($B681,3)=$Z$2,VLOOKUP($C681,Outbound!$B:$AAZ,6,FALSE),VLOOKUP($B681,Outbound!$B:$AAZ,6,FALSE)),"NON TROVATO"),"")</f>
        <v/>
      </c>
      <c r="I681" s="394" t="str">
        <f>IF(B681&lt;&gt;"",IFERROR(IF(LEFT($B681,3)=$Z$2,VLOOKUP($C681,Outbound!$B:$AAZ,52,FALSE),VLOOKUP($B681,Outbound!$B:$AAZ,52,FALSE)),"NON TROVATO"),"")</f>
        <v/>
      </c>
      <c r="J681" s="396"/>
      <c r="K681" s="387" t="str">
        <f>IF(B681&lt;&gt;"",IF($D681&lt;&gt;"ON ROCS/NOT ON FILE",IFERROR(_xlfn.XLOOKUP(LEFT($D681,3),'STAT 77 Table'!$B:$B,'STAT 77 Table'!$A:$A),"ZZ"&amp;RIGHT($B681,4)),""),"")</f>
        <v/>
      </c>
      <c r="L681" s="396"/>
      <c r="O681" s="388"/>
      <c r="P681" s="388"/>
      <c r="AA681" s="421">
        <f t="shared" si="10"/>
        <v>0</v>
      </c>
    </row>
    <row r="682" spans="1:27" ht="16.5">
      <c r="A682" s="387">
        <f>'STAT 77 Table'!$I$681</f>
        <v>0</v>
      </c>
      <c r="B682"/>
      <c r="C682"/>
      <c r="D682" s="387" t="str">
        <f>IF($B682&lt;&gt;"",IFERROR(IF(LEFT($B682,3)=$Z$2,VLOOKUP($C682,Outbound!$B:$Z,4,FALSE),VLOOKUP($B682,Outbound!$B:$Z,4,FALSE)),"ON ROCS/NOT ON FILE"),"")</f>
        <v/>
      </c>
      <c r="E682" s="387" t="str">
        <f>IF($B682&lt;&gt;"",IFERROR(IF(LEFT($B682,4)=$Z$2,VLOOKUP($C682,Outbound!$B:$Z,5,FALSE),VLOOKUP($B682,Outbound!$B:$Z,5,FALSE)),"ON ROCS/NOT ON FILE"),"")</f>
        <v/>
      </c>
      <c r="F682" s="387" t="str">
        <f>IF(B682&lt;&gt;"",IFERROR(IF(LEFT($B682,3)=$Z$2,VLOOKUP($C682,Outbound!$B:$Z,11,FALSE),VLOOKUP($B682,Outbound!$B:$Z,11,FALSE)),"NON TROVATO"),"")</f>
        <v/>
      </c>
      <c r="G682" s="394" t="str">
        <f>IF(B682&lt;&gt;"",IFERROR(IF(LEFT($B682,3)=$Z$2,VLOOKUP($C682,Outbound!$B:$AAZ,16,FALSE),VLOOKUP($B682,Outbound!$B:$AAZ,16,FALSE)),"NON TROVATO"),"")</f>
        <v/>
      </c>
      <c r="H682" s="394" t="str">
        <f>IF(B682&lt;&gt;"",IFERROR(IF(LEFT($B682,3)=$Z$2,VLOOKUP($C682,Outbound!$B:$AAZ,6,FALSE),VLOOKUP($B682,Outbound!$B:$AAZ,6,FALSE)),"NON TROVATO"),"")</f>
        <v/>
      </c>
      <c r="I682" s="394" t="str">
        <f>IF(B682&lt;&gt;"",IFERROR(IF(LEFT($B682,3)=$Z$2,VLOOKUP($C682,Outbound!$B:$AAZ,52,FALSE),VLOOKUP($B682,Outbound!$B:$AAZ,52,FALSE)),"NON TROVATO"),"")</f>
        <v/>
      </c>
      <c r="J682" s="396"/>
      <c r="K682" s="387" t="str">
        <f>IF(B682&lt;&gt;"",IF($D682&lt;&gt;"ON ROCS/NOT ON FILE",IFERROR(_xlfn.XLOOKUP(LEFT($D682,3),'STAT 77 Table'!$B:$B,'STAT 77 Table'!$A:$A),"ZZ"&amp;RIGHT($B682,4)),""),"")</f>
        <v/>
      </c>
      <c r="L682" s="396"/>
      <c r="O682" s="388"/>
      <c r="P682" s="388"/>
      <c r="AA682" s="421">
        <f t="shared" si="10"/>
        <v>0</v>
      </c>
    </row>
    <row r="683" spans="1:27" ht="16.5">
      <c r="A683" s="387">
        <f>'STAT 77 Table'!$I$682</f>
        <v>0</v>
      </c>
      <c r="B683"/>
      <c r="C683"/>
      <c r="D683" s="387" t="str">
        <f>IF($B683&lt;&gt;"",IFERROR(IF(LEFT($B683,3)=$Z$2,VLOOKUP($C683,Outbound!$B:$Z,4,FALSE),VLOOKUP($B683,Outbound!$B:$Z,4,FALSE)),"ON ROCS/NOT ON FILE"),"")</f>
        <v/>
      </c>
      <c r="E683" s="387" t="str">
        <f>IF($B683&lt;&gt;"",IFERROR(IF(LEFT($B683,4)=$Z$2,VLOOKUP($C683,Outbound!$B:$Z,5,FALSE),VLOOKUP($B683,Outbound!$B:$Z,5,FALSE)),"ON ROCS/NOT ON FILE"),"")</f>
        <v/>
      </c>
      <c r="F683" s="387" t="str">
        <f>IF(B683&lt;&gt;"",IFERROR(IF(LEFT($B683,3)=$Z$2,VLOOKUP($C683,Outbound!$B:$Z,11,FALSE),VLOOKUP($B683,Outbound!$B:$Z,11,FALSE)),"NON TROVATO"),"")</f>
        <v/>
      </c>
      <c r="G683" s="394" t="str">
        <f>IF(B683&lt;&gt;"",IFERROR(IF(LEFT($B683,3)=$Z$2,VLOOKUP($C683,Outbound!$B:$AAZ,16,FALSE),VLOOKUP($B683,Outbound!$B:$AAZ,16,FALSE)),"NON TROVATO"),"")</f>
        <v/>
      </c>
      <c r="H683" s="394" t="str">
        <f>IF(B683&lt;&gt;"",IFERROR(IF(LEFT($B683,3)=$Z$2,VLOOKUP($C683,Outbound!$B:$AAZ,6,FALSE),VLOOKUP($B683,Outbound!$B:$AAZ,6,FALSE)),"NON TROVATO"),"")</f>
        <v/>
      </c>
      <c r="I683" s="394" t="str">
        <f>IF(B683&lt;&gt;"",IFERROR(IF(LEFT($B683,3)=$Z$2,VLOOKUP($C683,Outbound!$B:$AAZ,52,FALSE),VLOOKUP($B683,Outbound!$B:$AAZ,52,FALSE)),"NON TROVATO"),"")</f>
        <v/>
      </c>
      <c r="J683" s="396"/>
      <c r="K683" s="387" t="str">
        <f>IF(B683&lt;&gt;"",IF($D683&lt;&gt;"ON ROCS/NOT ON FILE",IFERROR(_xlfn.XLOOKUP(LEFT($D683,3),'STAT 77 Table'!$B:$B,'STAT 77 Table'!$A:$A),"ZZ"&amp;RIGHT($B683,4)),""),"")</f>
        <v/>
      </c>
      <c r="L683" s="396"/>
      <c r="O683" s="388"/>
      <c r="P683" s="388"/>
      <c r="AA683" s="421">
        <f t="shared" si="10"/>
        <v>0</v>
      </c>
    </row>
    <row r="684" spans="1:27" ht="16.5">
      <c r="A684" s="387">
        <f>'STAT 77 Table'!$I$683</f>
        <v>0</v>
      </c>
      <c r="B684"/>
      <c r="C684"/>
      <c r="D684" s="387" t="str">
        <f>IF($B684&lt;&gt;"",IFERROR(IF(LEFT($B684,3)=$Z$2,VLOOKUP($C684,Outbound!$B:$Z,4,FALSE),VLOOKUP($B684,Outbound!$B:$Z,4,FALSE)),"ON ROCS/NOT ON FILE"),"")</f>
        <v/>
      </c>
      <c r="E684" s="387" t="str">
        <f>IF($B684&lt;&gt;"",IFERROR(IF(LEFT($B684,4)=$Z$2,VLOOKUP($C684,Outbound!$B:$Z,5,FALSE),VLOOKUP($B684,Outbound!$B:$Z,5,FALSE)),"ON ROCS/NOT ON FILE"),"")</f>
        <v/>
      </c>
      <c r="F684" s="387" t="str">
        <f>IF(B684&lt;&gt;"",IFERROR(IF(LEFT($B684,3)=$Z$2,VLOOKUP($C684,Outbound!$B:$Z,11,FALSE),VLOOKUP($B684,Outbound!$B:$Z,11,FALSE)),"NON TROVATO"),"")</f>
        <v/>
      </c>
      <c r="G684" s="394" t="str">
        <f>IF(B684&lt;&gt;"",IFERROR(IF(LEFT($B684,3)=$Z$2,VLOOKUP($C684,Outbound!$B:$AAZ,16,FALSE),VLOOKUP($B684,Outbound!$B:$AAZ,16,FALSE)),"NON TROVATO"),"")</f>
        <v/>
      </c>
      <c r="H684" s="394" t="str">
        <f>IF(B684&lt;&gt;"",IFERROR(IF(LEFT($B684,3)=$Z$2,VLOOKUP($C684,Outbound!$B:$AAZ,6,FALSE),VLOOKUP($B684,Outbound!$B:$AAZ,6,FALSE)),"NON TROVATO"),"")</f>
        <v/>
      </c>
      <c r="I684" s="394" t="str">
        <f>IF(B684&lt;&gt;"",IFERROR(IF(LEFT($B684,3)=$Z$2,VLOOKUP($C684,Outbound!$B:$AAZ,52,FALSE),VLOOKUP($B684,Outbound!$B:$AAZ,52,FALSE)),"NON TROVATO"),"")</f>
        <v/>
      </c>
      <c r="J684" s="396"/>
      <c r="K684" s="387" t="str">
        <f>IF(B684&lt;&gt;"",IF($D684&lt;&gt;"ON ROCS/NOT ON FILE",IFERROR(_xlfn.XLOOKUP(LEFT($D684,3),'STAT 77 Table'!$B:$B,'STAT 77 Table'!$A:$A),"ZZ"&amp;RIGHT($B684,4)),""),"")</f>
        <v/>
      </c>
      <c r="L684" s="396"/>
      <c r="O684" s="388"/>
      <c r="P684" s="388"/>
      <c r="AA684" s="421">
        <f t="shared" si="10"/>
        <v>0</v>
      </c>
    </row>
    <row r="685" spans="1:27" ht="16.5">
      <c r="A685" s="387">
        <f>'STAT 77 Table'!$I$684</f>
        <v>0</v>
      </c>
      <c r="B685"/>
      <c r="C685"/>
      <c r="D685" s="387" t="str">
        <f>IF($B685&lt;&gt;"",IFERROR(IF(LEFT($B685,3)=$Z$2,VLOOKUP($C685,Outbound!$B:$Z,4,FALSE),VLOOKUP($B685,Outbound!$B:$Z,4,FALSE)),"ON ROCS/NOT ON FILE"),"")</f>
        <v/>
      </c>
      <c r="E685" s="387" t="str">
        <f>IF($B685&lt;&gt;"",IFERROR(IF(LEFT($B685,4)=$Z$2,VLOOKUP($C685,Outbound!$B:$Z,5,FALSE),VLOOKUP($B685,Outbound!$B:$Z,5,FALSE)),"ON ROCS/NOT ON FILE"),"")</f>
        <v/>
      </c>
      <c r="F685" s="387" t="str">
        <f>IF(B685&lt;&gt;"",IFERROR(IF(LEFT($B685,3)=$Z$2,VLOOKUP($C685,Outbound!$B:$Z,11,FALSE),VLOOKUP($B685,Outbound!$B:$Z,11,FALSE)),"NON TROVATO"),"")</f>
        <v/>
      </c>
      <c r="G685" s="394" t="str">
        <f>IF(B685&lt;&gt;"",IFERROR(IF(LEFT($B685,3)=$Z$2,VLOOKUP($C685,Outbound!$B:$AAZ,16,FALSE),VLOOKUP($B685,Outbound!$B:$AAZ,16,FALSE)),"NON TROVATO"),"")</f>
        <v/>
      </c>
      <c r="H685" s="394" t="str">
        <f>IF(B685&lt;&gt;"",IFERROR(IF(LEFT($B685,3)=$Z$2,VLOOKUP($C685,Outbound!$B:$AAZ,6,FALSE),VLOOKUP($B685,Outbound!$B:$AAZ,6,FALSE)),"NON TROVATO"),"")</f>
        <v/>
      </c>
      <c r="I685" s="394" t="str">
        <f>IF(B685&lt;&gt;"",IFERROR(IF(LEFT($B685,3)=$Z$2,VLOOKUP($C685,Outbound!$B:$AAZ,52,FALSE),VLOOKUP($B685,Outbound!$B:$AAZ,52,FALSE)),"NON TROVATO"),"")</f>
        <v/>
      </c>
      <c r="J685" s="396"/>
      <c r="K685" s="387" t="str">
        <f>IF(B685&lt;&gt;"",IF($D685&lt;&gt;"ON ROCS/NOT ON FILE",IFERROR(_xlfn.XLOOKUP(LEFT($D685,3),'STAT 77 Table'!$B:$B,'STAT 77 Table'!$A:$A),"ZZ"&amp;RIGHT($B685,4)),""),"")</f>
        <v/>
      </c>
      <c r="L685" s="396"/>
      <c r="O685" s="388"/>
      <c r="P685" s="388"/>
      <c r="AA685" s="421">
        <f t="shared" si="10"/>
        <v>0</v>
      </c>
    </row>
    <row r="686" spans="1:27" ht="16.5">
      <c r="A686" s="387">
        <f>'STAT 77 Table'!$I$685</f>
        <v>0</v>
      </c>
      <c r="B686"/>
      <c r="C686"/>
      <c r="D686" s="387" t="str">
        <f>IF($B686&lt;&gt;"",IFERROR(IF(LEFT($B686,3)=$Z$2,VLOOKUP($C686,Outbound!$B:$Z,4,FALSE),VLOOKUP($B686,Outbound!$B:$Z,4,FALSE)),"ON ROCS/NOT ON FILE"),"")</f>
        <v/>
      </c>
      <c r="E686" s="387" t="str">
        <f>IF($B686&lt;&gt;"",IFERROR(IF(LEFT($B686,4)=$Z$2,VLOOKUP($C686,Outbound!$B:$Z,5,FALSE),VLOOKUP($B686,Outbound!$B:$Z,5,FALSE)),"ON ROCS/NOT ON FILE"),"")</f>
        <v/>
      </c>
      <c r="F686" s="387" t="str">
        <f>IF(B686&lt;&gt;"",IFERROR(IF(LEFT($B686,3)=$Z$2,VLOOKUP($C686,Outbound!$B:$Z,11,FALSE),VLOOKUP($B686,Outbound!$B:$Z,11,FALSE)),"NON TROVATO"),"")</f>
        <v/>
      </c>
      <c r="G686" s="394" t="str">
        <f>IF(B686&lt;&gt;"",IFERROR(IF(LEFT($B686,3)=$Z$2,VLOOKUP($C686,Outbound!$B:$AAZ,16,FALSE),VLOOKUP($B686,Outbound!$B:$AAZ,16,FALSE)),"NON TROVATO"),"")</f>
        <v/>
      </c>
      <c r="H686" s="394" t="str">
        <f>IF(B686&lt;&gt;"",IFERROR(IF(LEFT($B686,3)=$Z$2,VLOOKUP($C686,Outbound!$B:$AAZ,6,FALSE),VLOOKUP($B686,Outbound!$B:$AAZ,6,FALSE)),"NON TROVATO"),"")</f>
        <v/>
      </c>
      <c r="I686" s="394" t="str">
        <f>IF(B686&lt;&gt;"",IFERROR(IF(LEFT($B686,3)=$Z$2,VLOOKUP($C686,Outbound!$B:$AAZ,52,FALSE),VLOOKUP($B686,Outbound!$B:$AAZ,52,FALSE)),"NON TROVATO"),"")</f>
        <v/>
      </c>
      <c r="J686" s="396"/>
      <c r="K686" s="387" t="str">
        <f>IF(B686&lt;&gt;"",IF($D686&lt;&gt;"ON ROCS/NOT ON FILE",IFERROR(_xlfn.XLOOKUP(LEFT($D686,3),'STAT 77 Table'!$B:$B,'STAT 77 Table'!$A:$A),"ZZ"&amp;RIGHT($B686,4)),""),"")</f>
        <v/>
      </c>
      <c r="L686" s="396"/>
      <c r="O686" s="388"/>
      <c r="P686" s="388"/>
      <c r="AA686" s="421">
        <f t="shared" si="10"/>
        <v>0</v>
      </c>
    </row>
    <row r="687" spans="1:27" ht="16.5">
      <c r="A687" s="387">
        <f>'STAT 77 Table'!$I$686</f>
        <v>0</v>
      </c>
      <c r="B687"/>
      <c r="C687"/>
      <c r="D687" s="387" t="str">
        <f>IF($B687&lt;&gt;"",IFERROR(IF(LEFT($B687,3)=$Z$2,VLOOKUP($C687,Outbound!$B:$Z,4,FALSE),VLOOKUP($B687,Outbound!$B:$Z,4,FALSE)),"ON ROCS/NOT ON FILE"),"")</f>
        <v/>
      </c>
      <c r="E687" s="387" t="str">
        <f>IF($B687&lt;&gt;"",IFERROR(IF(LEFT($B687,4)=$Z$2,VLOOKUP($C687,Outbound!$B:$Z,5,FALSE),VLOOKUP($B687,Outbound!$B:$Z,5,FALSE)),"ON ROCS/NOT ON FILE"),"")</f>
        <v/>
      </c>
      <c r="F687" s="387" t="str">
        <f>IF(B687&lt;&gt;"",IFERROR(IF(LEFT($B687,3)=$Z$2,VLOOKUP($C687,Outbound!$B:$Z,11,FALSE),VLOOKUP($B687,Outbound!$B:$Z,11,FALSE)),"NON TROVATO"),"")</f>
        <v/>
      </c>
      <c r="G687" s="394" t="str">
        <f>IF(B687&lt;&gt;"",IFERROR(IF(LEFT($B687,3)=$Z$2,VLOOKUP($C687,Outbound!$B:$AAZ,16,FALSE),VLOOKUP($B687,Outbound!$B:$AAZ,16,FALSE)),"NON TROVATO"),"")</f>
        <v/>
      </c>
      <c r="H687" s="394" t="str">
        <f>IF(B687&lt;&gt;"",IFERROR(IF(LEFT($B687,3)=$Z$2,VLOOKUP($C687,Outbound!$B:$AAZ,6,FALSE),VLOOKUP($B687,Outbound!$B:$AAZ,6,FALSE)),"NON TROVATO"),"")</f>
        <v/>
      </c>
      <c r="I687" s="394" t="str">
        <f>IF(B687&lt;&gt;"",IFERROR(IF(LEFT($B687,3)=$Z$2,VLOOKUP($C687,Outbound!$B:$AAZ,52,FALSE),VLOOKUP($B687,Outbound!$B:$AAZ,52,FALSE)),"NON TROVATO"),"")</f>
        <v/>
      </c>
      <c r="J687" s="396"/>
      <c r="K687" s="387" t="str">
        <f>IF(B687&lt;&gt;"",IF($D687&lt;&gt;"ON ROCS/NOT ON FILE",IFERROR(_xlfn.XLOOKUP(LEFT($D687,3),'STAT 77 Table'!$B:$B,'STAT 77 Table'!$A:$A),"ZZ"&amp;RIGHT($B687,4)),""),"")</f>
        <v/>
      </c>
      <c r="L687" s="396"/>
      <c r="O687" s="388"/>
      <c r="P687" s="388"/>
      <c r="AA687" s="421">
        <f t="shared" si="10"/>
        <v>0</v>
      </c>
    </row>
    <row r="688" spans="1:27" ht="16.5">
      <c r="A688" s="387">
        <f>'STAT 77 Table'!$I$687</f>
        <v>0</v>
      </c>
      <c r="B688"/>
      <c r="C688"/>
      <c r="D688" s="387" t="str">
        <f>IF($B688&lt;&gt;"",IFERROR(IF(LEFT($B688,3)=$Z$2,VLOOKUP($C688,Outbound!$B:$Z,4,FALSE),VLOOKUP($B688,Outbound!$B:$Z,4,FALSE)),"ON ROCS/NOT ON FILE"),"")</f>
        <v/>
      </c>
      <c r="E688" s="387" t="str">
        <f>IF($B688&lt;&gt;"",IFERROR(IF(LEFT($B688,4)=$Z$2,VLOOKUP($C688,Outbound!$B:$Z,5,FALSE),VLOOKUP($B688,Outbound!$B:$Z,5,FALSE)),"ON ROCS/NOT ON FILE"),"")</f>
        <v/>
      </c>
      <c r="F688" s="387" t="str">
        <f>IF(B688&lt;&gt;"",IFERROR(IF(LEFT($B688,3)=$Z$2,VLOOKUP($C688,Outbound!$B:$Z,11,FALSE),VLOOKUP($B688,Outbound!$B:$Z,11,FALSE)),"NON TROVATO"),"")</f>
        <v/>
      </c>
      <c r="G688" s="394" t="str">
        <f>IF(B688&lt;&gt;"",IFERROR(IF(LEFT($B688,3)=$Z$2,VLOOKUP($C688,Outbound!$B:$AAZ,16,FALSE),VLOOKUP($B688,Outbound!$B:$AAZ,16,FALSE)),"NON TROVATO"),"")</f>
        <v/>
      </c>
      <c r="H688" s="394" t="str">
        <f>IF(B688&lt;&gt;"",IFERROR(IF(LEFT($B688,3)=$Z$2,VLOOKUP($C688,Outbound!$B:$AAZ,6,FALSE),VLOOKUP($B688,Outbound!$B:$AAZ,6,FALSE)),"NON TROVATO"),"")</f>
        <v/>
      </c>
      <c r="I688" s="394" t="str">
        <f>IF(B688&lt;&gt;"",IFERROR(IF(LEFT($B688,3)=$Z$2,VLOOKUP($C688,Outbound!$B:$AAZ,52,FALSE),VLOOKUP($B688,Outbound!$B:$AAZ,52,FALSE)),"NON TROVATO"),"")</f>
        <v/>
      </c>
      <c r="J688" s="396"/>
      <c r="K688" s="387" t="str">
        <f>IF(B688&lt;&gt;"",IF($D688&lt;&gt;"ON ROCS/NOT ON FILE",IFERROR(_xlfn.XLOOKUP(LEFT($D688,3),'STAT 77 Table'!$B:$B,'STAT 77 Table'!$A:$A),"ZZ"&amp;RIGHT($B688,4)),""),"")</f>
        <v/>
      </c>
      <c r="L688" s="396"/>
      <c r="O688" s="388"/>
      <c r="P688" s="388"/>
      <c r="AA688" s="421">
        <f t="shared" si="10"/>
        <v>0</v>
      </c>
    </row>
    <row r="689" spans="1:27" ht="16.5">
      <c r="A689" s="387">
        <f>'STAT 77 Table'!$I$688</f>
        <v>0</v>
      </c>
      <c r="B689"/>
      <c r="C689"/>
      <c r="D689" s="387" t="str">
        <f>IF($B689&lt;&gt;"",IFERROR(IF(LEFT($B689,3)=$Z$2,VLOOKUP($C689,Outbound!$B:$Z,4,FALSE),VLOOKUP($B689,Outbound!$B:$Z,4,FALSE)),"ON ROCS/NOT ON FILE"),"")</f>
        <v/>
      </c>
      <c r="E689" s="387" t="str">
        <f>IF($B689&lt;&gt;"",IFERROR(IF(LEFT($B689,4)=$Z$2,VLOOKUP($C689,Outbound!$B:$Z,5,FALSE),VLOOKUP($B689,Outbound!$B:$Z,5,FALSE)),"ON ROCS/NOT ON FILE"),"")</f>
        <v/>
      </c>
      <c r="F689" s="387" t="str">
        <f>IF(B689&lt;&gt;"",IFERROR(IF(LEFT($B689,3)=$Z$2,VLOOKUP($C689,Outbound!$B:$Z,11,FALSE),VLOOKUP($B689,Outbound!$B:$Z,11,FALSE)),"NON TROVATO"),"")</f>
        <v/>
      </c>
      <c r="G689" s="394" t="str">
        <f>IF(B689&lt;&gt;"",IFERROR(IF(LEFT($B689,3)=$Z$2,VLOOKUP($C689,Outbound!$B:$AAZ,16,FALSE),VLOOKUP($B689,Outbound!$B:$AAZ,16,FALSE)),"NON TROVATO"),"")</f>
        <v/>
      </c>
      <c r="H689" s="394" t="str">
        <f>IF(B689&lt;&gt;"",IFERROR(IF(LEFT($B689,3)=$Z$2,VLOOKUP($C689,Outbound!$B:$AAZ,6,FALSE),VLOOKUP($B689,Outbound!$B:$AAZ,6,FALSE)),"NON TROVATO"),"")</f>
        <v/>
      </c>
      <c r="I689" s="394" t="str">
        <f>IF(B689&lt;&gt;"",IFERROR(IF(LEFT($B689,3)=$Z$2,VLOOKUP($C689,Outbound!$B:$AAZ,52,FALSE),VLOOKUP($B689,Outbound!$B:$AAZ,52,FALSE)),"NON TROVATO"),"")</f>
        <v/>
      </c>
      <c r="J689" s="396"/>
      <c r="K689" s="387" t="str">
        <f>IF(B689&lt;&gt;"",IF($D689&lt;&gt;"ON ROCS/NOT ON FILE",IFERROR(_xlfn.XLOOKUP(LEFT($D689,3),'STAT 77 Table'!$B:$B,'STAT 77 Table'!$A:$A),"ZZ"&amp;RIGHT($B689,4)),""),"")</f>
        <v/>
      </c>
      <c r="L689" s="396"/>
      <c r="O689" s="388"/>
      <c r="P689" s="388"/>
      <c r="AA689" s="421">
        <f t="shared" si="10"/>
        <v>0</v>
      </c>
    </row>
    <row r="690" spans="1:27" ht="16.5">
      <c r="A690" s="387">
        <f>'STAT 77 Table'!$I$689</f>
        <v>0</v>
      </c>
      <c r="B690"/>
      <c r="C690"/>
      <c r="D690" s="387" t="str">
        <f>IF($B690&lt;&gt;"",IFERROR(IF(LEFT($B690,3)=$Z$2,VLOOKUP($C690,Outbound!$B:$Z,4,FALSE),VLOOKUP($B690,Outbound!$B:$Z,4,FALSE)),"ON ROCS/NOT ON FILE"),"")</f>
        <v/>
      </c>
      <c r="E690" s="387" t="str">
        <f>IF($B690&lt;&gt;"",IFERROR(IF(LEFT($B690,4)=$Z$2,VLOOKUP($C690,Outbound!$B:$Z,5,FALSE),VLOOKUP($B690,Outbound!$B:$Z,5,FALSE)),"ON ROCS/NOT ON FILE"),"")</f>
        <v/>
      </c>
      <c r="F690" s="387" t="str">
        <f>IF(B690&lt;&gt;"",IFERROR(IF(LEFT($B690,3)=$Z$2,VLOOKUP($C690,Outbound!$B:$Z,11,FALSE),VLOOKUP($B690,Outbound!$B:$Z,11,FALSE)),"NON TROVATO"),"")</f>
        <v/>
      </c>
      <c r="G690" s="394" t="str">
        <f>IF(B690&lt;&gt;"",IFERROR(IF(LEFT($B690,3)=$Z$2,VLOOKUP($C690,Outbound!$B:$AAZ,16,FALSE),VLOOKUP($B690,Outbound!$B:$AAZ,16,FALSE)),"NON TROVATO"),"")</f>
        <v/>
      </c>
      <c r="H690" s="394" t="str">
        <f>IF(B690&lt;&gt;"",IFERROR(IF(LEFT($B690,3)=$Z$2,VLOOKUP($C690,Outbound!$B:$AAZ,6,FALSE),VLOOKUP($B690,Outbound!$B:$AAZ,6,FALSE)),"NON TROVATO"),"")</f>
        <v/>
      </c>
      <c r="I690" s="394" t="str">
        <f>IF(B690&lt;&gt;"",IFERROR(IF(LEFT($B690,3)=$Z$2,VLOOKUP($C690,Outbound!$B:$AAZ,52,FALSE),VLOOKUP($B690,Outbound!$B:$AAZ,52,FALSE)),"NON TROVATO"),"")</f>
        <v/>
      </c>
      <c r="J690" s="396"/>
      <c r="K690" s="387" t="str">
        <f>IF(B690&lt;&gt;"",IF($D690&lt;&gt;"ON ROCS/NOT ON FILE",IFERROR(_xlfn.XLOOKUP(LEFT($D690,3),'STAT 77 Table'!$B:$B,'STAT 77 Table'!$A:$A),"ZZ"&amp;RIGHT($B690,4)),""),"")</f>
        <v/>
      </c>
      <c r="L690" s="396"/>
      <c r="O690" s="388"/>
      <c r="P690" s="388"/>
      <c r="AA690" s="421">
        <f t="shared" si="10"/>
        <v>0</v>
      </c>
    </row>
    <row r="691" spans="1:27" ht="16.5">
      <c r="A691" s="387">
        <f>'STAT 77 Table'!$I$690</f>
        <v>0</v>
      </c>
      <c r="B691"/>
      <c r="C691"/>
      <c r="D691" s="387" t="str">
        <f>IF($B691&lt;&gt;"",IFERROR(IF(LEFT($B691,3)=$Z$2,VLOOKUP($C691,Outbound!$B:$Z,4,FALSE),VLOOKUP($B691,Outbound!$B:$Z,4,FALSE)),"ON ROCS/NOT ON FILE"),"")</f>
        <v/>
      </c>
      <c r="E691" s="387" t="str">
        <f>IF($B691&lt;&gt;"",IFERROR(IF(LEFT($B691,4)=$Z$2,VLOOKUP($C691,Outbound!$B:$Z,5,FALSE),VLOOKUP($B691,Outbound!$B:$Z,5,FALSE)),"ON ROCS/NOT ON FILE"),"")</f>
        <v/>
      </c>
      <c r="F691" s="387" t="str">
        <f>IF(B691&lt;&gt;"",IFERROR(IF(LEFT($B691,3)=$Z$2,VLOOKUP($C691,Outbound!$B:$Z,11,FALSE),VLOOKUP($B691,Outbound!$B:$Z,11,FALSE)),"NON TROVATO"),"")</f>
        <v/>
      </c>
      <c r="G691" s="394" t="str">
        <f>IF(B691&lt;&gt;"",IFERROR(IF(LEFT($B691,3)=$Z$2,VLOOKUP($C691,Outbound!$B:$AAZ,16,FALSE),VLOOKUP($B691,Outbound!$B:$AAZ,16,FALSE)),"NON TROVATO"),"")</f>
        <v/>
      </c>
      <c r="H691" s="394" t="str">
        <f>IF(B691&lt;&gt;"",IFERROR(IF(LEFT($B691,3)=$Z$2,VLOOKUP($C691,Outbound!$B:$AAZ,6,FALSE),VLOOKUP($B691,Outbound!$B:$AAZ,6,FALSE)),"NON TROVATO"),"")</f>
        <v/>
      </c>
      <c r="I691" s="394" t="str">
        <f>IF(B691&lt;&gt;"",IFERROR(IF(LEFT($B691,3)=$Z$2,VLOOKUP($C691,Outbound!$B:$AAZ,52,FALSE),VLOOKUP($B691,Outbound!$B:$AAZ,52,FALSE)),"NON TROVATO"),"")</f>
        <v/>
      </c>
      <c r="J691" s="396"/>
      <c r="K691" s="387" t="str">
        <f>IF(B691&lt;&gt;"",IF($D691&lt;&gt;"ON ROCS/NOT ON FILE",IFERROR(_xlfn.XLOOKUP(LEFT($D691,3),'STAT 77 Table'!$B:$B,'STAT 77 Table'!$A:$A),"ZZ"&amp;RIGHT($B691,4)),""),"")</f>
        <v/>
      </c>
      <c r="L691" s="396"/>
      <c r="O691" s="388"/>
      <c r="P691" s="388"/>
      <c r="AA691" s="421">
        <f t="shared" si="10"/>
        <v>0</v>
      </c>
    </row>
    <row r="692" spans="1:27" ht="16.5">
      <c r="A692" s="387">
        <f>'STAT 77 Table'!$I$691</f>
        <v>0</v>
      </c>
      <c r="B692"/>
      <c r="C692"/>
      <c r="D692" s="387" t="str">
        <f>IF($B692&lt;&gt;"",IFERROR(IF(LEFT($B692,3)=$Z$2,VLOOKUP($C692,Outbound!$B:$Z,4,FALSE),VLOOKUP($B692,Outbound!$B:$Z,4,FALSE)),"ON ROCS/NOT ON FILE"),"")</f>
        <v/>
      </c>
      <c r="E692" s="387" t="str">
        <f>IF($B692&lt;&gt;"",IFERROR(IF(LEFT($B692,4)=$Z$2,VLOOKUP($C692,Outbound!$B:$Z,5,FALSE),VLOOKUP($B692,Outbound!$B:$Z,5,FALSE)),"ON ROCS/NOT ON FILE"),"")</f>
        <v/>
      </c>
      <c r="F692" s="387" t="str">
        <f>IF(B692&lt;&gt;"",IFERROR(IF(LEFT($B692,3)=$Z$2,VLOOKUP($C692,Outbound!$B:$Z,11,FALSE),VLOOKUP($B692,Outbound!$B:$Z,11,FALSE)),"NON TROVATO"),"")</f>
        <v/>
      </c>
      <c r="G692" s="394" t="str">
        <f>IF(B692&lt;&gt;"",IFERROR(IF(LEFT($B692,3)=$Z$2,VLOOKUP($C692,Outbound!$B:$AAZ,16,FALSE),VLOOKUP($B692,Outbound!$B:$AAZ,16,FALSE)),"NON TROVATO"),"")</f>
        <v/>
      </c>
      <c r="H692" s="394" t="str">
        <f>IF(B692&lt;&gt;"",IFERROR(IF(LEFT($B692,3)=$Z$2,VLOOKUP($C692,Outbound!$B:$AAZ,6,FALSE),VLOOKUP($B692,Outbound!$B:$AAZ,6,FALSE)),"NON TROVATO"),"")</f>
        <v/>
      </c>
      <c r="I692" s="394" t="str">
        <f>IF(B692&lt;&gt;"",IFERROR(IF(LEFT($B692,3)=$Z$2,VLOOKUP($C692,Outbound!$B:$AAZ,52,FALSE),VLOOKUP($B692,Outbound!$B:$AAZ,52,FALSE)),"NON TROVATO"),"")</f>
        <v/>
      </c>
      <c r="J692" s="396"/>
      <c r="K692" s="387" t="str">
        <f>IF(B692&lt;&gt;"",IF($D692&lt;&gt;"ON ROCS/NOT ON FILE",IFERROR(_xlfn.XLOOKUP(LEFT($D692,3),'STAT 77 Table'!$B:$B,'STAT 77 Table'!$A:$A),"ZZ"&amp;RIGHT($B692,4)),""),"")</f>
        <v/>
      </c>
      <c r="L692" s="396"/>
      <c r="O692" s="388"/>
      <c r="P692" s="388"/>
      <c r="AA692" s="421">
        <f t="shared" si="10"/>
        <v>0</v>
      </c>
    </row>
    <row r="693" spans="1:27" ht="16.5">
      <c r="A693" s="387">
        <f>'STAT 77 Table'!$I$692</f>
        <v>0</v>
      </c>
      <c r="B693"/>
      <c r="C693"/>
      <c r="D693" s="387" t="str">
        <f>IF($B693&lt;&gt;"",IFERROR(IF(LEFT($B693,3)=$Z$2,VLOOKUP($C693,Outbound!$B:$Z,4,FALSE),VLOOKUP($B693,Outbound!$B:$Z,4,FALSE)),"ON ROCS/NOT ON FILE"),"")</f>
        <v/>
      </c>
      <c r="E693" s="387" t="str">
        <f>IF($B693&lt;&gt;"",IFERROR(IF(LEFT($B693,4)=$Z$2,VLOOKUP($C693,Outbound!$B:$Z,5,FALSE),VLOOKUP($B693,Outbound!$B:$Z,5,FALSE)),"ON ROCS/NOT ON FILE"),"")</f>
        <v/>
      </c>
      <c r="F693" s="387" t="str">
        <f>IF(B693&lt;&gt;"",IFERROR(IF(LEFT($B693,3)=$Z$2,VLOOKUP($C693,Outbound!$B:$Z,11,FALSE),VLOOKUP($B693,Outbound!$B:$Z,11,FALSE)),"NON TROVATO"),"")</f>
        <v/>
      </c>
      <c r="G693" s="394" t="str">
        <f>IF(B693&lt;&gt;"",IFERROR(IF(LEFT($B693,3)=$Z$2,VLOOKUP($C693,Outbound!$B:$AAZ,16,FALSE),VLOOKUP($B693,Outbound!$B:$AAZ,16,FALSE)),"NON TROVATO"),"")</f>
        <v/>
      </c>
      <c r="H693" s="394" t="str">
        <f>IF(B693&lt;&gt;"",IFERROR(IF(LEFT($B693,3)=$Z$2,VLOOKUP($C693,Outbound!$B:$AAZ,6,FALSE),VLOOKUP($B693,Outbound!$B:$AAZ,6,FALSE)),"NON TROVATO"),"")</f>
        <v/>
      </c>
      <c r="I693" s="394" t="str">
        <f>IF(B693&lt;&gt;"",IFERROR(IF(LEFT($B693,3)=$Z$2,VLOOKUP($C693,Outbound!$B:$AAZ,52,FALSE),VLOOKUP($B693,Outbound!$B:$AAZ,52,FALSE)),"NON TROVATO"),"")</f>
        <v/>
      </c>
      <c r="J693" s="396"/>
      <c r="K693" s="387" t="str">
        <f>IF(B693&lt;&gt;"",IF($D693&lt;&gt;"ON ROCS/NOT ON FILE",IFERROR(_xlfn.XLOOKUP(LEFT($D693,3),'STAT 77 Table'!$B:$B,'STAT 77 Table'!$A:$A),"ZZ"&amp;RIGHT($B693,4)),""),"")</f>
        <v/>
      </c>
      <c r="L693" s="396"/>
      <c r="O693" s="388"/>
      <c r="P693" s="388"/>
      <c r="AA693" s="421">
        <f t="shared" si="10"/>
        <v>0</v>
      </c>
    </row>
    <row r="694" spans="1:27" ht="16.5">
      <c r="A694" s="387">
        <f>'STAT 77 Table'!$I$693</f>
        <v>0</v>
      </c>
      <c r="B694"/>
      <c r="C694"/>
      <c r="D694" s="387" t="str">
        <f>IF($B694&lt;&gt;"",IFERROR(IF(LEFT($B694,3)=$Z$2,VLOOKUP($C694,Outbound!$B:$Z,4,FALSE),VLOOKUP($B694,Outbound!$B:$Z,4,FALSE)),"ON ROCS/NOT ON FILE"),"")</f>
        <v/>
      </c>
      <c r="E694" s="387" t="str">
        <f>IF($B694&lt;&gt;"",IFERROR(IF(LEFT($B694,4)=$Z$2,VLOOKUP($C694,Outbound!$B:$Z,5,FALSE),VLOOKUP($B694,Outbound!$B:$Z,5,FALSE)),"ON ROCS/NOT ON FILE"),"")</f>
        <v/>
      </c>
      <c r="F694" s="387" t="str">
        <f>IF(B694&lt;&gt;"",IFERROR(IF(LEFT($B694,3)=$Z$2,VLOOKUP($C694,Outbound!$B:$Z,11,FALSE),VLOOKUP($B694,Outbound!$B:$Z,11,FALSE)),"NON TROVATO"),"")</f>
        <v/>
      </c>
      <c r="G694" s="394" t="str">
        <f>IF(B694&lt;&gt;"",IFERROR(IF(LEFT($B694,3)=$Z$2,VLOOKUP($C694,Outbound!$B:$AAZ,16,FALSE),VLOOKUP($B694,Outbound!$B:$AAZ,16,FALSE)),"NON TROVATO"),"")</f>
        <v/>
      </c>
      <c r="H694" s="394" t="str">
        <f>IF(B694&lt;&gt;"",IFERROR(IF(LEFT($B694,3)=$Z$2,VLOOKUP($C694,Outbound!$B:$AAZ,6,FALSE),VLOOKUP($B694,Outbound!$B:$AAZ,6,FALSE)),"NON TROVATO"),"")</f>
        <v/>
      </c>
      <c r="I694" s="394" t="str">
        <f>IF(B694&lt;&gt;"",IFERROR(IF(LEFT($B694,3)=$Z$2,VLOOKUP($C694,Outbound!$B:$AAZ,52,FALSE),VLOOKUP($B694,Outbound!$B:$AAZ,52,FALSE)),"NON TROVATO"),"")</f>
        <v/>
      </c>
      <c r="J694" s="396"/>
      <c r="K694" s="387" t="str">
        <f>IF(B694&lt;&gt;"",IF($D694&lt;&gt;"ON ROCS/NOT ON FILE",IFERROR(_xlfn.XLOOKUP(LEFT($D694,3),'STAT 77 Table'!$B:$B,'STAT 77 Table'!$A:$A),"ZZ"&amp;RIGHT($B694,4)),""),"")</f>
        <v/>
      </c>
      <c r="L694" s="396"/>
      <c r="O694" s="388"/>
      <c r="P694" s="388"/>
      <c r="AA694" s="421">
        <f t="shared" si="10"/>
        <v>0</v>
      </c>
    </row>
    <row r="695" spans="1:27" ht="16.5">
      <c r="A695" s="387">
        <f>'STAT 77 Table'!$I$694</f>
        <v>0</v>
      </c>
      <c r="B695"/>
      <c r="C695"/>
      <c r="D695" s="387" t="str">
        <f>IF($B695&lt;&gt;"",IFERROR(IF(LEFT($B695,3)=$Z$2,VLOOKUP($C695,Outbound!$B:$Z,4,FALSE),VLOOKUP($B695,Outbound!$B:$Z,4,FALSE)),"ON ROCS/NOT ON FILE"),"")</f>
        <v/>
      </c>
      <c r="E695" s="387" t="str">
        <f>IF($B695&lt;&gt;"",IFERROR(IF(LEFT($B695,4)=$Z$2,VLOOKUP($C695,Outbound!$B:$Z,5,FALSE),VLOOKUP($B695,Outbound!$B:$Z,5,FALSE)),"ON ROCS/NOT ON FILE"),"")</f>
        <v/>
      </c>
      <c r="F695" s="387" t="str">
        <f>IF(B695&lt;&gt;"",IFERROR(IF(LEFT($B695,3)=$Z$2,VLOOKUP($C695,Outbound!$B:$Z,11,FALSE),VLOOKUP($B695,Outbound!$B:$Z,11,FALSE)),"NON TROVATO"),"")</f>
        <v/>
      </c>
      <c r="G695" s="394" t="str">
        <f>IF(B695&lt;&gt;"",IFERROR(IF(LEFT($B695,3)=$Z$2,VLOOKUP($C695,Outbound!$B:$AAZ,16,FALSE),VLOOKUP($B695,Outbound!$B:$AAZ,16,FALSE)),"NON TROVATO"),"")</f>
        <v/>
      </c>
      <c r="H695" s="394" t="str">
        <f>IF(B695&lt;&gt;"",IFERROR(IF(LEFT($B695,3)=$Z$2,VLOOKUP($C695,Outbound!$B:$AAZ,6,FALSE),VLOOKUP($B695,Outbound!$B:$AAZ,6,FALSE)),"NON TROVATO"),"")</f>
        <v/>
      </c>
      <c r="I695" s="394" t="str">
        <f>IF(B695&lt;&gt;"",IFERROR(IF(LEFT($B695,3)=$Z$2,VLOOKUP($C695,Outbound!$B:$AAZ,52,FALSE),VLOOKUP($B695,Outbound!$B:$AAZ,52,FALSE)),"NON TROVATO"),"")</f>
        <v/>
      </c>
      <c r="J695" s="396"/>
      <c r="K695" s="387" t="str">
        <f>IF(B695&lt;&gt;"",IF($D695&lt;&gt;"ON ROCS/NOT ON FILE",IFERROR(_xlfn.XLOOKUP(LEFT($D695,3),'STAT 77 Table'!$B:$B,'STAT 77 Table'!$A:$A),"ZZ"&amp;RIGHT($B695,4)),""),"")</f>
        <v/>
      </c>
      <c r="L695" s="396"/>
      <c r="O695" s="388"/>
      <c r="P695" s="388"/>
      <c r="AA695" s="421">
        <f t="shared" si="10"/>
        <v>0</v>
      </c>
    </row>
    <row r="696" spans="1:27" ht="16.5">
      <c r="A696" s="387">
        <f>'STAT 77 Table'!$I$695</f>
        <v>0</v>
      </c>
      <c r="B696"/>
      <c r="C696"/>
      <c r="D696" s="387" t="str">
        <f>IF($B696&lt;&gt;"",IFERROR(IF(LEFT($B696,3)=$Z$2,VLOOKUP($C696,Outbound!$B:$Z,4,FALSE),VLOOKUP($B696,Outbound!$B:$Z,4,FALSE)),"ON ROCS/NOT ON FILE"),"")</f>
        <v/>
      </c>
      <c r="E696" s="387" t="str">
        <f>IF($B696&lt;&gt;"",IFERROR(IF(LEFT($B696,4)=$Z$2,VLOOKUP($C696,Outbound!$B:$Z,5,FALSE),VLOOKUP($B696,Outbound!$B:$Z,5,FALSE)),"ON ROCS/NOT ON FILE"),"")</f>
        <v/>
      </c>
      <c r="F696" s="387" t="str">
        <f>IF(B696&lt;&gt;"",IFERROR(IF(LEFT($B696,3)=$Z$2,VLOOKUP($C696,Outbound!$B:$Z,11,FALSE),VLOOKUP($B696,Outbound!$B:$Z,11,FALSE)),"NON TROVATO"),"")</f>
        <v/>
      </c>
      <c r="G696" s="394" t="str">
        <f>IF(B696&lt;&gt;"",IFERROR(IF(LEFT($B696,3)=$Z$2,VLOOKUP($C696,Outbound!$B:$AAZ,16,FALSE),VLOOKUP($B696,Outbound!$B:$AAZ,16,FALSE)),"NON TROVATO"),"")</f>
        <v/>
      </c>
      <c r="H696" s="394" t="str">
        <f>IF(B696&lt;&gt;"",IFERROR(IF(LEFT($B696,3)=$Z$2,VLOOKUP($C696,Outbound!$B:$AAZ,6,FALSE),VLOOKUP($B696,Outbound!$B:$AAZ,6,FALSE)),"NON TROVATO"),"")</f>
        <v/>
      </c>
      <c r="I696" s="394" t="str">
        <f>IF(B696&lt;&gt;"",IFERROR(IF(LEFT($B696,3)=$Z$2,VLOOKUP($C696,Outbound!$B:$AAZ,52,FALSE),VLOOKUP($B696,Outbound!$B:$AAZ,52,FALSE)),"NON TROVATO"),"")</f>
        <v/>
      </c>
      <c r="J696" s="396"/>
      <c r="K696" s="387" t="str">
        <f>IF(B696&lt;&gt;"",IF($D696&lt;&gt;"ON ROCS/NOT ON FILE",IFERROR(_xlfn.XLOOKUP(LEFT($D696,3),'STAT 77 Table'!$B:$B,'STAT 77 Table'!$A:$A),"ZZ"&amp;RIGHT($B696,4)),""),"")</f>
        <v/>
      </c>
      <c r="L696" s="396"/>
      <c r="O696" s="388"/>
      <c r="P696" s="388"/>
      <c r="AA696" s="421">
        <f t="shared" si="10"/>
        <v>0</v>
      </c>
    </row>
    <row r="697" spans="1:27" ht="16.5">
      <c r="A697" s="387">
        <f>'STAT 77 Table'!$I$696</f>
        <v>0</v>
      </c>
      <c r="B697"/>
      <c r="C697"/>
      <c r="D697" s="387" t="str">
        <f>IF($B697&lt;&gt;"",IFERROR(IF(LEFT($B697,3)=$Z$2,VLOOKUP($C697,Outbound!$B:$Z,4,FALSE),VLOOKUP($B697,Outbound!$B:$Z,4,FALSE)),"ON ROCS/NOT ON FILE"),"")</f>
        <v/>
      </c>
      <c r="E697" s="387" t="str">
        <f>IF($B697&lt;&gt;"",IFERROR(IF(LEFT($B697,4)=$Z$2,VLOOKUP($C697,Outbound!$B:$Z,5,FALSE),VLOOKUP($B697,Outbound!$B:$Z,5,FALSE)),"ON ROCS/NOT ON FILE"),"")</f>
        <v/>
      </c>
      <c r="F697" s="387" t="str">
        <f>IF(B697&lt;&gt;"",IFERROR(IF(LEFT($B697,3)=$Z$2,VLOOKUP($C697,Outbound!$B:$Z,11,FALSE),VLOOKUP($B697,Outbound!$B:$Z,11,FALSE)),"NON TROVATO"),"")</f>
        <v/>
      </c>
      <c r="G697" s="394" t="str">
        <f>IF(B697&lt;&gt;"",IFERROR(IF(LEFT($B697,3)=$Z$2,VLOOKUP($C697,Outbound!$B:$AAZ,16,FALSE),VLOOKUP($B697,Outbound!$B:$AAZ,16,FALSE)),"NON TROVATO"),"")</f>
        <v/>
      </c>
      <c r="H697" s="394" t="str">
        <f>IF(B697&lt;&gt;"",IFERROR(IF(LEFT($B697,3)=$Z$2,VLOOKUP($C697,Outbound!$B:$AAZ,6,FALSE),VLOOKUP($B697,Outbound!$B:$AAZ,6,FALSE)),"NON TROVATO"),"")</f>
        <v/>
      </c>
      <c r="I697" s="394" t="str">
        <f>IF(B697&lt;&gt;"",IFERROR(IF(LEFT($B697,3)=$Z$2,VLOOKUP($C697,Outbound!$B:$AAZ,52,FALSE),VLOOKUP($B697,Outbound!$B:$AAZ,52,FALSE)),"NON TROVATO"),"")</f>
        <v/>
      </c>
      <c r="J697" s="396"/>
      <c r="K697" s="387" t="str">
        <f>IF(B697&lt;&gt;"",IF($D697&lt;&gt;"ON ROCS/NOT ON FILE",IFERROR(_xlfn.XLOOKUP(LEFT($D697,3),'STAT 77 Table'!$B:$B,'STAT 77 Table'!$A:$A),"ZZ"&amp;RIGHT($B697,4)),""),"")</f>
        <v/>
      </c>
      <c r="L697" s="396"/>
      <c r="O697" s="388"/>
      <c r="P697" s="388"/>
      <c r="AA697" s="421">
        <f t="shared" si="10"/>
        <v>0</v>
      </c>
    </row>
    <row r="698" spans="1:27" ht="16.5">
      <c r="A698" s="387">
        <f>'STAT 77 Table'!$I$697</f>
        <v>0</v>
      </c>
      <c r="B698"/>
      <c r="C698"/>
      <c r="D698" s="387" t="str">
        <f>IF($B698&lt;&gt;"",IFERROR(IF(LEFT($B698,3)=$Z$2,VLOOKUP($C698,Outbound!$B:$Z,4,FALSE),VLOOKUP($B698,Outbound!$B:$Z,4,FALSE)),"ON ROCS/NOT ON FILE"),"")</f>
        <v/>
      </c>
      <c r="E698" s="387" t="str">
        <f>IF($B698&lt;&gt;"",IFERROR(IF(LEFT($B698,4)=$Z$2,VLOOKUP($C698,Outbound!$B:$Z,5,FALSE),VLOOKUP($B698,Outbound!$B:$Z,5,FALSE)),"ON ROCS/NOT ON FILE"),"")</f>
        <v/>
      </c>
      <c r="F698" s="387" t="str">
        <f>IF(B698&lt;&gt;"",IFERROR(IF(LEFT($B698,3)=$Z$2,VLOOKUP($C698,Outbound!$B:$Z,11,FALSE),VLOOKUP($B698,Outbound!$B:$Z,11,FALSE)),"NON TROVATO"),"")</f>
        <v/>
      </c>
      <c r="G698" s="394" t="str">
        <f>IF(B698&lt;&gt;"",IFERROR(IF(LEFT($B698,3)=$Z$2,VLOOKUP($C698,Outbound!$B:$AAZ,16,FALSE),VLOOKUP($B698,Outbound!$B:$AAZ,16,FALSE)),"NON TROVATO"),"")</f>
        <v/>
      </c>
      <c r="H698" s="394" t="str">
        <f>IF(B698&lt;&gt;"",IFERROR(IF(LEFT($B698,3)=$Z$2,VLOOKUP($C698,Outbound!$B:$AAZ,6,FALSE),VLOOKUP($B698,Outbound!$B:$AAZ,6,FALSE)),"NON TROVATO"),"")</f>
        <v/>
      </c>
      <c r="I698" s="394" t="str">
        <f>IF(B698&lt;&gt;"",IFERROR(IF(LEFT($B698,3)=$Z$2,VLOOKUP($C698,Outbound!$B:$AAZ,52,FALSE),VLOOKUP($B698,Outbound!$B:$AAZ,52,FALSE)),"NON TROVATO"),"")</f>
        <v/>
      </c>
      <c r="J698" s="396"/>
      <c r="K698" s="387" t="str">
        <f>IF(B698&lt;&gt;"",IF($D698&lt;&gt;"ON ROCS/NOT ON FILE",IFERROR(_xlfn.XLOOKUP(LEFT($D698,3),'STAT 77 Table'!$B:$B,'STAT 77 Table'!$A:$A),"ZZ"&amp;RIGHT($B698,4)),""),"")</f>
        <v/>
      </c>
      <c r="L698" s="396"/>
      <c r="O698" s="388"/>
      <c r="P698" s="388"/>
      <c r="AA698" s="421">
        <f t="shared" si="10"/>
        <v>0</v>
      </c>
    </row>
    <row r="699" spans="1:27" ht="16.5">
      <c r="A699" s="387">
        <f>'STAT 77 Table'!$I$698</f>
        <v>0</v>
      </c>
      <c r="B699"/>
      <c r="C699"/>
      <c r="D699" s="387" t="str">
        <f>IF($B699&lt;&gt;"",IFERROR(IF(LEFT($B699,3)=$Z$2,VLOOKUP($C699,Outbound!$B:$Z,4,FALSE),VLOOKUP($B699,Outbound!$B:$Z,4,FALSE)),"ON ROCS/NOT ON FILE"),"")</f>
        <v/>
      </c>
      <c r="E699" s="387" t="str">
        <f>IF($B699&lt;&gt;"",IFERROR(IF(LEFT($B699,4)=$Z$2,VLOOKUP($C699,Outbound!$B:$Z,5,FALSE),VLOOKUP($B699,Outbound!$B:$Z,5,FALSE)),"ON ROCS/NOT ON FILE"),"")</f>
        <v/>
      </c>
      <c r="F699" s="387" t="str">
        <f>IF(B699&lt;&gt;"",IFERROR(IF(LEFT($B699,3)=$Z$2,VLOOKUP($C699,Outbound!$B:$Z,11,FALSE),VLOOKUP($B699,Outbound!$B:$Z,11,FALSE)),"NON TROVATO"),"")</f>
        <v/>
      </c>
      <c r="G699" s="394" t="str">
        <f>IF(B699&lt;&gt;"",IFERROR(IF(LEFT($B699,3)=$Z$2,VLOOKUP($C699,Outbound!$B:$AAZ,16,FALSE),VLOOKUP($B699,Outbound!$B:$AAZ,16,FALSE)),"NON TROVATO"),"")</f>
        <v/>
      </c>
      <c r="H699" s="394" t="str">
        <f>IF(B699&lt;&gt;"",IFERROR(IF(LEFT($B699,3)=$Z$2,VLOOKUP($C699,Outbound!$B:$AAZ,6,FALSE),VLOOKUP($B699,Outbound!$B:$AAZ,6,FALSE)),"NON TROVATO"),"")</f>
        <v/>
      </c>
      <c r="I699" s="394" t="str">
        <f>IF(B699&lt;&gt;"",IFERROR(IF(LEFT($B699,3)=$Z$2,VLOOKUP($C699,Outbound!$B:$AAZ,52,FALSE),VLOOKUP($B699,Outbound!$B:$AAZ,52,FALSE)),"NON TROVATO"),"")</f>
        <v/>
      </c>
      <c r="J699" s="396"/>
      <c r="K699" s="387" t="str">
        <f>IF(B699&lt;&gt;"",IF($D699&lt;&gt;"ON ROCS/NOT ON FILE",IFERROR(_xlfn.XLOOKUP(LEFT($D699,3),'STAT 77 Table'!$B:$B,'STAT 77 Table'!$A:$A),"ZZ"&amp;RIGHT($B699,4)),""),"")</f>
        <v/>
      </c>
      <c r="L699" s="396"/>
      <c r="O699" s="388"/>
      <c r="P699" s="388"/>
      <c r="AA699" s="421">
        <f t="shared" si="10"/>
        <v>0</v>
      </c>
    </row>
    <row r="700" spans="1:27" ht="16.5">
      <c r="A700" s="387">
        <f>'STAT 77 Table'!$I$699</f>
        <v>0</v>
      </c>
      <c r="B700"/>
      <c r="C700"/>
      <c r="D700" s="387" t="str">
        <f>IF($B700&lt;&gt;"",IFERROR(IF(LEFT($B700,3)=$Z$2,VLOOKUP($C700,Outbound!$B:$Z,4,FALSE),VLOOKUP($B700,Outbound!$B:$Z,4,FALSE)),"ON ROCS/NOT ON FILE"),"")</f>
        <v/>
      </c>
      <c r="E700" s="387" t="str">
        <f>IF($B700&lt;&gt;"",IFERROR(IF(LEFT($B700,4)=$Z$2,VLOOKUP($C700,Outbound!$B:$Z,5,FALSE),VLOOKUP($B700,Outbound!$B:$Z,5,FALSE)),"ON ROCS/NOT ON FILE"),"")</f>
        <v/>
      </c>
      <c r="F700" s="387" t="str">
        <f>IF(B700&lt;&gt;"",IFERROR(IF(LEFT($B700,3)=$Z$2,VLOOKUP($C700,Outbound!$B:$Z,11,FALSE),VLOOKUP($B700,Outbound!$B:$Z,11,FALSE)),"NON TROVATO"),"")</f>
        <v/>
      </c>
      <c r="G700" s="394" t="str">
        <f>IF(B700&lt;&gt;"",IFERROR(IF(LEFT($B700,3)=$Z$2,VLOOKUP($C700,Outbound!$B:$AAZ,16,FALSE),VLOOKUP($B700,Outbound!$B:$AAZ,16,FALSE)),"NON TROVATO"),"")</f>
        <v/>
      </c>
      <c r="H700" s="394" t="str">
        <f>IF(B700&lt;&gt;"",IFERROR(IF(LEFT($B700,3)=$Z$2,VLOOKUP($C700,Outbound!$B:$AAZ,6,FALSE),VLOOKUP($B700,Outbound!$B:$AAZ,6,FALSE)),"NON TROVATO"),"")</f>
        <v/>
      </c>
      <c r="I700" s="394" t="str">
        <f>IF(B700&lt;&gt;"",IFERROR(IF(LEFT($B700,3)=$Z$2,VLOOKUP($C700,Outbound!$B:$AAZ,52,FALSE),VLOOKUP($B700,Outbound!$B:$AAZ,52,FALSE)),"NON TROVATO"),"")</f>
        <v/>
      </c>
      <c r="J700" s="396"/>
      <c r="K700" s="387" t="str">
        <f>IF(B700&lt;&gt;"",IF($D700&lt;&gt;"ON ROCS/NOT ON FILE",IFERROR(_xlfn.XLOOKUP(LEFT($D700,3),'STAT 77 Table'!$B:$B,'STAT 77 Table'!$A:$A),"ZZ"&amp;RIGHT($B700,4)),""),"")</f>
        <v/>
      </c>
      <c r="L700" s="396"/>
      <c r="O700" s="388"/>
      <c r="P700" s="388"/>
      <c r="AA700" s="421">
        <f t="shared" si="10"/>
        <v>0</v>
      </c>
    </row>
    <row r="701" spans="1:27" ht="16.5">
      <c r="A701" s="387">
        <f>'STAT 77 Table'!$I$700</f>
        <v>0</v>
      </c>
      <c r="B701"/>
      <c r="C701"/>
      <c r="D701" s="387" t="str">
        <f>IF($B701&lt;&gt;"",IFERROR(IF(LEFT($B701,3)=$Z$2,VLOOKUP($C701,Outbound!$B:$Z,4,FALSE),VLOOKUP($B701,Outbound!$B:$Z,4,FALSE)),"ON ROCS/NOT ON FILE"),"")</f>
        <v/>
      </c>
      <c r="E701" s="387" t="str">
        <f>IF($B701&lt;&gt;"",IFERROR(IF(LEFT($B701,4)=$Z$2,VLOOKUP($C701,Outbound!$B:$Z,5,FALSE),VLOOKUP($B701,Outbound!$B:$Z,5,FALSE)),"ON ROCS/NOT ON FILE"),"")</f>
        <v/>
      </c>
      <c r="F701" s="387" t="str">
        <f>IF(B701&lt;&gt;"",IFERROR(IF(LEFT($B701,3)=$Z$2,VLOOKUP($C701,Outbound!$B:$Z,11,FALSE),VLOOKUP($B701,Outbound!$B:$Z,11,FALSE)),"NON TROVATO"),"")</f>
        <v/>
      </c>
      <c r="G701" s="394" t="str">
        <f>IF(B701&lt;&gt;"",IFERROR(IF(LEFT($B701,3)=$Z$2,VLOOKUP($C701,Outbound!$B:$AAZ,16,FALSE),VLOOKUP($B701,Outbound!$B:$AAZ,16,FALSE)),"NON TROVATO"),"")</f>
        <v/>
      </c>
      <c r="H701" s="394" t="str">
        <f>IF(B701&lt;&gt;"",IFERROR(IF(LEFT($B701,3)=$Z$2,VLOOKUP($C701,Outbound!$B:$AAZ,6,FALSE),VLOOKUP($B701,Outbound!$B:$AAZ,6,FALSE)),"NON TROVATO"),"")</f>
        <v/>
      </c>
      <c r="I701" s="394" t="str">
        <f>IF(B701&lt;&gt;"",IFERROR(IF(LEFT($B701,3)=$Z$2,VLOOKUP($C701,Outbound!$B:$AAZ,52,FALSE),VLOOKUP($B701,Outbound!$B:$AAZ,52,FALSE)),"NON TROVATO"),"")</f>
        <v/>
      </c>
      <c r="J701" s="396"/>
      <c r="K701" s="387" t="str">
        <f>IF(B701&lt;&gt;"",IF($D701&lt;&gt;"ON ROCS/NOT ON FILE",IFERROR(_xlfn.XLOOKUP(LEFT($D701,3),'STAT 77 Table'!$B:$B,'STAT 77 Table'!$A:$A),"ZZ"&amp;RIGHT($B701,4)),""),"")</f>
        <v/>
      </c>
      <c r="L701" s="396"/>
      <c r="O701" s="388"/>
      <c r="P701" s="388"/>
      <c r="AA701" s="421">
        <f t="shared" si="10"/>
        <v>0</v>
      </c>
    </row>
    <row r="702" spans="1:27" ht="16.5">
      <c r="A702" s="387">
        <f>'STAT 77 Table'!$I$701</f>
        <v>0</v>
      </c>
      <c r="B702"/>
      <c r="C702"/>
      <c r="D702" s="387" t="str">
        <f>IF($B702&lt;&gt;"",IFERROR(IF(LEFT($B702,3)=$Z$2,VLOOKUP($C702,Outbound!$B:$Z,4,FALSE),VLOOKUP($B702,Outbound!$B:$Z,4,FALSE)),"ON ROCS/NOT ON FILE"),"")</f>
        <v/>
      </c>
      <c r="E702" s="387" t="str">
        <f>IF($B702&lt;&gt;"",IFERROR(IF(LEFT($B702,4)=$Z$2,VLOOKUP($C702,Outbound!$B:$Z,5,FALSE),VLOOKUP($B702,Outbound!$B:$Z,5,FALSE)),"ON ROCS/NOT ON FILE"),"")</f>
        <v/>
      </c>
      <c r="F702" s="387" t="str">
        <f>IF(B702&lt;&gt;"",IFERROR(IF(LEFT($B702,3)=$Z$2,VLOOKUP($C702,Outbound!$B:$Z,11,FALSE),VLOOKUP($B702,Outbound!$B:$Z,11,FALSE)),"NON TROVATO"),"")</f>
        <v/>
      </c>
      <c r="G702" s="394" t="str">
        <f>IF(B702&lt;&gt;"",IFERROR(IF(LEFT($B702,3)=$Z$2,VLOOKUP($C702,Outbound!$B:$AAZ,16,FALSE),VLOOKUP($B702,Outbound!$B:$AAZ,16,FALSE)),"NON TROVATO"),"")</f>
        <v/>
      </c>
      <c r="H702" s="394" t="str">
        <f>IF(B702&lt;&gt;"",IFERROR(IF(LEFT($B702,3)=$Z$2,VLOOKUP($C702,Outbound!$B:$AAZ,6,FALSE),VLOOKUP($B702,Outbound!$B:$AAZ,6,FALSE)),"NON TROVATO"),"")</f>
        <v/>
      </c>
      <c r="I702" s="394" t="str">
        <f>IF(B702&lt;&gt;"",IFERROR(IF(LEFT($B702,3)=$Z$2,VLOOKUP($C702,Outbound!$B:$AAZ,52,FALSE),VLOOKUP($B702,Outbound!$B:$AAZ,52,FALSE)),"NON TROVATO"),"")</f>
        <v/>
      </c>
      <c r="J702" s="396"/>
      <c r="K702" s="387" t="str">
        <f>IF(B702&lt;&gt;"",IF($D702&lt;&gt;"ON ROCS/NOT ON FILE",IFERROR(_xlfn.XLOOKUP(LEFT($D702,3),'STAT 77 Table'!$B:$B,'STAT 77 Table'!$A:$A),"ZZ"&amp;RIGHT($B702,4)),""),"")</f>
        <v/>
      </c>
      <c r="L702" s="396"/>
      <c r="O702" s="388"/>
      <c r="P702" s="388"/>
      <c r="AA702" s="421">
        <f t="shared" si="10"/>
        <v>0</v>
      </c>
    </row>
    <row r="703" spans="1:27" ht="16.5">
      <c r="A703" s="387">
        <f>'STAT 77 Table'!$I$702</f>
        <v>0</v>
      </c>
      <c r="B703"/>
      <c r="C703"/>
      <c r="D703" s="387" t="str">
        <f>IF($B703&lt;&gt;"",IFERROR(IF(LEFT($B703,3)=$Z$2,VLOOKUP($C703,Outbound!$B:$Z,4,FALSE),VLOOKUP($B703,Outbound!$B:$Z,4,FALSE)),"ON ROCS/NOT ON FILE"),"")</f>
        <v/>
      </c>
      <c r="E703" s="387" t="str">
        <f>IF($B703&lt;&gt;"",IFERROR(IF(LEFT($B703,4)=$Z$2,VLOOKUP($C703,Outbound!$B:$Z,5,FALSE),VLOOKUP($B703,Outbound!$B:$Z,5,FALSE)),"ON ROCS/NOT ON FILE"),"")</f>
        <v/>
      </c>
      <c r="F703" s="387" t="str">
        <f>IF(B703&lt;&gt;"",IFERROR(IF(LEFT($B703,3)=$Z$2,VLOOKUP($C703,Outbound!$B:$Z,11,FALSE),VLOOKUP($B703,Outbound!$B:$Z,11,FALSE)),"NON TROVATO"),"")</f>
        <v/>
      </c>
      <c r="G703" s="394" t="str">
        <f>IF(B703&lt;&gt;"",IFERROR(IF(LEFT($B703,3)=$Z$2,VLOOKUP($C703,Outbound!$B:$AAZ,16,FALSE),VLOOKUP($B703,Outbound!$B:$AAZ,16,FALSE)),"NON TROVATO"),"")</f>
        <v/>
      </c>
      <c r="H703" s="394" t="str">
        <f>IF(B703&lt;&gt;"",IFERROR(IF(LEFT($B703,3)=$Z$2,VLOOKUP($C703,Outbound!$B:$AAZ,6,FALSE),VLOOKUP($B703,Outbound!$B:$AAZ,6,FALSE)),"NON TROVATO"),"")</f>
        <v/>
      </c>
      <c r="I703" s="394" t="str">
        <f>IF(B703&lt;&gt;"",IFERROR(IF(LEFT($B703,3)=$Z$2,VLOOKUP($C703,Outbound!$B:$AAZ,52,FALSE),VLOOKUP($B703,Outbound!$B:$AAZ,52,FALSE)),"NON TROVATO"),"")</f>
        <v/>
      </c>
      <c r="J703" s="396"/>
      <c r="K703" s="387" t="str">
        <f>IF(B703&lt;&gt;"",IF($D703&lt;&gt;"ON ROCS/NOT ON FILE",IFERROR(_xlfn.XLOOKUP(LEFT($D703,3),'STAT 77 Table'!$B:$B,'STAT 77 Table'!$A:$A),"ZZ"&amp;RIGHT($B703,4)),""),"")</f>
        <v/>
      </c>
      <c r="L703" s="396"/>
      <c r="O703" s="388"/>
      <c r="P703" s="388"/>
      <c r="AA703" s="421">
        <f t="shared" si="10"/>
        <v>0</v>
      </c>
    </row>
    <row r="704" spans="1:27" ht="16.5">
      <c r="A704" s="387">
        <f>'STAT 77 Table'!$I$703</f>
        <v>0</v>
      </c>
      <c r="B704"/>
      <c r="C704"/>
      <c r="D704" s="387" t="str">
        <f>IF($B704&lt;&gt;"",IFERROR(IF(LEFT($B704,3)=$Z$2,VLOOKUP($C704,Outbound!$B:$Z,4,FALSE),VLOOKUP($B704,Outbound!$B:$Z,4,FALSE)),"ON ROCS/NOT ON FILE"),"")</f>
        <v/>
      </c>
      <c r="E704" s="387" t="str">
        <f>IF($B704&lt;&gt;"",IFERROR(IF(LEFT($B704,4)=$Z$2,VLOOKUP($C704,Outbound!$B:$Z,5,FALSE),VLOOKUP($B704,Outbound!$B:$Z,5,FALSE)),"ON ROCS/NOT ON FILE"),"")</f>
        <v/>
      </c>
      <c r="F704" s="387" t="str">
        <f>IF(B704&lt;&gt;"",IFERROR(IF(LEFT($B704,3)=$Z$2,VLOOKUP($C704,Outbound!$B:$Z,11,FALSE),VLOOKUP($B704,Outbound!$B:$Z,11,FALSE)),"NON TROVATO"),"")</f>
        <v/>
      </c>
      <c r="G704" s="394" t="str">
        <f>IF(B704&lt;&gt;"",IFERROR(IF(LEFT($B704,3)=$Z$2,VLOOKUP($C704,Outbound!$B:$AAZ,16,FALSE),VLOOKUP($B704,Outbound!$B:$AAZ,16,FALSE)),"NON TROVATO"),"")</f>
        <v/>
      </c>
      <c r="H704" s="394" t="str">
        <f>IF(B704&lt;&gt;"",IFERROR(IF(LEFT($B704,3)=$Z$2,VLOOKUP($C704,Outbound!$B:$AAZ,6,FALSE),VLOOKUP($B704,Outbound!$B:$AAZ,6,FALSE)),"NON TROVATO"),"")</f>
        <v/>
      </c>
      <c r="I704" s="394" t="str">
        <f>IF(B704&lt;&gt;"",IFERROR(IF(LEFT($B704,3)=$Z$2,VLOOKUP($C704,Outbound!$B:$AAZ,52,FALSE),VLOOKUP($B704,Outbound!$B:$AAZ,52,FALSE)),"NON TROVATO"),"")</f>
        <v/>
      </c>
      <c r="J704" s="396"/>
      <c r="K704" s="387" t="str">
        <f>IF(B704&lt;&gt;"",IF($D704&lt;&gt;"ON ROCS/NOT ON FILE",IFERROR(_xlfn.XLOOKUP(LEFT($D704,3),'STAT 77 Table'!$B:$B,'STAT 77 Table'!$A:$A),"ZZ"&amp;RIGHT($B704,4)),""),"")</f>
        <v/>
      </c>
      <c r="L704" s="396"/>
      <c r="O704" s="388"/>
      <c r="P704" s="388"/>
      <c r="AA704" s="421">
        <f t="shared" si="10"/>
        <v>0</v>
      </c>
    </row>
    <row r="705" spans="1:27" ht="16.5">
      <c r="A705" s="387">
        <f>'STAT 77 Table'!$I$704</f>
        <v>0</v>
      </c>
      <c r="B705"/>
      <c r="C705"/>
      <c r="D705" s="387" t="str">
        <f>IF($B705&lt;&gt;"",IFERROR(IF(LEFT($B705,3)=$Z$2,VLOOKUP($C705,Outbound!$B:$Z,4,FALSE),VLOOKUP($B705,Outbound!$B:$Z,4,FALSE)),"ON ROCS/NOT ON FILE"),"")</f>
        <v/>
      </c>
      <c r="E705" s="387" t="str">
        <f>IF($B705&lt;&gt;"",IFERROR(IF(LEFT($B705,4)=$Z$2,VLOOKUP($C705,Outbound!$B:$Z,5,FALSE),VLOOKUP($B705,Outbound!$B:$Z,5,FALSE)),"ON ROCS/NOT ON FILE"),"")</f>
        <v/>
      </c>
      <c r="F705" s="387" t="str">
        <f>IF(B705&lt;&gt;"",IFERROR(IF(LEFT($B705,3)=$Z$2,VLOOKUP($C705,Outbound!$B:$Z,11,FALSE),VLOOKUP($B705,Outbound!$B:$Z,11,FALSE)),"NON TROVATO"),"")</f>
        <v/>
      </c>
      <c r="G705" s="394" t="str">
        <f>IF(B705&lt;&gt;"",IFERROR(IF(LEFT($B705,3)=$Z$2,VLOOKUP($C705,Outbound!$B:$AAZ,16,FALSE),VLOOKUP($B705,Outbound!$B:$AAZ,16,FALSE)),"NON TROVATO"),"")</f>
        <v/>
      </c>
      <c r="H705" s="394" t="str">
        <f>IF(B705&lt;&gt;"",IFERROR(IF(LEFT($B705,3)=$Z$2,VLOOKUP($C705,Outbound!$B:$AAZ,6,FALSE),VLOOKUP($B705,Outbound!$B:$AAZ,6,FALSE)),"NON TROVATO"),"")</f>
        <v/>
      </c>
      <c r="I705" s="394" t="str">
        <f>IF(B705&lt;&gt;"",IFERROR(IF(LEFT($B705,3)=$Z$2,VLOOKUP($C705,Outbound!$B:$AAZ,52,FALSE),VLOOKUP($B705,Outbound!$B:$AAZ,52,FALSE)),"NON TROVATO"),"")</f>
        <v/>
      </c>
      <c r="J705" s="396"/>
      <c r="K705" s="387" t="str">
        <f>IF(B705&lt;&gt;"",IF($D705&lt;&gt;"ON ROCS/NOT ON FILE",IFERROR(_xlfn.XLOOKUP(LEFT($D705,3),'STAT 77 Table'!$B:$B,'STAT 77 Table'!$A:$A),"ZZ"&amp;RIGHT($B705,4)),""),"")</f>
        <v/>
      </c>
      <c r="L705" s="396"/>
      <c r="O705" s="388"/>
      <c r="P705" s="388"/>
      <c r="AA705" s="421">
        <f t="shared" si="10"/>
        <v>0</v>
      </c>
    </row>
    <row r="706" spans="1:27" ht="16.5">
      <c r="A706" s="387">
        <f>'STAT 77 Table'!$I$705</f>
        <v>0</v>
      </c>
      <c r="B706"/>
      <c r="C706"/>
      <c r="D706" s="387" t="str">
        <f>IF($B706&lt;&gt;"",IFERROR(IF(LEFT($B706,3)=$Z$2,VLOOKUP($C706,Outbound!$B:$Z,4,FALSE),VLOOKUP($B706,Outbound!$B:$Z,4,FALSE)),"ON ROCS/NOT ON FILE"),"")</f>
        <v/>
      </c>
      <c r="E706" s="387" t="str">
        <f>IF($B706&lt;&gt;"",IFERROR(IF(LEFT($B706,4)=$Z$2,VLOOKUP($C706,Outbound!$B:$Z,5,FALSE),VLOOKUP($B706,Outbound!$B:$Z,5,FALSE)),"ON ROCS/NOT ON FILE"),"")</f>
        <v/>
      </c>
      <c r="F706" s="387" t="str">
        <f>IF(B706&lt;&gt;"",IFERROR(IF(LEFT($B706,3)=$Z$2,VLOOKUP($C706,Outbound!$B:$Z,11,FALSE),VLOOKUP($B706,Outbound!$B:$Z,11,FALSE)),"NON TROVATO"),"")</f>
        <v/>
      </c>
      <c r="G706" s="394" t="str">
        <f>IF(B706&lt;&gt;"",IFERROR(IF(LEFT($B706,3)=$Z$2,VLOOKUP($C706,Outbound!$B:$AAZ,16,FALSE),VLOOKUP($B706,Outbound!$B:$AAZ,16,FALSE)),"NON TROVATO"),"")</f>
        <v/>
      </c>
      <c r="H706" s="394" t="str">
        <f>IF(B706&lt;&gt;"",IFERROR(IF(LEFT($B706,3)=$Z$2,VLOOKUP($C706,Outbound!$B:$AAZ,6,FALSE),VLOOKUP($B706,Outbound!$B:$AAZ,6,FALSE)),"NON TROVATO"),"")</f>
        <v/>
      </c>
      <c r="I706" s="394" t="str">
        <f>IF(B706&lt;&gt;"",IFERROR(IF(LEFT($B706,3)=$Z$2,VLOOKUP($C706,Outbound!$B:$AAZ,52,FALSE),VLOOKUP($B706,Outbound!$B:$AAZ,52,FALSE)),"NON TROVATO"),"")</f>
        <v/>
      </c>
      <c r="J706" s="396"/>
      <c r="K706" s="387" t="str">
        <f>IF(B706&lt;&gt;"",IF($D706&lt;&gt;"ON ROCS/NOT ON FILE",IFERROR(_xlfn.XLOOKUP(LEFT($D706,3),'STAT 77 Table'!$B:$B,'STAT 77 Table'!$A:$A),"ZZ"&amp;RIGHT($B706,4)),""),"")</f>
        <v/>
      </c>
      <c r="L706" s="396"/>
      <c r="O706" s="388"/>
      <c r="P706" s="388"/>
      <c r="AA706" s="421">
        <f t="shared" si="10"/>
        <v>0</v>
      </c>
    </row>
    <row r="707" spans="1:27" ht="16.5">
      <c r="A707" s="387">
        <f>'STAT 77 Table'!$I$706</f>
        <v>0</v>
      </c>
      <c r="B707"/>
      <c r="C707"/>
      <c r="D707" s="387" t="str">
        <f>IF($B707&lt;&gt;"",IFERROR(IF(LEFT($B707,3)=$Z$2,VLOOKUP($C707,Outbound!$B:$Z,4,FALSE),VLOOKUP($B707,Outbound!$B:$Z,4,FALSE)),"ON ROCS/NOT ON FILE"),"")</f>
        <v/>
      </c>
      <c r="E707" s="387" t="str">
        <f>IF($B707&lt;&gt;"",IFERROR(IF(LEFT($B707,4)=$Z$2,VLOOKUP($C707,Outbound!$B:$Z,5,FALSE),VLOOKUP($B707,Outbound!$B:$Z,5,FALSE)),"ON ROCS/NOT ON FILE"),"")</f>
        <v/>
      </c>
      <c r="F707" s="387" t="str">
        <f>IF(B707&lt;&gt;"",IFERROR(IF(LEFT($B707,3)=$Z$2,VLOOKUP($C707,Outbound!$B:$Z,11,FALSE),VLOOKUP($B707,Outbound!$B:$Z,11,FALSE)),"NON TROVATO"),"")</f>
        <v/>
      </c>
      <c r="G707" s="394" t="str">
        <f>IF(B707&lt;&gt;"",IFERROR(IF(LEFT($B707,3)=$Z$2,VLOOKUP($C707,Outbound!$B:$AAZ,16,FALSE),VLOOKUP($B707,Outbound!$B:$AAZ,16,FALSE)),"NON TROVATO"),"")</f>
        <v/>
      </c>
      <c r="H707" s="394" t="str">
        <f>IF(B707&lt;&gt;"",IFERROR(IF(LEFT($B707,3)=$Z$2,VLOOKUP($C707,Outbound!$B:$AAZ,6,FALSE),VLOOKUP($B707,Outbound!$B:$AAZ,6,FALSE)),"NON TROVATO"),"")</f>
        <v/>
      </c>
      <c r="I707" s="394" t="str">
        <f>IF(B707&lt;&gt;"",IFERROR(IF(LEFT($B707,3)=$Z$2,VLOOKUP($C707,Outbound!$B:$AAZ,52,FALSE),VLOOKUP($B707,Outbound!$B:$AAZ,52,FALSE)),"NON TROVATO"),"")</f>
        <v/>
      </c>
      <c r="J707" s="396"/>
      <c r="K707" s="387" t="str">
        <f>IF(B707&lt;&gt;"",IF($D707&lt;&gt;"ON ROCS/NOT ON FILE",IFERROR(_xlfn.XLOOKUP(LEFT($D707,3),'STAT 77 Table'!$B:$B,'STAT 77 Table'!$A:$A),"ZZ"&amp;RIGHT($B707,4)),""),"")</f>
        <v/>
      </c>
      <c r="L707" s="396"/>
      <c r="O707" s="388"/>
      <c r="P707" s="388"/>
      <c r="AA707" s="421">
        <f t="shared" si="10"/>
        <v>0</v>
      </c>
    </row>
    <row r="708" spans="1:27" ht="16.5">
      <c r="A708" s="387">
        <f>'STAT 77 Table'!$I$707</f>
        <v>0</v>
      </c>
      <c r="B708"/>
      <c r="C708"/>
      <c r="D708" s="387" t="str">
        <f>IF($B708&lt;&gt;"",IFERROR(IF(LEFT($B708,3)=$Z$2,VLOOKUP($C708,Outbound!$B:$Z,4,FALSE),VLOOKUP($B708,Outbound!$B:$Z,4,FALSE)),"ON ROCS/NOT ON FILE"),"")</f>
        <v/>
      </c>
      <c r="E708" s="387" t="str">
        <f>IF($B708&lt;&gt;"",IFERROR(IF(LEFT($B708,4)=$Z$2,VLOOKUP($C708,Outbound!$B:$Z,5,FALSE),VLOOKUP($B708,Outbound!$B:$Z,5,FALSE)),"ON ROCS/NOT ON FILE"),"")</f>
        <v/>
      </c>
      <c r="F708" s="387" t="str">
        <f>IF(B708&lt;&gt;"",IFERROR(IF(LEFT($B708,3)=$Z$2,VLOOKUP($C708,Outbound!$B:$Z,11,FALSE),VLOOKUP($B708,Outbound!$B:$Z,11,FALSE)),"NON TROVATO"),"")</f>
        <v/>
      </c>
      <c r="G708" s="394" t="str">
        <f>IF(B708&lt;&gt;"",IFERROR(IF(LEFT($B708,3)=$Z$2,VLOOKUP($C708,Outbound!$B:$AAZ,16,FALSE),VLOOKUP($B708,Outbound!$B:$AAZ,16,FALSE)),"NON TROVATO"),"")</f>
        <v/>
      </c>
      <c r="H708" s="394" t="str">
        <f>IF(B708&lt;&gt;"",IFERROR(IF(LEFT($B708,3)=$Z$2,VLOOKUP($C708,Outbound!$B:$AAZ,6,FALSE),VLOOKUP($B708,Outbound!$B:$AAZ,6,FALSE)),"NON TROVATO"),"")</f>
        <v/>
      </c>
      <c r="I708" s="394" t="str">
        <f>IF(B708&lt;&gt;"",IFERROR(IF(LEFT($B708,3)=$Z$2,VLOOKUP($C708,Outbound!$B:$AAZ,52,FALSE),VLOOKUP($B708,Outbound!$B:$AAZ,52,FALSE)),"NON TROVATO"),"")</f>
        <v/>
      </c>
      <c r="J708" s="396"/>
      <c r="K708" s="387" t="str">
        <f>IF(B708&lt;&gt;"",IF($D708&lt;&gt;"ON ROCS/NOT ON FILE",IFERROR(_xlfn.XLOOKUP(LEFT($D708,3),'STAT 77 Table'!$B:$B,'STAT 77 Table'!$A:$A),"ZZ"&amp;RIGHT($B708,4)),""),"")</f>
        <v/>
      </c>
      <c r="L708" s="396"/>
      <c r="O708" s="388"/>
      <c r="P708" s="388"/>
      <c r="AA708" s="421">
        <f t="shared" ref="AA708:AA771" si="11">IF(LEFT(A708,3)=$X$2,C708,B708)</f>
        <v>0</v>
      </c>
    </row>
    <row r="709" spans="1:27" ht="16.5">
      <c r="A709" s="387">
        <f>'STAT 77 Table'!$I$708</f>
        <v>0</v>
      </c>
      <c r="B709"/>
      <c r="C709"/>
      <c r="D709" s="387" t="str">
        <f>IF($B709&lt;&gt;"",IFERROR(IF(LEFT($B709,3)=$Z$2,VLOOKUP($C709,Outbound!$B:$Z,4,FALSE),VLOOKUP($B709,Outbound!$B:$Z,4,FALSE)),"ON ROCS/NOT ON FILE"),"")</f>
        <v/>
      </c>
      <c r="E709" s="387" t="str">
        <f>IF($B709&lt;&gt;"",IFERROR(IF(LEFT($B709,4)=$Z$2,VLOOKUP($C709,Outbound!$B:$Z,5,FALSE),VLOOKUP($B709,Outbound!$B:$Z,5,FALSE)),"ON ROCS/NOT ON FILE"),"")</f>
        <v/>
      </c>
      <c r="F709" s="387" t="str">
        <f>IF(B709&lt;&gt;"",IFERROR(IF(LEFT($B709,3)=$Z$2,VLOOKUP($C709,Outbound!$B:$Z,11,FALSE),VLOOKUP($B709,Outbound!$B:$Z,11,FALSE)),"NON TROVATO"),"")</f>
        <v/>
      </c>
      <c r="G709" s="394" t="str">
        <f>IF(B709&lt;&gt;"",IFERROR(IF(LEFT($B709,3)=$Z$2,VLOOKUP($C709,Outbound!$B:$AAZ,16,FALSE),VLOOKUP($B709,Outbound!$B:$AAZ,16,FALSE)),"NON TROVATO"),"")</f>
        <v/>
      </c>
      <c r="H709" s="394" t="str">
        <f>IF(B709&lt;&gt;"",IFERROR(IF(LEFT($B709,3)=$Z$2,VLOOKUP($C709,Outbound!$B:$AAZ,6,FALSE),VLOOKUP($B709,Outbound!$B:$AAZ,6,FALSE)),"NON TROVATO"),"")</f>
        <v/>
      </c>
      <c r="I709" s="394" t="str">
        <f>IF(B709&lt;&gt;"",IFERROR(IF(LEFT($B709,3)=$Z$2,VLOOKUP($C709,Outbound!$B:$AAZ,52,FALSE),VLOOKUP($B709,Outbound!$B:$AAZ,52,FALSE)),"NON TROVATO"),"")</f>
        <v/>
      </c>
      <c r="J709" s="396"/>
      <c r="K709" s="387" t="str">
        <f>IF(B709&lt;&gt;"",IF($D709&lt;&gt;"ON ROCS/NOT ON FILE",IFERROR(_xlfn.XLOOKUP(LEFT($D709,3),'STAT 77 Table'!$B:$B,'STAT 77 Table'!$A:$A),"ZZ"&amp;RIGHT($B709,4)),""),"")</f>
        <v/>
      </c>
      <c r="L709" s="396"/>
      <c r="O709" s="388"/>
      <c r="P709" s="388"/>
      <c r="AA709" s="421">
        <f t="shared" si="11"/>
        <v>0</v>
      </c>
    </row>
    <row r="710" spans="1:27" ht="16.5">
      <c r="A710" s="387">
        <f>'STAT 77 Table'!$I$709</f>
        <v>0</v>
      </c>
      <c r="B710"/>
      <c r="C710"/>
      <c r="D710" s="387" t="str">
        <f>IF($B710&lt;&gt;"",IFERROR(IF(LEFT($B710,3)=$Z$2,VLOOKUP($C710,Outbound!$B:$Z,4,FALSE),VLOOKUP($B710,Outbound!$B:$Z,4,FALSE)),"ON ROCS/NOT ON FILE"),"")</f>
        <v/>
      </c>
      <c r="E710" s="387" t="str">
        <f>IF($B710&lt;&gt;"",IFERROR(IF(LEFT($B710,4)=$Z$2,VLOOKUP($C710,Outbound!$B:$Z,5,FALSE),VLOOKUP($B710,Outbound!$B:$Z,5,FALSE)),"ON ROCS/NOT ON FILE"),"")</f>
        <v/>
      </c>
      <c r="F710" s="387" t="str">
        <f>IF(B710&lt;&gt;"",IFERROR(IF(LEFT($B710,3)=$Z$2,VLOOKUP($C710,Outbound!$B:$Z,11,FALSE),VLOOKUP($B710,Outbound!$B:$Z,11,FALSE)),"NON TROVATO"),"")</f>
        <v/>
      </c>
      <c r="G710" s="394" t="str">
        <f>IF(B710&lt;&gt;"",IFERROR(IF(LEFT($B710,3)=$Z$2,VLOOKUP($C710,Outbound!$B:$AAZ,16,FALSE),VLOOKUP($B710,Outbound!$B:$AAZ,16,FALSE)),"NON TROVATO"),"")</f>
        <v/>
      </c>
      <c r="H710" s="394" t="str">
        <f>IF(B710&lt;&gt;"",IFERROR(IF(LEFT($B710,3)=$Z$2,VLOOKUP($C710,Outbound!$B:$AAZ,6,FALSE),VLOOKUP($B710,Outbound!$B:$AAZ,6,FALSE)),"NON TROVATO"),"")</f>
        <v/>
      </c>
      <c r="I710" s="394" t="str">
        <f>IF(B710&lt;&gt;"",IFERROR(IF(LEFT($B710,3)=$Z$2,VLOOKUP($C710,Outbound!$B:$AAZ,52,FALSE),VLOOKUP($B710,Outbound!$B:$AAZ,52,FALSE)),"NON TROVATO"),"")</f>
        <v/>
      </c>
      <c r="J710" s="396"/>
      <c r="K710" s="387" t="str">
        <f>IF(B710&lt;&gt;"",IF($D710&lt;&gt;"ON ROCS/NOT ON FILE",IFERROR(_xlfn.XLOOKUP(LEFT($D710,3),'STAT 77 Table'!$B:$B,'STAT 77 Table'!$A:$A),"ZZ"&amp;RIGHT($B710,4)),""),"")</f>
        <v/>
      </c>
      <c r="L710" s="396"/>
      <c r="O710" s="388"/>
      <c r="P710" s="388"/>
      <c r="AA710" s="421">
        <f t="shared" si="11"/>
        <v>0</v>
      </c>
    </row>
    <row r="711" spans="1:27" ht="16.5">
      <c r="A711" s="387">
        <f>'STAT 77 Table'!$I$710</f>
        <v>0</v>
      </c>
      <c r="B711"/>
      <c r="C711"/>
      <c r="D711" s="387" t="str">
        <f>IF($B711&lt;&gt;"",IFERROR(IF(LEFT($B711,3)=$Z$2,VLOOKUP($C711,Outbound!$B:$Z,4,FALSE),VLOOKUP($B711,Outbound!$B:$Z,4,FALSE)),"ON ROCS/NOT ON FILE"),"")</f>
        <v/>
      </c>
      <c r="E711" s="387" t="str">
        <f>IF($B711&lt;&gt;"",IFERROR(IF(LEFT($B711,4)=$Z$2,VLOOKUP($C711,Outbound!$B:$Z,5,FALSE),VLOOKUP($B711,Outbound!$B:$Z,5,FALSE)),"ON ROCS/NOT ON FILE"),"")</f>
        <v/>
      </c>
      <c r="F711" s="387" t="str">
        <f>IF(B711&lt;&gt;"",IFERROR(IF(LEFT($B711,3)=$Z$2,VLOOKUP($C711,Outbound!$B:$Z,11,FALSE),VLOOKUP($B711,Outbound!$B:$Z,11,FALSE)),"NON TROVATO"),"")</f>
        <v/>
      </c>
      <c r="G711" s="394" t="str">
        <f>IF(B711&lt;&gt;"",IFERROR(IF(LEFT($B711,3)=$Z$2,VLOOKUP($C711,Outbound!$B:$AAZ,16,FALSE),VLOOKUP($B711,Outbound!$B:$AAZ,16,FALSE)),"NON TROVATO"),"")</f>
        <v/>
      </c>
      <c r="H711" s="394" t="str">
        <f>IF(B711&lt;&gt;"",IFERROR(IF(LEFT($B711,3)=$Z$2,VLOOKUP($C711,Outbound!$B:$AAZ,6,FALSE),VLOOKUP($B711,Outbound!$B:$AAZ,6,FALSE)),"NON TROVATO"),"")</f>
        <v/>
      </c>
      <c r="I711" s="394" t="str">
        <f>IF(B711&lt;&gt;"",IFERROR(IF(LEFT($B711,3)=$Z$2,VLOOKUP($C711,Outbound!$B:$AAZ,52,FALSE),VLOOKUP($B711,Outbound!$B:$AAZ,52,FALSE)),"NON TROVATO"),"")</f>
        <v/>
      </c>
      <c r="J711" s="396"/>
      <c r="K711" s="387" t="str">
        <f>IF(B711&lt;&gt;"",IF($D711&lt;&gt;"ON ROCS/NOT ON FILE",IFERROR(_xlfn.XLOOKUP(LEFT($D711,3),'STAT 77 Table'!$B:$B,'STAT 77 Table'!$A:$A),"ZZ"&amp;RIGHT($B711,4)),""),"")</f>
        <v/>
      </c>
      <c r="L711" s="396"/>
      <c r="O711" s="388"/>
      <c r="P711" s="388"/>
      <c r="AA711" s="421">
        <f t="shared" si="11"/>
        <v>0</v>
      </c>
    </row>
    <row r="712" spans="1:27" ht="16.5">
      <c r="A712" s="387">
        <f>'STAT 77 Table'!$I$711</f>
        <v>0</v>
      </c>
      <c r="B712"/>
      <c r="C712"/>
      <c r="D712" s="387" t="str">
        <f>IF($B712&lt;&gt;"",IFERROR(IF(LEFT($B712,3)=$Z$2,VLOOKUP($C712,Outbound!$B:$Z,4,FALSE),VLOOKUP($B712,Outbound!$B:$Z,4,FALSE)),"ON ROCS/NOT ON FILE"),"")</f>
        <v/>
      </c>
      <c r="E712" s="387" t="str">
        <f>IF($B712&lt;&gt;"",IFERROR(IF(LEFT($B712,4)=$Z$2,VLOOKUP($C712,Outbound!$B:$Z,5,FALSE),VLOOKUP($B712,Outbound!$B:$Z,5,FALSE)),"ON ROCS/NOT ON FILE"),"")</f>
        <v/>
      </c>
      <c r="F712" s="387" t="str">
        <f>IF(B712&lt;&gt;"",IFERROR(IF(LEFT($B712,3)=$Z$2,VLOOKUP($C712,Outbound!$B:$Z,11,FALSE),VLOOKUP($B712,Outbound!$B:$Z,11,FALSE)),"NON TROVATO"),"")</f>
        <v/>
      </c>
      <c r="G712" s="394" t="str">
        <f>IF(B712&lt;&gt;"",IFERROR(IF(LEFT($B712,3)=$Z$2,VLOOKUP($C712,Outbound!$B:$AAZ,16,FALSE),VLOOKUP($B712,Outbound!$B:$AAZ,16,FALSE)),"NON TROVATO"),"")</f>
        <v/>
      </c>
      <c r="H712" s="394" t="str">
        <f>IF(B712&lt;&gt;"",IFERROR(IF(LEFT($B712,3)=$Z$2,VLOOKUP($C712,Outbound!$B:$AAZ,6,FALSE),VLOOKUP($B712,Outbound!$B:$AAZ,6,FALSE)),"NON TROVATO"),"")</f>
        <v/>
      </c>
      <c r="I712" s="394" t="str">
        <f>IF(B712&lt;&gt;"",IFERROR(IF(LEFT($B712,3)=$Z$2,VLOOKUP($C712,Outbound!$B:$AAZ,52,FALSE),VLOOKUP($B712,Outbound!$B:$AAZ,52,FALSE)),"NON TROVATO"),"")</f>
        <v/>
      </c>
      <c r="J712" s="396"/>
      <c r="K712" s="387" t="str">
        <f>IF(B712&lt;&gt;"",IF($D712&lt;&gt;"ON ROCS/NOT ON FILE",IFERROR(_xlfn.XLOOKUP(LEFT($D712,3),'STAT 77 Table'!$B:$B,'STAT 77 Table'!$A:$A),"ZZ"&amp;RIGHT($B712,4)),""),"")</f>
        <v/>
      </c>
      <c r="L712" s="396"/>
      <c r="O712" s="388"/>
      <c r="P712" s="388"/>
      <c r="AA712" s="421">
        <f t="shared" si="11"/>
        <v>0</v>
      </c>
    </row>
    <row r="713" spans="1:27" ht="16.5">
      <c r="A713" s="387">
        <f>'STAT 77 Table'!$I$712</f>
        <v>0</v>
      </c>
      <c r="B713"/>
      <c r="C713"/>
      <c r="D713" s="387" t="str">
        <f>IF($B713&lt;&gt;"",IFERROR(IF(LEFT($B713,3)=$Z$2,VLOOKUP($C713,Outbound!$B:$Z,4,FALSE),VLOOKUP($B713,Outbound!$B:$Z,4,FALSE)),"ON ROCS/NOT ON FILE"),"")</f>
        <v/>
      </c>
      <c r="E713" s="387" t="str">
        <f>IF($B713&lt;&gt;"",IFERROR(IF(LEFT($B713,4)=$Z$2,VLOOKUP($C713,Outbound!$B:$Z,5,FALSE),VLOOKUP($B713,Outbound!$B:$Z,5,FALSE)),"ON ROCS/NOT ON FILE"),"")</f>
        <v/>
      </c>
      <c r="F713" s="387" t="str">
        <f>IF(B713&lt;&gt;"",IFERROR(IF(LEFT($B713,3)=$Z$2,VLOOKUP($C713,Outbound!$B:$Z,11,FALSE),VLOOKUP($B713,Outbound!$B:$Z,11,FALSE)),"NON TROVATO"),"")</f>
        <v/>
      </c>
      <c r="G713" s="394" t="str">
        <f>IF(B713&lt;&gt;"",IFERROR(IF(LEFT($B713,3)=$Z$2,VLOOKUP($C713,Outbound!$B:$AAZ,16,FALSE),VLOOKUP($B713,Outbound!$B:$AAZ,16,FALSE)),"NON TROVATO"),"")</f>
        <v/>
      </c>
      <c r="H713" s="394" t="str">
        <f>IF(B713&lt;&gt;"",IFERROR(IF(LEFT($B713,3)=$Z$2,VLOOKUP($C713,Outbound!$B:$AAZ,6,FALSE),VLOOKUP($B713,Outbound!$B:$AAZ,6,FALSE)),"NON TROVATO"),"")</f>
        <v/>
      </c>
      <c r="I713" s="394" t="str">
        <f>IF(B713&lt;&gt;"",IFERROR(IF(LEFT($B713,3)=$Z$2,VLOOKUP($C713,Outbound!$B:$AAZ,52,FALSE),VLOOKUP($B713,Outbound!$B:$AAZ,52,FALSE)),"NON TROVATO"),"")</f>
        <v/>
      </c>
      <c r="J713" s="396"/>
      <c r="K713" s="387" t="str">
        <f>IF(B713&lt;&gt;"",IF($D713&lt;&gt;"ON ROCS/NOT ON FILE",IFERROR(_xlfn.XLOOKUP(LEFT($D713,3),'STAT 77 Table'!$B:$B,'STAT 77 Table'!$A:$A),"ZZ"&amp;RIGHT($B713,4)),""),"")</f>
        <v/>
      </c>
      <c r="L713" s="396"/>
      <c r="O713" s="388"/>
      <c r="P713" s="388"/>
      <c r="AA713" s="421">
        <f t="shared" si="11"/>
        <v>0</v>
      </c>
    </row>
    <row r="714" spans="1:27" ht="16.5">
      <c r="A714" s="387">
        <f>'STAT 77 Table'!$I$713</f>
        <v>0</v>
      </c>
      <c r="B714"/>
      <c r="C714"/>
      <c r="D714" s="387" t="str">
        <f>IF($B714&lt;&gt;"",IFERROR(IF(LEFT($B714,3)=$Z$2,VLOOKUP($C714,Outbound!$B:$Z,4,FALSE),VLOOKUP($B714,Outbound!$B:$Z,4,FALSE)),"ON ROCS/NOT ON FILE"),"")</f>
        <v/>
      </c>
      <c r="E714" s="387" t="str">
        <f>IF($B714&lt;&gt;"",IFERROR(IF(LEFT($B714,4)=$Z$2,VLOOKUP($C714,Outbound!$B:$Z,5,FALSE),VLOOKUP($B714,Outbound!$B:$Z,5,FALSE)),"ON ROCS/NOT ON FILE"),"")</f>
        <v/>
      </c>
      <c r="F714" s="387" t="str">
        <f>IF(B714&lt;&gt;"",IFERROR(IF(LEFT($B714,3)=$Z$2,VLOOKUP($C714,Outbound!$B:$Z,11,FALSE),VLOOKUP($B714,Outbound!$B:$Z,11,FALSE)),"NON TROVATO"),"")</f>
        <v/>
      </c>
      <c r="G714" s="394" t="str">
        <f>IF(B714&lt;&gt;"",IFERROR(IF(LEFT($B714,3)=$Z$2,VLOOKUP($C714,Outbound!$B:$AAZ,16,FALSE),VLOOKUP($B714,Outbound!$B:$AAZ,16,FALSE)),"NON TROVATO"),"")</f>
        <v/>
      </c>
      <c r="H714" s="394" t="str">
        <f>IF(B714&lt;&gt;"",IFERROR(IF(LEFT($B714,3)=$Z$2,VLOOKUP($C714,Outbound!$B:$AAZ,6,FALSE),VLOOKUP($B714,Outbound!$B:$AAZ,6,FALSE)),"NON TROVATO"),"")</f>
        <v/>
      </c>
      <c r="I714" s="394" t="str">
        <f>IF(B714&lt;&gt;"",IFERROR(IF(LEFT($B714,3)=$Z$2,VLOOKUP($C714,Outbound!$B:$AAZ,52,FALSE),VLOOKUP($B714,Outbound!$B:$AAZ,52,FALSE)),"NON TROVATO"),"")</f>
        <v/>
      </c>
      <c r="J714" s="396"/>
      <c r="K714" s="387" t="str">
        <f>IF(B714&lt;&gt;"",IF($D714&lt;&gt;"ON ROCS/NOT ON FILE",IFERROR(_xlfn.XLOOKUP(LEFT($D714,3),'STAT 77 Table'!$B:$B,'STAT 77 Table'!$A:$A),"ZZ"&amp;RIGHT($B714,4)),""),"")</f>
        <v/>
      </c>
      <c r="L714" s="396"/>
      <c r="O714" s="388"/>
      <c r="P714" s="388"/>
      <c r="AA714" s="421">
        <f t="shared" si="11"/>
        <v>0</v>
      </c>
    </row>
    <row r="715" spans="1:27" ht="16.5">
      <c r="A715" s="387">
        <f>'STAT 77 Table'!$I$714</f>
        <v>0</v>
      </c>
      <c r="B715"/>
      <c r="C715"/>
      <c r="D715" s="387" t="str">
        <f>IF($B715&lt;&gt;"",IFERROR(IF(LEFT($B715,3)=$Z$2,VLOOKUP($C715,Outbound!$B:$Z,4,FALSE),VLOOKUP($B715,Outbound!$B:$Z,4,FALSE)),"ON ROCS/NOT ON FILE"),"")</f>
        <v/>
      </c>
      <c r="E715" s="387" t="str">
        <f>IF($B715&lt;&gt;"",IFERROR(IF(LEFT($B715,4)=$Z$2,VLOOKUP($C715,Outbound!$B:$Z,5,FALSE),VLOOKUP($B715,Outbound!$B:$Z,5,FALSE)),"ON ROCS/NOT ON FILE"),"")</f>
        <v/>
      </c>
      <c r="F715" s="387" t="str">
        <f>IF(B715&lt;&gt;"",IFERROR(IF(LEFT($B715,3)=$Z$2,VLOOKUP($C715,Outbound!$B:$Z,11,FALSE),VLOOKUP($B715,Outbound!$B:$Z,11,FALSE)),"NON TROVATO"),"")</f>
        <v/>
      </c>
      <c r="G715" s="394" t="str">
        <f>IF(B715&lt;&gt;"",IFERROR(IF(LEFT($B715,3)=$Z$2,VLOOKUP($C715,Outbound!$B:$AAZ,16,FALSE),VLOOKUP($B715,Outbound!$B:$AAZ,16,FALSE)),"NON TROVATO"),"")</f>
        <v/>
      </c>
      <c r="H715" s="394" t="str">
        <f>IF(B715&lt;&gt;"",IFERROR(IF(LEFT($B715,3)=$Z$2,VLOOKUP($C715,Outbound!$B:$AAZ,6,FALSE),VLOOKUP($B715,Outbound!$B:$AAZ,6,FALSE)),"NON TROVATO"),"")</f>
        <v/>
      </c>
      <c r="I715" s="394" t="str">
        <f>IF(B715&lt;&gt;"",IFERROR(IF(LEFT($B715,3)=$Z$2,VLOOKUP($C715,Outbound!$B:$AAZ,52,FALSE),VLOOKUP($B715,Outbound!$B:$AAZ,52,FALSE)),"NON TROVATO"),"")</f>
        <v/>
      </c>
      <c r="J715" s="396"/>
      <c r="K715" s="387" t="str">
        <f>IF(B715&lt;&gt;"",IF($D715&lt;&gt;"ON ROCS/NOT ON FILE",IFERROR(_xlfn.XLOOKUP(LEFT($D715,3),'STAT 77 Table'!$B:$B,'STAT 77 Table'!$A:$A),"ZZ"&amp;RIGHT($B715,4)),""),"")</f>
        <v/>
      </c>
      <c r="L715" s="396"/>
      <c r="O715" s="388"/>
      <c r="P715" s="388"/>
      <c r="AA715" s="421">
        <f t="shared" si="11"/>
        <v>0</v>
      </c>
    </row>
    <row r="716" spans="1:27" ht="16.5">
      <c r="A716" s="387">
        <f>'STAT 77 Table'!$I$715</f>
        <v>0</v>
      </c>
      <c r="B716"/>
      <c r="C716"/>
      <c r="D716" s="387" t="str">
        <f>IF($B716&lt;&gt;"",IFERROR(IF(LEFT($B716,3)=$Z$2,VLOOKUP($C716,Outbound!$B:$Z,4,FALSE),VLOOKUP($B716,Outbound!$B:$Z,4,FALSE)),"ON ROCS/NOT ON FILE"),"")</f>
        <v/>
      </c>
      <c r="E716" s="387" t="str">
        <f>IF($B716&lt;&gt;"",IFERROR(IF(LEFT($B716,4)=$Z$2,VLOOKUP($C716,Outbound!$B:$Z,5,FALSE),VLOOKUP($B716,Outbound!$B:$Z,5,FALSE)),"ON ROCS/NOT ON FILE"),"")</f>
        <v/>
      </c>
      <c r="F716" s="387" t="str">
        <f>IF(B716&lt;&gt;"",IFERROR(IF(LEFT($B716,3)=$Z$2,VLOOKUP($C716,Outbound!$B:$Z,11,FALSE),VLOOKUP($B716,Outbound!$B:$Z,11,FALSE)),"NON TROVATO"),"")</f>
        <v/>
      </c>
      <c r="G716" s="394" t="str">
        <f>IF(B716&lt;&gt;"",IFERROR(IF(LEFT($B716,3)=$Z$2,VLOOKUP($C716,Outbound!$B:$AAZ,16,FALSE),VLOOKUP($B716,Outbound!$B:$AAZ,16,FALSE)),"NON TROVATO"),"")</f>
        <v/>
      </c>
      <c r="H716" s="394" t="str">
        <f>IF(B716&lt;&gt;"",IFERROR(IF(LEFT($B716,3)=$Z$2,VLOOKUP($C716,Outbound!$B:$AAZ,6,FALSE),VLOOKUP($B716,Outbound!$B:$AAZ,6,FALSE)),"NON TROVATO"),"")</f>
        <v/>
      </c>
      <c r="I716" s="394" t="str">
        <f>IF(B716&lt;&gt;"",IFERROR(IF(LEFT($B716,3)=$Z$2,VLOOKUP($C716,Outbound!$B:$AAZ,52,FALSE),VLOOKUP($B716,Outbound!$B:$AAZ,52,FALSE)),"NON TROVATO"),"")</f>
        <v/>
      </c>
      <c r="J716" s="396"/>
      <c r="K716" s="387" t="str">
        <f>IF(B716&lt;&gt;"",IF($D716&lt;&gt;"ON ROCS/NOT ON FILE",IFERROR(_xlfn.XLOOKUP(LEFT($D716,3),'STAT 77 Table'!$B:$B,'STAT 77 Table'!$A:$A),"ZZ"&amp;RIGHT($B716,4)),""),"")</f>
        <v/>
      </c>
      <c r="L716" s="396"/>
      <c r="O716" s="388"/>
      <c r="P716" s="388"/>
      <c r="AA716" s="421">
        <f t="shared" si="11"/>
        <v>0</v>
      </c>
    </row>
    <row r="717" spans="1:27" ht="16.5">
      <c r="A717" s="387">
        <f>'STAT 77 Table'!$I$716</f>
        <v>0</v>
      </c>
      <c r="B717"/>
      <c r="C717"/>
      <c r="D717" s="387" t="str">
        <f>IF($B717&lt;&gt;"",IFERROR(IF(LEFT($B717,3)=$Z$2,VLOOKUP($C717,Outbound!$B:$Z,4,FALSE),VLOOKUP($B717,Outbound!$B:$Z,4,FALSE)),"ON ROCS/NOT ON FILE"),"")</f>
        <v/>
      </c>
      <c r="E717" s="387" t="str">
        <f>IF($B717&lt;&gt;"",IFERROR(IF(LEFT($B717,4)=$Z$2,VLOOKUP($C717,Outbound!$B:$Z,5,FALSE),VLOOKUP($B717,Outbound!$B:$Z,5,FALSE)),"ON ROCS/NOT ON FILE"),"")</f>
        <v/>
      </c>
      <c r="F717" s="387" t="str">
        <f>IF(B717&lt;&gt;"",IFERROR(IF(LEFT($B717,3)=$Z$2,VLOOKUP($C717,Outbound!$B:$Z,11,FALSE),VLOOKUP($B717,Outbound!$B:$Z,11,FALSE)),"NON TROVATO"),"")</f>
        <v/>
      </c>
      <c r="G717" s="394" t="str">
        <f>IF(B717&lt;&gt;"",IFERROR(IF(LEFT($B717,3)=$Z$2,VLOOKUP($C717,Outbound!$B:$AAZ,16,FALSE),VLOOKUP($B717,Outbound!$B:$AAZ,16,FALSE)),"NON TROVATO"),"")</f>
        <v/>
      </c>
      <c r="H717" s="394" t="str">
        <f>IF(B717&lt;&gt;"",IFERROR(IF(LEFT($B717,3)=$Z$2,VLOOKUP($C717,Outbound!$B:$AAZ,6,FALSE),VLOOKUP($B717,Outbound!$B:$AAZ,6,FALSE)),"NON TROVATO"),"")</f>
        <v/>
      </c>
      <c r="I717" s="394" t="str">
        <f>IF(B717&lt;&gt;"",IFERROR(IF(LEFT($B717,3)=$Z$2,VLOOKUP($C717,Outbound!$B:$AAZ,52,FALSE),VLOOKUP($B717,Outbound!$B:$AAZ,52,FALSE)),"NON TROVATO"),"")</f>
        <v/>
      </c>
      <c r="J717" s="396"/>
      <c r="K717" s="387" t="str">
        <f>IF(B717&lt;&gt;"",IF($D717&lt;&gt;"ON ROCS/NOT ON FILE",IFERROR(_xlfn.XLOOKUP(LEFT($D717,3),'STAT 77 Table'!$B:$B,'STAT 77 Table'!$A:$A),"ZZ"&amp;RIGHT($B717,4)),""),"")</f>
        <v/>
      </c>
      <c r="L717" s="396"/>
      <c r="O717" s="388"/>
      <c r="P717" s="388"/>
      <c r="AA717" s="421">
        <f t="shared" si="11"/>
        <v>0</v>
      </c>
    </row>
    <row r="718" spans="1:27" ht="16.5">
      <c r="A718" s="387">
        <f>'STAT 77 Table'!$I$717</f>
        <v>0</v>
      </c>
      <c r="B718"/>
      <c r="C718"/>
      <c r="D718" s="387" t="str">
        <f>IF($B718&lt;&gt;"",IFERROR(IF(LEFT($B718,3)=$Z$2,VLOOKUP($C718,Outbound!$B:$Z,4,FALSE),VLOOKUP($B718,Outbound!$B:$Z,4,FALSE)),"ON ROCS/NOT ON FILE"),"")</f>
        <v/>
      </c>
      <c r="E718" s="387" t="str">
        <f>IF($B718&lt;&gt;"",IFERROR(IF(LEFT($B718,4)=$Z$2,VLOOKUP($C718,Outbound!$B:$Z,5,FALSE),VLOOKUP($B718,Outbound!$B:$Z,5,FALSE)),"ON ROCS/NOT ON FILE"),"")</f>
        <v/>
      </c>
      <c r="F718" s="387" t="str">
        <f>IF(B718&lt;&gt;"",IFERROR(IF(LEFT($B718,3)=$Z$2,VLOOKUP($C718,Outbound!$B:$Z,11,FALSE),VLOOKUP($B718,Outbound!$B:$Z,11,FALSE)),"NON TROVATO"),"")</f>
        <v/>
      </c>
      <c r="G718" s="394" t="str">
        <f>IF(B718&lt;&gt;"",IFERROR(IF(LEFT($B718,3)=$Z$2,VLOOKUP($C718,Outbound!$B:$AAZ,16,FALSE),VLOOKUP($B718,Outbound!$B:$AAZ,16,FALSE)),"NON TROVATO"),"")</f>
        <v/>
      </c>
      <c r="H718" s="394" t="str">
        <f>IF(B718&lt;&gt;"",IFERROR(IF(LEFT($B718,3)=$Z$2,VLOOKUP($C718,Outbound!$B:$AAZ,6,FALSE),VLOOKUP($B718,Outbound!$B:$AAZ,6,FALSE)),"NON TROVATO"),"")</f>
        <v/>
      </c>
      <c r="I718" s="394" t="str">
        <f>IF(B718&lt;&gt;"",IFERROR(IF(LEFT($B718,3)=$Z$2,VLOOKUP($C718,Outbound!$B:$AAZ,52,FALSE),VLOOKUP($B718,Outbound!$B:$AAZ,52,FALSE)),"NON TROVATO"),"")</f>
        <v/>
      </c>
      <c r="J718" s="396"/>
      <c r="K718" s="387" t="str">
        <f>IF(B718&lt;&gt;"",IF($D718&lt;&gt;"ON ROCS/NOT ON FILE",IFERROR(_xlfn.XLOOKUP(LEFT($D718,3),'STAT 77 Table'!$B:$B,'STAT 77 Table'!$A:$A),"ZZ"&amp;RIGHT($B718,4)),""),"")</f>
        <v/>
      </c>
      <c r="L718" s="396"/>
      <c r="O718" s="388"/>
      <c r="P718" s="388"/>
      <c r="AA718" s="421">
        <f t="shared" si="11"/>
        <v>0</v>
      </c>
    </row>
    <row r="719" spans="1:27" ht="16.5">
      <c r="A719" s="387">
        <f>'STAT 77 Table'!$I$718</f>
        <v>0</v>
      </c>
      <c r="B719"/>
      <c r="C719"/>
      <c r="D719" s="387" t="str">
        <f>IF($B719&lt;&gt;"",IFERROR(IF(LEFT($B719,3)=$Z$2,VLOOKUP($C719,Outbound!$B:$Z,4,FALSE),VLOOKUP($B719,Outbound!$B:$Z,4,FALSE)),"ON ROCS/NOT ON FILE"),"")</f>
        <v/>
      </c>
      <c r="E719" s="387" t="str">
        <f>IF($B719&lt;&gt;"",IFERROR(IF(LEFT($B719,4)=$Z$2,VLOOKUP($C719,Outbound!$B:$Z,5,FALSE),VLOOKUP($B719,Outbound!$B:$Z,5,FALSE)),"ON ROCS/NOT ON FILE"),"")</f>
        <v/>
      </c>
      <c r="F719" s="387" t="str">
        <f>IF(B719&lt;&gt;"",IFERROR(IF(LEFT($B719,3)=$Z$2,VLOOKUP($C719,Outbound!$B:$Z,11,FALSE),VLOOKUP($B719,Outbound!$B:$Z,11,FALSE)),"NON TROVATO"),"")</f>
        <v/>
      </c>
      <c r="G719" s="394" t="str">
        <f>IF(B719&lt;&gt;"",IFERROR(IF(LEFT($B719,3)=$Z$2,VLOOKUP($C719,Outbound!$B:$AAZ,16,FALSE),VLOOKUP($B719,Outbound!$B:$AAZ,16,FALSE)),"NON TROVATO"),"")</f>
        <v/>
      </c>
      <c r="H719" s="394" t="str">
        <f>IF(B719&lt;&gt;"",IFERROR(IF(LEFT($B719,3)=$Z$2,VLOOKUP($C719,Outbound!$B:$AAZ,6,FALSE),VLOOKUP($B719,Outbound!$B:$AAZ,6,FALSE)),"NON TROVATO"),"")</f>
        <v/>
      </c>
      <c r="I719" s="394" t="str">
        <f>IF(B719&lt;&gt;"",IFERROR(IF(LEFT($B719,3)=$Z$2,VLOOKUP($C719,Outbound!$B:$AAZ,52,FALSE),VLOOKUP($B719,Outbound!$B:$AAZ,52,FALSE)),"NON TROVATO"),"")</f>
        <v/>
      </c>
      <c r="J719" s="396"/>
      <c r="K719" s="387" t="str">
        <f>IF(B719&lt;&gt;"",IF($D719&lt;&gt;"ON ROCS/NOT ON FILE",IFERROR(_xlfn.XLOOKUP(LEFT($D719,3),'STAT 77 Table'!$B:$B,'STAT 77 Table'!$A:$A),"ZZ"&amp;RIGHT($B719,4)),""),"")</f>
        <v/>
      </c>
      <c r="L719" s="396"/>
      <c r="O719" s="388"/>
      <c r="P719" s="388"/>
      <c r="AA719" s="421">
        <f t="shared" si="11"/>
        <v>0</v>
      </c>
    </row>
    <row r="720" spans="1:27" ht="16.5">
      <c r="A720" s="387">
        <f>'STAT 77 Table'!$I$719</f>
        <v>0</v>
      </c>
      <c r="B720"/>
      <c r="C720"/>
      <c r="D720" s="387" t="str">
        <f>IF($B720&lt;&gt;"",IFERROR(IF(LEFT($B720,3)=$Z$2,VLOOKUP($C720,Outbound!$B:$Z,4,FALSE),VLOOKUP($B720,Outbound!$B:$Z,4,FALSE)),"ON ROCS/NOT ON FILE"),"")</f>
        <v/>
      </c>
      <c r="E720" s="387" t="str">
        <f>IF($B720&lt;&gt;"",IFERROR(IF(LEFT($B720,4)=$Z$2,VLOOKUP($C720,Outbound!$B:$Z,5,FALSE),VLOOKUP($B720,Outbound!$B:$Z,5,FALSE)),"ON ROCS/NOT ON FILE"),"")</f>
        <v/>
      </c>
      <c r="F720" s="387" t="str">
        <f>IF(B720&lt;&gt;"",IFERROR(IF(LEFT($B720,3)=$Z$2,VLOOKUP($C720,Outbound!$B:$Z,11,FALSE),VLOOKUP($B720,Outbound!$B:$Z,11,FALSE)),"NON TROVATO"),"")</f>
        <v/>
      </c>
      <c r="G720" s="394" t="str">
        <f>IF(B720&lt;&gt;"",IFERROR(IF(LEFT($B720,3)=$Z$2,VLOOKUP($C720,Outbound!$B:$AAZ,16,FALSE),VLOOKUP($B720,Outbound!$B:$AAZ,16,FALSE)),"NON TROVATO"),"")</f>
        <v/>
      </c>
      <c r="H720" s="394" t="str">
        <f>IF(B720&lt;&gt;"",IFERROR(IF(LEFT($B720,3)=$Z$2,VLOOKUP($C720,Outbound!$B:$AAZ,6,FALSE),VLOOKUP($B720,Outbound!$B:$AAZ,6,FALSE)),"NON TROVATO"),"")</f>
        <v/>
      </c>
      <c r="I720" s="394" t="str">
        <f>IF(B720&lt;&gt;"",IFERROR(IF(LEFT($B720,3)=$Z$2,VLOOKUP($C720,Outbound!$B:$AAZ,52,FALSE),VLOOKUP($B720,Outbound!$B:$AAZ,52,FALSE)),"NON TROVATO"),"")</f>
        <v/>
      </c>
      <c r="J720" s="396"/>
      <c r="K720" s="387" t="str">
        <f>IF(B720&lt;&gt;"",IF($D720&lt;&gt;"ON ROCS/NOT ON FILE",IFERROR(_xlfn.XLOOKUP(LEFT($D720,3),'STAT 77 Table'!$B:$B,'STAT 77 Table'!$A:$A),"ZZ"&amp;RIGHT($B720,4)),""),"")</f>
        <v/>
      </c>
      <c r="L720" s="396"/>
      <c r="O720" s="388"/>
      <c r="P720" s="388"/>
      <c r="AA720" s="421">
        <f t="shared" si="11"/>
        <v>0</v>
      </c>
    </row>
    <row r="721" spans="1:27" ht="16.5">
      <c r="A721" s="387">
        <f>'STAT 77 Table'!$I$720</f>
        <v>0</v>
      </c>
      <c r="B721"/>
      <c r="C721"/>
      <c r="D721" s="387" t="str">
        <f>IF($B721&lt;&gt;"",IFERROR(IF(LEFT($B721,3)=$Z$2,VLOOKUP($C721,Outbound!$B:$Z,4,FALSE),VLOOKUP($B721,Outbound!$B:$Z,4,FALSE)),"ON ROCS/NOT ON FILE"),"")</f>
        <v/>
      </c>
      <c r="E721" s="387" t="str">
        <f>IF($B721&lt;&gt;"",IFERROR(IF(LEFT($B721,4)=$Z$2,VLOOKUP($C721,Outbound!$B:$Z,5,FALSE),VLOOKUP($B721,Outbound!$B:$Z,5,FALSE)),"ON ROCS/NOT ON FILE"),"")</f>
        <v/>
      </c>
      <c r="F721" s="387" t="str">
        <f>IF(B721&lt;&gt;"",IFERROR(IF(LEFT($B721,3)=$Z$2,VLOOKUP($C721,Outbound!$B:$Z,11,FALSE),VLOOKUP($B721,Outbound!$B:$Z,11,FALSE)),"NON TROVATO"),"")</f>
        <v/>
      </c>
      <c r="G721" s="394" t="str">
        <f>IF(B721&lt;&gt;"",IFERROR(IF(LEFT($B721,3)=$Z$2,VLOOKUP($C721,Outbound!$B:$AAZ,16,FALSE),VLOOKUP($B721,Outbound!$B:$AAZ,16,FALSE)),"NON TROVATO"),"")</f>
        <v/>
      </c>
      <c r="H721" s="394" t="str">
        <f>IF(B721&lt;&gt;"",IFERROR(IF(LEFT($B721,3)=$Z$2,VLOOKUP($C721,Outbound!$B:$AAZ,6,FALSE),VLOOKUP($B721,Outbound!$B:$AAZ,6,FALSE)),"NON TROVATO"),"")</f>
        <v/>
      </c>
      <c r="I721" s="394" t="str">
        <f>IF(B721&lt;&gt;"",IFERROR(IF(LEFT($B721,3)=$Z$2,VLOOKUP($C721,Outbound!$B:$AAZ,52,FALSE),VLOOKUP($B721,Outbound!$B:$AAZ,52,FALSE)),"NON TROVATO"),"")</f>
        <v/>
      </c>
      <c r="J721" s="396"/>
      <c r="K721" s="387" t="str">
        <f>IF(B721&lt;&gt;"",IF($D721&lt;&gt;"ON ROCS/NOT ON FILE",IFERROR(_xlfn.XLOOKUP(LEFT($D721,3),'STAT 77 Table'!$B:$B,'STAT 77 Table'!$A:$A),"ZZ"&amp;RIGHT($B721,4)),""),"")</f>
        <v/>
      </c>
      <c r="L721" s="396"/>
      <c r="O721" s="388"/>
      <c r="P721" s="388"/>
      <c r="AA721" s="421">
        <f t="shared" si="11"/>
        <v>0</v>
      </c>
    </row>
    <row r="722" spans="1:27" ht="16.5">
      <c r="A722" s="387">
        <f>'STAT 77 Table'!$I$721</f>
        <v>0</v>
      </c>
      <c r="B722"/>
      <c r="C722"/>
      <c r="D722" s="387" t="str">
        <f>IF($B722&lt;&gt;"",IFERROR(IF(LEFT($B722,3)=$Z$2,VLOOKUP($C722,Outbound!$B:$Z,4,FALSE),VLOOKUP($B722,Outbound!$B:$Z,4,FALSE)),"ON ROCS/NOT ON FILE"),"")</f>
        <v/>
      </c>
      <c r="E722" s="387" t="str">
        <f>IF($B722&lt;&gt;"",IFERROR(IF(LEFT($B722,4)=$Z$2,VLOOKUP($C722,Outbound!$B:$Z,5,FALSE),VLOOKUP($B722,Outbound!$B:$Z,5,FALSE)),"ON ROCS/NOT ON FILE"),"")</f>
        <v/>
      </c>
      <c r="F722" s="387" t="str">
        <f>IF(B722&lt;&gt;"",IFERROR(IF(LEFT($B722,3)=$Z$2,VLOOKUP($C722,Outbound!$B:$Z,11,FALSE),VLOOKUP($B722,Outbound!$B:$Z,11,FALSE)),"NON TROVATO"),"")</f>
        <v/>
      </c>
      <c r="G722" s="394" t="str">
        <f>IF(B722&lt;&gt;"",IFERROR(IF(LEFT($B722,3)=$Z$2,VLOOKUP($C722,Outbound!$B:$AAZ,16,FALSE),VLOOKUP($B722,Outbound!$B:$AAZ,16,FALSE)),"NON TROVATO"),"")</f>
        <v/>
      </c>
      <c r="H722" s="394" t="str">
        <f>IF(B722&lt;&gt;"",IFERROR(IF(LEFT($B722,3)=$Z$2,VLOOKUP($C722,Outbound!$B:$AAZ,6,FALSE),VLOOKUP($B722,Outbound!$B:$AAZ,6,FALSE)),"NON TROVATO"),"")</f>
        <v/>
      </c>
      <c r="I722" s="394" t="str">
        <f>IF(B722&lt;&gt;"",IFERROR(IF(LEFT($B722,3)=$Z$2,VLOOKUP($C722,Outbound!$B:$AAZ,52,FALSE),VLOOKUP($B722,Outbound!$B:$AAZ,52,FALSE)),"NON TROVATO"),"")</f>
        <v/>
      </c>
      <c r="J722" s="396"/>
      <c r="K722" s="387" t="str">
        <f>IF(B722&lt;&gt;"",IF($D722&lt;&gt;"ON ROCS/NOT ON FILE",IFERROR(_xlfn.XLOOKUP(LEFT($D722,3),'STAT 77 Table'!$B:$B,'STAT 77 Table'!$A:$A),"ZZ"&amp;RIGHT($B722,4)),""),"")</f>
        <v/>
      </c>
      <c r="L722" s="396"/>
      <c r="O722" s="388"/>
      <c r="P722" s="388"/>
      <c r="AA722" s="421">
        <f t="shared" si="11"/>
        <v>0</v>
      </c>
    </row>
    <row r="723" spans="1:27" ht="16.5">
      <c r="A723" s="387">
        <f>'STAT 77 Table'!$I$722</f>
        <v>0</v>
      </c>
      <c r="B723"/>
      <c r="C723"/>
      <c r="D723" s="387" t="str">
        <f>IF($B723&lt;&gt;"",IFERROR(IF(LEFT($B723,3)=$Z$2,VLOOKUP($C723,Outbound!$B:$Z,4,FALSE),VLOOKUP($B723,Outbound!$B:$Z,4,FALSE)),"ON ROCS/NOT ON FILE"),"")</f>
        <v/>
      </c>
      <c r="E723" s="387" t="str">
        <f>IF($B723&lt;&gt;"",IFERROR(IF(LEFT($B723,4)=$Z$2,VLOOKUP($C723,Outbound!$B:$Z,5,FALSE),VLOOKUP($B723,Outbound!$B:$Z,5,FALSE)),"ON ROCS/NOT ON FILE"),"")</f>
        <v/>
      </c>
      <c r="F723" s="387" t="str">
        <f>IF(B723&lt;&gt;"",IFERROR(IF(LEFT($B723,3)=$Z$2,VLOOKUP($C723,Outbound!$B:$Z,11,FALSE),VLOOKUP($B723,Outbound!$B:$Z,11,FALSE)),"NON TROVATO"),"")</f>
        <v/>
      </c>
      <c r="G723" s="394" t="str">
        <f>IF(B723&lt;&gt;"",IFERROR(IF(LEFT($B723,3)=$Z$2,VLOOKUP($C723,Outbound!$B:$AAZ,16,FALSE),VLOOKUP($B723,Outbound!$B:$AAZ,16,FALSE)),"NON TROVATO"),"")</f>
        <v/>
      </c>
      <c r="H723" s="394" t="str">
        <f>IF(B723&lt;&gt;"",IFERROR(IF(LEFT($B723,3)=$Z$2,VLOOKUP($C723,Outbound!$B:$AAZ,6,FALSE),VLOOKUP($B723,Outbound!$B:$AAZ,6,FALSE)),"NON TROVATO"),"")</f>
        <v/>
      </c>
      <c r="I723" s="394" t="str">
        <f>IF(B723&lt;&gt;"",IFERROR(IF(LEFT($B723,3)=$Z$2,VLOOKUP($C723,Outbound!$B:$AAZ,52,FALSE),VLOOKUP($B723,Outbound!$B:$AAZ,52,FALSE)),"NON TROVATO"),"")</f>
        <v/>
      </c>
      <c r="J723" s="396"/>
      <c r="K723" s="387" t="str">
        <f>IF(B723&lt;&gt;"",IF($D723&lt;&gt;"ON ROCS/NOT ON FILE",IFERROR(_xlfn.XLOOKUP(LEFT($D723,3),'STAT 77 Table'!$B:$B,'STAT 77 Table'!$A:$A),"ZZ"&amp;RIGHT($B723,4)),""),"")</f>
        <v/>
      </c>
      <c r="L723" s="396"/>
      <c r="O723" s="388"/>
      <c r="P723" s="388"/>
      <c r="AA723" s="421">
        <f t="shared" si="11"/>
        <v>0</v>
      </c>
    </row>
    <row r="724" spans="1:27" ht="16.5">
      <c r="A724" s="387">
        <f>'STAT 77 Table'!$I$723</f>
        <v>0</v>
      </c>
      <c r="B724"/>
      <c r="C724"/>
      <c r="D724" s="387" t="str">
        <f>IF($B724&lt;&gt;"",IFERROR(IF(LEFT($B724,3)=$Z$2,VLOOKUP($C724,Outbound!$B:$Z,4,FALSE),VLOOKUP($B724,Outbound!$B:$Z,4,FALSE)),"ON ROCS/NOT ON FILE"),"")</f>
        <v/>
      </c>
      <c r="E724" s="387" t="str">
        <f>IF($B724&lt;&gt;"",IFERROR(IF(LEFT($B724,4)=$Z$2,VLOOKUP($C724,Outbound!$B:$Z,5,FALSE),VLOOKUP($B724,Outbound!$B:$Z,5,FALSE)),"ON ROCS/NOT ON FILE"),"")</f>
        <v/>
      </c>
      <c r="F724" s="387" t="str">
        <f>IF(B724&lt;&gt;"",IFERROR(IF(LEFT($B724,3)=$Z$2,VLOOKUP($C724,Outbound!$B:$Z,11,FALSE),VLOOKUP($B724,Outbound!$B:$Z,11,FALSE)),"NON TROVATO"),"")</f>
        <v/>
      </c>
      <c r="G724" s="394" t="str">
        <f>IF(B724&lt;&gt;"",IFERROR(IF(LEFT($B724,3)=$Z$2,VLOOKUP($C724,Outbound!$B:$AAZ,16,FALSE),VLOOKUP($B724,Outbound!$B:$AAZ,16,FALSE)),"NON TROVATO"),"")</f>
        <v/>
      </c>
      <c r="H724" s="394" t="str">
        <f>IF(B724&lt;&gt;"",IFERROR(IF(LEFT($B724,3)=$Z$2,VLOOKUP($C724,Outbound!$B:$AAZ,6,FALSE),VLOOKUP($B724,Outbound!$B:$AAZ,6,FALSE)),"NON TROVATO"),"")</f>
        <v/>
      </c>
      <c r="I724" s="394" t="str">
        <f>IF(B724&lt;&gt;"",IFERROR(IF(LEFT($B724,3)=$Z$2,VLOOKUP($C724,Outbound!$B:$AAZ,52,FALSE),VLOOKUP($B724,Outbound!$B:$AAZ,52,FALSE)),"NON TROVATO"),"")</f>
        <v/>
      </c>
      <c r="J724" s="396"/>
      <c r="K724" s="387" t="str">
        <f>IF(B724&lt;&gt;"",IF($D724&lt;&gt;"ON ROCS/NOT ON FILE",IFERROR(_xlfn.XLOOKUP(LEFT($D724,3),'STAT 77 Table'!$B:$B,'STAT 77 Table'!$A:$A),"ZZ"&amp;RIGHT($B724,4)),""),"")</f>
        <v/>
      </c>
      <c r="L724" s="396"/>
      <c r="O724" s="388"/>
      <c r="P724" s="388"/>
      <c r="AA724" s="421">
        <f t="shared" si="11"/>
        <v>0</v>
      </c>
    </row>
    <row r="725" spans="1:27" ht="16.5">
      <c r="A725" s="387">
        <f>'STAT 77 Table'!$I$724</f>
        <v>0</v>
      </c>
      <c r="B725"/>
      <c r="C725"/>
      <c r="D725" s="387" t="str">
        <f>IF($B725&lt;&gt;"",IFERROR(IF(LEFT($B725,3)=$Z$2,VLOOKUP($C725,Outbound!$B:$Z,4,FALSE),VLOOKUP($B725,Outbound!$B:$Z,4,FALSE)),"ON ROCS/NOT ON FILE"),"")</f>
        <v/>
      </c>
      <c r="E725" s="387" t="str">
        <f>IF($B725&lt;&gt;"",IFERROR(IF(LEFT($B725,4)=$Z$2,VLOOKUP($C725,Outbound!$B:$Z,5,FALSE),VLOOKUP($B725,Outbound!$B:$Z,5,FALSE)),"ON ROCS/NOT ON FILE"),"")</f>
        <v/>
      </c>
      <c r="F725" s="387" t="str">
        <f>IF(B725&lt;&gt;"",IFERROR(IF(LEFT($B725,3)=$Z$2,VLOOKUP($C725,Outbound!$B:$Z,11,FALSE),VLOOKUP($B725,Outbound!$B:$Z,11,FALSE)),"NON TROVATO"),"")</f>
        <v/>
      </c>
      <c r="G725" s="394" t="str">
        <f>IF(B725&lt;&gt;"",IFERROR(IF(LEFT($B725,3)=$Z$2,VLOOKUP($C725,Outbound!$B:$AAZ,16,FALSE),VLOOKUP($B725,Outbound!$B:$AAZ,16,FALSE)),"NON TROVATO"),"")</f>
        <v/>
      </c>
      <c r="H725" s="394" t="str">
        <f>IF(B725&lt;&gt;"",IFERROR(IF(LEFT($B725,3)=$Z$2,VLOOKUP($C725,Outbound!$B:$AAZ,6,FALSE),VLOOKUP($B725,Outbound!$B:$AAZ,6,FALSE)),"NON TROVATO"),"")</f>
        <v/>
      </c>
      <c r="I725" s="394" t="str">
        <f>IF(B725&lt;&gt;"",IFERROR(IF(LEFT($B725,3)=$Z$2,VLOOKUP($C725,Outbound!$B:$AAZ,52,FALSE),VLOOKUP($B725,Outbound!$B:$AAZ,52,FALSE)),"NON TROVATO"),"")</f>
        <v/>
      </c>
      <c r="J725" s="396"/>
      <c r="K725" s="387" t="str">
        <f>IF(B725&lt;&gt;"",IF($D725&lt;&gt;"ON ROCS/NOT ON FILE",IFERROR(_xlfn.XLOOKUP(LEFT($D725,3),'STAT 77 Table'!$B:$B,'STAT 77 Table'!$A:$A),"ZZ"&amp;RIGHT($B725,4)),""),"")</f>
        <v/>
      </c>
      <c r="L725" s="396"/>
      <c r="O725" s="388"/>
      <c r="P725" s="388"/>
      <c r="AA725" s="421">
        <f t="shared" si="11"/>
        <v>0</v>
      </c>
    </row>
    <row r="726" spans="1:27" ht="16.5">
      <c r="A726" s="387">
        <f>'STAT 77 Table'!$I$725</f>
        <v>0</v>
      </c>
      <c r="B726"/>
      <c r="C726"/>
      <c r="D726" s="387" t="str">
        <f>IF($B726&lt;&gt;"",IFERROR(IF(LEFT($B726,3)=$Z$2,VLOOKUP($C726,Outbound!$B:$Z,4,FALSE),VLOOKUP($B726,Outbound!$B:$Z,4,FALSE)),"ON ROCS/NOT ON FILE"),"")</f>
        <v/>
      </c>
      <c r="E726" s="387" t="str">
        <f>IF($B726&lt;&gt;"",IFERROR(IF(LEFT($B726,4)=$Z$2,VLOOKUP($C726,Outbound!$B:$Z,5,FALSE),VLOOKUP($B726,Outbound!$B:$Z,5,FALSE)),"ON ROCS/NOT ON FILE"),"")</f>
        <v/>
      </c>
      <c r="F726" s="387" t="str">
        <f>IF(B726&lt;&gt;"",IFERROR(IF(LEFT($B726,3)=$Z$2,VLOOKUP($C726,Outbound!$B:$Z,11,FALSE),VLOOKUP($B726,Outbound!$B:$Z,11,FALSE)),"NON TROVATO"),"")</f>
        <v/>
      </c>
      <c r="G726" s="394" t="str">
        <f>IF(B726&lt;&gt;"",IFERROR(IF(LEFT($B726,3)=$Z$2,VLOOKUP($C726,Outbound!$B:$AAZ,16,FALSE),VLOOKUP($B726,Outbound!$B:$AAZ,16,FALSE)),"NON TROVATO"),"")</f>
        <v/>
      </c>
      <c r="H726" s="394" t="str">
        <f>IF(B726&lt;&gt;"",IFERROR(IF(LEFT($B726,3)=$Z$2,VLOOKUP($C726,Outbound!$B:$AAZ,6,FALSE),VLOOKUP($B726,Outbound!$B:$AAZ,6,FALSE)),"NON TROVATO"),"")</f>
        <v/>
      </c>
      <c r="I726" s="394" t="str">
        <f>IF(B726&lt;&gt;"",IFERROR(IF(LEFT($B726,3)=$Z$2,VLOOKUP($C726,Outbound!$B:$AAZ,52,FALSE),VLOOKUP($B726,Outbound!$B:$AAZ,52,FALSE)),"NON TROVATO"),"")</f>
        <v/>
      </c>
      <c r="J726" s="396"/>
      <c r="K726" s="387" t="str">
        <f>IF(B726&lt;&gt;"",IF($D726&lt;&gt;"ON ROCS/NOT ON FILE",IFERROR(_xlfn.XLOOKUP(LEFT($D726,3),'STAT 77 Table'!$B:$B,'STAT 77 Table'!$A:$A),"ZZ"&amp;RIGHT($B726,4)),""),"")</f>
        <v/>
      </c>
      <c r="L726" s="396"/>
      <c r="O726" s="388"/>
      <c r="P726" s="388"/>
      <c r="AA726" s="421">
        <f t="shared" si="11"/>
        <v>0</v>
      </c>
    </row>
    <row r="727" spans="1:27" ht="16.5">
      <c r="A727" s="387">
        <f>'STAT 77 Table'!$I$726</f>
        <v>0</v>
      </c>
      <c r="B727"/>
      <c r="C727"/>
      <c r="D727" s="387" t="str">
        <f>IF($B727&lt;&gt;"",IFERROR(IF(LEFT($B727,3)=$Z$2,VLOOKUP($C727,Outbound!$B:$Z,4,FALSE),VLOOKUP($B727,Outbound!$B:$Z,4,FALSE)),"ON ROCS/NOT ON FILE"),"")</f>
        <v/>
      </c>
      <c r="E727" s="387" t="str">
        <f>IF($B727&lt;&gt;"",IFERROR(IF(LEFT($B727,4)=$Z$2,VLOOKUP($C727,Outbound!$B:$Z,5,FALSE),VLOOKUP($B727,Outbound!$B:$Z,5,FALSE)),"ON ROCS/NOT ON FILE"),"")</f>
        <v/>
      </c>
      <c r="F727" s="387" t="str">
        <f>IF(B727&lt;&gt;"",IFERROR(IF(LEFT($B727,3)=$Z$2,VLOOKUP($C727,Outbound!$B:$Z,11,FALSE),VLOOKUP($B727,Outbound!$B:$Z,11,FALSE)),"NON TROVATO"),"")</f>
        <v/>
      </c>
      <c r="G727" s="394" t="str">
        <f>IF(B727&lt;&gt;"",IFERROR(IF(LEFT($B727,3)=$Z$2,VLOOKUP($C727,Outbound!$B:$AAZ,16,FALSE),VLOOKUP($B727,Outbound!$B:$AAZ,16,FALSE)),"NON TROVATO"),"")</f>
        <v/>
      </c>
      <c r="H727" s="394" t="str">
        <f>IF(B727&lt;&gt;"",IFERROR(IF(LEFT($B727,3)=$Z$2,VLOOKUP($C727,Outbound!$B:$AAZ,6,FALSE),VLOOKUP($B727,Outbound!$B:$AAZ,6,FALSE)),"NON TROVATO"),"")</f>
        <v/>
      </c>
      <c r="I727" s="394" t="str">
        <f>IF(B727&lt;&gt;"",IFERROR(IF(LEFT($B727,3)=$Z$2,VLOOKUP($C727,Outbound!$B:$AAZ,52,FALSE),VLOOKUP($B727,Outbound!$B:$AAZ,52,FALSE)),"NON TROVATO"),"")</f>
        <v/>
      </c>
      <c r="J727" s="396"/>
      <c r="K727" s="387" t="str">
        <f>IF(B727&lt;&gt;"",IF($D727&lt;&gt;"ON ROCS/NOT ON FILE",IFERROR(_xlfn.XLOOKUP(LEFT($D727,3),'STAT 77 Table'!$B:$B,'STAT 77 Table'!$A:$A),"ZZ"&amp;RIGHT($B727,4)),""),"")</f>
        <v/>
      </c>
      <c r="L727" s="396"/>
      <c r="O727" s="388"/>
      <c r="P727" s="388"/>
      <c r="AA727" s="421">
        <f t="shared" si="11"/>
        <v>0</v>
      </c>
    </row>
    <row r="728" spans="1:27" ht="16.5">
      <c r="A728" s="387">
        <f>'STAT 77 Table'!$I$727</f>
        <v>0</v>
      </c>
      <c r="B728"/>
      <c r="C728"/>
      <c r="D728" s="387" t="str">
        <f>IF($B728&lt;&gt;"",IFERROR(IF(LEFT($B728,3)=$Z$2,VLOOKUP($C728,Outbound!$B:$Z,4,FALSE),VLOOKUP($B728,Outbound!$B:$Z,4,FALSE)),"ON ROCS/NOT ON FILE"),"")</f>
        <v/>
      </c>
      <c r="E728" s="387" t="str">
        <f>IF($B728&lt;&gt;"",IFERROR(IF(LEFT($B728,4)=$Z$2,VLOOKUP($C728,Outbound!$B:$Z,5,FALSE),VLOOKUP($B728,Outbound!$B:$Z,5,FALSE)),"ON ROCS/NOT ON FILE"),"")</f>
        <v/>
      </c>
      <c r="F728" s="387" t="str">
        <f>IF(B728&lt;&gt;"",IFERROR(IF(LEFT($B728,3)=$Z$2,VLOOKUP($C728,Outbound!$B:$Z,11,FALSE),VLOOKUP($B728,Outbound!$B:$Z,11,FALSE)),"NON TROVATO"),"")</f>
        <v/>
      </c>
      <c r="G728" s="394" t="str">
        <f>IF(B728&lt;&gt;"",IFERROR(IF(LEFT($B728,3)=$Z$2,VLOOKUP($C728,Outbound!$B:$AAZ,16,FALSE),VLOOKUP($B728,Outbound!$B:$AAZ,16,FALSE)),"NON TROVATO"),"")</f>
        <v/>
      </c>
      <c r="H728" s="394" t="str">
        <f>IF(B728&lt;&gt;"",IFERROR(IF(LEFT($B728,3)=$Z$2,VLOOKUP($C728,Outbound!$B:$AAZ,6,FALSE),VLOOKUP($B728,Outbound!$B:$AAZ,6,FALSE)),"NON TROVATO"),"")</f>
        <v/>
      </c>
      <c r="I728" s="394" t="str">
        <f>IF(B728&lt;&gt;"",IFERROR(IF(LEFT($B728,3)=$Z$2,VLOOKUP($C728,Outbound!$B:$AAZ,52,FALSE),VLOOKUP($B728,Outbound!$B:$AAZ,52,FALSE)),"NON TROVATO"),"")</f>
        <v/>
      </c>
      <c r="J728" s="396"/>
      <c r="K728" s="387" t="str">
        <f>IF(B728&lt;&gt;"",IF($D728&lt;&gt;"ON ROCS/NOT ON FILE",IFERROR(_xlfn.XLOOKUP(LEFT($D728,3),'STAT 77 Table'!$B:$B,'STAT 77 Table'!$A:$A),"ZZ"&amp;RIGHT($B728,4)),""),"")</f>
        <v/>
      </c>
      <c r="L728" s="396"/>
      <c r="O728" s="388"/>
      <c r="P728" s="388"/>
      <c r="AA728" s="421">
        <f t="shared" si="11"/>
        <v>0</v>
      </c>
    </row>
    <row r="729" spans="1:27" ht="16.5">
      <c r="A729" s="387">
        <f>'STAT 77 Table'!$I$728</f>
        <v>0</v>
      </c>
      <c r="B729"/>
      <c r="C729"/>
      <c r="D729" s="387" t="str">
        <f>IF($B729&lt;&gt;"",IFERROR(IF(LEFT($B729,3)=$Z$2,VLOOKUP($C729,Outbound!$B:$Z,4,FALSE),VLOOKUP($B729,Outbound!$B:$Z,4,FALSE)),"ON ROCS/NOT ON FILE"),"")</f>
        <v/>
      </c>
      <c r="E729" s="387" t="str">
        <f>IF($B729&lt;&gt;"",IFERROR(IF(LEFT($B729,4)=$Z$2,VLOOKUP($C729,Outbound!$B:$Z,5,FALSE),VLOOKUP($B729,Outbound!$B:$Z,5,FALSE)),"ON ROCS/NOT ON FILE"),"")</f>
        <v/>
      </c>
      <c r="F729" s="387" t="str">
        <f>IF(B729&lt;&gt;"",IFERROR(IF(LEFT($B729,3)=$Z$2,VLOOKUP($C729,Outbound!$B:$Z,11,FALSE),VLOOKUP($B729,Outbound!$B:$Z,11,FALSE)),"NON TROVATO"),"")</f>
        <v/>
      </c>
      <c r="G729" s="394" t="str">
        <f>IF(B729&lt;&gt;"",IFERROR(IF(LEFT($B729,3)=$Z$2,VLOOKUP($C729,Outbound!$B:$AAZ,16,FALSE),VLOOKUP($B729,Outbound!$B:$AAZ,16,FALSE)),"NON TROVATO"),"")</f>
        <v/>
      </c>
      <c r="H729" s="394" t="str">
        <f>IF(B729&lt;&gt;"",IFERROR(IF(LEFT($B729,3)=$Z$2,VLOOKUP($C729,Outbound!$B:$AAZ,6,FALSE),VLOOKUP($B729,Outbound!$B:$AAZ,6,FALSE)),"NON TROVATO"),"")</f>
        <v/>
      </c>
      <c r="I729" s="394" t="str">
        <f>IF(B729&lt;&gt;"",IFERROR(IF(LEFT($B729,3)=$Z$2,VLOOKUP($C729,Outbound!$B:$AAZ,52,FALSE),VLOOKUP($B729,Outbound!$B:$AAZ,52,FALSE)),"NON TROVATO"),"")</f>
        <v/>
      </c>
      <c r="J729" s="396"/>
      <c r="K729" s="387" t="str">
        <f>IF(B729&lt;&gt;"",IF($D729&lt;&gt;"ON ROCS/NOT ON FILE",IFERROR(_xlfn.XLOOKUP(LEFT($D729,3),'STAT 77 Table'!$B:$B,'STAT 77 Table'!$A:$A),"ZZ"&amp;RIGHT($B729,4)),""),"")</f>
        <v/>
      </c>
      <c r="L729" s="396"/>
      <c r="O729" s="388"/>
      <c r="P729" s="388"/>
      <c r="AA729" s="421">
        <f t="shared" si="11"/>
        <v>0</v>
      </c>
    </row>
    <row r="730" spans="1:27" ht="16.5">
      <c r="A730" s="387">
        <f>'STAT 77 Table'!$I$729</f>
        <v>0</v>
      </c>
      <c r="B730"/>
      <c r="C730"/>
      <c r="D730" s="387" t="str">
        <f>IF($B730&lt;&gt;"",IFERROR(IF(LEFT($B730,3)=$Z$2,VLOOKUP($C730,Outbound!$B:$Z,4,FALSE),VLOOKUP($B730,Outbound!$B:$Z,4,FALSE)),"ON ROCS/NOT ON FILE"),"")</f>
        <v/>
      </c>
      <c r="E730" s="387" t="str">
        <f>IF($B730&lt;&gt;"",IFERROR(IF(LEFT($B730,4)=$Z$2,VLOOKUP($C730,Outbound!$B:$Z,5,FALSE),VLOOKUP($B730,Outbound!$B:$Z,5,FALSE)),"ON ROCS/NOT ON FILE"),"")</f>
        <v/>
      </c>
      <c r="F730" s="387" t="str">
        <f>IF(B730&lt;&gt;"",IFERROR(IF(LEFT($B730,3)=$Z$2,VLOOKUP($C730,Outbound!$B:$Z,11,FALSE),VLOOKUP($B730,Outbound!$B:$Z,11,FALSE)),"NON TROVATO"),"")</f>
        <v/>
      </c>
      <c r="G730" s="394" t="str">
        <f>IF(B730&lt;&gt;"",IFERROR(IF(LEFT($B730,3)=$Z$2,VLOOKUP($C730,Outbound!$B:$AAZ,16,FALSE),VLOOKUP($B730,Outbound!$B:$AAZ,16,FALSE)),"NON TROVATO"),"")</f>
        <v/>
      </c>
      <c r="H730" s="394" t="str">
        <f>IF(B730&lt;&gt;"",IFERROR(IF(LEFT($B730,3)=$Z$2,VLOOKUP($C730,Outbound!$B:$AAZ,6,FALSE),VLOOKUP($B730,Outbound!$B:$AAZ,6,FALSE)),"NON TROVATO"),"")</f>
        <v/>
      </c>
      <c r="I730" s="394" t="str">
        <f>IF(B730&lt;&gt;"",IFERROR(IF(LEFT($B730,3)=$Z$2,VLOOKUP($C730,Outbound!$B:$AAZ,52,FALSE),VLOOKUP($B730,Outbound!$B:$AAZ,52,FALSE)),"NON TROVATO"),"")</f>
        <v/>
      </c>
      <c r="J730" s="396"/>
      <c r="K730" s="387" t="str">
        <f>IF(B730&lt;&gt;"",IF($D730&lt;&gt;"ON ROCS/NOT ON FILE",IFERROR(_xlfn.XLOOKUP(LEFT($D730,3),'STAT 77 Table'!$B:$B,'STAT 77 Table'!$A:$A),"ZZ"&amp;RIGHT($B730,4)),""),"")</f>
        <v/>
      </c>
      <c r="L730" s="396"/>
      <c r="O730" s="388"/>
      <c r="P730" s="388"/>
      <c r="AA730" s="421">
        <f t="shared" si="11"/>
        <v>0</v>
      </c>
    </row>
    <row r="731" spans="1:27" ht="16.5">
      <c r="A731" s="387">
        <f>'STAT 77 Table'!$I$730</f>
        <v>0</v>
      </c>
      <c r="B731"/>
      <c r="C731"/>
      <c r="D731" s="387" t="str">
        <f>IF($B731&lt;&gt;"",IFERROR(IF(LEFT($B731,3)=$Z$2,VLOOKUP($C731,Outbound!$B:$Z,4,FALSE),VLOOKUP($B731,Outbound!$B:$Z,4,FALSE)),"ON ROCS/NOT ON FILE"),"")</f>
        <v/>
      </c>
      <c r="E731" s="387" t="str">
        <f>IF($B731&lt;&gt;"",IFERROR(IF(LEFT($B731,4)=$Z$2,VLOOKUP($C731,Outbound!$B:$Z,5,FALSE),VLOOKUP($B731,Outbound!$B:$Z,5,FALSE)),"ON ROCS/NOT ON FILE"),"")</f>
        <v/>
      </c>
      <c r="F731" s="387" t="str">
        <f>IF(B731&lt;&gt;"",IFERROR(IF(LEFT($B731,3)=$Z$2,VLOOKUP($C731,Outbound!$B:$Z,11,FALSE),VLOOKUP($B731,Outbound!$B:$Z,11,FALSE)),"NON TROVATO"),"")</f>
        <v/>
      </c>
      <c r="G731" s="394" t="str">
        <f>IF(B731&lt;&gt;"",IFERROR(IF(LEFT($B731,3)=$Z$2,VLOOKUP($C731,Outbound!$B:$AAZ,16,FALSE),VLOOKUP($B731,Outbound!$B:$AAZ,16,FALSE)),"NON TROVATO"),"")</f>
        <v/>
      </c>
      <c r="H731" s="394" t="str">
        <f>IF(B731&lt;&gt;"",IFERROR(IF(LEFT($B731,3)=$Z$2,VLOOKUP($C731,Outbound!$B:$AAZ,6,FALSE),VLOOKUP($B731,Outbound!$B:$AAZ,6,FALSE)),"NON TROVATO"),"")</f>
        <v/>
      </c>
      <c r="I731" s="394" t="str">
        <f>IF(B731&lt;&gt;"",IFERROR(IF(LEFT($B731,3)=$Z$2,VLOOKUP($C731,Outbound!$B:$AAZ,52,FALSE),VLOOKUP($B731,Outbound!$B:$AAZ,52,FALSE)),"NON TROVATO"),"")</f>
        <v/>
      </c>
      <c r="J731" s="396"/>
      <c r="K731" s="387" t="str">
        <f>IF(B731&lt;&gt;"",IF($D731&lt;&gt;"ON ROCS/NOT ON FILE",IFERROR(_xlfn.XLOOKUP(LEFT($D731,3),'STAT 77 Table'!$B:$B,'STAT 77 Table'!$A:$A),"ZZ"&amp;RIGHT($B731,4)),""),"")</f>
        <v/>
      </c>
      <c r="L731" s="396"/>
      <c r="O731" s="388"/>
      <c r="P731" s="388"/>
      <c r="AA731" s="421">
        <f t="shared" si="11"/>
        <v>0</v>
      </c>
    </row>
    <row r="732" spans="1:27" ht="16.5">
      <c r="A732" s="387">
        <f>'STAT 77 Table'!$I$731</f>
        <v>0</v>
      </c>
      <c r="B732"/>
      <c r="C732"/>
      <c r="D732" s="387" t="str">
        <f>IF($B732&lt;&gt;"",IFERROR(IF(LEFT($B732,3)=$Z$2,VLOOKUP($C732,Outbound!$B:$Z,4,FALSE),VLOOKUP($B732,Outbound!$B:$Z,4,FALSE)),"ON ROCS/NOT ON FILE"),"")</f>
        <v/>
      </c>
      <c r="E732" s="387" t="str">
        <f>IF($B732&lt;&gt;"",IFERROR(IF(LEFT($B732,4)=$Z$2,VLOOKUP($C732,Outbound!$B:$Z,5,FALSE),VLOOKUP($B732,Outbound!$B:$Z,5,FALSE)),"ON ROCS/NOT ON FILE"),"")</f>
        <v/>
      </c>
      <c r="F732" s="387" t="str">
        <f>IF(B732&lt;&gt;"",IFERROR(IF(LEFT($B732,3)=$Z$2,VLOOKUP($C732,Outbound!$B:$Z,11,FALSE),VLOOKUP($B732,Outbound!$B:$Z,11,FALSE)),"NON TROVATO"),"")</f>
        <v/>
      </c>
      <c r="G732" s="394" t="str">
        <f>IF(B732&lt;&gt;"",IFERROR(IF(LEFT($B732,3)=$Z$2,VLOOKUP($C732,Outbound!$B:$AAZ,16,FALSE),VLOOKUP($B732,Outbound!$B:$AAZ,16,FALSE)),"NON TROVATO"),"")</f>
        <v/>
      </c>
      <c r="H732" s="394" t="str">
        <f>IF(B732&lt;&gt;"",IFERROR(IF(LEFT($B732,3)=$Z$2,VLOOKUP($C732,Outbound!$B:$AAZ,6,FALSE),VLOOKUP($B732,Outbound!$B:$AAZ,6,FALSE)),"NON TROVATO"),"")</f>
        <v/>
      </c>
      <c r="I732" s="394" t="str">
        <f>IF(B732&lt;&gt;"",IFERROR(IF(LEFT($B732,3)=$Z$2,VLOOKUP($C732,Outbound!$B:$AAZ,52,FALSE),VLOOKUP($B732,Outbound!$B:$AAZ,52,FALSE)),"NON TROVATO"),"")</f>
        <v/>
      </c>
      <c r="J732" s="396"/>
      <c r="K732" s="387" t="str">
        <f>IF(B732&lt;&gt;"",IF($D732&lt;&gt;"ON ROCS/NOT ON FILE",IFERROR(_xlfn.XLOOKUP(LEFT($D732,3),'STAT 77 Table'!$B:$B,'STAT 77 Table'!$A:$A),"ZZ"&amp;RIGHT($B732,4)),""),"")</f>
        <v/>
      </c>
      <c r="L732" s="396"/>
      <c r="O732" s="388"/>
      <c r="P732" s="388"/>
      <c r="AA732" s="421">
        <f t="shared" si="11"/>
        <v>0</v>
      </c>
    </row>
    <row r="733" spans="1:27" ht="16.5">
      <c r="A733" s="387">
        <f>'STAT 77 Table'!$I$732</f>
        <v>0</v>
      </c>
      <c r="B733"/>
      <c r="C733"/>
      <c r="D733" s="387" t="str">
        <f>IF($B733&lt;&gt;"",IFERROR(IF(LEFT($B733,3)=$Z$2,VLOOKUP($C733,Outbound!$B:$Z,4,FALSE),VLOOKUP($B733,Outbound!$B:$Z,4,FALSE)),"ON ROCS/NOT ON FILE"),"")</f>
        <v/>
      </c>
      <c r="E733" s="387" t="str">
        <f>IF($B733&lt;&gt;"",IFERROR(IF(LEFT($B733,4)=$Z$2,VLOOKUP($C733,Outbound!$B:$Z,5,FALSE),VLOOKUP($B733,Outbound!$B:$Z,5,FALSE)),"ON ROCS/NOT ON FILE"),"")</f>
        <v/>
      </c>
      <c r="F733" s="387" t="str">
        <f>IF(B733&lt;&gt;"",IFERROR(IF(LEFT($B733,3)=$Z$2,VLOOKUP($C733,Outbound!$B:$Z,11,FALSE),VLOOKUP($B733,Outbound!$B:$Z,11,FALSE)),"NON TROVATO"),"")</f>
        <v/>
      </c>
      <c r="G733" s="394" t="str">
        <f>IF(B733&lt;&gt;"",IFERROR(IF(LEFT($B733,3)=$Z$2,VLOOKUP($C733,Outbound!$B:$AAZ,16,FALSE),VLOOKUP($B733,Outbound!$B:$AAZ,16,FALSE)),"NON TROVATO"),"")</f>
        <v/>
      </c>
      <c r="H733" s="394" t="str">
        <f>IF(B733&lt;&gt;"",IFERROR(IF(LEFT($B733,3)=$Z$2,VLOOKUP($C733,Outbound!$B:$AAZ,6,FALSE),VLOOKUP($B733,Outbound!$B:$AAZ,6,FALSE)),"NON TROVATO"),"")</f>
        <v/>
      </c>
      <c r="I733" s="394" t="str">
        <f>IF(B733&lt;&gt;"",IFERROR(IF(LEFT($B733,3)=$Z$2,VLOOKUP($C733,Outbound!$B:$AAZ,52,FALSE),VLOOKUP($B733,Outbound!$B:$AAZ,52,FALSE)),"NON TROVATO"),"")</f>
        <v/>
      </c>
      <c r="J733" s="396"/>
      <c r="K733" s="387" t="str">
        <f>IF(B733&lt;&gt;"",IF($D733&lt;&gt;"ON ROCS/NOT ON FILE",IFERROR(_xlfn.XLOOKUP(LEFT($D733,3),'STAT 77 Table'!$B:$B,'STAT 77 Table'!$A:$A),"ZZ"&amp;RIGHT($B733,4)),""),"")</f>
        <v/>
      </c>
      <c r="L733" s="396"/>
      <c r="O733" s="388"/>
      <c r="P733" s="388"/>
      <c r="AA733" s="421">
        <f t="shared" si="11"/>
        <v>0</v>
      </c>
    </row>
    <row r="734" spans="1:27" ht="16.5">
      <c r="A734" s="387">
        <f>'STAT 77 Table'!$I$733</f>
        <v>0</v>
      </c>
      <c r="B734"/>
      <c r="C734"/>
      <c r="D734" s="387" t="str">
        <f>IF($B734&lt;&gt;"",IFERROR(IF(LEFT($B734,3)=$Z$2,VLOOKUP($C734,Outbound!$B:$Z,4,FALSE),VLOOKUP($B734,Outbound!$B:$Z,4,FALSE)),"ON ROCS/NOT ON FILE"),"")</f>
        <v/>
      </c>
      <c r="E734" s="387" t="str">
        <f>IF($B734&lt;&gt;"",IFERROR(IF(LEFT($B734,4)=$Z$2,VLOOKUP($C734,Outbound!$B:$Z,5,FALSE),VLOOKUP($B734,Outbound!$B:$Z,5,FALSE)),"ON ROCS/NOT ON FILE"),"")</f>
        <v/>
      </c>
      <c r="F734" s="387" t="str">
        <f>IF(B734&lt;&gt;"",IFERROR(IF(LEFT($B734,3)=$Z$2,VLOOKUP($C734,Outbound!$B:$Z,11,FALSE),VLOOKUP($B734,Outbound!$B:$Z,11,FALSE)),"NON TROVATO"),"")</f>
        <v/>
      </c>
      <c r="G734" s="394" t="str">
        <f>IF(B734&lt;&gt;"",IFERROR(IF(LEFT($B734,3)=$Z$2,VLOOKUP($C734,Outbound!$B:$AAZ,16,FALSE),VLOOKUP($B734,Outbound!$B:$AAZ,16,FALSE)),"NON TROVATO"),"")</f>
        <v/>
      </c>
      <c r="H734" s="394" t="str">
        <f>IF(B734&lt;&gt;"",IFERROR(IF(LEFT($B734,3)=$Z$2,VLOOKUP($C734,Outbound!$B:$AAZ,6,FALSE),VLOOKUP($B734,Outbound!$B:$AAZ,6,FALSE)),"NON TROVATO"),"")</f>
        <v/>
      </c>
      <c r="I734" s="394" t="str">
        <f>IF(B734&lt;&gt;"",IFERROR(IF(LEFT($B734,3)=$Z$2,VLOOKUP($C734,Outbound!$B:$AAZ,52,FALSE),VLOOKUP($B734,Outbound!$B:$AAZ,52,FALSE)),"NON TROVATO"),"")</f>
        <v/>
      </c>
      <c r="J734" s="396"/>
      <c r="K734" s="387" t="str">
        <f>IF(B734&lt;&gt;"",IF($D734&lt;&gt;"ON ROCS/NOT ON FILE",IFERROR(_xlfn.XLOOKUP(LEFT($D734,3),'STAT 77 Table'!$B:$B,'STAT 77 Table'!$A:$A),"ZZ"&amp;RIGHT($B734,4)),""),"")</f>
        <v/>
      </c>
      <c r="L734" s="396"/>
      <c r="O734" s="388"/>
      <c r="P734" s="388"/>
      <c r="AA734" s="421">
        <f t="shared" si="11"/>
        <v>0</v>
      </c>
    </row>
    <row r="735" spans="1:27" ht="16.5">
      <c r="A735" s="387">
        <f>'STAT 77 Table'!$I$734</f>
        <v>0</v>
      </c>
      <c r="B735"/>
      <c r="C735"/>
      <c r="D735" s="387" t="str">
        <f>IF($B735&lt;&gt;"",IFERROR(IF(LEFT($B735,3)=$Z$2,VLOOKUP($C735,Outbound!$B:$Z,4,FALSE),VLOOKUP($B735,Outbound!$B:$Z,4,FALSE)),"ON ROCS/NOT ON FILE"),"")</f>
        <v/>
      </c>
      <c r="E735" s="387" t="str">
        <f>IF($B735&lt;&gt;"",IFERROR(IF(LEFT($B735,4)=$Z$2,VLOOKUP($C735,Outbound!$B:$Z,5,FALSE),VLOOKUP($B735,Outbound!$B:$Z,5,FALSE)),"ON ROCS/NOT ON FILE"),"")</f>
        <v/>
      </c>
      <c r="F735" s="387" t="str">
        <f>IF(B735&lt;&gt;"",IFERROR(IF(LEFT($B735,3)=$Z$2,VLOOKUP($C735,Outbound!$B:$Z,11,FALSE),VLOOKUP($B735,Outbound!$B:$Z,11,FALSE)),"NON TROVATO"),"")</f>
        <v/>
      </c>
      <c r="G735" s="394" t="str">
        <f>IF(B735&lt;&gt;"",IFERROR(IF(LEFT($B735,3)=$Z$2,VLOOKUP($C735,Outbound!$B:$AAZ,16,FALSE),VLOOKUP($B735,Outbound!$B:$AAZ,16,FALSE)),"NON TROVATO"),"")</f>
        <v/>
      </c>
      <c r="H735" s="394" t="str">
        <f>IF(B735&lt;&gt;"",IFERROR(IF(LEFT($B735,3)=$Z$2,VLOOKUP($C735,Outbound!$B:$AAZ,6,FALSE),VLOOKUP($B735,Outbound!$B:$AAZ,6,FALSE)),"NON TROVATO"),"")</f>
        <v/>
      </c>
      <c r="I735" s="394" t="str">
        <f>IF(B735&lt;&gt;"",IFERROR(IF(LEFT($B735,3)=$Z$2,VLOOKUP($C735,Outbound!$B:$AAZ,52,FALSE),VLOOKUP($B735,Outbound!$B:$AAZ,52,FALSE)),"NON TROVATO"),"")</f>
        <v/>
      </c>
      <c r="J735" s="396"/>
      <c r="K735" s="387" t="str">
        <f>IF(B735&lt;&gt;"",IF($D735&lt;&gt;"ON ROCS/NOT ON FILE",IFERROR(_xlfn.XLOOKUP(LEFT($D735,3),'STAT 77 Table'!$B:$B,'STAT 77 Table'!$A:$A),"ZZ"&amp;RIGHT($B735,4)),""),"")</f>
        <v/>
      </c>
      <c r="L735" s="396"/>
      <c r="O735" s="388"/>
      <c r="P735" s="388"/>
      <c r="AA735" s="421">
        <f t="shared" si="11"/>
        <v>0</v>
      </c>
    </row>
    <row r="736" spans="1:27" ht="16.5">
      <c r="A736" s="387">
        <f>'STAT 77 Table'!$I$735</f>
        <v>0</v>
      </c>
      <c r="B736"/>
      <c r="C736"/>
      <c r="D736" s="387" t="str">
        <f>IF($B736&lt;&gt;"",IFERROR(IF(LEFT($B736,3)=$Z$2,VLOOKUP($C736,Outbound!$B:$Z,4,FALSE),VLOOKUP($B736,Outbound!$B:$Z,4,FALSE)),"ON ROCS/NOT ON FILE"),"")</f>
        <v/>
      </c>
      <c r="E736" s="387" t="str">
        <f>IF($B736&lt;&gt;"",IFERROR(IF(LEFT($B736,4)=$Z$2,VLOOKUP($C736,Outbound!$B:$Z,5,FALSE),VLOOKUP($B736,Outbound!$B:$Z,5,FALSE)),"ON ROCS/NOT ON FILE"),"")</f>
        <v/>
      </c>
      <c r="F736" s="387" t="str">
        <f>IF(B736&lt;&gt;"",IFERROR(IF(LEFT($B736,3)=$Z$2,VLOOKUP($C736,Outbound!$B:$Z,11,FALSE),VLOOKUP($B736,Outbound!$B:$Z,11,FALSE)),"NON TROVATO"),"")</f>
        <v/>
      </c>
      <c r="G736" s="394" t="str">
        <f>IF(B736&lt;&gt;"",IFERROR(IF(LEFT($B736,3)=$Z$2,VLOOKUP($C736,Outbound!$B:$AAZ,16,FALSE),VLOOKUP($B736,Outbound!$B:$AAZ,16,FALSE)),"NON TROVATO"),"")</f>
        <v/>
      </c>
      <c r="H736" s="394" t="str">
        <f>IF(B736&lt;&gt;"",IFERROR(IF(LEFT($B736,3)=$Z$2,VLOOKUP($C736,Outbound!$B:$AAZ,6,FALSE),VLOOKUP($B736,Outbound!$B:$AAZ,6,FALSE)),"NON TROVATO"),"")</f>
        <v/>
      </c>
      <c r="I736" s="394" t="str">
        <f>IF(B736&lt;&gt;"",IFERROR(IF(LEFT($B736,3)=$Z$2,VLOOKUP($C736,Outbound!$B:$AAZ,52,FALSE),VLOOKUP($B736,Outbound!$B:$AAZ,52,FALSE)),"NON TROVATO"),"")</f>
        <v/>
      </c>
      <c r="J736" s="396"/>
      <c r="K736" s="387" t="str">
        <f>IF(B736&lt;&gt;"",IF($D736&lt;&gt;"ON ROCS/NOT ON FILE",IFERROR(_xlfn.XLOOKUP(LEFT($D736,3),'STAT 77 Table'!$B:$B,'STAT 77 Table'!$A:$A),"ZZ"&amp;RIGHT($B736,4)),""),"")</f>
        <v/>
      </c>
      <c r="L736" s="396"/>
      <c r="O736" s="388"/>
      <c r="P736" s="388"/>
      <c r="AA736" s="421">
        <f t="shared" si="11"/>
        <v>0</v>
      </c>
    </row>
    <row r="737" spans="1:27" ht="16.5">
      <c r="A737" s="387">
        <f>'STAT 77 Table'!$I$736</f>
        <v>0</v>
      </c>
      <c r="B737"/>
      <c r="C737"/>
      <c r="D737" s="387" t="str">
        <f>IF($B737&lt;&gt;"",IFERROR(IF(LEFT($B737,3)=$Z$2,VLOOKUP($C737,Outbound!$B:$Z,4,FALSE),VLOOKUP($B737,Outbound!$B:$Z,4,FALSE)),"ON ROCS/NOT ON FILE"),"")</f>
        <v/>
      </c>
      <c r="E737" s="387" t="str">
        <f>IF($B737&lt;&gt;"",IFERROR(IF(LEFT($B737,4)=$Z$2,VLOOKUP($C737,Outbound!$B:$Z,5,FALSE),VLOOKUP($B737,Outbound!$B:$Z,5,FALSE)),"ON ROCS/NOT ON FILE"),"")</f>
        <v/>
      </c>
      <c r="F737" s="387" t="str">
        <f>IF(B737&lt;&gt;"",IFERROR(IF(LEFT($B737,3)=$Z$2,VLOOKUP($C737,Outbound!$B:$Z,11,FALSE),VLOOKUP($B737,Outbound!$B:$Z,11,FALSE)),"NON TROVATO"),"")</f>
        <v/>
      </c>
      <c r="G737" s="394" t="str">
        <f>IF(B737&lt;&gt;"",IFERROR(IF(LEFT($B737,3)=$Z$2,VLOOKUP($C737,Outbound!$B:$AAZ,16,FALSE),VLOOKUP($B737,Outbound!$B:$AAZ,16,FALSE)),"NON TROVATO"),"")</f>
        <v/>
      </c>
      <c r="H737" s="394" t="str">
        <f>IF(B737&lt;&gt;"",IFERROR(IF(LEFT($B737,3)=$Z$2,VLOOKUP($C737,Outbound!$B:$AAZ,6,FALSE),VLOOKUP($B737,Outbound!$B:$AAZ,6,FALSE)),"NON TROVATO"),"")</f>
        <v/>
      </c>
      <c r="I737" s="394" t="str">
        <f>IF(B737&lt;&gt;"",IFERROR(IF(LEFT($B737,3)=$Z$2,VLOOKUP($C737,Outbound!$B:$AAZ,52,FALSE),VLOOKUP($B737,Outbound!$B:$AAZ,52,FALSE)),"NON TROVATO"),"")</f>
        <v/>
      </c>
      <c r="J737" s="396"/>
      <c r="K737" s="387" t="str">
        <f>IF(B737&lt;&gt;"",IF($D737&lt;&gt;"ON ROCS/NOT ON FILE",IFERROR(_xlfn.XLOOKUP(LEFT($D737,3),'STAT 77 Table'!$B:$B,'STAT 77 Table'!$A:$A),"ZZ"&amp;RIGHT($B737,4)),""),"")</f>
        <v/>
      </c>
      <c r="L737" s="396"/>
      <c r="O737" s="388"/>
      <c r="P737" s="388"/>
      <c r="AA737" s="421">
        <f t="shared" si="11"/>
        <v>0</v>
      </c>
    </row>
    <row r="738" spans="1:27" ht="16.5">
      <c r="A738" s="387">
        <f>'STAT 77 Table'!$I$737</f>
        <v>0</v>
      </c>
      <c r="B738"/>
      <c r="C738"/>
      <c r="D738" s="387" t="str">
        <f>IF($B738&lt;&gt;"",IFERROR(IF(LEFT($B738,3)=$Z$2,VLOOKUP($C738,Outbound!$B:$Z,4,FALSE),VLOOKUP($B738,Outbound!$B:$Z,4,FALSE)),"ON ROCS/NOT ON FILE"),"")</f>
        <v/>
      </c>
      <c r="E738" s="387" t="str">
        <f>IF($B738&lt;&gt;"",IFERROR(IF(LEFT($B738,4)=$Z$2,VLOOKUP($C738,Outbound!$B:$Z,5,FALSE),VLOOKUP($B738,Outbound!$B:$Z,5,FALSE)),"ON ROCS/NOT ON FILE"),"")</f>
        <v/>
      </c>
      <c r="F738" s="387" t="str">
        <f>IF(B738&lt;&gt;"",IFERROR(IF(LEFT($B738,3)=$Z$2,VLOOKUP($C738,Outbound!$B:$Z,11,FALSE),VLOOKUP($B738,Outbound!$B:$Z,11,FALSE)),"NON TROVATO"),"")</f>
        <v/>
      </c>
      <c r="G738" s="394" t="str">
        <f>IF(B738&lt;&gt;"",IFERROR(IF(LEFT($B738,3)=$Z$2,VLOOKUP($C738,Outbound!$B:$AAZ,16,FALSE),VLOOKUP($B738,Outbound!$B:$AAZ,16,FALSE)),"NON TROVATO"),"")</f>
        <v/>
      </c>
      <c r="H738" s="394" t="str">
        <f>IF(B738&lt;&gt;"",IFERROR(IF(LEFT($B738,3)=$Z$2,VLOOKUP($C738,Outbound!$B:$AAZ,6,FALSE),VLOOKUP($B738,Outbound!$B:$AAZ,6,FALSE)),"NON TROVATO"),"")</f>
        <v/>
      </c>
      <c r="I738" s="394" t="str">
        <f>IF(B738&lt;&gt;"",IFERROR(IF(LEFT($B738,3)=$Z$2,VLOOKUP($C738,Outbound!$B:$AAZ,52,FALSE),VLOOKUP($B738,Outbound!$B:$AAZ,52,FALSE)),"NON TROVATO"),"")</f>
        <v/>
      </c>
      <c r="J738" s="396"/>
      <c r="K738" s="387" t="str">
        <f>IF(B738&lt;&gt;"",IF($D738&lt;&gt;"ON ROCS/NOT ON FILE",IFERROR(_xlfn.XLOOKUP(LEFT($D738,3),'STAT 77 Table'!$B:$B,'STAT 77 Table'!$A:$A),"ZZ"&amp;RIGHT($B738,4)),""),"")</f>
        <v/>
      </c>
      <c r="L738" s="396"/>
      <c r="O738" s="388"/>
      <c r="P738" s="388"/>
      <c r="AA738" s="421">
        <f t="shared" si="11"/>
        <v>0</v>
      </c>
    </row>
    <row r="739" spans="1:27" ht="16.5">
      <c r="A739" s="387">
        <f>'STAT 77 Table'!$I$738</f>
        <v>0</v>
      </c>
      <c r="B739"/>
      <c r="C739"/>
      <c r="D739" s="387" t="str">
        <f>IF($B739&lt;&gt;"",IFERROR(IF(LEFT($B739,3)=$Z$2,VLOOKUP($C739,Outbound!$B:$Z,4,FALSE),VLOOKUP($B739,Outbound!$B:$Z,4,FALSE)),"ON ROCS/NOT ON FILE"),"")</f>
        <v/>
      </c>
      <c r="E739" s="387" t="str">
        <f>IF($B739&lt;&gt;"",IFERROR(IF(LEFT($B739,4)=$Z$2,VLOOKUP($C739,Outbound!$B:$Z,5,FALSE),VLOOKUP($B739,Outbound!$B:$Z,5,FALSE)),"ON ROCS/NOT ON FILE"),"")</f>
        <v/>
      </c>
      <c r="F739" s="387" t="str">
        <f>IF(B739&lt;&gt;"",IFERROR(IF(LEFT($B739,3)=$Z$2,VLOOKUP($C739,Outbound!$B:$Z,11,FALSE),VLOOKUP($B739,Outbound!$B:$Z,11,FALSE)),"NON TROVATO"),"")</f>
        <v/>
      </c>
      <c r="G739" s="394" t="str">
        <f>IF(B739&lt;&gt;"",IFERROR(IF(LEFT($B739,3)=$Z$2,VLOOKUP($C739,Outbound!$B:$AAZ,16,FALSE),VLOOKUP($B739,Outbound!$B:$AAZ,16,FALSE)),"NON TROVATO"),"")</f>
        <v/>
      </c>
      <c r="H739" s="394" t="str">
        <f>IF(B739&lt;&gt;"",IFERROR(IF(LEFT($B739,3)=$Z$2,VLOOKUP($C739,Outbound!$B:$AAZ,6,FALSE),VLOOKUP($B739,Outbound!$B:$AAZ,6,FALSE)),"NON TROVATO"),"")</f>
        <v/>
      </c>
      <c r="I739" s="394" t="str">
        <f>IF(B739&lt;&gt;"",IFERROR(IF(LEFT($B739,3)=$Z$2,VLOOKUP($C739,Outbound!$B:$AAZ,52,FALSE),VLOOKUP($B739,Outbound!$B:$AAZ,52,FALSE)),"NON TROVATO"),"")</f>
        <v/>
      </c>
      <c r="J739" s="396"/>
      <c r="K739" s="387" t="str">
        <f>IF(B739&lt;&gt;"",IF($D739&lt;&gt;"ON ROCS/NOT ON FILE",IFERROR(_xlfn.XLOOKUP(LEFT($D739,3),'STAT 77 Table'!$B:$B,'STAT 77 Table'!$A:$A),"ZZ"&amp;RIGHT($B739,4)),""),"")</f>
        <v/>
      </c>
      <c r="L739" s="396"/>
      <c r="O739" s="388"/>
      <c r="P739" s="388"/>
      <c r="AA739" s="421">
        <f t="shared" si="11"/>
        <v>0</v>
      </c>
    </row>
    <row r="740" spans="1:27" ht="16.5">
      <c r="A740" s="387">
        <f>'STAT 77 Table'!$I$739</f>
        <v>0</v>
      </c>
      <c r="B740"/>
      <c r="C740"/>
      <c r="D740" s="387" t="str">
        <f>IF($B740&lt;&gt;"",IFERROR(IF(LEFT($B740,3)=$Z$2,VLOOKUP($C740,Outbound!$B:$Z,4,FALSE),VLOOKUP($B740,Outbound!$B:$Z,4,FALSE)),"ON ROCS/NOT ON FILE"),"")</f>
        <v/>
      </c>
      <c r="E740" s="387" t="str">
        <f>IF($B740&lt;&gt;"",IFERROR(IF(LEFT($B740,4)=$Z$2,VLOOKUP($C740,Outbound!$B:$Z,5,FALSE),VLOOKUP($B740,Outbound!$B:$Z,5,FALSE)),"ON ROCS/NOT ON FILE"),"")</f>
        <v/>
      </c>
      <c r="F740" s="387" t="str">
        <f>IF(B740&lt;&gt;"",IFERROR(IF(LEFT($B740,3)=$Z$2,VLOOKUP($C740,Outbound!$B:$Z,11,FALSE),VLOOKUP($B740,Outbound!$B:$Z,11,FALSE)),"NON TROVATO"),"")</f>
        <v/>
      </c>
      <c r="G740" s="394" t="str">
        <f>IF(B740&lt;&gt;"",IFERROR(IF(LEFT($B740,3)=$Z$2,VLOOKUP($C740,Outbound!$B:$AAZ,16,FALSE),VLOOKUP($B740,Outbound!$B:$AAZ,16,FALSE)),"NON TROVATO"),"")</f>
        <v/>
      </c>
      <c r="H740" s="394" t="str">
        <f>IF(B740&lt;&gt;"",IFERROR(IF(LEFT($B740,3)=$Z$2,VLOOKUP($C740,Outbound!$B:$AAZ,6,FALSE),VLOOKUP($B740,Outbound!$B:$AAZ,6,FALSE)),"NON TROVATO"),"")</f>
        <v/>
      </c>
      <c r="I740" s="394" t="str">
        <f>IF(B740&lt;&gt;"",IFERROR(IF(LEFT($B740,3)=$Z$2,VLOOKUP($C740,Outbound!$B:$AAZ,52,FALSE),VLOOKUP($B740,Outbound!$B:$AAZ,52,FALSE)),"NON TROVATO"),"")</f>
        <v/>
      </c>
      <c r="J740" s="396"/>
      <c r="K740" s="387" t="str">
        <f>IF(B740&lt;&gt;"",IF($D740&lt;&gt;"ON ROCS/NOT ON FILE",IFERROR(_xlfn.XLOOKUP(LEFT($D740,3),'STAT 77 Table'!$B:$B,'STAT 77 Table'!$A:$A),"ZZ"&amp;RIGHT($B740,4)),""),"")</f>
        <v/>
      </c>
      <c r="L740" s="396"/>
      <c r="O740" s="388"/>
      <c r="P740" s="388"/>
      <c r="AA740" s="421">
        <f t="shared" si="11"/>
        <v>0</v>
      </c>
    </row>
    <row r="741" spans="1:27" ht="16.5">
      <c r="A741" s="387">
        <f>'STAT 77 Table'!$I$740</f>
        <v>0</v>
      </c>
      <c r="B741"/>
      <c r="C741"/>
      <c r="D741" s="387" t="str">
        <f>IF($B741&lt;&gt;"",IFERROR(IF(LEFT($B741,3)=$Z$2,VLOOKUP($C741,Outbound!$B:$Z,4,FALSE),VLOOKUP($B741,Outbound!$B:$Z,4,FALSE)),"ON ROCS/NOT ON FILE"),"")</f>
        <v/>
      </c>
      <c r="E741" s="387" t="str">
        <f>IF($B741&lt;&gt;"",IFERROR(IF(LEFT($B741,4)=$Z$2,VLOOKUP($C741,Outbound!$B:$Z,5,FALSE),VLOOKUP($B741,Outbound!$B:$Z,5,FALSE)),"ON ROCS/NOT ON FILE"),"")</f>
        <v/>
      </c>
      <c r="F741" s="387" t="str">
        <f>IF(B741&lt;&gt;"",IFERROR(IF(LEFT($B741,3)=$Z$2,VLOOKUP($C741,Outbound!$B:$Z,11,FALSE),VLOOKUP($B741,Outbound!$B:$Z,11,FALSE)),"NON TROVATO"),"")</f>
        <v/>
      </c>
      <c r="G741" s="394" t="str">
        <f>IF(B741&lt;&gt;"",IFERROR(IF(LEFT($B741,3)=$Z$2,VLOOKUP($C741,Outbound!$B:$AAZ,16,FALSE),VLOOKUP($B741,Outbound!$B:$AAZ,16,FALSE)),"NON TROVATO"),"")</f>
        <v/>
      </c>
      <c r="H741" s="394" t="str">
        <f>IF(B741&lt;&gt;"",IFERROR(IF(LEFT($B741,3)=$Z$2,VLOOKUP($C741,Outbound!$B:$AAZ,6,FALSE),VLOOKUP($B741,Outbound!$B:$AAZ,6,FALSE)),"NON TROVATO"),"")</f>
        <v/>
      </c>
      <c r="I741" s="394" t="str">
        <f>IF(B741&lt;&gt;"",IFERROR(IF(LEFT($B741,3)=$Z$2,VLOOKUP($C741,Outbound!$B:$AAZ,52,FALSE),VLOOKUP($B741,Outbound!$B:$AAZ,52,FALSE)),"NON TROVATO"),"")</f>
        <v/>
      </c>
      <c r="J741" s="396"/>
      <c r="K741" s="387" t="str">
        <f>IF(B741&lt;&gt;"",IF($D741&lt;&gt;"ON ROCS/NOT ON FILE",IFERROR(_xlfn.XLOOKUP(LEFT($D741,3),'STAT 77 Table'!$B:$B,'STAT 77 Table'!$A:$A),"ZZ"&amp;RIGHT($B741,4)),""),"")</f>
        <v/>
      </c>
      <c r="L741" s="396"/>
      <c r="O741" s="388"/>
      <c r="P741" s="388"/>
      <c r="AA741" s="421">
        <f t="shared" si="11"/>
        <v>0</v>
      </c>
    </row>
    <row r="742" spans="1:27" ht="16.5">
      <c r="A742" s="387">
        <f>'STAT 77 Table'!$I$741</f>
        <v>0</v>
      </c>
      <c r="B742"/>
      <c r="C742"/>
      <c r="D742" s="387" t="str">
        <f>IF($B742&lt;&gt;"",IFERROR(IF(LEFT($B742,3)=$Z$2,VLOOKUP($C742,Outbound!$B:$Z,4,FALSE),VLOOKUP($B742,Outbound!$B:$Z,4,FALSE)),"ON ROCS/NOT ON FILE"),"")</f>
        <v/>
      </c>
      <c r="E742" s="387" t="str">
        <f>IF($B742&lt;&gt;"",IFERROR(IF(LEFT($B742,4)=$Z$2,VLOOKUP($C742,Outbound!$B:$Z,5,FALSE),VLOOKUP($B742,Outbound!$B:$Z,5,FALSE)),"ON ROCS/NOT ON FILE"),"")</f>
        <v/>
      </c>
      <c r="F742" s="387" t="str">
        <f>IF(B742&lt;&gt;"",IFERROR(IF(LEFT($B742,3)=$Z$2,VLOOKUP($C742,Outbound!$B:$Z,11,FALSE),VLOOKUP($B742,Outbound!$B:$Z,11,FALSE)),"NON TROVATO"),"")</f>
        <v/>
      </c>
      <c r="G742" s="394" t="str">
        <f>IF(B742&lt;&gt;"",IFERROR(IF(LEFT($B742,3)=$Z$2,VLOOKUP($C742,Outbound!$B:$AAZ,16,FALSE),VLOOKUP($B742,Outbound!$B:$AAZ,16,FALSE)),"NON TROVATO"),"")</f>
        <v/>
      </c>
      <c r="H742" s="394" t="str">
        <f>IF(B742&lt;&gt;"",IFERROR(IF(LEFT($B742,3)=$Z$2,VLOOKUP($C742,Outbound!$B:$AAZ,6,FALSE),VLOOKUP($B742,Outbound!$B:$AAZ,6,FALSE)),"NON TROVATO"),"")</f>
        <v/>
      </c>
      <c r="I742" s="394" t="str">
        <f>IF(B742&lt;&gt;"",IFERROR(IF(LEFT($B742,3)=$Z$2,VLOOKUP($C742,Outbound!$B:$AAZ,52,FALSE),VLOOKUP($B742,Outbound!$B:$AAZ,52,FALSE)),"NON TROVATO"),"")</f>
        <v/>
      </c>
      <c r="J742" s="396"/>
      <c r="K742" s="387" t="str">
        <f>IF(B742&lt;&gt;"",IF($D742&lt;&gt;"ON ROCS/NOT ON FILE",IFERROR(_xlfn.XLOOKUP(LEFT($D742,3),'STAT 77 Table'!$B:$B,'STAT 77 Table'!$A:$A),"ZZ"&amp;RIGHT($B742,4)),""),"")</f>
        <v/>
      </c>
      <c r="L742" s="396"/>
      <c r="O742" s="388"/>
      <c r="P742" s="388"/>
      <c r="AA742" s="421">
        <f t="shared" si="11"/>
        <v>0</v>
      </c>
    </row>
    <row r="743" spans="1:27" ht="16.5">
      <c r="A743" s="387">
        <f>'STAT 77 Table'!$I$742</f>
        <v>0</v>
      </c>
      <c r="B743"/>
      <c r="C743"/>
      <c r="D743" s="387" t="str">
        <f>IF($B743&lt;&gt;"",IFERROR(IF(LEFT($B743,3)=$Z$2,VLOOKUP($C743,Outbound!$B:$Z,4,FALSE),VLOOKUP($B743,Outbound!$B:$Z,4,FALSE)),"ON ROCS/NOT ON FILE"),"")</f>
        <v/>
      </c>
      <c r="E743" s="387" t="str">
        <f>IF($B743&lt;&gt;"",IFERROR(IF(LEFT($B743,4)=$Z$2,VLOOKUP($C743,Outbound!$B:$Z,5,FALSE),VLOOKUP($B743,Outbound!$B:$Z,5,FALSE)),"ON ROCS/NOT ON FILE"),"")</f>
        <v/>
      </c>
      <c r="F743" s="387" t="str">
        <f>IF(B743&lt;&gt;"",IFERROR(IF(LEFT($B743,3)=$Z$2,VLOOKUP($C743,Outbound!$B:$Z,11,FALSE),VLOOKUP($B743,Outbound!$B:$Z,11,FALSE)),"NON TROVATO"),"")</f>
        <v/>
      </c>
      <c r="G743" s="394" t="str">
        <f>IF(B743&lt;&gt;"",IFERROR(IF(LEFT($B743,3)=$Z$2,VLOOKUP($C743,Outbound!$B:$AAZ,16,FALSE),VLOOKUP($B743,Outbound!$B:$AAZ,16,FALSE)),"NON TROVATO"),"")</f>
        <v/>
      </c>
      <c r="H743" s="394" t="str">
        <f>IF(B743&lt;&gt;"",IFERROR(IF(LEFT($B743,3)=$Z$2,VLOOKUP($C743,Outbound!$B:$AAZ,6,FALSE),VLOOKUP($B743,Outbound!$B:$AAZ,6,FALSE)),"NON TROVATO"),"")</f>
        <v/>
      </c>
      <c r="I743" s="394" t="str">
        <f>IF(B743&lt;&gt;"",IFERROR(IF(LEFT($B743,3)=$Z$2,VLOOKUP($C743,Outbound!$B:$AAZ,52,FALSE),VLOOKUP($B743,Outbound!$B:$AAZ,52,FALSE)),"NON TROVATO"),"")</f>
        <v/>
      </c>
      <c r="J743" s="396"/>
      <c r="K743" s="387" t="str">
        <f>IF(B743&lt;&gt;"",IF($D743&lt;&gt;"ON ROCS/NOT ON FILE",IFERROR(_xlfn.XLOOKUP(LEFT($D743,3),'STAT 77 Table'!$B:$B,'STAT 77 Table'!$A:$A),"ZZ"&amp;RIGHT($B743,4)),""),"")</f>
        <v/>
      </c>
      <c r="L743" s="396"/>
      <c r="O743" s="388"/>
      <c r="P743" s="388"/>
      <c r="AA743" s="421">
        <f t="shared" si="11"/>
        <v>0</v>
      </c>
    </row>
    <row r="744" spans="1:27" ht="16.5">
      <c r="A744" s="387">
        <f>'STAT 77 Table'!$I$743</f>
        <v>0</v>
      </c>
      <c r="B744"/>
      <c r="C744"/>
      <c r="D744" s="387" t="str">
        <f>IF($B744&lt;&gt;"",IFERROR(IF(LEFT($B744,3)=$Z$2,VLOOKUP($C744,Outbound!$B:$Z,4,FALSE),VLOOKUP($B744,Outbound!$B:$Z,4,FALSE)),"ON ROCS/NOT ON FILE"),"")</f>
        <v/>
      </c>
      <c r="E744" s="387" t="str">
        <f>IF($B744&lt;&gt;"",IFERROR(IF(LEFT($B744,4)=$Z$2,VLOOKUP($C744,Outbound!$B:$Z,5,FALSE),VLOOKUP($B744,Outbound!$B:$Z,5,FALSE)),"ON ROCS/NOT ON FILE"),"")</f>
        <v/>
      </c>
      <c r="F744" s="387" t="str">
        <f>IF(B744&lt;&gt;"",IFERROR(IF(LEFT($B744,3)=$Z$2,VLOOKUP($C744,Outbound!$B:$Z,11,FALSE),VLOOKUP($B744,Outbound!$B:$Z,11,FALSE)),"NON TROVATO"),"")</f>
        <v/>
      </c>
      <c r="G744" s="394" t="str">
        <f>IF(B744&lt;&gt;"",IFERROR(IF(LEFT($B744,3)=$Z$2,VLOOKUP($C744,Outbound!$B:$AAZ,16,FALSE),VLOOKUP($B744,Outbound!$B:$AAZ,16,FALSE)),"NON TROVATO"),"")</f>
        <v/>
      </c>
      <c r="H744" s="394" t="str">
        <f>IF(B744&lt;&gt;"",IFERROR(IF(LEFT($B744,3)=$Z$2,VLOOKUP($C744,Outbound!$B:$AAZ,6,FALSE),VLOOKUP($B744,Outbound!$B:$AAZ,6,FALSE)),"NON TROVATO"),"")</f>
        <v/>
      </c>
      <c r="I744" s="394" t="str">
        <f>IF(B744&lt;&gt;"",IFERROR(IF(LEFT($B744,3)=$Z$2,VLOOKUP($C744,Outbound!$B:$AAZ,52,FALSE),VLOOKUP($B744,Outbound!$B:$AAZ,52,FALSE)),"NON TROVATO"),"")</f>
        <v/>
      </c>
      <c r="J744" s="396"/>
      <c r="K744" s="387" t="str">
        <f>IF(B744&lt;&gt;"",IF($D744&lt;&gt;"ON ROCS/NOT ON FILE",IFERROR(_xlfn.XLOOKUP(LEFT($D744,3),'STAT 77 Table'!$B:$B,'STAT 77 Table'!$A:$A),"ZZ"&amp;RIGHT($B744,4)),""),"")</f>
        <v/>
      </c>
      <c r="L744" s="396"/>
      <c r="O744" s="388"/>
      <c r="P744" s="388"/>
      <c r="AA744" s="421">
        <f t="shared" si="11"/>
        <v>0</v>
      </c>
    </row>
    <row r="745" spans="1:27" ht="16.5">
      <c r="A745" s="387">
        <f>'STAT 77 Table'!$I$744</f>
        <v>0</v>
      </c>
      <c r="B745"/>
      <c r="C745"/>
      <c r="D745" s="387" t="str">
        <f>IF($B745&lt;&gt;"",IFERROR(IF(LEFT($B745,3)=$Z$2,VLOOKUP($C745,Outbound!$B:$Z,4,FALSE),VLOOKUP($B745,Outbound!$B:$Z,4,FALSE)),"ON ROCS/NOT ON FILE"),"")</f>
        <v/>
      </c>
      <c r="E745" s="387" t="str">
        <f>IF($B745&lt;&gt;"",IFERROR(IF(LEFT($B745,4)=$Z$2,VLOOKUP($C745,Outbound!$B:$Z,5,FALSE),VLOOKUP($B745,Outbound!$B:$Z,5,FALSE)),"ON ROCS/NOT ON FILE"),"")</f>
        <v/>
      </c>
      <c r="F745" s="387" t="str">
        <f>IF(B745&lt;&gt;"",IFERROR(IF(LEFT($B745,3)=$Z$2,VLOOKUP($C745,Outbound!$B:$Z,11,FALSE),VLOOKUP($B745,Outbound!$B:$Z,11,FALSE)),"NON TROVATO"),"")</f>
        <v/>
      </c>
      <c r="G745" s="394" t="str">
        <f>IF(B745&lt;&gt;"",IFERROR(IF(LEFT($B745,3)=$Z$2,VLOOKUP($C745,Outbound!$B:$AAZ,16,FALSE),VLOOKUP($B745,Outbound!$B:$AAZ,16,FALSE)),"NON TROVATO"),"")</f>
        <v/>
      </c>
      <c r="H745" s="394" t="str">
        <f>IF(B745&lt;&gt;"",IFERROR(IF(LEFT($B745,3)=$Z$2,VLOOKUP($C745,Outbound!$B:$AAZ,6,FALSE),VLOOKUP($B745,Outbound!$B:$AAZ,6,FALSE)),"NON TROVATO"),"")</f>
        <v/>
      </c>
      <c r="I745" s="394" t="str">
        <f>IF(B745&lt;&gt;"",IFERROR(IF(LEFT($B745,3)=$Z$2,VLOOKUP($C745,Outbound!$B:$AAZ,52,FALSE),VLOOKUP($B745,Outbound!$B:$AAZ,52,FALSE)),"NON TROVATO"),"")</f>
        <v/>
      </c>
      <c r="J745" s="396"/>
      <c r="K745" s="387" t="str">
        <f>IF(B745&lt;&gt;"",IF($D745&lt;&gt;"ON ROCS/NOT ON FILE",IFERROR(_xlfn.XLOOKUP(LEFT($D745,3),'STAT 77 Table'!$B:$B,'STAT 77 Table'!$A:$A),"ZZ"&amp;RIGHT($B745,4)),""),"")</f>
        <v/>
      </c>
      <c r="L745" s="396"/>
      <c r="O745" s="388"/>
      <c r="P745" s="388"/>
      <c r="AA745" s="421">
        <f t="shared" si="11"/>
        <v>0</v>
      </c>
    </row>
    <row r="746" spans="1:27" ht="16.5">
      <c r="A746" s="387">
        <f>'STAT 77 Table'!$I$745</f>
        <v>0</v>
      </c>
      <c r="B746"/>
      <c r="C746"/>
      <c r="D746" s="387" t="str">
        <f>IF($B746&lt;&gt;"",IFERROR(IF(LEFT($B746,3)=$Z$2,VLOOKUP($C746,Outbound!$B:$Z,4,FALSE),VLOOKUP($B746,Outbound!$B:$Z,4,FALSE)),"ON ROCS/NOT ON FILE"),"")</f>
        <v/>
      </c>
      <c r="E746" s="387" t="str">
        <f>IF($B746&lt;&gt;"",IFERROR(IF(LEFT($B746,4)=$Z$2,VLOOKUP($C746,Outbound!$B:$Z,5,FALSE),VLOOKUP($B746,Outbound!$B:$Z,5,FALSE)),"ON ROCS/NOT ON FILE"),"")</f>
        <v/>
      </c>
      <c r="F746" s="387" t="str">
        <f>IF(B746&lt;&gt;"",IFERROR(IF(LEFT($B746,3)=$Z$2,VLOOKUP($C746,Outbound!$B:$Z,11,FALSE),VLOOKUP($B746,Outbound!$B:$Z,11,FALSE)),"NON TROVATO"),"")</f>
        <v/>
      </c>
      <c r="G746" s="394" t="str">
        <f>IF(B746&lt;&gt;"",IFERROR(IF(LEFT($B746,3)=$Z$2,VLOOKUP($C746,Outbound!$B:$AAZ,16,FALSE),VLOOKUP($B746,Outbound!$B:$AAZ,16,FALSE)),"NON TROVATO"),"")</f>
        <v/>
      </c>
      <c r="H746" s="394" t="str">
        <f>IF(B746&lt;&gt;"",IFERROR(IF(LEFT($B746,3)=$Z$2,VLOOKUP($C746,Outbound!$B:$AAZ,6,FALSE),VLOOKUP($B746,Outbound!$B:$AAZ,6,FALSE)),"NON TROVATO"),"")</f>
        <v/>
      </c>
      <c r="I746" s="394" t="str">
        <f>IF(B746&lt;&gt;"",IFERROR(IF(LEFT($B746,3)=$Z$2,VLOOKUP($C746,Outbound!$B:$AAZ,52,FALSE),VLOOKUP($B746,Outbound!$B:$AAZ,52,FALSE)),"NON TROVATO"),"")</f>
        <v/>
      </c>
      <c r="J746" s="396"/>
      <c r="K746" s="387" t="str">
        <f>IF(B746&lt;&gt;"",IF($D746&lt;&gt;"ON ROCS/NOT ON FILE",IFERROR(_xlfn.XLOOKUP(LEFT($D746,3),'STAT 77 Table'!$B:$B,'STAT 77 Table'!$A:$A),"ZZ"&amp;RIGHT($B746,4)),""),"")</f>
        <v/>
      </c>
      <c r="L746" s="396"/>
      <c r="O746" s="388"/>
      <c r="P746" s="388"/>
      <c r="AA746" s="421">
        <f t="shared" si="11"/>
        <v>0</v>
      </c>
    </row>
    <row r="747" spans="1:27" ht="16.5">
      <c r="A747" s="387">
        <f>'STAT 77 Table'!$I$746</f>
        <v>0</v>
      </c>
      <c r="B747"/>
      <c r="C747"/>
      <c r="D747" s="387" t="str">
        <f>IF($B747&lt;&gt;"",IFERROR(IF(LEFT($B747,3)=$Z$2,VLOOKUP($C747,Outbound!$B:$Z,4,FALSE),VLOOKUP($B747,Outbound!$B:$Z,4,FALSE)),"ON ROCS/NOT ON FILE"),"")</f>
        <v/>
      </c>
      <c r="E747" s="387" t="str">
        <f>IF($B747&lt;&gt;"",IFERROR(IF(LEFT($B747,4)=$Z$2,VLOOKUP($C747,Outbound!$B:$Z,5,FALSE),VLOOKUP($B747,Outbound!$B:$Z,5,FALSE)),"ON ROCS/NOT ON FILE"),"")</f>
        <v/>
      </c>
      <c r="F747" s="387" t="str">
        <f>IF(B747&lt;&gt;"",IFERROR(IF(LEFT($B747,3)=$Z$2,VLOOKUP($C747,Outbound!$B:$Z,11,FALSE),VLOOKUP($B747,Outbound!$B:$Z,11,FALSE)),"NON TROVATO"),"")</f>
        <v/>
      </c>
      <c r="G747" s="394" t="str">
        <f>IF(B747&lt;&gt;"",IFERROR(IF(LEFT($B747,3)=$Z$2,VLOOKUP($C747,Outbound!$B:$AAZ,16,FALSE),VLOOKUP($B747,Outbound!$B:$AAZ,16,FALSE)),"NON TROVATO"),"")</f>
        <v/>
      </c>
      <c r="H747" s="394" t="str">
        <f>IF(B747&lt;&gt;"",IFERROR(IF(LEFT($B747,3)=$Z$2,VLOOKUP($C747,Outbound!$B:$AAZ,6,FALSE),VLOOKUP($B747,Outbound!$B:$AAZ,6,FALSE)),"NON TROVATO"),"")</f>
        <v/>
      </c>
      <c r="I747" s="394" t="str">
        <f>IF(B747&lt;&gt;"",IFERROR(IF(LEFT($B747,3)=$Z$2,VLOOKUP($C747,Outbound!$B:$AAZ,52,FALSE),VLOOKUP($B747,Outbound!$B:$AAZ,52,FALSE)),"NON TROVATO"),"")</f>
        <v/>
      </c>
      <c r="J747" s="396"/>
      <c r="K747" s="387" t="str">
        <f>IF(B747&lt;&gt;"",IF($D747&lt;&gt;"ON ROCS/NOT ON FILE",IFERROR(_xlfn.XLOOKUP(LEFT($D747,3),'STAT 77 Table'!$B:$B,'STAT 77 Table'!$A:$A),"ZZ"&amp;RIGHT($B747,4)),""),"")</f>
        <v/>
      </c>
      <c r="L747" s="396"/>
      <c r="O747" s="388"/>
      <c r="P747" s="388"/>
      <c r="AA747" s="421">
        <f t="shared" si="11"/>
        <v>0</v>
      </c>
    </row>
    <row r="748" spans="1:27" ht="16.5">
      <c r="A748" s="387">
        <f>'STAT 77 Table'!$I$747</f>
        <v>0</v>
      </c>
      <c r="B748"/>
      <c r="C748"/>
      <c r="D748" s="387" t="str">
        <f>IF($B748&lt;&gt;"",IFERROR(IF(LEFT($B748,3)=$Z$2,VLOOKUP($C748,Outbound!$B:$Z,4,FALSE),VLOOKUP($B748,Outbound!$B:$Z,4,FALSE)),"ON ROCS/NOT ON FILE"),"")</f>
        <v/>
      </c>
      <c r="E748" s="387" t="str">
        <f>IF($B748&lt;&gt;"",IFERROR(IF(LEFT($B748,4)=$Z$2,VLOOKUP($C748,Outbound!$B:$Z,5,FALSE),VLOOKUP($B748,Outbound!$B:$Z,5,FALSE)),"ON ROCS/NOT ON FILE"),"")</f>
        <v/>
      </c>
      <c r="F748" s="387" t="str">
        <f>IF(B748&lt;&gt;"",IFERROR(IF(LEFT($B748,3)=$Z$2,VLOOKUP($C748,Outbound!$B:$Z,11,FALSE),VLOOKUP($B748,Outbound!$B:$Z,11,FALSE)),"NON TROVATO"),"")</f>
        <v/>
      </c>
      <c r="G748" s="394" t="str">
        <f>IF(B748&lt;&gt;"",IFERROR(IF(LEFT($B748,3)=$Z$2,VLOOKUP($C748,Outbound!$B:$AAZ,16,FALSE),VLOOKUP($B748,Outbound!$B:$AAZ,16,FALSE)),"NON TROVATO"),"")</f>
        <v/>
      </c>
      <c r="H748" s="394" t="str">
        <f>IF(B748&lt;&gt;"",IFERROR(IF(LEFT($B748,3)=$Z$2,VLOOKUP($C748,Outbound!$B:$AAZ,6,FALSE),VLOOKUP($B748,Outbound!$B:$AAZ,6,FALSE)),"NON TROVATO"),"")</f>
        <v/>
      </c>
      <c r="I748" s="394" t="str">
        <f>IF(B748&lt;&gt;"",IFERROR(IF(LEFT($B748,3)=$Z$2,VLOOKUP($C748,Outbound!$B:$AAZ,52,FALSE),VLOOKUP($B748,Outbound!$B:$AAZ,52,FALSE)),"NON TROVATO"),"")</f>
        <v/>
      </c>
      <c r="J748" s="396"/>
      <c r="K748" s="387" t="str">
        <f>IF(B748&lt;&gt;"",IF($D748&lt;&gt;"ON ROCS/NOT ON FILE",IFERROR(_xlfn.XLOOKUP(LEFT($D748,3),'STAT 77 Table'!$B:$B,'STAT 77 Table'!$A:$A),"ZZ"&amp;RIGHT($B748,4)),""),"")</f>
        <v/>
      </c>
      <c r="L748" s="396"/>
      <c r="O748" s="388"/>
      <c r="P748" s="388"/>
      <c r="AA748" s="421">
        <f t="shared" si="11"/>
        <v>0</v>
      </c>
    </row>
    <row r="749" spans="1:27" ht="16.5">
      <c r="A749" s="387">
        <f>'STAT 77 Table'!$I$748</f>
        <v>0</v>
      </c>
      <c r="B749"/>
      <c r="C749"/>
      <c r="D749" s="387" t="str">
        <f>IF($B749&lt;&gt;"",IFERROR(IF(LEFT($B749,3)=$Z$2,VLOOKUP($C749,Outbound!$B:$Z,4,FALSE),VLOOKUP($B749,Outbound!$B:$Z,4,FALSE)),"ON ROCS/NOT ON FILE"),"")</f>
        <v/>
      </c>
      <c r="E749" s="387" t="str">
        <f>IF($B749&lt;&gt;"",IFERROR(IF(LEFT($B749,4)=$Z$2,VLOOKUP($C749,Outbound!$B:$Z,5,FALSE),VLOOKUP($B749,Outbound!$B:$Z,5,FALSE)),"ON ROCS/NOT ON FILE"),"")</f>
        <v/>
      </c>
      <c r="F749" s="387" t="str">
        <f>IF(B749&lt;&gt;"",IFERROR(IF(LEFT($B749,3)=$Z$2,VLOOKUP($C749,Outbound!$B:$Z,11,FALSE),VLOOKUP($B749,Outbound!$B:$Z,11,FALSE)),"NON TROVATO"),"")</f>
        <v/>
      </c>
      <c r="G749" s="394" t="str">
        <f>IF(B749&lt;&gt;"",IFERROR(IF(LEFT($B749,3)=$Z$2,VLOOKUP($C749,Outbound!$B:$AAZ,16,FALSE),VLOOKUP($B749,Outbound!$B:$AAZ,16,FALSE)),"NON TROVATO"),"")</f>
        <v/>
      </c>
      <c r="H749" s="394" t="str">
        <f>IF(B749&lt;&gt;"",IFERROR(IF(LEFT($B749,3)=$Z$2,VLOOKUP($C749,Outbound!$B:$AAZ,6,FALSE),VLOOKUP($B749,Outbound!$B:$AAZ,6,FALSE)),"NON TROVATO"),"")</f>
        <v/>
      </c>
      <c r="I749" s="394" t="str">
        <f>IF(B749&lt;&gt;"",IFERROR(IF(LEFT($B749,3)=$Z$2,VLOOKUP($C749,Outbound!$B:$AAZ,52,FALSE),VLOOKUP($B749,Outbound!$B:$AAZ,52,FALSE)),"NON TROVATO"),"")</f>
        <v/>
      </c>
      <c r="J749" s="396"/>
      <c r="K749" s="387" t="str">
        <f>IF(B749&lt;&gt;"",IF($D749&lt;&gt;"ON ROCS/NOT ON FILE",IFERROR(_xlfn.XLOOKUP(LEFT($D749,3),'STAT 77 Table'!$B:$B,'STAT 77 Table'!$A:$A),"ZZ"&amp;RIGHT($B749,4)),""),"")</f>
        <v/>
      </c>
      <c r="L749" s="396"/>
      <c r="O749" s="388"/>
      <c r="P749" s="388"/>
      <c r="AA749" s="421">
        <f t="shared" si="11"/>
        <v>0</v>
      </c>
    </row>
    <row r="750" spans="1:27" ht="16.5">
      <c r="A750" s="387">
        <f>'STAT 77 Table'!$I$749</f>
        <v>0</v>
      </c>
      <c r="B750"/>
      <c r="C750"/>
      <c r="D750" s="387" t="str">
        <f>IF($B750&lt;&gt;"",IFERROR(IF(LEFT($B750,3)=$Z$2,VLOOKUP($C750,Outbound!$B:$Z,4,FALSE),VLOOKUP($B750,Outbound!$B:$Z,4,FALSE)),"ON ROCS/NOT ON FILE"),"")</f>
        <v/>
      </c>
      <c r="E750" s="387" t="str">
        <f>IF($B750&lt;&gt;"",IFERROR(IF(LEFT($B750,4)=$Z$2,VLOOKUP($C750,Outbound!$B:$Z,5,FALSE),VLOOKUP($B750,Outbound!$B:$Z,5,FALSE)),"ON ROCS/NOT ON FILE"),"")</f>
        <v/>
      </c>
      <c r="F750" s="387" t="str">
        <f>IF(B750&lt;&gt;"",IFERROR(IF(LEFT($B750,3)=$Z$2,VLOOKUP($C750,Outbound!$B:$Z,11,FALSE),VLOOKUP($B750,Outbound!$B:$Z,11,FALSE)),"NON TROVATO"),"")</f>
        <v/>
      </c>
      <c r="G750" s="394" t="str">
        <f>IF(B750&lt;&gt;"",IFERROR(IF(LEFT($B750,3)=$Z$2,VLOOKUP($C750,Outbound!$B:$AAZ,16,FALSE),VLOOKUP($B750,Outbound!$B:$AAZ,16,FALSE)),"NON TROVATO"),"")</f>
        <v/>
      </c>
      <c r="H750" s="394" t="str">
        <f>IF(B750&lt;&gt;"",IFERROR(IF(LEFT($B750,3)=$Z$2,VLOOKUP($C750,Outbound!$B:$AAZ,6,FALSE),VLOOKUP($B750,Outbound!$B:$AAZ,6,FALSE)),"NON TROVATO"),"")</f>
        <v/>
      </c>
      <c r="I750" s="394" t="str">
        <f>IF(B750&lt;&gt;"",IFERROR(IF(LEFT($B750,3)=$Z$2,VLOOKUP($C750,Outbound!$B:$AAZ,52,FALSE),VLOOKUP($B750,Outbound!$B:$AAZ,52,FALSE)),"NON TROVATO"),"")</f>
        <v/>
      </c>
      <c r="J750" s="396"/>
      <c r="K750" s="387" t="str">
        <f>IF(B750&lt;&gt;"",IF($D750&lt;&gt;"ON ROCS/NOT ON FILE",IFERROR(_xlfn.XLOOKUP(LEFT($D750,3),'STAT 77 Table'!$B:$B,'STAT 77 Table'!$A:$A),"ZZ"&amp;RIGHT($B750,4)),""),"")</f>
        <v/>
      </c>
      <c r="L750" s="396"/>
      <c r="O750" s="388"/>
      <c r="P750" s="388"/>
      <c r="AA750" s="421">
        <f t="shared" si="11"/>
        <v>0</v>
      </c>
    </row>
    <row r="751" spans="1:27" ht="16.5">
      <c r="A751" s="387">
        <f>'STAT 77 Table'!$I$750</f>
        <v>0</v>
      </c>
      <c r="B751"/>
      <c r="C751"/>
      <c r="D751" s="387" t="str">
        <f>IF($B751&lt;&gt;"",IFERROR(IF(LEFT($B751,3)=$Z$2,VLOOKUP($C751,Outbound!$B:$Z,4,FALSE),VLOOKUP($B751,Outbound!$B:$Z,4,FALSE)),"ON ROCS/NOT ON FILE"),"")</f>
        <v/>
      </c>
      <c r="E751" s="387" t="str">
        <f>IF($B751&lt;&gt;"",IFERROR(IF(LEFT($B751,4)=$Z$2,VLOOKUP($C751,Outbound!$B:$Z,5,FALSE),VLOOKUP($B751,Outbound!$B:$Z,5,FALSE)),"ON ROCS/NOT ON FILE"),"")</f>
        <v/>
      </c>
      <c r="F751" s="387" t="str">
        <f>IF(B751&lt;&gt;"",IFERROR(IF(LEFT($B751,3)=$Z$2,VLOOKUP($C751,Outbound!$B:$Z,11,FALSE),VLOOKUP($B751,Outbound!$B:$Z,11,FALSE)),"NON TROVATO"),"")</f>
        <v/>
      </c>
      <c r="G751" s="394" t="str">
        <f>IF(B751&lt;&gt;"",IFERROR(IF(LEFT($B751,3)=$Z$2,VLOOKUP($C751,Outbound!$B:$AAZ,16,FALSE),VLOOKUP($B751,Outbound!$B:$AAZ,16,FALSE)),"NON TROVATO"),"")</f>
        <v/>
      </c>
      <c r="H751" s="394" t="str">
        <f>IF(B751&lt;&gt;"",IFERROR(IF(LEFT($B751,3)=$Z$2,VLOOKUP($C751,Outbound!$B:$AAZ,6,FALSE),VLOOKUP($B751,Outbound!$B:$AAZ,6,FALSE)),"NON TROVATO"),"")</f>
        <v/>
      </c>
      <c r="I751" s="394" t="str">
        <f>IF(B751&lt;&gt;"",IFERROR(IF(LEFT($B751,3)=$Z$2,VLOOKUP($C751,Outbound!$B:$AAZ,52,FALSE),VLOOKUP($B751,Outbound!$B:$AAZ,52,FALSE)),"NON TROVATO"),"")</f>
        <v/>
      </c>
      <c r="J751" s="396"/>
      <c r="K751" s="387" t="str">
        <f>IF(B751&lt;&gt;"",IF($D751&lt;&gt;"ON ROCS/NOT ON FILE",IFERROR(_xlfn.XLOOKUP(LEFT($D751,3),'STAT 77 Table'!$B:$B,'STAT 77 Table'!$A:$A),"ZZ"&amp;RIGHT($B751,4)),""),"")</f>
        <v/>
      </c>
      <c r="L751" s="396"/>
      <c r="O751" s="388"/>
      <c r="P751" s="388"/>
      <c r="AA751" s="421">
        <f t="shared" si="11"/>
        <v>0</v>
      </c>
    </row>
    <row r="752" spans="1:27" ht="16.5">
      <c r="A752" s="387">
        <f>'STAT 77 Table'!$I$751</f>
        <v>0</v>
      </c>
      <c r="B752"/>
      <c r="C752"/>
      <c r="D752" s="387" t="str">
        <f>IF($B752&lt;&gt;"",IFERROR(IF(LEFT($B752,3)=$Z$2,VLOOKUP($C752,Outbound!$B:$Z,4,FALSE),VLOOKUP($B752,Outbound!$B:$Z,4,FALSE)),"ON ROCS/NOT ON FILE"),"")</f>
        <v/>
      </c>
      <c r="E752" s="387" t="str">
        <f>IF($B752&lt;&gt;"",IFERROR(IF(LEFT($B752,4)=$Z$2,VLOOKUP($C752,Outbound!$B:$Z,5,FALSE),VLOOKUP($B752,Outbound!$B:$Z,5,FALSE)),"ON ROCS/NOT ON FILE"),"")</f>
        <v/>
      </c>
      <c r="F752" s="387" t="str">
        <f>IF(B752&lt;&gt;"",IFERROR(IF(LEFT($B752,3)=$Z$2,VLOOKUP($C752,Outbound!$B:$Z,11,FALSE),VLOOKUP($B752,Outbound!$B:$Z,11,FALSE)),"NON TROVATO"),"")</f>
        <v/>
      </c>
      <c r="G752" s="394" t="str">
        <f>IF(B752&lt;&gt;"",IFERROR(IF(LEFT($B752,3)=$Z$2,VLOOKUP($C752,Outbound!$B:$AAZ,16,FALSE),VLOOKUP($B752,Outbound!$B:$AAZ,16,FALSE)),"NON TROVATO"),"")</f>
        <v/>
      </c>
      <c r="H752" s="394" t="str">
        <f>IF(B752&lt;&gt;"",IFERROR(IF(LEFT($B752,3)=$Z$2,VLOOKUP($C752,Outbound!$B:$AAZ,6,FALSE),VLOOKUP($B752,Outbound!$B:$AAZ,6,FALSE)),"NON TROVATO"),"")</f>
        <v/>
      </c>
      <c r="I752" s="394" t="str">
        <f>IF(B752&lt;&gt;"",IFERROR(IF(LEFT($B752,3)=$Z$2,VLOOKUP($C752,Outbound!$B:$AAZ,52,FALSE),VLOOKUP($B752,Outbound!$B:$AAZ,52,FALSE)),"NON TROVATO"),"")</f>
        <v/>
      </c>
      <c r="J752" s="396"/>
      <c r="K752" s="387" t="str">
        <f>IF(B752&lt;&gt;"",IF($D752&lt;&gt;"ON ROCS/NOT ON FILE",IFERROR(_xlfn.XLOOKUP(LEFT($D752,3),'STAT 77 Table'!$B:$B,'STAT 77 Table'!$A:$A),"ZZ"&amp;RIGHT($B752,4)),""),"")</f>
        <v/>
      </c>
      <c r="L752" s="396"/>
      <c r="O752" s="388"/>
      <c r="P752" s="388"/>
      <c r="AA752" s="421">
        <f t="shared" si="11"/>
        <v>0</v>
      </c>
    </row>
    <row r="753" spans="1:27" ht="16.5">
      <c r="A753" s="387">
        <f>'STAT 77 Table'!$I$752</f>
        <v>0</v>
      </c>
      <c r="B753"/>
      <c r="C753"/>
      <c r="D753" s="387" t="str">
        <f>IF($B753&lt;&gt;"",IFERROR(IF(LEFT($B753,3)=$Z$2,VLOOKUP($C753,Outbound!$B:$Z,4,FALSE),VLOOKUP($B753,Outbound!$B:$Z,4,FALSE)),"ON ROCS/NOT ON FILE"),"")</f>
        <v/>
      </c>
      <c r="E753" s="387" t="str">
        <f>IF($B753&lt;&gt;"",IFERROR(IF(LEFT($B753,4)=$Z$2,VLOOKUP($C753,Outbound!$B:$Z,5,FALSE),VLOOKUP($B753,Outbound!$B:$Z,5,FALSE)),"ON ROCS/NOT ON FILE"),"")</f>
        <v/>
      </c>
      <c r="F753" s="387" t="str">
        <f>IF(B753&lt;&gt;"",IFERROR(IF(LEFT($B753,3)=$Z$2,VLOOKUP($C753,Outbound!$B:$Z,11,FALSE),VLOOKUP($B753,Outbound!$B:$Z,11,FALSE)),"NON TROVATO"),"")</f>
        <v/>
      </c>
      <c r="G753" s="394" t="str">
        <f>IF(B753&lt;&gt;"",IFERROR(IF(LEFT($B753,3)=$Z$2,VLOOKUP($C753,Outbound!$B:$AAZ,16,FALSE),VLOOKUP($B753,Outbound!$B:$AAZ,16,FALSE)),"NON TROVATO"),"")</f>
        <v/>
      </c>
      <c r="H753" s="394" t="str">
        <f>IF(B753&lt;&gt;"",IFERROR(IF(LEFT($B753,3)=$Z$2,VLOOKUP($C753,Outbound!$B:$AAZ,6,FALSE),VLOOKUP($B753,Outbound!$B:$AAZ,6,FALSE)),"NON TROVATO"),"")</f>
        <v/>
      </c>
      <c r="I753" s="394" t="str">
        <f>IF(B753&lt;&gt;"",IFERROR(IF(LEFT($B753,3)=$Z$2,VLOOKUP($C753,Outbound!$B:$AAZ,52,FALSE),VLOOKUP($B753,Outbound!$B:$AAZ,52,FALSE)),"NON TROVATO"),"")</f>
        <v/>
      </c>
      <c r="J753" s="396"/>
      <c r="K753" s="387" t="str">
        <f>IF(B753&lt;&gt;"",IF($D753&lt;&gt;"ON ROCS/NOT ON FILE",IFERROR(_xlfn.XLOOKUP(LEFT($D753,3),'STAT 77 Table'!$B:$B,'STAT 77 Table'!$A:$A),"ZZ"&amp;RIGHT($B753,4)),""),"")</f>
        <v/>
      </c>
      <c r="L753" s="396"/>
      <c r="O753" s="388"/>
      <c r="P753" s="388"/>
      <c r="AA753" s="421">
        <f t="shared" si="11"/>
        <v>0</v>
      </c>
    </row>
    <row r="754" spans="1:27" ht="16.5">
      <c r="A754" s="387">
        <f>'STAT 77 Table'!$I$753</f>
        <v>0</v>
      </c>
      <c r="B754"/>
      <c r="C754"/>
      <c r="D754" s="387" t="str">
        <f>IF($B754&lt;&gt;"",IFERROR(IF(LEFT($B754,3)=$Z$2,VLOOKUP($C754,Outbound!$B:$Z,4,FALSE),VLOOKUP($B754,Outbound!$B:$Z,4,FALSE)),"ON ROCS/NOT ON FILE"),"")</f>
        <v/>
      </c>
      <c r="E754" s="387" t="str">
        <f>IF($B754&lt;&gt;"",IFERROR(IF(LEFT($B754,4)=$Z$2,VLOOKUP($C754,Outbound!$B:$Z,5,FALSE),VLOOKUP($B754,Outbound!$B:$Z,5,FALSE)),"ON ROCS/NOT ON FILE"),"")</f>
        <v/>
      </c>
      <c r="F754" s="387" t="str">
        <f>IF(B754&lt;&gt;"",IFERROR(IF(LEFT($B754,3)=$Z$2,VLOOKUP($C754,Outbound!$B:$Z,11,FALSE),VLOOKUP($B754,Outbound!$B:$Z,11,FALSE)),"NON TROVATO"),"")</f>
        <v/>
      </c>
      <c r="G754" s="394" t="str">
        <f>IF(B754&lt;&gt;"",IFERROR(IF(LEFT($B754,3)=$Z$2,VLOOKUP($C754,Outbound!$B:$AAZ,16,FALSE),VLOOKUP($B754,Outbound!$B:$AAZ,16,FALSE)),"NON TROVATO"),"")</f>
        <v/>
      </c>
      <c r="H754" s="394" t="str">
        <f>IF(B754&lt;&gt;"",IFERROR(IF(LEFT($B754,3)=$Z$2,VLOOKUP($C754,Outbound!$B:$AAZ,6,FALSE),VLOOKUP($B754,Outbound!$B:$AAZ,6,FALSE)),"NON TROVATO"),"")</f>
        <v/>
      </c>
      <c r="I754" s="394" t="str">
        <f>IF(B754&lt;&gt;"",IFERROR(IF(LEFT($B754,3)=$Z$2,VLOOKUP($C754,Outbound!$B:$AAZ,52,FALSE),VLOOKUP($B754,Outbound!$B:$AAZ,52,FALSE)),"NON TROVATO"),"")</f>
        <v/>
      </c>
      <c r="J754" s="396"/>
      <c r="K754" s="387" t="str">
        <f>IF(B754&lt;&gt;"",IF($D754&lt;&gt;"ON ROCS/NOT ON FILE",IFERROR(_xlfn.XLOOKUP(LEFT($D754,3),'STAT 77 Table'!$B:$B,'STAT 77 Table'!$A:$A),"ZZ"&amp;RIGHT($B754,4)),""),"")</f>
        <v/>
      </c>
      <c r="L754" s="396"/>
      <c r="O754" s="388"/>
      <c r="P754" s="388"/>
      <c r="AA754" s="421">
        <f t="shared" si="11"/>
        <v>0</v>
      </c>
    </row>
    <row r="755" spans="1:27" ht="16.5">
      <c r="A755" s="387">
        <f>'STAT 77 Table'!$I$754</f>
        <v>0</v>
      </c>
      <c r="B755"/>
      <c r="C755"/>
      <c r="D755" s="387" t="str">
        <f>IF($B755&lt;&gt;"",IFERROR(IF(LEFT($B755,3)=$Z$2,VLOOKUP($C755,Outbound!$B:$Z,4,FALSE),VLOOKUP($B755,Outbound!$B:$Z,4,FALSE)),"ON ROCS/NOT ON FILE"),"")</f>
        <v/>
      </c>
      <c r="E755" s="387" t="str">
        <f>IF($B755&lt;&gt;"",IFERROR(IF(LEFT($B755,4)=$Z$2,VLOOKUP($C755,Outbound!$B:$Z,5,FALSE),VLOOKUP($B755,Outbound!$B:$Z,5,FALSE)),"ON ROCS/NOT ON FILE"),"")</f>
        <v/>
      </c>
      <c r="F755" s="387" t="str">
        <f>IF(B755&lt;&gt;"",IFERROR(IF(LEFT($B755,3)=$Z$2,VLOOKUP($C755,Outbound!$B:$Z,11,FALSE),VLOOKUP($B755,Outbound!$B:$Z,11,FALSE)),"NON TROVATO"),"")</f>
        <v/>
      </c>
      <c r="G755" s="394" t="str">
        <f>IF(B755&lt;&gt;"",IFERROR(IF(LEFT($B755,3)=$Z$2,VLOOKUP($C755,Outbound!$B:$AAZ,16,FALSE),VLOOKUP($B755,Outbound!$B:$AAZ,16,FALSE)),"NON TROVATO"),"")</f>
        <v/>
      </c>
      <c r="H755" s="394" t="str">
        <f>IF(B755&lt;&gt;"",IFERROR(IF(LEFT($B755,3)=$Z$2,VLOOKUP($C755,Outbound!$B:$AAZ,6,FALSE),VLOOKUP($B755,Outbound!$B:$AAZ,6,FALSE)),"NON TROVATO"),"")</f>
        <v/>
      </c>
      <c r="I755" s="394" t="str">
        <f>IF(B755&lt;&gt;"",IFERROR(IF(LEFT($B755,3)=$Z$2,VLOOKUP($C755,Outbound!$B:$AAZ,52,FALSE),VLOOKUP($B755,Outbound!$B:$AAZ,52,FALSE)),"NON TROVATO"),"")</f>
        <v/>
      </c>
      <c r="J755" s="396"/>
      <c r="K755" s="387" t="str">
        <f>IF(B755&lt;&gt;"",IF($D755&lt;&gt;"ON ROCS/NOT ON FILE",IFERROR(_xlfn.XLOOKUP(LEFT($D755,3),'STAT 77 Table'!$B:$B,'STAT 77 Table'!$A:$A),"ZZ"&amp;RIGHT($B755,4)),""),"")</f>
        <v/>
      </c>
      <c r="L755" s="396"/>
      <c r="O755" s="388"/>
      <c r="P755" s="388"/>
      <c r="AA755" s="421">
        <f t="shared" si="11"/>
        <v>0</v>
      </c>
    </row>
    <row r="756" spans="1:27" ht="16.5">
      <c r="A756" s="387">
        <f>'STAT 77 Table'!$I$755</f>
        <v>0</v>
      </c>
      <c r="B756"/>
      <c r="C756"/>
      <c r="D756" s="387" t="str">
        <f>IF($B756&lt;&gt;"",IFERROR(IF(LEFT($B756,3)=$Z$2,VLOOKUP($C756,Outbound!$B:$Z,4,FALSE),VLOOKUP($B756,Outbound!$B:$Z,4,FALSE)),"ON ROCS/NOT ON FILE"),"")</f>
        <v/>
      </c>
      <c r="E756" s="387" t="str">
        <f>IF($B756&lt;&gt;"",IFERROR(IF(LEFT($B756,4)=$Z$2,VLOOKUP($C756,Outbound!$B:$Z,5,FALSE),VLOOKUP($B756,Outbound!$B:$Z,5,FALSE)),"ON ROCS/NOT ON FILE"),"")</f>
        <v/>
      </c>
      <c r="F756" s="387" t="str">
        <f>IF(B756&lt;&gt;"",IFERROR(IF(LEFT($B756,3)=$Z$2,VLOOKUP($C756,Outbound!$B:$Z,11,FALSE),VLOOKUP($B756,Outbound!$B:$Z,11,FALSE)),"NON TROVATO"),"")</f>
        <v/>
      </c>
      <c r="G756" s="394" t="str">
        <f>IF(B756&lt;&gt;"",IFERROR(IF(LEFT($B756,3)=$Z$2,VLOOKUP($C756,Outbound!$B:$AAZ,16,FALSE),VLOOKUP($B756,Outbound!$B:$AAZ,16,FALSE)),"NON TROVATO"),"")</f>
        <v/>
      </c>
      <c r="H756" s="394" t="str">
        <f>IF(B756&lt;&gt;"",IFERROR(IF(LEFT($B756,3)=$Z$2,VLOOKUP($C756,Outbound!$B:$AAZ,6,FALSE),VLOOKUP($B756,Outbound!$B:$AAZ,6,FALSE)),"NON TROVATO"),"")</f>
        <v/>
      </c>
      <c r="I756" s="394" t="str">
        <f>IF(B756&lt;&gt;"",IFERROR(IF(LEFT($B756,3)=$Z$2,VLOOKUP($C756,Outbound!$B:$AAZ,52,FALSE),VLOOKUP($B756,Outbound!$B:$AAZ,52,FALSE)),"NON TROVATO"),"")</f>
        <v/>
      </c>
      <c r="J756" s="396"/>
      <c r="K756" s="387" t="str">
        <f>IF(B756&lt;&gt;"",IF($D756&lt;&gt;"ON ROCS/NOT ON FILE",IFERROR(_xlfn.XLOOKUP(LEFT($D756,3),'STAT 77 Table'!$B:$B,'STAT 77 Table'!$A:$A),"ZZ"&amp;RIGHT($B756,4)),""),"")</f>
        <v/>
      </c>
      <c r="L756" s="396"/>
      <c r="O756" s="388"/>
      <c r="P756" s="388"/>
      <c r="AA756" s="421">
        <f t="shared" si="11"/>
        <v>0</v>
      </c>
    </row>
    <row r="757" spans="1:27" ht="16.5">
      <c r="A757" s="387">
        <f>'STAT 77 Table'!$I$756</f>
        <v>0</v>
      </c>
      <c r="B757"/>
      <c r="C757"/>
      <c r="D757" s="387" t="str">
        <f>IF($B757&lt;&gt;"",IFERROR(IF(LEFT($B757,3)=$Z$2,VLOOKUP($C757,Outbound!$B:$Z,4,FALSE),VLOOKUP($B757,Outbound!$B:$Z,4,FALSE)),"ON ROCS/NOT ON FILE"),"")</f>
        <v/>
      </c>
      <c r="E757" s="387" t="str">
        <f>IF($B757&lt;&gt;"",IFERROR(IF(LEFT($B757,4)=$Z$2,VLOOKUP($C757,Outbound!$B:$Z,5,FALSE),VLOOKUP($B757,Outbound!$B:$Z,5,FALSE)),"ON ROCS/NOT ON FILE"),"")</f>
        <v/>
      </c>
      <c r="F757" s="387" t="str">
        <f>IF(B757&lt;&gt;"",IFERROR(IF(LEFT($B757,3)=$Z$2,VLOOKUP($C757,Outbound!$B:$Z,11,FALSE),VLOOKUP($B757,Outbound!$B:$Z,11,FALSE)),"NON TROVATO"),"")</f>
        <v/>
      </c>
      <c r="G757" s="394" t="str">
        <f>IF(B757&lt;&gt;"",IFERROR(IF(LEFT($B757,3)=$Z$2,VLOOKUP($C757,Outbound!$B:$AAZ,16,FALSE),VLOOKUP($B757,Outbound!$B:$AAZ,16,FALSE)),"NON TROVATO"),"")</f>
        <v/>
      </c>
      <c r="H757" s="394" t="str">
        <f>IF(B757&lt;&gt;"",IFERROR(IF(LEFT($B757,3)=$Z$2,VLOOKUP($C757,Outbound!$B:$AAZ,6,FALSE),VLOOKUP($B757,Outbound!$B:$AAZ,6,FALSE)),"NON TROVATO"),"")</f>
        <v/>
      </c>
      <c r="I757" s="394" t="str">
        <f>IF(B757&lt;&gt;"",IFERROR(IF(LEFT($B757,3)=$Z$2,VLOOKUP($C757,Outbound!$B:$AAZ,52,FALSE),VLOOKUP($B757,Outbound!$B:$AAZ,52,FALSE)),"NON TROVATO"),"")</f>
        <v/>
      </c>
      <c r="J757" s="396"/>
      <c r="K757" s="387" t="str">
        <f>IF(B757&lt;&gt;"",IF($D757&lt;&gt;"ON ROCS/NOT ON FILE",IFERROR(_xlfn.XLOOKUP(LEFT($D757,3),'STAT 77 Table'!$B:$B,'STAT 77 Table'!$A:$A),"ZZ"&amp;RIGHT($B757,4)),""),"")</f>
        <v/>
      </c>
      <c r="L757" s="396"/>
      <c r="O757" s="388"/>
      <c r="P757" s="388"/>
      <c r="AA757" s="421">
        <f t="shared" si="11"/>
        <v>0</v>
      </c>
    </row>
    <row r="758" spans="1:27" ht="16.5">
      <c r="A758" s="387">
        <f>'STAT 77 Table'!$I$757</f>
        <v>0</v>
      </c>
      <c r="B758"/>
      <c r="C758"/>
      <c r="D758" s="387" t="str">
        <f>IF($B758&lt;&gt;"",IFERROR(IF(LEFT($B758,3)=$Z$2,VLOOKUP($C758,Outbound!$B:$Z,4,FALSE),VLOOKUP($B758,Outbound!$B:$Z,4,FALSE)),"ON ROCS/NOT ON FILE"),"")</f>
        <v/>
      </c>
      <c r="E758" s="387" t="str">
        <f>IF($B758&lt;&gt;"",IFERROR(IF(LEFT($B758,4)=$Z$2,VLOOKUP($C758,Outbound!$B:$Z,5,FALSE),VLOOKUP($B758,Outbound!$B:$Z,5,FALSE)),"ON ROCS/NOT ON FILE"),"")</f>
        <v/>
      </c>
      <c r="F758" s="387" t="str">
        <f>IF(B758&lt;&gt;"",IFERROR(IF(LEFT($B758,3)=$Z$2,VLOOKUP($C758,Outbound!$B:$Z,11,FALSE),VLOOKUP($B758,Outbound!$B:$Z,11,FALSE)),"NON TROVATO"),"")</f>
        <v/>
      </c>
      <c r="G758" s="394" t="str">
        <f>IF(B758&lt;&gt;"",IFERROR(IF(LEFT($B758,3)=$Z$2,VLOOKUP($C758,Outbound!$B:$AAZ,16,FALSE),VLOOKUP($B758,Outbound!$B:$AAZ,16,FALSE)),"NON TROVATO"),"")</f>
        <v/>
      </c>
      <c r="H758" s="394" t="str">
        <f>IF(B758&lt;&gt;"",IFERROR(IF(LEFT($B758,3)=$Z$2,VLOOKUP($C758,Outbound!$B:$AAZ,6,FALSE),VLOOKUP($B758,Outbound!$B:$AAZ,6,FALSE)),"NON TROVATO"),"")</f>
        <v/>
      </c>
      <c r="I758" s="394" t="str">
        <f>IF(B758&lt;&gt;"",IFERROR(IF(LEFT($B758,3)=$Z$2,VLOOKUP($C758,Outbound!$B:$AAZ,52,FALSE),VLOOKUP($B758,Outbound!$B:$AAZ,52,FALSE)),"NON TROVATO"),"")</f>
        <v/>
      </c>
      <c r="J758" s="396"/>
      <c r="K758" s="387" t="str">
        <f>IF(B758&lt;&gt;"",IF($D758&lt;&gt;"ON ROCS/NOT ON FILE",IFERROR(_xlfn.XLOOKUP(LEFT($D758,3),'STAT 77 Table'!$B:$B,'STAT 77 Table'!$A:$A),"ZZ"&amp;RIGHT($B758,4)),""),"")</f>
        <v/>
      </c>
      <c r="L758" s="396"/>
      <c r="O758" s="388"/>
      <c r="P758" s="388"/>
      <c r="AA758" s="421">
        <f t="shared" si="11"/>
        <v>0</v>
      </c>
    </row>
    <row r="759" spans="1:27" ht="16.5">
      <c r="A759" s="387">
        <f>'STAT 77 Table'!$I$758</f>
        <v>0</v>
      </c>
      <c r="B759"/>
      <c r="C759"/>
      <c r="D759" s="387" t="str">
        <f>IF($B759&lt;&gt;"",IFERROR(IF(LEFT($B759,3)=$Z$2,VLOOKUP($C759,Outbound!$B:$Z,4,FALSE),VLOOKUP($B759,Outbound!$B:$Z,4,FALSE)),"ON ROCS/NOT ON FILE"),"")</f>
        <v/>
      </c>
      <c r="E759" s="387" t="str">
        <f>IF($B759&lt;&gt;"",IFERROR(IF(LEFT($B759,4)=$Z$2,VLOOKUP($C759,Outbound!$B:$Z,5,FALSE),VLOOKUP($B759,Outbound!$B:$Z,5,FALSE)),"ON ROCS/NOT ON FILE"),"")</f>
        <v/>
      </c>
      <c r="F759" s="387" t="str">
        <f>IF(B759&lt;&gt;"",IFERROR(IF(LEFT($B759,3)=$Z$2,VLOOKUP($C759,Outbound!$B:$Z,11,FALSE),VLOOKUP($B759,Outbound!$B:$Z,11,FALSE)),"NON TROVATO"),"")</f>
        <v/>
      </c>
      <c r="G759" s="394" t="str">
        <f>IF(B759&lt;&gt;"",IFERROR(IF(LEFT($B759,3)=$Z$2,VLOOKUP($C759,Outbound!$B:$AAZ,16,FALSE),VLOOKUP($B759,Outbound!$B:$AAZ,16,FALSE)),"NON TROVATO"),"")</f>
        <v/>
      </c>
      <c r="H759" s="394" t="str">
        <f>IF(B759&lt;&gt;"",IFERROR(IF(LEFT($B759,3)=$Z$2,VLOOKUP($C759,Outbound!$B:$AAZ,6,FALSE),VLOOKUP($B759,Outbound!$B:$AAZ,6,FALSE)),"NON TROVATO"),"")</f>
        <v/>
      </c>
      <c r="I759" s="394" t="str">
        <f>IF(B759&lt;&gt;"",IFERROR(IF(LEFT($B759,3)=$Z$2,VLOOKUP($C759,Outbound!$B:$AAZ,52,FALSE),VLOOKUP($B759,Outbound!$B:$AAZ,52,FALSE)),"NON TROVATO"),"")</f>
        <v/>
      </c>
      <c r="J759" s="396"/>
      <c r="K759" s="387" t="str">
        <f>IF(B759&lt;&gt;"",IF($D759&lt;&gt;"ON ROCS/NOT ON FILE",IFERROR(_xlfn.XLOOKUP(LEFT($D759,3),'STAT 77 Table'!$B:$B,'STAT 77 Table'!$A:$A),"ZZ"&amp;RIGHT($B759,4)),""),"")</f>
        <v/>
      </c>
      <c r="L759" s="396"/>
      <c r="O759" s="388"/>
      <c r="P759" s="388"/>
      <c r="AA759" s="421">
        <f t="shared" si="11"/>
        <v>0</v>
      </c>
    </row>
    <row r="760" spans="1:27" ht="16.5">
      <c r="A760" s="387">
        <f>'STAT 77 Table'!$I$759</f>
        <v>0</v>
      </c>
      <c r="B760"/>
      <c r="C760"/>
      <c r="D760" s="387" t="str">
        <f>IF($B760&lt;&gt;"",IFERROR(IF(LEFT($B760,3)=$Z$2,VLOOKUP($C760,Outbound!$B:$Z,4,FALSE),VLOOKUP($B760,Outbound!$B:$Z,4,FALSE)),"ON ROCS/NOT ON FILE"),"")</f>
        <v/>
      </c>
      <c r="E760" s="387" t="str">
        <f>IF($B760&lt;&gt;"",IFERROR(IF(LEFT($B760,4)=$Z$2,VLOOKUP($C760,Outbound!$B:$Z,5,FALSE),VLOOKUP($B760,Outbound!$B:$Z,5,FALSE)),"ON ROCS/NOT ON FILE"),"")</f>
        <v/>
      </c>
      <c r="F760" s="387" t="str">
        <f>IF(B760&lt;&gt;"",IFERROR(IF(LEFT($B760,3)=$Z$2,VLOOKUP($C760,Outbound!$B:$Z,11,FALSE),VLOOKUP($B760,Outbound!$B:$Z,11,FALSE)),"NON TROVATO"),"")</f>
        <v/>
      </c>
      <c r="G760" s="394" t="str">
        <f>IF(B760&lt;&gt;"",IFERROR(IF(LEFT($B760,3)=$Z$2,VLOOKUP($C760,Outbound!$B:$AAZ,16,FALSE),VLOOKUP($B760,Outbound!$B:$AAZ,16,FALSE)),"NON TROVATO"),"")</f>
        <v/>
      </c>
      <c r="H760" s="394" t="str">
        <f>IF(B760&lt;&gt;"",IFERROR(IF(LEFT($B760,3)=$Z$2,VLOOKUP($C760,Outbound!$B:$AAZ,6,FALSE),VLOOKUP($B760,Outbound!$B:$AAZ,6,FALSE)),"NON TROVATO"),"")</f>
        <v/>
      </c>
      <c r="I760" s="394" t="str">
        <f>IF(B760&lt;&gt;"",IFERROR(IF(LEFT($B760,3)=$Z$2,VLOOKUP($C760,Outbound!$B:$AAZ,52,FALSE),VLOOKUP($B760,Outbound!$B:$AAZ,52,FALSE)),"NON TROVATO"),"")</f>
        <v/>
      </c>
      <c r="J760" s="396"/>
      <c r="K760" s="387" t="str">
        <f>IF(B760&lt;&gt;"",IF($D760&lt;&gt;"ON ROCS/NOT ON FILE",IFERROR(_xlfn.XLOOKUP(LEFT($D760,3),'STAT 77 Table'!$B:$B,'STAT 77 Table'!$A:$A),"ZZ"&amp;RIGHT($B760,4)),""),"")</f>
        <v/>
      </c>
      <c r="L760" s="396"/>
      <c r="O760" s="388"/>
      <c r="P760" s="388"/>
      <c r="AA760" s="421">
        <f t="shared" si="11"/>
        <v>0</v>
      </c>
    </row>
    <row r="761" spans="1:27" ht="16.5">
      <c r="A761" s="387">
        <f>'STAT 77 Table'!$I$760</f>
        <v>0</v>
      </c>
      <c r="B761"/>
      <c r="C761"/>
      <c r="D761" s="387" t="str">
        <f>IF($B761&lt;&gt;"",IFERROR(IF(LEFT($B761,3)=$Z$2,VLOOKUP($C761,Outbound!$B:$Z,4,FALSE),VLOOKUP($B761,Outbound!$B:$Z,4,FALSE)),"ON ROCS/NOT ON FILE"),"")</f>
        <v/>
      </c>
      <c r="E761" s="387" t="str">
        <f>IF($B761&lt;&gt;"",IFERROR(IF(LEFT($B761,4)=$Z$2,VLOOKUP($C761,Outbound!$B:$Z,5,FALSE),VLOOKUP($B761,Outbound!$B:$Z,5,FALSE)),"ON ROCS/NOT ON FILE"),"")</f>
        <v/>
      </c>
      <c r="F761" s="387" t="str">
        <f>IF(B761&lt;&gt;"",IFERROR(IF(LEFT($B761,3)=$Z$2,VLOOKUP($C761,Outbound!$B:$Z,11,FALSE),VLOOKUP($B761,Outbound!$B:$Z,11,FALSE)),"NON TROVATO"),"")</f>
        <v/>
      </c>
      <c r="G761" s="394" t="str">
        <f>IF(B761&lt;&gt;"",IFERROR(IF(LEFT($B761,3)=$Z$2,VLOOKUP($C761,Outbound!$B:$AAZ,16,FALSE),VLOOKUP($B761,Outbound!$B:$AAZ,16,FALSE)),"NON TROVATO"),"")</f>
        <v/>
      </c>
      <c r="H761" s="394" t="str">
        <f>IF(B761&lt;&gt;"",IFERROR(IF(LEFT($B761,3)=$Z$2,VLOOKUP($C761,Outbound!$B:$AAZ,6,FALSE),VLOOKUP($B761,Outbound!$B:$AAZ,6,FALSE)),"NON TROVATO"),"")</f>
        <v/>
      </c>
      <c r="I761" s="394" t="str">
        <f>IF(B761&lt;&gt;"",IFERROR(IF(LEFT($B761,3)=$Z$2,VLOOKUP($C761,Outbound!$B:$AAZ,52,FALSE),VLOOKUP($B761,Outbound!$B:$AAZ,52,FALSE)),"NON TROVATO"),"")</f>
        <v/>
      </c>
      <c r="J761" s="396"/>
      <c r="K761" s="387" t="str">
        <f>IF(B761&lt;&gt;"",IF($D761&lt;&gt;"ON ROCS/NOT ON FILE",IFERROR(_xlfn.XLOOKUP(LEFT($D761,3),'STAT 77 Table'!$B:$B,'STAT 77 Table'!$A:$A),"ZZ"&amp;RIGHT($B761,4)),""),"")</f>
        <v/>
      </c>
      <c r="L761" s="396"/>
      <c r="O761" s="388"/>
      <c r="P761" s="388"/>
      <c r="AA761" s="421">
        <f t="shared" si="11"/>
        <v>0</v>
      </c>
    </row>
    <row r="762" spans="1:27" ht="16.5">
      <c r="A762" s="387">
        <f>'STAT 77 Table'!$I$761</f>
        <v>0</v>
      </c>
      <c r="B762"/>
      <c r="C762"/>
      <c r="D762" s="387" t="str">
        <f>IF($B762&lt;&gt;"",IFERROR(IF(LEFT($B762,3)=$Z$2,VLOOKUP($C762,Outbound!$B:$Z,4,FALSE),VLOOKUP($B762,Outbound!$B:$Z,4,FALSE)),"ON ROCS/NOT ON FILE"),"")</f>
        <v/>
      </c>
      <c r="E762" s="387" t="str">
        <f>IF($B762&lt;&gt;"",IFERROR(IF(LEFT($B762,4)=$Z$2,VLOOKUP($C762,Outbound!$B:$Z,5,FALSE),VLOOKUP($B762,Outbound!$B:$Z,5,FALSE)),"ON ROCS/NOT ON FILE"),"")</f>
        <v/>
      </c>
      <c r="F762" s="387" t="str">
        <f>IF(B762&lt;&gt;"",IFERROR(IF(LEFT($B762,3)=$Z$2,VLOOKUP($C762,Outbound!$B:$Z,11,FALSE),VLOOKUP($B762,Outbound!$B:$Z,11,FALSE)),"NON TROVATO"),"")</f>
        <v/>
      </c>
      <c r="G762" s="394" t="str">
        <f>IF(B762&lt;&gt;"",IFERROR(IF(LEFT($B762,3)=$Z$2,VLOOKUP($C762,Outbound!$B:$AAZ,16,FALSE),VLOOKUP($B762,Outbound!$B:$AAZ,16,FALSE)),"NON TROVATO"),"")</f>
        <v/>
      </c>
      <c r="H762" s="394" t="str">
        <f>IF(B762&lt;&gt;"",IFERROR(IF(LEFT($B762,3)=$Z$2,VLOOKUP($C762,Outbound!$B:$AAZ,6,FALSE),VLOOKUP($B762,Outbound!$B:$AAZ,6,FALSE)),"NON TROVATO"),"")</f>
        <v/>
      </c>
      <c r="I762" s="394" t="str">
        <f>IF(B762&lt;&gt;"",IFERROR(IF(LEFT($B762,3)=$Z$2,VLOOKUP($C762,Outbound!$B:$AAZ,52,FALSE),VLOOKUP($B762,Outbound!$B:$AAZ,52,FALSE)),"NON TROVATO"),"")</f>
        <v/>
      </c>
      <c r="J762" s="396"/>
      <c r="K762" s="387" t="str">
        <f>IF(B762&lt;&gt;"",IF($D762&lt;&gt;"ON ROCS/NOT ON FILE",IFERROR(_xlfn.XLOOKUP(LEFT($D762,3),'STAT 77 Table'!$B:$B,'STAT 77 Table'!$A:$A),"ZZ"&amp;RIGHT($B762,4)),""),"")</f>
        <v/>
      </c>
      <c r="L762" s="396"/>
      <c r="O762" s="388"/>
      <c r="P762" s="388"/>
      <c r="AA762" s="421">
        <f t="shared" si="11"/>
        <v>0</v>
      </c>
    </row>
    <row r="763" spans="1:27" ht="16.5">
      <c r="A763" s="387">
        <f>'STAT 77 Table'!$I$762</f>
        <v>0</v>
      </c>
      <c r="B763"/>
      <c r="C763"/>
      <c r="D763" s="387" t="str">
        <f>IF($B763&lt;&gt;"",IFERROR(IF(LEFT($B763,3)=$Z$2,VLOOKUP($C763,Outbound!$B:$Z,4,FALSE),VLOOKUP($B763,Outbound!$B:$Z,4,FALSE)),"ON ROCS/NOT ON FILE"),"")</f>
        <v/>
      </c>
      <c r="E763" s="387" t="str">
        <f>IF($B763&lt;&gt;"",IFERROR(IF(LEFT($B763,4)=$Z$2,VLOOKUP($C763,Outbound!$B:$Z,5,FALSE),VLOOKUP($B763,Outbound!$B:$Z,5,FALSE)),"ON ROCS/NOT ON FILE"),"")</f>
        <v/>
      </c>
      <c r="F763" s="387" t="str">
        <f>IF(B763&lt;&gt;"",IFERROR(IF(LEFT($B763,3)=$Z$2,VLOOKUP($C763,Outbound!$B:$Z,11,FALSE),VLOOKUP($B763,Outbound!$B:$Z,11,FALSE)),"NON TROVATO"),"")</f>
        <v/>
      </c>
      <c r="G763" s="394" t="str">
        <f>IF(B763&lt;&gt;"",IFERROR(IF(LEFT($B763,3)=$Z$2,VLOOKUP($C763,Outbound!$B:$AAZ,16,FALSE),VLOOKUP($B763,Outbound!$B:$AAZ,16,FALSE)),"NON TROVATO"),"")</f>
        <v/>
      </c>
      <c r="H763" s="394" t="str">
        <f>IF(B763&lt;&gt;"",IFERROR(IF(LEFT($B763,3)=$Z$2,VLOOKUP($C763,Outbound!$B:$AAZ,6,FALSE),VLOOKUP($B763,Outbound!$B:$AAZ,6,FALSE)),"NON TROVATO"),"")</f>
        <v/>
      </c>
      <c r="I763" s="394" t="str">
        <f>IF(B763&lt;&gt;"",IFERROR(IF(LEFT($B763,3)=$Z$2,VLOOKUP($C763,Outbound!$B:$AAZ,52,FALSE),VLOOKUP($B763,Outbound!$B:$AAZ,52,FALSE)),"NON TROVATO"),"")</f>
        <v/>
      </c>
      <c r="J763" s="396"/>
      <c r="K763" s="387" t="str">
        <f>IF(B763&lt;&gt;"",IF($D763&lt;&gt;"ON ROCS/NOT ON FILE",IFERROR(_xlfn.XLOOKUP(LEFT($D763,3),'STAT 77 Table'!$B:$B,'STAT 77 Table'!$A:$A),"ZZ"&amp;RIGHT($B763,4)),""),"")</f>
        <v/>
      </c>
      <c r="L763" s="396"/>
      <c r="O763" s="388"/>
      <c r="P763" s="388"/>
      <c r="AA763" s="421">
        <f t="shared" si="11"/>
        <v>0</v>
      </c>
    </row>
    <row r="764" spans="1:27" ht="16.5">
      <c r="A764" s="387">
        <f>'STAT 77 Table'!$I$763</f>
        <v>0</v>
      </c>
      <c r="B764"/>
      <c r="C764"/>
      <c r="D764" s="387" t="str">
        <f>IF($B764&lt;&gt;"",IFERROR(IF(LEFT($B764,3)=$Z$2,VLOOKUP($C764,Outbound!$B:$Z,4,FALSE),VLOOKUP($B764,Outbound!$B:$Z,4,FALSE)),"ON ROCS/NOT ON FILE"),"")</f>
        <v/>
      </c>
      <c r="E764" s="387" t="str">
        <f>IF($B764&lt;&gt;"",IFERROR(IF(LEFT($B764,4)=$Z$2,VLOOKUP($C764,Outbound!$B:$Z,5,FALSE),VLOOKUP($B764,Outbound!$B:$Z,5,FALSE)),"ON ROCS/NOT ON FILE"),"")</f>
        <v/>
      </c>
      <c r="F764" s="387" t="str">
        <f>IF(B764&lt;&gt;"",IFERROR(IF(LEFT($B764,3)=$Z$2,VLOOKUP($C764,Outbound!$B:$Z,11,FALSE),VLOOKUP($B764,Outbound!$B:$Z,11,FALSE)),"NON TROVATO"),"")</f>
        <v/>
      </c>
      <c r="G764" s="394" t="str">
        <f>IF(B764&lt;&gt;"",IFERROR(IF(LEFT($B764,3)=$Z$2,VLOOKUP($C764,Outbound!$B:$AAZ,16,FALSE),VLOOKUP($B764,Outbound!$B:$AAZ,16,FALSE)),"NON TROVATO"),"")</f>
        <v/>
      </c>
      <c r="H764" s="394" t="str">
        <f>IF(B764&lt;&gt;"",IFERROR(IF(LEFT($B764,3)=$Z$2,VLOOKUP($C764,Outbound!$B:$AAZ,6,FALSE),VLOOKUP($B764,Outbound!$B:$AAZ,6,FALSE)),"NON TROVATO"),"")</f>
        <v/>
      </c>
      <c r="I764" s="394" t="str">
        <f>IF(B764&lt;&gt;"",IFERROR(IF(LEFT($B764,3)=$Z$2,VLOOKUP($C764,Outbound!$B:$AAZ,52,FALSE),VLOOKUP($B764,Outbound!$B:$AAZ,52,FALSE)),"NON TROVATO"),"")</f>
        <v/>
      </c>
      <c r="J764" s="396"/>
      <c r="K764" s="387" t="str">
        <f>IF(B764&lt;&gt;"",IF($D764&lt;&gt;"ON ROCS/NOT ON FILE",IFERROR(_xlfn.XLOOKUP(LEFT($D764,3),'STAT 77 Table'!$B:$B,'STAT 77 Table'!$A:$A),"ZZ"&amp;RIGHT($B764,4)),""),"")</f>
        <v/>
      </c>
      <c r="L764" s="396"/>
      <c r="O764" s="388"/>
      <c r="P764" s="388"/>
      <c r="AA764" s="421">
        <f t="shared" si="11"/>
        <v>0</v>
      </c>
    </row>
    <row r="765" spans="1:27" ht="16.5">
      <c r="A765" s="387">
        <f>'STAT 77 Table'!$I$764</f>
        <v>0</v>
      </c>
      <c r="B765"/>
      <c r="C765"/>
      <c r="D765" s="387" t="str">
        <f>IF($B765&lt;&gt;"",IFERROR(IF(LEFT($B765,3)=$Z$2,VLOOKUP($C765,Outbound!$B:$Z,4,FALSE),VLOOKUP($B765,Outbound!$B:$Z,4,FALSE)),"ON ROCS/NOT ON FILE"),"")</f>
        <v/>
      </c>
      <c r="E765" s="387" t="str">
        <f>IF($B765&lt;&gt;"",IFERROR(IF(LEFT($B765,4)=$Z$2,VLOOKUP($C765,Outbound!$B:$Z,5,FALSE),VLOOKUP($B765,Outbound!$B:$Z,5,FALSE)),"ON ROCS/NOT ON FILE"),"")</f>
        <v/>
      </c>
      <c r="F765" s="387" t="str">
        <f>IF(B765&lt;&gt;"",IFERROR(IF(LEFT($B765,3)=$Z$2,VLOOKUP($C765,Outbound!$B:$Z,11,FALSE),VLOOKUP($B765,Outbound!$B:$Z,11,FALSE)),"NON TROVATO"),"")</f>
        <v/>
      </c>
      <c r="G765" s="394" t="str">
        <f>IF(B765&lt;&gt;"",IFERROR(IF(LEFT($B765,3)=$Z$2,VLOOKUP($C765,Outbound!$B:$AAZ,16,FALSE),VLOOKUP($B765,Outbound!$B:$AAZ,16,FALSE)),"NON TROVATO"),"")</f>
        <v/>
      </c>
      <c r="H765" s="394" t="str">
        <f>IF(B765&lt;&gt;"",IFERROR(IF(LEFT($B765,3)=$Z$2,VLOOKUP($C765,Outbound!$B:$AAZ,6,FALSE),VLOOKUP($B765,Outbound!$B:$AAZ,6,FALSE)),"NON TROVATO"),"")</f>
        <v/>
      </c>
      <c r="I765" s="394" t="str">
        <f>IF(B765&lt;&gt;"",IFERROR(IF(LEFT($B765,3)=$Z$2,VLOOKUP($C765,Outbound!$B:$AAZ,52,FALSE),VLOOKUP($B765,Outbound!$B:$AAZ,52,FALSE)),"NON TROVATO"),"")</f>
        <v/>
      </c>
      <c r="J765" s="396"/>
      <c r="K765" s="387" t="str">
        <f>IF(B765&lt;&gt;"",IF($D765&lt;&gt;"ON ROCS/NOT ON FILE",IFERROR(_xlfn.XLOOKUP(LEFT($D765,3),'STAT 77 Table'!$B:$B,'STAT 77 Table'!$A:$A),"ZZ"&amp;RIGHT($B765,4)),""),"")</f>
        <v/>
      </c>
      <c r="L765" s="396"/>
      <c r="O765" s="388"/>
      <c r="P765" s="388"/>
      <c r="AA765" s="421">
        <f t="shared" si="11"/>
        <v>0</v>
      </c>
    </row>
    <row r="766" spans="1:27" ht="16.5">
      <c r="A766" s="387">
        <f>'STAT 77 Table'!$I$765</f>
        <v>0</v>
      </c>
      <c r="B766"/>
      <c r="C766"/>
      <c r="D766" s="387" t="str">
        <f>IF($B766&lt;&gt;"",IFERROR(IF(LEFT($B766,3)=$Z$2,VLOOKUP($C766,Outbound!$B:$Z,4,FALSE),VLOOKUP($B766,Outbound!$B:$Z,4,FALSE)),"ON ROCS/NOT ON FILE"),"")</f>
        <v/>
      </c>
      <c r="E766" s="387" t="str">
        <f>IF($B766&lt;&gt;"",IFERROR(IF(LEFT($B766,4)=$Z$2,VLOOKUP($C766,Outbound!$B:$Z,5,FALSE),VLOOKUP($B766,Outbound!$B:$Z,5,FALSE)),"ON ROCS/NOT ON FILE"),"")</f>
        <v/>
      </c>
      <c r="F766" s="387" t="str">
        <f>IF(B766&lt;&gt;"",IFERROR(IF(LEFT($B766,3)=$Z$2,VLOOKUP($C766,Outbound!$B:$Z,11,FALSE),VLOOKUP($B766,Outbound!$B:$Z,11,FALSE)),"NON TROVATO"),"")</f>
        <v/>
      </c>
      <c r="G766" s="394" t="str">
        <f>IF(B766&lt;&gt;"",IFERROR(IF(LEFT($B766,3)=$Z$2,VLOOKUP($C766,Outbound!$B:$AAZ,16,FALSE),VLOOKUP($B766,Outbound!$B:$AAZ,16,FALSE)),"NON TROVATO"),"")</f>
        <v/>
      </c>
      <c r="H766" s="394" t="str">
        <f>IF(B766&lt;&gt;"",IFERROR(IF(LEFT($B766,3)=$Z$2,VLOOKUP($C766,Outbound!$B:$AAZ,6,FALSE),VLOOKUP($B766,Outbound!$B:$AAZ,6,FALSE)),"NON TROVATO"),"")</f>
        <v/>
      </c>
      <c r="I766" s="394" t="str">
        <f>IF(B766&lt;&gt;"",IFERROR(IF(LEFT($B766,3)=$Z$2,VLOOKUP($C766,Outbound!$B:$AAZ,52,FALSE),VLOOKUP($B766,Outbound!$B:$AAZ,52,FALSE)),"NON TROVATO"),"")</f>
        <v/>
      </c>
      <c r="J766" s="396"/>
      <c r="K766" s="387" t="str">
        <f>IF(B766&lt;&gt;"",IF($D766&lt;&gt;"ON ROCS/NOT ON FILE",IFERROR(_xlfn.XLOOKUP(LEFT($D766,3),'STAT 77 Table'!$B:$B,'STAT 77 Table'!$A:$A),"ZZ"&amp;RIGHT($B766,4)),""),"")</f>
        <v/>
      </c>
      <c r="L766" s="396"/>
      <c r="O766" s="388"/>
      <c r="P766" s="388"/>
      <c r="AA766" s="421">
        <f t="shared" si="11"/>
        <v>0</v>
      </c>
    </row>
    <row r="767" spans="1:27" ht="16.5">
      <c r="A767" s="387">
        <f>'STAT 77 Table'!$I$766</f>
        <v>0</v>
      </c>
      <c r="B767"/>
      <c r="C767"/>
      <c r="D767" s="387" t="str">
        <f>IF($B767&lt;&gt;"",IFERROR(IF(LEFT($B767,3)=$Z$2,VLOOKUP($C767,Outbound!$B:$Z,4,FALSE),VLOOKUP($B767,Outbound!$B:$Z,4,FALSE)),"ON ROCS/NOT ON FILE"),"")</f>
        <v/>
      </c>
      <c r="E767" s="387" t="str">
        <f>IF($B767&lt;&gt;"",IFERROR(IF(LEFT($B767,4)=$Z$2,VLOOKUP($C767,Outbound!$B:$Z,5,FALSE),VLOOKUP($B767,Outbound!$B:$Z,5,FALSE)),"ON ROCS/NOT ON FILE"),"")</f>
        <v/>
      </c>
      <c r="F767" s="387" t="str">
        <f>IF(B767&lt;&gt;"",IFERROR(IF(LEFT($B767,3)=$Z$2,VLOOKUP($C767,Outbound!$B:$Z,11,FALSE),VLOOKUP($B767,Outbound!$B:$Z,11,FALSE)),"NON TROVATO"),"")</f>
        <v/>
      </c>
      <c r="G767" s="394" t="str">
        <f>IF(B767&lt;&gt;"",IFERROR(IF(LEFT($B767,3)=$Z$2,VLOOKUP($C767,Outbound!$B:$AAZ,16,FALSE),VLOOKUP($B767,Outbound!$B:$AAZ,16,FALSE)),"NON TROVATO"),"")</f>
        <v/>
      </c>
      <c r="H767" s="394" t="str">
        <f>IF(B767&lt;&gt;"",IFERROR(IF(LEFT($B767,3)=$Z$2,VLOOKUP($C767,Outbound!$B:$AAZ,6,FALSE),VLOOKUP($B767,Outbound!$B:$AAZ,6,FALSE)),"NON TROVATO"),"")</f>
        <v/>
      </c>
      <c r="I767" s="394" t="str">
        <f>IF(B767&lt;&gt;"",IFERROR(IF(LEFT($B767,3)=$Z$2,VLOOKUP($C767,Outbound!$B:$AAZ,52,FALSE),VLOOKUP($B767,Outbound!$B:$AAZ,52,FALSE)),"NON TROVATO"),"")</f>
        <v/>
      </c>
      <c r="J767" s="396"/>
      <c r="K767" s="387" t="str">
        <f>IF(B767&lt;&gt;"",IF($D767&lt;&gt;"ON ROCS/NOT ON FILE",IFERROR(_xlfn.XLOOKUP(LEFT($D767,3),'STAT 77 Table'!$B:$B,'STAT 77 Table'!$A:$A),"ZZ"&amp;RIGHT($B767,4)),""),"")</f>
        <v/>
      </c>
      <c r="L767" s="396"/>
      <c r="O767" s="388"/>
      <c r="P767" s="388"/>
      <c r="AA767" s="421">
        <f t="shared" si="11"/>
        <v>0</v>
      </c>
    </row>
    <row r="768" spans="1:27" ht="16.5">
      <c r="A768" s="387">
        <f>'STAT 77 Table'!$I$767</f>
        <v>0</v>
      </c>
      <c r="B768"/>
      <c r="C768"/>
      <c r="D768" s="387" t="str">
        <f>IF($B768&lt;&gt;"",IFERROR(IF(LEFT($B768,3)=$Z$2,VLOOKUP($C768,Outbound!$B:$Z,4,FALSE),VLOOKUP($B768,Outbound!$B:$Z,4,FALSE)),"ON ROCS/NOT ON FILE"),"")</f>
        <v/>
      </c>
      <c r="E768" s="387" t="str">
        <f>IF($B768&lt;&gt;"",IFERROR(IF(LEFT($B768,4)=$Z$2,VLOOKUP($C768,Outbound!$B:$Z,5,FALSE),VLOOKUP($B768,Outbound!$B:$Z,5,FALSE)),"ON ROCS/NOT ON FILE"),"")</f>
        <v/>
      </c>
      <c r="F768" s="387" t="str">
        <f>IF(B768&lt;&gt;"",IFERROR(IF(LEFT($B768,3)=$Z$2,VLOOKUP($C768,Outbound!$B:$Z,11,FALSE),VLOOKUP($B768,Outbound!$B:$Z,11,FALSE)),"NON TROVATO"),"")</f>
        <v/>
      </c>
      <c r="G768" s="394" t="str">
        <f>IF(B768&lt;&gt;"",IFERROR(IF(LEFT($B768,3)=$Z$2,VLOOKUP($C768,Outbound!$B:$AAZ,16,FALSE),VLOOKUP($B768,Outbound!$B:$AAZ,16,FALSE)),"NON TROVATO"),"")</f>
        <v/>
      </c>
      <c r="H768" s="394" t="str">
        <f>IF(B768&lt;&gt;"",IFERROR(IF(LEFT($B768,3)=$Z$2,VLOOKUP($C768,Outbound!$B:$AAZ,6,FALSE),VLOOKUP($B768,Outbound!$B:$AAZ,6,FALSE)),"NON TROVATO"),"")</f>
        <v/>
      </c>
      <c r="I768" s="394" t="str">
        <f>IF(B768&lt;&gt;"",IFERROR(IF(LEFT($B768,3)=$Z$2,VLOOKUP($C768,Outbound!$B:$AAZ,52,FALSE),VLOOKUP($B768,Outbound!$B:$AAZ,52,FALSE)),"NON TROVATO"),"")</f>
        <v/>
      </c>
      <c r="J768" s="396"/>
      <c r="K768" s="387" t="str">
        <f>IF(B768&lt;&gt;"",IF($D768&lt;&gt;"ON ROCS/NOT ON FILE",IFERROR(_xlfn.XLOOKUP(LEFT($D768,3),'STAT 77 Table'!$B:$B,'STAT 77 Table'!$A:$A),"ZZ"&amp;RIGHT($B768,4)),""),"")</f>
        <v/>
      </c>
      <c r="L768" s="396"/>
      <c r="O768" s="388"/>
      <c r="P768" s="388"/>
      <c r="AA768" s="421">
        <f t="shared" si="11"/>
        <v>0</v>
      </c>
    </row>
    <row r="769" spans="1:27" ht="16.5">
      <c r="A769" s="387">
        <f>'STAT 77 Table'!$I$768</f>
        <v>0</v>
      </c>
      <c r="B769"/>
      <c r="C769"/>
      <c r="D769" s="387" t="str">
        <f>IF($B769&lt;&gt;"",IFERROR(IF(LEFT($B769,3)=$Z$2,VLOOKUP($C769,Outbound!$B:$Z,4,FALSE),VLOOKUP($B769,Outbound!$B:$Z,4,FALSE)),"ON ROCS/NOT ON FILE"),"")</f>
        <v/>
      </c>
      <c r="E769" s="387" t="str">
        <f>IF($B769&lt;&gt;"",IFERROR(IF(LEFT($B769,4)=$Z$2,VLOOKUP($C769,Outbound!$B:$Z,5,FALSE),VLOOKUP($B769,Outbound!$B:$Z,5,FALSE)),"ON ROCS/NOT ON FILE"),"")</f>
        <v/>
      </c>
      <c r="F769" s="387" t="str">
        <f>IF(B769&lt;&gt;"",IFERROR(IF(LEFT($B769,3)=$Z$2,VLOOKUP($C769,Outbound!$B:$Z,11,FALSE),VLOOKUP($B769,Outbound!$B:$Z,11,FALSE)),"NON TROVATO"),"")</f>
        <v/>
      </c>
      <c r="G769" s="394" t="str">
        <f>IF(B769&lt;&gt;"",IFERROR(IF(LEFT($B769,3)=$Z$2,VLOOKUP($C769,Outbound!$B:$AAZ,16,FALSE),VLOOKUP($B769,Outbound!$B:$AAZ,16,FALSE)),"NON TROVATO"),"")</f>
        <v/>
      </c>
      <c r="H769" s="394" t="str">
        <f>IF(B769&lt;&gt;"",IFERROR(IF(LEFT($B769,3)=$Z$2,VLOOKUP($C769,Outbound!$B:$AAZ,6,FALSE),VLOOKUP($B769,Outbound!$B:$AAZ,6,FALSE)),"NON TROVATO"),"")</f>
        <v/>
      </c>
      <c r="I769" s="394" t="str">
        <f>IF(B769&lt;&gt;"",IFERROR(IF(LEFT($B769,3)=$Z$2,VLOOKUP($C769,Outbound!$B:$AAZ,52,FALSE),VLOOKUP($B769,Outbound!$B:$AAZ,52,FALSE)),"NON TROVATO"),"")</f>
        <v/>
      </c>
      <c r="J769" s="396"/>
      <c r="K769" s="387" t="str">
        <f>IF(B769&lt;&gt;"",IF($D769&lt;&gt;"ON ROCS/NOT ON FILE",IFERROR(_xlfn.XLOOKUP(LEFT($D769,3),'STAT 77 Table'!$B:$B,'STAT 77 Table'!$A:$A),"ZZ"&amp;RIGHT($B769,4)),""),"")</f>
        <v/>
      </c>
      <c r="L769" s="396"/>
      <c r="O769" s="388"/>
      <c r="P769" s="388"/>
      <c r="AA769" s="421">
        <f t="shared" si="11"/>
        <v>0</v>
      </c>
    </row>
    <row r="770" spans="1:27" ht="16.5">
      <c r="A770" s="387">
        <f>'STAT 77 Table'!$I$769</f>
        <v>0</v>
      </c>
      <c r="B770"/>
      <c r="C770"/>
      <c r="D770" s="387" t="str">
        <f>IF($B770&lt;&gt;"",IFERROR(IF(LEFT($B770,3)=$Z$2,VLOOKUP($C770,Outbound!$B:$Z,4,FALSE),VLOOKUP($B770,Outbound!$B:$Z,4,FALSE)),"ON ROCS/NOT ON FILE"),"")</f>
        <v/>
      </c>
      <c r="E770" s="387" t="str">
        <f>IF($B770&lt;&gt;"",IFERROR(IF(LEFT($B770,4)=$Z$2,VLOOKUP($C770,Outbound!$B:$Z,5,FALSE),VLOOKUP($B770,Outbound!$B:$Z,5,FALSE)),"ON ROCS/NOT ON FILE"),"")</f>
        <v/>
      </c>
      <c r="F770" s="387" t="str">
        <f>IF(B770&lt;&gt;"",IFERROR(IF(LEFT($B770,3)=$Z$2,VLOOKUP($C770,Outbound!$B:$Z,11,FALSE),VLOOKUP($B770,Outbound!$B:$Z,11,FALSE)),"NON TROVATO"),"")</f>
        <v/>
      </c>
      <c r="G770" s="394" t="str">
        <f>IF(B770&lt;&gt;"",IFERROR(IF(LEFT($B770,3)=$Z$2,VLOOKUP($C770,Outbound!$B:$AAZ,16,FALSE),VLOOKUP($B770,Outbound!$B:$AAZ,16,FALSE)),"NON TROVATO"),"")</f>
        <v/>
      </c>
      <c r="H770" s="394" t="str">
        <f>IF(B770&lt;&gt;"",IFERROR(IF(LEFT($B770,3)=$Z$2,VLOOKUP($C770,Outbound!$B:$AAZ,6,FALSE),VLOOKUP($B770,Outbound!$B:$AAZ,6,FALSE)),"NON TROVATO"),"")</f>
        <v/>
      </c>
      <c r="I770" s="394" t="str">
        <f>IF(B770&lt;&gt;"",IFERROR(IF(LEFT($B770,3)=$Z$2,VLOOKUP($C770,Outbound!$B:$AAZ,52,FALSE),VLOOKUP($B770,Outbound!$B:$AAZ,52,FALSE)),"NON TROVATO"),"")</f>
        <v/>
      </c>
      <c r="J770" s="396"/>
      <c r="K770" s="387" t="str">
        <f>IF(B770&lt;&gt;"",IF($D770&lt;&gt;"ON ROCS/NOT ON FILE",IFERROR(_xlfn.XLOOKUP(LEFT($D770,3),'STAT 77 Table'!$B:$B,'STAT 77 Table'!$A:$A),"ZZ"&amp;RIGHT($B770,4)),""),"")</f>
        <v/>
      </c>
      <c r="L770" s="396"/>
      <c r="O770" s="388"/>
      <c r="P770" s="388"/>
      <c r="AA770" s="421">
        <f t="shared" si="11"/>
        <v>0</v>
      </c>
    </row>
    <row r="771" spans="1:27" ht="16.5">
      <c r="A771" s="387">
        <f>'STAT 77 Table'!$I$770</f>
        <v>0</v>
      </c>
      <c r="B771"/>
      <c r="C771"/>
      <c r="D771" s="387" t="str">
        <f>IF($B771&lt;&gt;"",IFERROR(IF(LEFT($B771,3)=$Z$2,VLOOKUP($C771,Outbound!$B:$Z,4,FALSE),VLOOKUP($B771,Outbound!$B:$Z,4,FALSE)),"ON ROCS/NOT ON FILE"),"")</f>
        <v/>
      </c>
      <c r="E771" s="387" t="str">
        <f>IF($B771&lt;&gt;"",IFERROR(IF(LEFT($B771,4)=$Z$2,VLOOKUP($C771,Outbound!$B:$Z,5,FALSE),VLOOKUP($B771,Outbound!$B:$Z,5,FALSE)),"ON ROCS/NOT ON FILE"),"")</f>
        <v/>
      </c>
      <c r="F771" s="387" t="str">
        <f>IF(B771&lt;&gt;"",IFERROR(IF(LEFT($B771,3)=$Z$2,VLOOKUP($C771,Outbound!$B:$Z,11,FALSE),VLOOKUP($B771,Outbound!$B:$Z,11,FALSE)),"NON TROVATO"),"")</f>
        <v/>
      </c>
      <c r="G771" s="394" t="str">
        <f>IF(B771&lt;&gt;"",IFERROR(IF(LEFT($B771,3)=$Z$2,VLOOKUP($C771,Outbound!$B:$AAZ,16,FALSE),VLOOKUP($B771,Outbound!$B:$AAZ,16,FALSE)),"NON TROVATO"),"")</f>
        <v/>
      </c>
      <c r="H771" s="394" t="str">
        <f>IF(B771&lt;&gt;"",IFERROR(IF(LEFT($B771,3)=$Z$2,VLOOKUP($C771,Outbound!$B:$AAZ,6,FALSE),VLOOKUP($B771,Outbound!$B:$AAZ,6,FALSE)),"NON TROVATO"),"")</f>
        <v/>
      </c>
      <c r="I771" s="394" t="str">
        <f>IF(B771&lt;&gt;"",IFERROR(IF(LEFT($B771,3)=$Z$2,VLOOKUP($C771,Outbound!$B:$AAZ,52,FALSE),VLOOKUP($B771,Outbound!$B:$AAZ,52,FALSE)),"NON TROVATO"),"")</f>
        <v/>
      </c>
      <c r="J771" s="396"/>
      <c r="K771" s="387" t="str">
        <f>IF(B771&lt;&gt;"",IF($D771&lt;&gt;"ON ROCS/NOT ON FILE",IFERROR(_xlfn.XLOOKUP(LEFT($D771,3),'STAT 77 Table'!$B:$B,'STAT 77 Table'!$A:$A),"ZZ"&amp;RIGHT($B771,4)),""),"")</f>
        <v/>
      </c>
      <c r="L771" s="396"/>
      <c r="O771" s="388"/>
      <c r="P771" s="388"/>
      <c r="AA771" s="421">
        <f t="shared" si="11"/>
        <v>0</v>
      </c>
    </row>
    <row r="772" spans="1:27" ht="16.5">
      <c r="A772" s="387">
        <f>'STAT 77 Table'!$I$771</f>
        <v>0</v>
      </c>
      <c r="B772"/>
      <c r="C772"/>
      <c r="D772" s="387" t="str">
        <f>IF($B772&lt;&gt;"",IFERROR(IF(LEFT($B772,3)=$Z$2,VLOOKUP($C772,Outbound!$B:$Z,4,FALSE),VLOOKUP($B772,Outbound!$B:$Z,4,FALSE)),"ON ROCS/NOT ON FILE"),"")</f>
        <v/>
      </c>
      <c r="E772" s="387" t="str">
        <f>IF($B772&lt;&gt;"",IFERROR(IF(LEFT($B772,4)=$Z$2,VLOOKUP($C772,Outbound!$B:$Z,5,FALSE),VLOOKUP($B772,Outbound!$B:$Z,5,FALSE)),"ON ROCS/NOT ON FILE"),"")</f>
        <v/>
      </c>
      <c r="F772" s="387" t="str">
        <f>IF(B772&lt;&gt;"",IFERROR(IF(LEFT($B772,3)=$Z$2,VLOOKUP($C772,Outbound!$B:$Z,11,FALSE),VLOOKUP($B772,Outbound!$B:$Z,11,FALSE)),"NON TROVATO"),"")</f>
        <v/>
      </c>
      <c r="G772" s="394" t="str">
        <f>IF(B772&lt;&gt;"",IFERROR(IF(LEFT($B772,3)=$Z$2,VLOOKUP($C772,Outbound!$B:$AAZ,16,FALSE),VLOOKUP($B772,Outbound!$B:$AAZ,16,FALSE)),"NON TROVATO"),"")</f>
        <v/>
      </c>
      <c r="H772" s="394" t="str">
        <f>IF(B772&lt;&gt;"",IFERROR(IF(LEFT($B772,3)=$Z$2,VLOOKUP($C772,Outbound!$B:$AAZ,6,FALSE),VLOOKUP($B772,Outbound!$B:$AAZ,6,FALSE)),"NON TROVATO"),"")</f>
        <v/>
      </c>
      <c r="I772" s="394" t="str">
        <f>IF(B772&lt;&gt;"",IFERROR(IF(LEFT($B772,3)=$Z$2,VLOOKUP($C772,Outbound!$B:$AAZ,52,FALSE),VLOOKUP($B772,Outbound!$B:$AAZ,52,FALSE)),"NON TROVATO"),"")</f>
        <v/>
      </c>
      <c r="J772" s="396"/>
      <c r="K772" s="387" t="str">
        <f>IF(B772&lt;&gt;"",IF($D772&lt;&gt;"ON ROCS/NOT ON FILE",IFERROR(_xlfn.XLOOKUP(LEFT($D772,3),'STAT 77 Table'!$B:$B,'STAT 77 Table'!$A:$A),"ZZ"&amp;RIGHT($B772,4)),""),"")</f>
        <v/>
      </c>
      <c r="L772" s="396"/>
      <c r="O772" s="388"/>
      <c r="P772" s="388"/>
      <c r="AA772" s="421">
        <f t="shared" ref="AA772:AA835" si="12">IF(LEFT(A772,3)=$X$2,C772,B772)</f>
        <v>0</v>
      </c>
    </row>
    <row r="773" spans="1:27" ht="16.5">
      <c r="A773" s="387">
        <f>'STAT 77 Table'!$I$772</f>
        <v>0</v>
      </c>
      <c r="B773"/>
      <c r="C773"/>
      <c r="D773" s="387" t="str">
        <f>IF($B773&lt;&gt;"",IFERROR(IF(LEFT($B773,3)=$Z$2,VLOOKUP($C773,Outbound!$B:$Z,4,FALSE),VLOOKUP($B773,Outbound!$B:$Z,4,FALSE)),"ON ROCS/NOT ON FILE"),"")</f>
        <v/>
      </c>
      <c r="E773" s="387" t="str">
        <f>IF($B773&lt;&gt;"",IFERROR(IF(LEFT($B773,4)=$Z$2,VLOOKUP($C773,Outbound!$B:$Z,5,FALSE),VLOOKUP($B773,Outbound!$B:$Z,5,FALSE)),"ON ROCS/NOT ON FILE"),"")</f>
        <v/>
      </c>
      <c r="F773" s="387" t="str">
        <f>IF(B773&lt;&gt;"",IFERROR(IF(LEFT($B773,3)=$Z$2,VLOOKUP($C773,Outbound!$B:$Z,11,FALSE),VLOOKUP($B773,Outbound!$B:$Z,11,FALSE)),"NON TROVATO"),"")</f>
        <v/>
      </c>
      <c r="G773" s="394" t="str">
        <f>IF(B773&lt;&gt;"",IFERROR(IF(LEFT($B773,3)=$Z$2,VLOOKUP($C773,Outbound!$B:$AAZ,16,FALSE),VLOOKUP($B773,Outbound!$B:$AAZ,16,FALSE)),"NON TROVATO"),"")</f>
        <v/>
      </c>
      <c r="H773" s="394" t="str">
        <f>IF(B773&lt;&gt;"",IFERROR(IF(LEFT($B773,3)=$Z$2,VLOOKUP($C773,Outbound!$B:$AAZ,6,FALSE),VLOOKUP($B773,Outbound!$B:$AAZ,6,FALSE)),"NON TROVATO"),"")</f>
        <v/>
      </c>
      <c r="I773" s="394" t="str">
        <f>IF(B773&lt;&gt;"",IFERROR(IF(LEFT($B773,3)=$Z$2,VLOOKUP($C773,Outbound!$B:$AAZ,52,FALSE),VLOOKUP($B773,Outbound!$B:$AAZ,52,FALSE)),"NON TROVATO"),"")</f>
        <v/>
      </c>
      <c r="J773" s="396"/>
      <c r="K773" s="387" t="str">
        <f>IF(B773&lt;&gt;"",IF($D773&lt;&gt;"ON ROCS/NOT ON FILE",IFERROR(_xlfn.XLOOKUP(LEFT($D773,3),'STAT 77 Table'!$B:$B,'STAT 77 Table'!$A:$A),"ZZ"&amp;RIGHT($B773,4)),""),"")</f>
        <v/>
      </c>
      <c r="L773" s="396"/>
      <c r="O773" s="388"/>
      <c r="P773" s="388"/>
      <c r="AA773" s="421">
        <f t="shared" si="12"/>
        <v>0</v>
      </c>
    </row>
    <row r="774" spans="1:27" ht="16.5">
      <c r="A774" s="387">
        <f>'STAT 77 Table'!$I$773</f>
        <v>0</v>
      </c>
      <c r="B774"/>
      <c r="C774"/>
      <c r="D774" s="387" t="str">
        <f>IF($B774&lt;&gt;"",IFERROR(IF(LEFT($B774,3)=$Z$2,VLOOKUP($C774,Outbound!$B:$Z,4,FALSE),VLOOKUP($B774,Outbound!$B:$Z,4,FALSE)),"ON ROCS/NOT ON FILE"),"")</f>
        <v/>
      </c>
      <c r="E774" s="387" t="str">
        <f>IF($B774&lt;&gt;"",IFERROR(IF(LEFT($B774,4)=$Z$2,VLOOKUP($C774,Outbound!$B:$Z,5,FALSE),VLOOKUP($B774,Outbound!$B:$Z,5,FALSE)),"ON ROCS/NOT ON FILE"),"")</f>
        <v/>
      </c>
      <c r="F774" s="387" t="str">
        <f>IF(B774&lt;&gt;"",IFERROR(IF(LEFT($B774,3)=$Z$2,VLOOKUP($C774,Outbound!$B:$Z,11,FALSE),VLOOKUP($B774,Outbound!$B:$Z,11,FALSE)),"NON TROVATO"),"")</f>
        <v/>
      </c>
      <c r="G774" s="394" t="str">
        <f>IF(B774&lt;&gt;"",IFERROR(IF(LEFT($B774,3)=$Z$2,VLOOKUP($C774,Outbound!$B:$AAZ,16,FALSE),VLOOKUP($B774,Outbound!$B:$AAZ,16,FALSE)),"NON TROVATO"),"")</f>
        <v/>
      </c>
      <c r="H774" s="394" t="str">
        <f>IF(B774&lt;&gt;"",IFERROR(IF(LEFT($B774,3)=$Z$2,VLOOKUP($C774,Outbound!$B:$AAZ,6,FALSE),VLOOKUP($B774,Outbound!$B:$AAZ,6,FALSE)),"NON TROVATO"),"")</f>
        <v/>
      </c>
      <c r="I774" s="394" t="str">
        <f>IF(B774&lt;&gt;"",IFERROR(IF(LEFT($B774,3)=$Z$2,VLOOKUP($C774,Outbound!$B:$AAZ,52,FALSE),VLOOKUP($B774,Outbound!$B:$AAZ,52,FALSE)),"NON TROVATO"),"")</f>
        <v/>
      </c>
      <c r="J774" s="396"/>
      <c r="K774" s="387" t="str">
        <f>IF(B774&lt;&gt;"",IF($D774&lt;&gt;"ON ROCS/NOT ON FILE",IFERROR(_xlfn.XLOOKUP(LEFT($D774,3),'STAT 77 Table'!$B:$B,'STAT 77 Table'!$A:$A),"ZZ"&amp;RIGHT($B774,4)),""),"")</f>
        <v/>
      </c>
      <c r="L774" s="396"/>
      <c r="O774" s="388"/>
      <c r="P774" s="388"/>
      <c r="AA774" s="421">
        <f t="shared" si="12"/>
        <v>0</v>
      </c>
    </row>
    <row r="775" spans="1:27" ht="16.5">
      <c r="A775" s="387">
        <f>'STAT 77 Table'!$I$774</f>
        <v>0</v>
      </c>
      <c r="B775"/>
      <c r="C775"/>
      <c r="D775" s="387" t="str">
        <f>IF($B775&lt;&gt;"",IFERROR(IF(LEFT($B775,3)=$Z$2,VLOOKUP($C775,Outbound!$B:$Z,4,FALSE),VLOOKUP($B775,Outbound!$B:$Z,4,FALSE)),"ON ROCS/NOT ON FILE"),"")</f>
        <v/>
      </c>
      <c r="E775" s="387" t="str">
        <f>IF($B775&lt;&gt;"",IFERROR(IF(LEFT($B775,4)=$Z$2,VLOOKUP($C775,Outbound!$B:$Z,5,FALSE),VLOOKUP($B775,Outbound!$B:$Z,5,FALSE)),"ON ROCS/NOT ON FILE"),"")</f>
        <v/>
      </c>
      <c r="F775" s="387" t="str">
        <f>IF(B775&lt;&gt;"",IFERROR(IF(LEFT($B775,3)=$Z$2,VLOOKUP($C775,Outbound!$B:$Z,11,FALSE),VLOOKUP($B775,Outbound!$B:$Z,11,FALSE)),"NON TROVATO"),"")</f>
        <v/>
      </c>
      <c r="G775" s="394" t="str">
        <f>IF(B775&lt;&gt;"",IFERROR(IF(LEFT($B775,3)=$Z$2,VLOOKUP($C775,Outbound!$B:$AAZ,16,FALSE),VLOOKUP($B775,Outbound!$B:$AAZ,16,FALSE)),"NON TROVATO"),"")</f>
        <v/>
      </c>
      <c r="H775" s="394" t="str">
        <f>IF(B775&lt;&gt;"",IFERROR(IF(LEFT($B775,3)=$Z$2,VLOOKUP($C775,Outbound!$B:$AAZ,6,FALSE),VLOOKUP($B775,Outbound!$B:$AAZ,6,FALSE)),"NON TROVATO"),"")</f>
        <v/>
      </c>
      <c r="I775" s="394" t="str">
        <f>IF(B775&lt;&gt;"",IFERROR(IF(LEFT($B775,3)=$Z$2,VLOOKUP($C775,Outbound!$B:$AAZ,52,FALSE),VLOOKUP($B775,Outbound!$B:$AAZ,52,FALSE)),"NON TROVATO"),"")</f>
        <v/>
      </c>
      <c r="J775" s="396"/>
      <c r="K775" s="387" t="str">
        <f>IF(B775&lt;&gt;"",IF($D775&lt;&gt;"ON ROCS/NOT ON FILE",IFERROR(_xlfn.XLOOKUP(LEFT($D775,3),'STAT 77 Table'!$B:$B,'STAT 77 Table'!$A:$A),"ZZ"&amp;RIGHT($B775,4)),""),"")</f>
        <v/>
      </c>
      <c r="L775" s="396"/>
      <c r="O775" s="388"/>
      <c r="P775" s="388"/>
      <c r="AA775" s="421">
        <f t="shared" si="12"/>
        <v>0</v>
      </c>
    </row>
    <row r="776" spans="1:27" ht="16.5">
      <c r="A776" s="387">
        <f>'STAT 77 Table'!$I$775</f>
        <v>0</v>
      </c>
      <c r="B776"/>
      <c r="C776"/>
      <c r="D776" s="387" t="str">
        <f>IF($B776&lt;&gt;"",IFERROR(IF(LEFT($B776,3)=$Z$2,VLOOKUP($C776,Outbound!$B:$Z,4,FALSE),VLOOKUP($B776,Outbound!$B:$Z,4,FALSE)),"ON ROCS/NOT ON FILE"),"")</f>
        <v/>
      </c>
      <c r="E776" s="387" t="str">
        <f>IF($B776&lt;&gt;"",IFERROR(IF(LEFT($B776,4)=$Z$2,VLOOKUP($C776,Outbound!$B:$Z,5,FALSE),VLOOKUP($B776,Outbound!$B:$Z,5,FALSE)),"ON ROCS/NOT ON FILE"),"")</f>
        <v/>
      </c>
      <c r="F776" s="387" t="str">
        <f>IF(B776&lt;&gt;"",IFERROR(IF(LEFT($B776,3)=$Z$2,VLOOKUP($C776,Outbound!$B:$Z,11,FALSE),VLOOKUP($B776,Outbound!$B:$Z,11,FALSE)),"NON TROVATO"),"")</f>
        <v/>
      </c>
      <c r="G776" s="394" t="str">
        <f>IF(B776&lt;&gt;"",IFERROR(IF(LEFT($B776,3)=$Z$2,VLOOKUP($C776,Outbound!$B:$AAZ,16,FALSE),VLOOKUP($B776,Outbound!$B:$AAZ,16,FALSE)),"NON TROVATO"),"")</f>
        <v/>
      </c>
      <c r="H776" s="394" t="str">
        <f>IF(B776&lt;&gt;"",IFERROR(IF(LEFT($B776,3)=$Z$2,VLOOKUP($C776,Outbound!$B:$AAZ,6,FALSE),VLOOKUP($B776,Outbound!$B:$AAZ,6,FALSE)),"NON TROVATO"),"")</f>
        <v/>
      </c>
      <c r="I776" s="394" t="str">
        <f>IF(B776&lt;&gt;"",IFERROR(IF(LEFT($B776,3)=$Z$2,VLOOKUP($C776,Outbound!$B:$AAZ,52,FALSE),VLOOKUP($B776,Outbound!$B:$AAZ,52,FALSE)),"NON TROVATO"),"")</f>
        <v/>
      </c>
      <c r="J776" s="396"/>
      <c r="K776" s="387" t="str">
        <f>IF(B776&lt;&gt;"",IF($D776&lt;&gt;"ON ROCS/NOT ON FILE",IFERROR(_xlfn.XLOOKUP(LEFT($D776,3),'STAT 77 Table'!$B:$B,'STAT 77 Table'!$A:$A),"ZZ"&amp;RIGHT($B776,4)),""),"")</f>
        <v/>
      </c>
      <c r="L776" s="396"/>
      <c r="O776" s="388"/>
      <c r="P776" s="388"/>
      <c r="AA776" s="421">
        <f t="shared" si="12"/>
        <v>0</v>
      </c>
    </row>
    <row r="777" spans="1:27" ht="16.5">
      <c r="A777" s="387">
        <f>'STAT 77 Table'!$I$776</f>
        <v>0</v>
      </c>
      <c r="B777"/>
      <c r="C777"/>
      <c r="D777" s="387" t="str">
        <f>IF($B777&lt;&gt;"",IFERROR(IF(LEFT($B777,3)=$Z$2,VLOOKUP($C777,Outbound!$B:$Z,4,FALSE),VLOOKUP($B777,Outbound!$B:$Z,4,FALSE)),"ON ROCS/NOT ON FILE"),"")</f>
        <v/>
      </c>
      <c r="E777" s="387" t="str">
        <f>IF($B777&lt;&gt;"",IFERROR(IF(LEFT($B777,4)=$Z$2,VLOOKUP($C777,Outbound!$B:$Z,5,FALSE),VLOOKUP($B777,Outbound!$B:$Z,5,FALSE)),"ON ROCS/NOT ON FILE"),"")</f>
        <v/>
      </c>
      <c r="F777" s="387" t="str">
        <f>IF(B777&lt;&gt;"",IFERROR(IF(LEFT($B777,3)=$Z$2,VLOOKUP($C777,Outbound!$B:$Z,11,FALSE),VLOOKUP($B777,Outbound!$B:$Z,11,FALSE)),"NON TROVATO"),"")</f>
        <v/>
      </c>
      <c r="G777" s="394" t="str">
        <f>IF(B777&lt;&gt;"",IFERROR(IF(LEFT($B777,3)=$Z$2,VLOOKUP($C777,Outbound!$B:$AAZ,16,FALSE),VLOOKUP($B777,Outbound!$B:$AAZ,16,FALSE)),"NON TROVATO"),"")</f>
        <v/>
      </c>
      <c r="H777" s="394" t="str">
        <f>IF(B777&lt;&gt;"",IFERROR(IF(LEFT($B777,3)=$Z$2,VLOOKUP($C777,Outbound!$B:$AAZ,6,FALSE),VLOOKUP($B777,Outbound!$B:$AAZ,6,FALSE)),"NON TROVATO"),"")</f>
        <v/>
      </c>
      <c r="I777" s="394" t="str">
        <f>IF(B777&lt;&gt;"",IFERROR(IF(LEFT($B777,3)=$Z$2,VLOOKUP($C777,Outbound!$B:$AAZ,52,FALSE),VLOOKUP($B777,Outbound!$B:$AAZ,52,FALSE)),"NON TROVATO"),"")</f>
        <v/>
      </c>
      <c r="J777" s="396"/>
      <c r="K777" s="387" t="str">
        <f>IF(B777&lt;&gt;"",IF($D777&lt;&gt;"ON ROCS/NOT ON FILE",IFERROR(_xlfn.XLOOKUP(LEFT($D777,3),'STAT 77 Table'!$B:$B,'STAT 77 Table'!$A:$A),"ZZ"&amp;RIGHT($B777,4)),""),"")</f>
        <v/>
      </c>
      <c r="L777" s="396"/>
      <c r="O777" s="388"/>
      <c r="P777" s="388"/>
      <c r="AA777" s="421">
        <f t="shared" si="12"/>
        <v>0</v>
      </c>
    </row>
    <row r="778" spans="1:27" ht="16.5">
      <c r="A778" s="387">
        <f>'STAT 77 Table'!$I$777</f>
        <v>0</v>
      </c>
      <c r="B778"/>
      <c r="C778"/>
      <c r="D778" s="387" t="str">
        <f>IF($B778&lt;&gt;"",IFERROR(IF(LEFT($B778,3)=$Z$2,VLOOKUP($C778,Outbound!$B:$Z,4,FALSE),VLOOKUP($B778,Outbound!$B:$Z,4,FALSE)),"ON ROCS/NOT ON FILE"),"")</f>
        <v/>
      </c>
      <c r="E778" s="387" t="str">
        <f>IF($B778&lt;&gt;"",IFERROR(IF(LEFT($B778,4)=$Z$2,VLOOKUP($C778,Outbound!$B:$Z,5,FALSE),VLOOKUP($B778,Outbound!$B:$Z,5,FALSE)),"ON ROCS/NOT ON FILE"),"")</f>
        <v/>
      </c>
      <c r="F778" s="387" t="str">
        <f>IF(B778&lt;&gt;"",IFERROR(IF(LEFT($B778,3)=$Z$2,VLOOKUP($C778,Outbound!$B:$Z,11,FALSE),VLOOKUP($B778,Outbound!$B:$Z,11,FALSE)),"NON TROVATO"),"")</f>
        <v/>
      </c>
      <c r="G778" s="394" t="str">
        <f>IF(B778&lt;&gt;"",IFERROR(IF(LEFT($B778,3)=$Z$2,VLOOKUP($C778,Outbound!$B:$AAZ,16,FALSE),VLOOKUP($B778,Outbound!$B:$AAZ,16,FALSE)),"NON TROVATO"),"")</f>
        <v/>
      </c>
      <c r="H778" s="394" t="str">
        <f>IF(B778&lt;&gt;"",IFERROR(IF(LEFT($B778,3)=$Z$2,VLOOKUP($C778,Outbound!$B:$AAZ,6,FALSE),VLOOKUP($B778,Outbound!$B:$AAZ,6,FALSE)),"NON TROVATO"),"")</f>
        <v/>
      </c>
      <c r="I778" s="394" t="str">
        <f>IF(B778&lt;&gt;"",IFERROR(IF(LEFT($B778,3)=$Z$2,VLOOKUP($C778,Outbound!$B:$AAZ,52,FALSE),VLOOKUP($B778,Outbound!$B:$AAZ,52,FALSE)),"NON TROVATO"),"")</f>
        <v/>
      </c>
      <c r="J778" s="396"/>
      <c r="K778" s="387" t="str">
        <f>IF(B778&lt;&gt;"",IF($D778&lt;&gt;"ON ROCS/NOT ON FILE",IFERROR(_xlfn.XLOOKUP(LEFT($D778,3),'STAT 77 Table'!$B:$B,'STAT 77 Table'!$A:$A),"ZZ"&amp;RIGHT($B778,4)),""),"")</f>
        <v/>
      </c>
      <c r="L778" s="396"/>
      <c r="O778" s="388"/>
      <c r="P778" s="388"/>
      <c r="AA778" s="421">
        <f t="shared" si="12"/>
        <v>0</v>
      </c>
    </row>
    <row r="779" spans="1:27" ht="16.5">
      <c r="A779" s="387">
        <f>'STAT 77 Table'!$I$778</f>
        <v>0</v>
      </c>
      <c r="B779"/>
      <c r="C779"/>
      <c r="D779" s="387" t="str">
        <f>IF($B779&lt;&gt;"",IFERROR(IF(LEFT($B779,3)=$Z$2,VLOOKUP($C779,Outbound!$B:$Z,4,FALSE),VLOOKUP($B779,Outbound!$B:$Z,4,FALSE)),"ON ROCS/NOT ON FILE"),"")</f>
        <v/>
      </c>
      <c r="E779" s="387" t="str">
        <f>IF($B779&lt;&gt;"",IFERROR(IF(LEFT($B779,4)=$Z$2,VLOOKUP($C779,Outbound!$B:$Z,5,FALSE),VLOOKUP($B779,Outbound!$B:$Z,5,FALSE)),"ON ROCS/NOT ON FILE"),"")</f>
        <v/>
      </c>
      <c r="F779" s="387" t="str">
        <f>IF(B779&lt;&gt;"",IFERROR(IF(LEFT($B779,3)=$Z$2,VLOOKUP($C779,Outbound!$B:$Z,11,FALSE),VLOOKUP($B779,Outbound!$B:$Z,11,FALSE)),"NON TROVATO"),"")</f>
        <v/>
      </c>
      <c r="G779" s="394" t="str">
        <f>IF(B779&lt;&gt;"",IFERROR(IF(LEFT($B779,3)=$Z$2,VLOOKUP($C779,Outbound!$B:$AAZ,16,FALSE),VLOOKUP($B779,Outbound!$B:$AAZ,16,FALSE)),"NON TROVATO"),"")</f>
        <v/>
      </c>
      <c r="H779" s="394" t="str">
        <f>IF(B779&lt;&gt;"",IFERROR(IF(LEFT($B779,3)=$Z$2,VLOOKUP($C779,Outbound!$B:$AAZ,6,FALSE),VLOOKUP($B779,Outbound!$B:$AAZ,6,FALSE)),"NON TROVATO"),"")</f>
        <v/>
      </c>
      <c r="I779" s="394" t="str">
        <f>IF(B779&lt;&gt;"",IFERROR(IF(LEFT($B779,3)=$Z$2,VLOOKUP($C779,Outbound!$B:$AAZ,52,FALSE),VLOOKUP($B779,Outbound!$B:$AAZ,52,FALSE)),"NON TROVATO"),"")</f>
        <v/>
      </c>
      <c r="J779" s="396"/>
      <c r="K779" s="387" t="str">
        <f>IF(B779&lt;&gt;"",IF($D779&lt;&gt;"ON ROCS/NOT ON FILE",IFERROR(_xlfn.XLOOKUP(LEFT($D779,3),'STAT 77 Table'!$B:$B,'STAT 77 Table'!$A:$A),"ZZ"&amp;RIGHT($B779,4)),""),"")</f>
        <v/>
      </c>
      <c r="L779" s="396"/>
      <c r="O779" s="388"/>
      <c r="P779" s="388"/>
      <c r="AA779" s="421">
        <f t="shared" si="12"/>
        <v>0</v>
      </c>
    </row>
    <row r="780" spans="1:27" ht="16.5">
      <c r="A780" s="387">
        <f>'STAT 77 Table'!$I$779</f>
        <v>0</v>
      </c>
      <c r="B780"/>
      <c r="C780"/>
      <c r="D780" s="387" t="str">
        <f>IF($B780&lt;&gt;"",IFERROR(IF(LEFT($B780,3)=$Z$2,VLOOKUP($C780,Outbound!$B:$Z,4,FALSE),VLOOKUP($B780,Outbound!$B:$Z,4,FALSE)),"ON ROCS/NOT ON FILE"),"")</f>
        <v/>
      </c>
      <c r="E780" s="387" t="str">
        <f>IF($B780&lt;&gt;"",IFERROR(IF(LEFT($B780,4)=$Z$2,VLOOKUP($C780,Outbound!$B:$Z,5,FALSE),VLOOKUP($B780,Outbound!$B:$Z,5,FALSE)),"ON ROCS/NOT ON FILE"),"")</f>
        <v/>
      </c>
      <c r="F780" s="387" t="str">
        <f>IF(B780&lt;&gt;"",IFERROR(IF(LEFT($B780,3)=$Z$2,VLOOKUP($C780,Outbound!$B:$Z,11,FALSE),VLOOKUP($B780,Outbound!$B:$Z,11,FALSE)),"NON TROVATO"),"")</f>
        <v/>
      </c>
      <c r="G780" s="394" t="str">
        <f>IF(B780&lt;&gt;"",IFERROR(IF(LEFT($B780,3)=$Z$2,VLOOKUP($C780,Outbound!$B:$AAZ,16,FALSE),VLOOKUP($B780,Outbound!$B:$AAZ,16,FALSE)),"NON TROVATO"),"")</f>
        <v/>
      </c>
      <c r="H780" s="394" t="str">
        <f>IF(B780&lt;&gt;"",IFERROR(IF(LEFT($B780,3)=$Z$2,VLOOKUP($C780,Outbound!$B:$AAZ,6,FALSE),VLOOKUP($B780,Outbound!$B:$AAZ,6,FALSE)),"NON TROVATO"),"")</f>
        <v/>
      </c>
      <c r="I780" s="394" t="str">
        <f>IF(B780&lt;&gt;"",IFERROR(IF(LEFT($B780,3)=$Z$2,VLOOKUP($C780,Outbound!$B:$AAZ,52,FALSE),VLOOKUP($B780,Outbound!$B:$AAZ,52,FALSE)),"NON TROVATO"),"")</f>
        <v/>
      </c>
      <c r="J780" s="396"/>
      <c r="K780" s="387" t="str">
        <f>IF(B780&lt;&gt;"",IF($D780&lt;&gt;"ON ROCS/NOT ON FILE",IFERROR(_xlfn.XLOOKUP(LEFT($D780,3),'STAT 77 Table'!$B:$B,'STAT 77 Table'!$A:$A),"ZZ"&amp;RIGHT($B780,4)),""),"")</f>
        <v/>
      </c>
      <c r="L780" s="396"/>
      <c r="O780" s="388"/>
      <c r="P780" s="388"/>
      <c r="AA780" s="421">
        <f t="shared" si="12"/>
        <v>0</v>
      </c>
    </row>
    <row r="781" spans="1:27" ht="16.5">
      <c r="A781" s="387">
        <f>'STAT 77 Table'!$I$780</f>
        <v>0</v>
      </c>
      <c r="B781"/>
      <c r="C781"/>
      <c r="D781" s="387" t="str">
        <f>IF($B781&lt;&gt;"",IFERROR(IF(LEFT($B781,3)=$Z$2,VLOOKUP($C781,Outbound!$B:$Z,4,FALSE),VLOOKUP($B781,Outbound!$B:$Z,4,FALSE)),"ON ROCS/NOT ON FILE"),"")</f>
        <v/>
      </c>
      <c r="E781" s="387" t="str">
        <f>IF($B781&lt;&gt;"",IFERROR(IF(LEFT($B781,4)=$Z$2,VLOOKUP($C781,Outbound!$B:$Z,5,FALSE),VLOOKUP($B781,Outbound!$B:$Z,5,FALSE)),"ON ROCS/NOT ON FILE"),"")</f>
        <v/>
      </c>
      <c r="F781" s="387" t="str">
        <f>IF(B781&lt;&gt;"",IFERROR(IF(LEFT($B781,3)=$Z$2,VLOOKUP($C781,Outbound!$B:$Z,11,FALSE),VLOOKUP($B781,Outbound!$B:$Z,11,FALSE)),"NON TROVATO"),"")</f>
        <v/>
      </c>
      <c r="G781" s="394" t="str">
        <f>IF(B781&lt;&gt;"",IFERROR(IF(LEFT($B781,3)=$Z$2,VLOOKUP($C781,Outbound!$B:$AAZ,16,FALSE),VLOOKUP($B781,Outbound!$B:$AAZ,16,FALSE)),"NON TROVATO"),"")</f>
        <v/>
      </c>
      <c r="H781" s="394" t="str">
        <f>IF(B781&lt;&gt;"",IFERROR(IF(LEFT($B781,3)=$Z$2,VLOOKUP($C781,Outbound!$B:$AAZ,6,FALSE),VLOOKUP($B781,Outbound!$B:$AAZ,6,FALSE)),"NON TROVATO"),"")</f>
        <v/>
      </c>
      <c r="I781" s="394" t="str">
        <f>IF(B781&lt;&gt;"",IFERROR(IF(LEFT($B781,3)=$Z$2,VLOOKUP($C781,Outbound!$B:$AAZ,52,FALSE),VLOOKUP($B781,Outbound!$B:$AAZ,52,FALSE)),"NON TROVATO"),"")</f>
        <v/>
      </c>
      <c r="J781" s="396"/>
      <c r="K781" s="387" t="str">
        <f>IF(B781&lt;&gt;"",IF($D781&lt;&gt;"ON ROCS/NOT ON FILE",IFERROR(_xlfn.XLOOKUP(LEFT($D781,3),'STAT 77 Table'!$B:$B,'STAT 77 Table'!$A:$A),"ZZ"&amp;RIGHT($B781,4)),""),"")</f>
        <v/>
      </c>
      <c r="L781" s="396"/>
      <c r="O781" s="388"/>
      <c r="P781" s="388"/>
      <c r="AA781" s="421">
        <f t="shared" si="12"/>
        <v>0</v>
      </c>
    </row>
    <row r="782" spans="1:27" ht="16.5">
      <c r="A782" s="387">
        <f>'STAT 77 Table'!$I$781</f>
        <v>0</v>
      </c>
      <c r="B782"/>
      <c r="C782"/>
      <c r="D782" s="387" t="str">
        <f>IF($B782&lt;&gt;"",IFERROR(IF(LEFT($B782,3)=$Z$2,VLOOKUP($C782,Outbound!$B:$Z,4,FALSE),VLOOKUP($B782,Outbound!$B:$Z,4,FALSE)),"ON ROCS/NOT ON FILE"),"")</f>
        <v/>
      </c>
      <c r="E782" s="387" t="str">
        <f>IF($B782&lt;&gt;"",IFERROR(IF(LEFT($B782,4)=$Z$2,VLOOKUP($C782,Outbound!$B:$Z,5,FALSE),VLOOKUP($B782,Outbound!$B:$Z,5,FALSE)),"ON ROCS/NOT ON FILE"),"")</f>
        <v/>
      </c>
      <c r="F782" s="387" t="str">
        <f>IF(B782&lt;&gt;"",IFERROR(IF(LEFT($B782,3)=$Z$2,VLOOKUP($C782,Outbound!$B:$Z,11,FALSE),VLOOKUP($B782,Outbound!$B:$Z,11,FALSE)),"NON TROVATO"),"")</f>
        <v/>
      </c>
      <c r="G782" s="394" t="str">
        <f>IF(B782&lt;&gt;"",IFERROR(IF(LEFT($B782,3)=$Z$2,VLOOKUP($C782,Outbound!$B:$AAZ,16,FALSE),VLOOKUP($B782,Outbound!$B:$AAZ,16,FALSE)),"NON TROVATO"),"")</f>
        <v/>
      </c>
      <c r="H782" s="394" t="str">
        <f>IF(B782&lt;&gt;"",IFERROR(IF(LEFT($B782,3)=$Z$2,VLOOKUP($C782,Outbound!$B:$AAZ,6,FALSE),VLOOKUP($B782,Outbound!$B:$AAZ,6,FALSE)),"NON TROVATO"),"")</f>
        <v/>
      </c>
      <c r="I782" s="394" t="str">
        <f>IF(B782&lt;&gt;"",IFERROR(IF(LEFT($B782,3)=$Z$2,VLOOKUP($C782,Outbound!$B:$AAZ,52,FALSE),VLOOKUP($B782,Outbound!$B:$AAZ,52,FALSE)),"NON TROVATO"),"")</f>
        <v/>
      </c>
      <c r="J782" s="396"/>
      <c r="K782" s="387" t="str">
        <f>IF(B782&lt;&gt;"",IF($D782&lt;&gt;"ON ROCS/NOT ON FILE",IFERROR(_xlfn.XLOOKUP(LEFT($D782,3),'STAT 77 Table'!$B:$B,'STAT 77 Table'!$A:$A),"ZZ"&amp;RIGHT($B782,4)),""),"")</f>
        <v/>
      </c>
      <c r="L782" s="396"/>
      <c r="O782" s="388"/>
      <c r="P782" s="388"/>
      <c r="AA782" s="421">
        <f t="shared" si="12"/>
        <v>0</v>
      </c>
    </row>
    <row r="783" spans="1:27" ht="16.5">
      <c r="A783" s="387">
        <f>'STAT 77 Table'!$I$782</f>
        <v>0</v>
      </c>
      <c r="B783"/>
      <c r="C783"/>
      <c r="D783" s="387" t="str">
        <f>IF($B783&lt;&gt;"",IFERROR(IF(LEFT($B783,3)=$Z$2,VLOOKUP($C783,Outbound!$B:$Z,4,FALSE),VLOOKUP($B783,Outbound!$B:$Z,4,FALSE)),"ON ROCS/NOT ON FILE"),"")</f>
        <v/>
      </c>
      <c r="E783" s="387" t="str">
        <f>IF($B783&lt;&gt;"",IFERROR(IF(LEFT($B783,4)=$Z$2,VLOOKUP($C783,Outbound!$B:$Z,5,FALSE),VLOOKUP($B783,Outbound!$B:$Z,5,FALSE)),"ON ROCS/NOT ON FILE"),"")</f>
        <v/>
      </c>
      <c r="F783" s="387" t="str">
        <f>IF(B783&lt;&gt;"",IFERROR(IF(LEFT($B783,3)=$Z$2,VLOOKUP($C783,Outbound!$B:$Z,11,FALSE),VLOOKUP($B783,Outbound!$B:$Z,11,FALSE)),"NON TROVATO"),"")</f>
        <v/>
      </c>
      <c r="G783" s="394" t="str">
        <f>IF(B783&lt;&gt;"",IFERROR(IF(LEFT($B783,3)=$Z$2,VLOOKUP($C783,Outbound!$B:$AAZ,16,FALSE),VLOOKUP($B783,Outbound!$B:$AAZ,16,FALSE)),"NON TROVATO"),"")</f>
        <v/>
      </c>
      <c r="H783" s="394" t="str">
        <f>IF(B783&lt;&gt;"",IFERROR(IF(LEFT($B783,3)=$Z$2,VLOOKUP($C783,Outbound!$B:$AAZ,6,FALSE),VLOOKUP($B783,Outbound!$B:$AAZ,6,FALSE)),"NON TROVATO"),"")</f>
        <v/>
      </c>
      <c r="I783" s="394" t="str">
        <f>IF(B783&lt;&gt;"",IFERROR(IF(LEFT($B783,3)=$Z$2,VLOOKUP($C783,Outbound!$B:$AAZ,52,FALSE),VLOOKUP($B783,Outbound!$B:$AAZ,52,FALSE)),"NON TROVATO"),"")</f>
        <v/>
      </c>
      <c r="J783" s="396"/>
      <c r="K783" s="387" t="str">
        <f>IF(B783&lt;&gt;"",IF($D783&lt;&gt;"ON ROCS/NOT ON FILE",IFERROR(_xlfn.XLOOKUP(LEFT($D783,3),'STAT 77 Table'!$B:$B,'STAT 77 Table'!$A:$A),"ZZ"&amp;RIGHT($B783,4)),""),"")</f>
        <v/>
      </c>
      <c r="L783" s="396"/>
      <c r="O783" s="388"/>
      <c r="P783" s="388"/>
      <c r="AA783" s="421">
        <f t="shared" si="12"/>
        <v>0</v>
      </c>
    </row>
    <row r="784" spans="1:27" ht="16.5">
      <c r="A784" s="387">
        <f>'STAT 77 Table'!$I$783</f>
        <v>0</v>
      </c>
      <c r="B784"/>
      <c r="C784"/>
      <c r="D784" s="387" t="str">
        <f>IF($B784&lt;&gt;"",IFERROR(IF(LEFT($B784,3)=$Z$2,VLOOKUP($C784,Outbound!$B:$Z,4,FALSE),VLOOKUP($B784,Outbound!$B:$Z,4,FALSE)),"ON ROCS/NOT ON FILE"),"")</f>
        <v/>
      </c>
      <c r="E784" s="387" t="str">
        <f>IF($B784&lt;&gt;"",IFERROR(IF(LEFT($B784,4)=$Z$2,VLOOKUP($C784,Outbound!$B:$Z,5,FALSE),VLOOKUP($B784,Outbound!$B:$Z,5,FALSE)),"ON ROCS/NOT ON FILE"),"")</f>
        <v/>
      </c>
      <c r="F784" s="387" t="str">
        <f>IF(B784&lt;&gt;"",IFERROR(IF(LEFT($B784,3)=$Z$2,VLOOKUP($C784,Outbound!$B:$Z,11,FALSE),VLOOKUP($B784,Outbound!$B:$Z,11,FALSE)),"NON TROVATO"),"")</f>
        <v/>
      </c>
      <c r="G784" s="394" t="str">
        <f>IF(B784&lt;&gt;"",IFERROR(IF(LEFT($B784,3)=$Z$2,VLOOKUP($C784,Outbound!$B:$AAZ,16,FALSE),VLOOKUP($B784,Outbound!$B:$AAZ,16,FALSE)),"NON TROVATO"),"")</f>
        <v/>
      </c>
      <c r="H784" s="394" t="str">
        <f>IF(B784&lt;&gt;"",IFERROR(IF(LEFT($B784,3)=$Z$2,VLOOKUP($C784,Outbound!$B:$AAZ,6,FALSE),VLOOKUP($B784,Outbound!$B:$AAZ,6,FALSE)),"NON TROVATO"),"")</f>
        <v/>
      </c>
      <c r="I784" s="394" t="str">
        <f>IF(B784&lt;&gt;"",IFERROR(IF(LEFT($B784,3)=$Z$2,VLOOKUP($C784,Outbound!$B:$AAZ,52,FALSE),VLOOKUP($B784,Outbound!$B:$AAZ,52,FALSE)),"NON TROVATO"),"")</f>
        <v/>
      </c>
      <c r="J784" s="396"/>
      <c r="K784" s="387" t="str">
        <f>IF(B784&lt;&gt;"",IF($D784&lt;&gt;"ON ROCS/NOT ON FILE",IFERROR(_xlfn.XLOOKUP(LEFT($D784,3),'STAT 77 Table'!$B:$B,'STAT 77 Table'!$A:$A),"ZZ"&amp;RIGHT($B784,4)),""),"")</f>
        <v/>
      </c>
      <c r="L784" s="396"/>
      <c r="O784" s="388"/>
      <c r="P784" s="388"/>
      <c r="AA784" s="421">
        <f t="shared" si="12"/>
        <v>0</v>
      </c>
    </row>
    <row r="785" spans="1:27" ht="16.5">
      <c r="A785" s="387">
        <f>'STAT 77 Table'!$I$784</f>
        <v>0</v>
      </c>
      <c r="B785"/>
      <c r="C785"/>
      <c r="D785" s="387" t="str">
        <f>IF($B785&lt;&gt;"",IFERROR(IF(LEFT($B785,3)=$Z$2,VLOOKUP($C785,Outbound!$B:$Z,4,FALSE),VLOOKUP($B785,Outbound!$B:$Z,4,FALSE)),"ON ROCS/NOT ON FILE"),"")</f>
        <v/>
      </c>
      <c r="E785" s="387" t="str">
        <f>IF($B785&lt;&gt;"",IFERROR(IF(LEFT($B785,4)=$Z$2,VLOOKUP($C785,Outbound!$B:$Z,5,FALSE),VLOOKUP($B785,Outbound!$B:$Z,5,FALSE)),"ON ROCS/NOT ON FILE"),"")</f>
        <v/>
      </c>
      <c r="F785" s="387" t="str">
        <f>IF(B785&lt;&gt;"",IFERROR(IF(LEFT($B785,3)=$Z$2,VLOOKUP($C785,Outbound!$B:$Z,11,FALSE),VLOOKUP($B785,Outbound!$B:$Z,11,FALSE)),"NON TROVATO"),"")</f>
        <v/>
      </c>
      <c r="G785" s="394" t="str">
        <f>IF(B785&lt;&gt;"",IFERROR(IF(LEFT($B785,3)=$Z$2,VLOOKUP($C785,Outbound!$B:$AAZ,16,FALSE),VLOOKUP($B785,Outbound!$B:$AAZ,16,FALSE)),"NON TROVATO"),"")</f>
        <v/>
      </c>
      <c r="H785" s="394" t="str">
        <f>IF(B785&lt;&gt;"",IFERROR(IF(LEFT($B785,3)=$Z$2,VLOOKUP($C785,Outbound!$B:$AAZ,6,FALSE),VLOOKUP($B785,Outbound!$B:$AAZ,6,FALSE)),"NON TROVATO"),"")</f>
        <v/>
      </c>
      <c r="I785" s="394" t="str">
        <f>IF(B785&lt;&gt;"",IFERROR(IF(LEFT($B785,3)=$Z$2,VLOOKUP($C785,Outbound!$B:$AAZ,52,FALSE),VLOOKUP($B785,Outbound!$B:$AAZ,52,FALSE)),"NON TROVATO"),"")</f>
        <v/>
      </c>
      <c r="J785" s="396"/>
      <c r="K785" s="387" t="str">
        <f>IF(B785&lt;&gt;"",IF($D785&lt;&gt;"ON ROCS/NOT ON FILE",IFERROR(_xlfn.XLOOKUP(LEFT($D785,3),'STAT 77 Table'!$B:$B,'STAT 77 Table'!$A:$A),"ZZ"&amp;RIGHT($B785,4)),""),"")</f>
        <v/>
      </c>
      <c r="L785" s="396"/>
      <c r="O785" s="388"/>
      <c r="P785" s="388"/>
      <c r="AA785" s="421">
        <f t="shared" si="12"/>
        <v>0</v>
      </c>
    </row>
    <row r="786" spans="1:27" ht="16.5">
      <c r="A786" s="387">
        <f>'STAT 77 Table'!$I$785</f>
        <v>0</v>
      </c>
      <c r="B786"/>
      <c r="C786"/>
      <c r="D786" s="387" t="str">
        <f>IF($B786&lt;&gt;"",IFERROR(IF(LEFT($B786,3)=$Z$2,VLOOKUP($C786,Outbound!$B:$Z,4,FALSE),VLOOKUP($B786,Outbound!$B:$Z,4,FALSE)),"ON ROCS/NOT ON FILE"),"")</f>
        <v/>
      </c>
      <c r="E786" s="387" t="str">
        <f>IF($B786&lt;&gt;"",IFERROR(IF(LEFT($B786,4)=$Z$2,VLOOKUP($C786,Outbound!$B:$Z,5,FALSE),VLOOKUP($B786,Outbound!$B:$Z,5,FALSE)),"ON ROCS/NOT ON FILE"),"")</f>
        <v/>
      </c>
      <c r="F786" s="387" t="str">
        <f>IF(B786&lt;&gt;"",IFERROR(IF(LEFT($B786,3)=$Z$2,VLOOKUP($C786,Outbound!$B:$Z,11,FALSE),VLOOKUP($B786,Outbound!$B:$Z,11,FALSE)),"NON TROVATO"),"")</f>
        <v/>
      </c>
      <c r="G786" s="394" t="str">
        <f>IF(B786&lt;&gt;"",IFERROR(IF(LEFT($B786,3)=$Z$2,VLOOKUP($C786,Outbound!$B:$AAZ,16,FALSE),VLOOKUP($B786,Outbound!$B:$AAZ,16,FALSE)),"NON TROVATO"),"")</f>
        <v/>
      </c>
      <c r="H786" s="394" t="str">
        <f>IF(B786&lt;&gt;"",IFERROR(IF(LEFT($B786,3)=$Z$2,VLOOKUP($C786,Outbound!$B:$AAZ,6,FALSE),VLOOKUP($B786,Outbound!$B:$AAZ,6,FALSE)),"NON TROVATO"),"")</f>
        <v/>
      </c>
      <c r="I786" s="394" t="str">
        <f>IF(B786&lt;&gt;"",IFERROR(IF(LEFT($B786,3)=$Z$2,VLOOKUP($C786,Outbound!$B:$AAZ,52,FALSE),VLOOKUP($B786,Outbound!$B:$AAZ,52,FALSE)),"NON TROVATO"),"")</f>
        <v/>
      </c>
      <c r="J786" s="396"/>
      <c r="K786" s="387" t="str">
        <f>IF(B786&lt;&gt;"",IF($D786&lt;&gt;"ON ROCS/NOT ON FILE",IFERROR(_xlfn.XLOOKUP(LEFT($D786,3),'STAT 77 Table'!$B:$B,'STAT 77 Table'!$A:$A),"ZZ"&amp;RIGHT($B786,4)),""),"")</f>
        <v/>
      </c>
      <c r="L786" s="396"/>
      <c r="O786" s="388"/>
      <c r="P786" s="388"/>
      <c r="AA786" s="421">
        <f t="shared" si="12"/>
        <v>0</v>
      </c>
    </row>
    <row r="787" spans="1:27" ht="16.5">
      <c r="A787" s="387">
        <f>'STAT 77 Table'!$I$786</f>
        <v>0</v>
      </c>
      <c r="B787"/>
      <c r="C787"/>
      <c r="D787" s="387" t="str">
        <f>IF($B787&lt;&gt;"",IFERROR(IF(LEFT($B787,3)=$Z$2,VLOOKUP($C787,Outbound!$B:$Z,4,FALSE),VLOOKUP($B787,Outbound!$B:$Z,4,FALSE)),"ON ROCS/NOT ON FILE"),"")</f>
        <v/>
      </c>
      <c r="E787" s="387" t="str">
        <f>IF($B787&lt;&gt;"",IFERROR(IF(LEFT($B787,4)=$Z$2,VLOOKUP($C787,Outbound!$B:$Z,5,FALSE),VLOOKUP($B787,Outbound!$B:$Z,5,FALSE)),"ON ROCS/NOT ON FILE"),"")</f>
        <v/>
      </c>
      <c r="F787" s="387" t="str">
        <f>IF(B787&lt;&gt;"",IFERROR(IF(LEFT($B787,3)=$Z$2,VLOOKUP($C787,Outbound!$B:$Z,11,FALSE),VLOOKUP($B787,Outbound!$B:$Z,11,FALSE)),"NON TROVATO"),"")</f>
        <v/>
      </c>
      <c r="G787" s="394" t="str">
        <f>IF(B787&lt;&gt;"",IFERROR(IF(LEFT($B787,3)=$Z$2,VLOOKUP($C787,Outbound!$B:$AAZ,16,FALSE),VLOOKUP($B787,Outbound!$B:$AAZ,16,FALSE)),"NON TROVATO"),"")</f>
        <v/>
      </c>
      <c r="H787" s="394" t="str">
        <f>IF(B787&lt;&gt;"",IFERROR(IF(LEFT($B787,3)=$Z$2,VLOOKUP($C787,Outbound!$B:$AAZ,6,FALSE),VLOOKUP($B787,Outbound!$B:$AAZ,6,FALSE)),"NON TROVATO"),"")</f>
        <v/>
      </c>
      <c r="I787" s="394" t="str">
        <f>IF(B787&lt;&gt;"",IFERROR(IF(LEFT($B787,3)=$Z$2,VLOOKUP($C787,Outbound!$B:$AAZ,52,FALSE),VLOOKUP($B787,Outbound!$B:$AAZ,52,FALSE)),"NON TROVATO"),"")</f>
        <v/>
      </c>
      <c r="J787" s="396"/>
      <c r="K787" s="387" t="str">
        <f>IF(B787&lt;&gt;"",IF($D787&lt;&gt;"ON ROCS/NOT ON FILE",IFERROR(_xlfn.XLOOKUP(LEFT($D787,3),'STAT 77 Table'!$B:$B,'STAT 77 Table'!$A:$A),"ZZ"&amp;RIGHT($B787,4)),""),"")</f>
        <v/>
      </c>
      <c r="L787" s="396"/>
      <c r="O787" s="388"/>
      <c r="P787" s="388"/>
      <c r="AA787" s="421">
        <f t="shared" si="12"/>
        <v>0</v>
      </c>
    </row>
    <row r="788" spans="1:27" ht="16.5">
      <c r="A788" s="387">
        <f>'STAT 77 Table'!$I$787</f>
        <v>0</v>
      </c>
      <c r="B788"/>
      <c r="C788"/>
      <c r="D788" s="387" t="str">
        <f>IF($B788&lt;&gt;"",IFERROR(IF(LEFT($B788,3)=$Z$2,VLOOKUP($C788,Outbound!$B:$Z,4,FALSE),VLOOKUP($B788,Outbound!$B:$Z,4,FALSE)),"ON ROCS/NOT ON FILE"),"")</f>
        <v/>
      </c>
      <c r="E788" s="387" t="str">
        <f>IF($B788&lt;&gt;"",IFERROR(IF(LEFT($B788,4)=$Z$2,VLOOKUP($C788,Outbound!$B:$Z,5,FALSE),VLOOKUP($B788,Outbound!$B:$Z,5,FALSE)),"ON ROCS/NOT ON FILE"),"")</f>
        <v/>
      </c>
      <c r="F788" s="387" t="str">
        <f>IF(B788&lt;&gt;"",IFERROR(IF(LEFT($B788,3)=$Z$2,VLOOKUP($C788,Outbound!$B:$Z,11,FALSE),VLOOKUP($B788,Outbound!$B:$Z,11,FALSE)),"NON TROVATO"),"")</f>
        <v/>
      </c>
      <c r="G788" s="394" t="str">
        <f>IF(B788&lt;&gt;"",IFERROR(IF(LEFT($B788,3)=$Z$2,VLOOKUP($C788,Outbound!$B:$AAZ,16,FALSE),VLOOKUP($B788,Outbound!$B:$AAZ,16,FALSE)),"NON TROVATO"),"")</f>
        <v/>
      </c>
      <c r="H788" s="394" t="str">
        <f>IF(B788&lt;&gt;"",IFERROR(IF(LEFT($B788,3)=$Z$2,VLOOKUP($C788,Outbound!$B:$AAZ,6,FALSE),VLOOKUP($B788,Outbound!$B:$AAZ,6,FALSE)),"NON TROVATO"),"")</f>
        <v/>
      </c>
      <c r="I788" s="394" t="str">
        <f>IF(B788&lt;&gt;"",IFERROR(IF(LEFT($B788,3)=$Z$2,VLOOKUP($C788,Outbound!$B:$AAZ,52,FALSE),VLOOKUP($B788,Outbound!$B:$AAZ,52,FALSE)),"NON TROVATO"),"")</f>
        <v/>
      </c>
      <c r="J788" s="396"/>
      <c r="K788" s="387" t="str">
        <f>IF(B788&lt;&gt;"",IF($D788&lt;&gt;"ON ROCS/NOT ON FILE",IFERROR(_xlfn.XLOOKUP(LEFT($D788,3),'STAT 77 Table'!$B:$B,'STAT 77 Table'!$A:$A),"ZZ"&amp;RIGHT($B788,4)),""),"")</f>
        <v/>
      </c>
      <c r="L788" s="396"/>
      <c r="O788" s="388"/>
      <c r="P788" s="388"/>
      <c r="AA788" s="421">
        <f t="shared" si="12"/>
        <v>0</v>
      </c>
    </row>
    <row r="789" spans="1:27" ht="16.5">
      <c r="A789" s="387">
        <f>'STAT 77 Table'!$I$788</f>
        <v>0</v>
      </c>
      <c r="B789"/>
      <c r="C789"/>
      <c r="D789" s="387" t="str">
        <f>IF($B789&lt;&gt;"",IFERROR(IF(LEFT($B789,3)=$Z$2,VLOOKUP($C789,Outbound!$B:$Z,4,FALSE),VLOOKUP($B789,Outbound!$B:$Z,4,FALSE)),"ON ROCS/NOT ON FILE"),"")</f>
        <v/>
      </c>
      <c r="E789" s="387" t="str">
        <f>IF($B789&lt;&gt;"",IFERROR(IF(LEFT($B789,4)=$Z$2,VLOOKUP($C789,Outbound!$B:$Z,5,FALSE),VLOOKUP($B789,Outbound!$B:$Z,5,FALSE)),"ON ROCS/NOT ON FILE"),"")</f>
        <v/>
      </c>
      <c r="F789" s="387" t="str">
        <f>IF(B789&lt;&gt;"",IFERROR(IF(LEFT($B789,3)=$Z$2,VLOOKUP($C789,Outbound!$B:$Z,11,FALSE),VLOOKUP($B789,Outbound!$B:$Z,11,FALSE)),"NON TROVATO"),"")</f>
        <v/>
      </c>
      <c r="G789" s="394" t="str">
        <f>IF(B789&lt;&gt;"",IFERROR(IF(LEFT($B789,3)=$Z$2,VLOOKUP($C789,Outbound!$B:$AAZ,16,FALSE),VLOOKUP($B789,Outbound!$B:$AAZ,16,FALSE)),"NON TROVATO"),"")</f>
        <v/>
      </c>
      <c r="H789" s="394" t="str">
        <f>IF(B789&lt;&gt;"",IFERROR(IF(LEFT($B789,3)=$Z$2,VLOOKUP($C789,Outbound!$B:$AAZ,6,FALSE),VLOOKUP($B789,Outbound!$B:$AAZ,6,FALSE)),"NON TROVATO"),"")</f>
        <v/>
      </c>
      <c r="I789" s="394" t="str">
        <f>IF(B789&lt;&gt;"",IFERROR(IF(LEFT($B789,3)=$Z$2,VLOOKUP($C789,Outbound!$B:$AAZ,52,FALSE),VLOOKUP($B789,Outbound!$B:$AAZ,52,FALSE)),"NON TROVATO"),"")</f>
        <v/>
      </c>
      <c r="J789" s="396"/>
      <c r="K789" s="387" t="str">
        <f>IF(B789&lt;&gt;"",IF($D789&lt;&gt;"ON ROCS/NOT ON FILE",IFERROR(_xlfn.XLOOKUP(LEFT($D789,3),'STAT 77 Table'!$B:$B,'STAT 77 Table'!$A:$A),"ZZ"&amp;RIGHT($B789,4)),""),"")</f>
        <v/>
      </c>
      <c r="L789" s="396"/>
      <c r="O789" s="388"/>
      <c r="P789" s="388"/>
      <c r="AA789" s="421">
        <f t="shared" si="12"/>
        <v>0</v>
      </c>
    </row>
    <row r="790" spans="1:27" ht="16.5">
      <c r="A790" s="387">
        <f>'STAT 77 Table'!$I$789</f>
        <v>0</v>
      </c>
      <c r="B790"/>
      <c r="C790"/>
      <c r="D790" s="387" t="str">
        <f>IF($B790&lt;&gt;"",IFERROR(IF(LEFT($B790,3)=$Z$2,VLOOKUP($C790,Outbound!$B:$Z,4,FALSE),VLOOKUP($B790,Outbound!$B:$Z,4,FALSE)),"ON ROCS/NOT ON FILE"),"")</f>
        <v/>
      </c>
      <c r="E790" s="387" t="str">
        <f>IF($B790&lt;&gt;"",IFERROR(IF(LEFT($B790,4)=$Z$2,VLOOKUP($C790,Outbound!$B:$Z,5,FALSE),VLOOKUP($B790,Outbound!$B:$Z,5,FALSE)),"ON ROCS/NOT ON FILE"),"")</f>
        <v/>
      </c>
      <c r="F790" s="387" t="str">
        <f>IF(B790&lt;&gt;"",IFERROR(IF(LEFT($B790,3)=$Z$2,VLOOKUP($C790,Outbound!$B:$Z,11,FALSE),VLOOKUP($B790,Outbound!$B:$Z,11,FALSE)),"NON TROVATO"),"")</f>
        <v/>
      </c>
      <c r="G790" s="394" t="str">
        <f>IF(B790&lt;&gt;"",IFERROR(IF(LEFT($B790,3)=$Z$2,VLOOKUP($C790,Outbound!$B:$AAZ,16,FALSE),VLOOKUP($B790,Outbound!$B:$AAZ,16,FALSE)),"NON TROVATO"),"")</f>
        <v/>
      </c>
      <c r="H790" s="394" t="str">
        <f>IF(B790&lt;&gt;"",IFERROR(IF(LEFT($B790,3)=$Z$2,VLOOKUP($C790,Outbound!$B:$AAZ,6,FALSE),VLOOKUP($B790,Outbound!$B:$AAZ,6,FALSE)),"NON TROVATO"),"")</f>
        <v/>
      </c>
      <c r="I790" s="394" t="str">
        <f>IF(B790&lt;&gt;"",IFERROR(IF(LEFT($B790,3)=$Z$2,VLOOKUP($C790,Outbound!$B:$AAZ,52,FALSE),VLOOKUP($B790,Outbound!$B:$AAZ,52,FALSE)),"NON TROVATO"),"")</f>
        <v/>
      </c>
      <c r="J790" s="396"/>
      <c r="K790" s="387" t="str">
        <f>IF(B790&lt;&gt;"",IF($D790&lt;&gt;"ON ROCS/NOT ON FILE",IFERROR(_xlfn.XLOOKUP(LEFT($D790,3),'STAT 77 Table'!$B:$B,'STAT 77 Table'!$A:$A),"ZZ"&amp;RIGHT($B790,4)),""),"")</f>
        <v/>
      </c>
      <c r="L790" s="396"/>
      <c r="O790" s="388"/>
      <c r="P790" s="388"/>
      <c r="AA790" s="421">
        <f t="shared" si="12"/>
        <v>0</v>
      </c>
    </row>
    <row r="791" spans="1:27" ht="16.5">
      <c r="A791" s="387">
        <f>'STAT 77 Table'!$I$790</f>
        <v>0</v>
      </c>
      <c r="B791"/>
      <c r="C791"/>
      <c r="D791" s="387" t="str">
        <f>IF($B791&lt;&gt;"",IFERROR(IF(LEFT($B791,3)=$Z$2,VLOOKUP($C791,Outbound!$B:$Z,4,FALSE),VLOOKUP($B791,Outbound!$B:$Z,4,FALSE)),"ON ROCS/NOT ON FILE"),"")</f>
        <v/>
      </c>
      <c r="E791" s="387" t="str">
        <f>IF($B791&lt;&gt;"",IFERROR(IF(LEFT($B791,4)=$Z$2,VLOOKUP($C791,Outbound!$B:$Z,5,FALSE),VLOOKUP($B791,Outbound!$B:$Z,5,FALSE)),"ON ROCS/NOT ON FILE"),"")</f>
        <v/>
      </c>
      <c r="F791" s="387" t="str">
        <f>IF(B791&lt;&gt;"",IFERROR(IF(LEFT($B791,3)=$Z$2,VLOOKUP($C791,Outbound!$B:$Z,11,FALSE),VLOOKUP($B791,Outbound!$B:$Z,11,FALSE)),"NON TROVATO"),"")</f>
        <v/>
      </c>
      <c r="G791" s="394" t="str">
        <f>IF(B791&lt;&gt;"",IFERROR(IF(LEFT($B791,3)=$Z$2,VLOOKUP($C791,Outbound!$B:$AAZ,16,FALSE),VLOOKUP($B791,Outbound!$B:$AAZ,16,FALSE)),"NON TROVATO"),"")</f>
        <v/>
      </c>
      <c r="H791" s="394" t="str">
        <f>IF(B791&lt;&gt;"",IFERROR(IF(LEFT($B791,3)=$Z$2,VLOOKUP($C791,Outbound!$B:$AAZ,6,FALSE),VLOOKUP($B791,Outbound!$B:$AAZ,6,FALSE)),"NON TROVATO"),"")</f>
        <v/>
      </c>
      <c r="I791" s="394" t="str">
        <f>IF(B791&lt;&gt;"",IFERROR(IF(LEFT($B791,3)=$Z$2,VLOOKUP($C791,Outbound!$B:$AAZ,52,FALSE),VLOOKUP($B791,Outbound!$B:$AAZ,52,FALSE)),"NON TROVATO"),"")</f>
        <v/>
      </c>
      <c r="J791" s="396"/>
      <c r="K791" s="387" t="str">
        <f>IF(B791&lt;&gt;"",IF($D791&lt;&gt;"ON ROCS/NOT ON FILE",IFERROR(_xlfn.XLOOKUP(LEFT($D791,3),'STAT 77 Table'!$B:$B,'STAT 77 Table'!$A:$A),"ZZ"&amp;RIGHT($B791,4)),""),"")</f>
        <v/>
      </c>
      <c r="L791" s="396"/>
      <c r="O791" s="388"/>
      <c r="P791" s="388"/>
      <c r="AA791" s="421">
        <f t="shared" si="12"/>
        <v>0</v>
      </c>
    </row>
    <row r="792" spans="1:27" ht="16.5">
      <c r="A792" s="387">
        <f>'STAT 77 Table'!$I$791</f>
        <v>0</v>
      </c>
      <c r="B792"/>
      <c r="C792"/>
      <c r="D792" s="387" t="str">
        <f>IF($B792&lt;&gt;"",IFERROR(IF(LEFT($B792,3)=$Z$2,VLOOKUP($C792,Outbound!$B:$Z,4,FALSE),VLOOKUP($B792,Outbound!$B:$Z,4,FALSE)),"ON ROCS/NOT ON FILE"),"")</f>
        <v/>
      </c>
      <c r="E792" s="387" t="str">
        <f>IF($B792&lt;&gt;"",IFERROR(IF(LEFT($B792,4)=$Z$2,VLOOKUP($C792,Outbound!$B:$Z,5,FALSE),VLOOKUP($B792,Outbound!$B:$Z,5,FALSE)),"ON ROCS/NOT ON FILE"),"")</f>
        <v/>
      </c>
      <c r="F792" s="387" t="str">
        <f>IF(B792&lt;&gt;"",IFERROR(IF(LEFT($B792,3)=$Z$2,VLOOKUP($C792,Outbound!$B:$Z,11,FALSE),VLOOKUP($B792,Outbound!$B:$Z,11,FALSE)),"NON TROVATO"),"")</f>
        <v/>
      </c>
      <c r="G792" s="394" t="str">
        <f>IF(B792&lt;&gt;"",IFERROR(IF(LEFT($B792,3)=$Z$2,VLOOKUP($C792,Outbound!$B:$AAZ,16,FALSE),VLOOKUP($B792,Outbound!$B:$AAZ,16,FALSE)),"NON TROVATO"),"")</f>
        <v/>
      </c>
      <c r="H792" s="394" t="str">
        <f>IF(B792&lt;&gt;"",IFERROR(IF(LEFT($B792,3)=$Z$2,VLOOKUP($C792,Outbound!$B:$AAZ,6,FALSE),VLOOKUP($B792,Outbound!$B:$AAZ,6,FALSE)),"NON TROVATO"),"")</f>
        <v/>
      </c>
      <c r="I792" s="394" t="str">
        <f>IF(B792&lt;&gt;"",IFERROR(IF(LEFT($B792,3)=$Z$2,VLOOKUP($C792,Outbound!$B:$AAZ,52,FALSE),VLOOKUP($B792,Outbound!$B:$AAZ,52,FALSE)),"NON TROVATO"),"")</f>
        <v/>
      </c>
      <c r="J792" s="396"/>
      <c r="K792" s="387" t="str">
        <f>IF(B792&lt;&gt;"",IF($D792&lt;&gt;"ON ROCS/NOT ON FILE",IFERROR(_xlfn.XLOOKUP(LEFT($D792,3),'STAT 77 Table'!$B:$B,'STAT 77 Table'!$A:$A),"ZZ"&amp;RIGHT($B792,4)),""),"")</f>
        <v/>
      </c>
      <c r="L792" s="396"/>
      <c r="O792" s="388"/>
      <c r="P792" s="388"/>
      <c r="AA792" s="421">
        <f t="shared" si="12"/>
        <v>0</v>
      </c>
    </row>
    <row r="793" spans="1:27" ht="16.5">
      <c r="A793" s="387">
        <f>'STAT 77 Table'!$I$792</f>
        <v>0</v>
      </c>
      <c r="B793"/>
      <c r="C793"/>
      <c r="D793" s="387" t="str">
        <f>IF($B793&lt;&gt;"",IFERROR(IF(LEFT($B793,3)=$Z$2,VLOOKUP($C793,Outbound!$B:$Z,4,FALSE),VLOOKUP($B793,Outbound!$B:$Z,4,FALSE)),"ON ROCS/NOT ON FILE"),"")</f>
        <v/>
      </c>
      <c r="E793" s="387" t="str">
        <f>IF($B793&lt;&gt;"",IFERROR(IF(LEFT($B793,4)=$Z$2,VLOOKUP($C793,Outbound!$B:$Z,5,FALSE),VLOOKUP($B793,Outbound!$B:$Z,5,FALSE)),"ON ROCS/NOT ON FILE"),"")</f>
        <v/>
      </c>
      <c r="F793" s="387" t="str">
        <f>IF(B793&lt;&gt;"",IFERROR(IF(LEFT($B793,3)=$Z$2,VLOOKUP($C793,Outbound!$B:$Z,11,FALSE),VLOOKUP($B793,Outbound!$B:$Z,11,FALSE)),"NON TROVATO"),"")</f>
        <v/>
      </c>
      <c r="G793" s="394" t="str">
        <f>IF(B793&lt;&gt;"",IFERROR(IF(LEFT($B793,3)=$Z$2,VLOOKUP($C793,Outbound!$B:$AAZ,16,FALSE),VLOOKUP($B793,Outbound!$B:$AAZ,16,FALSE)),"NON TROVATO"),"")</f>
        <v/>
      </c>
      <c r="H793" s="394" t="str">
        <f>IF(B793&lt;&gt;"",IFERROR(IF(LEFT($B793,3)=$Z$2,VLOOKUP($C793,Outbound!$B:$AAZ,6,FALSE),VLOOKUP($B793,Outbound!$B:$AAZ,6,FALSE)),"NON TROVATO"),"")</f>
        <v/>
      </c>
      <c r="I793" s="394" t="str">
        <f>IF(B793&lt;&gt;"",IFERROR(IF(LEFT($B793,3)=$Z$2,VLOOKUP($C793,Outbound!$B:$AAZ,52,FALSE),VLOOKUP($B793,Outbound!$B:$AAZ,52,FALSE)),"NON TROVATO"),"")</f>
        <v/>
      </c>
      <c r="J793" s="396"/>
      <c r="K793" s="387" t="str">
        <f>IF(B793&lt;&gt;"",IF($D793&lt;&gt;"ON ROCS/NOT ON FILE",IFERROR(_xlfn.XLOOKUP(LEFT($D793,3),'STAT 77 Table'!$B:$B,'STAT 77 Table'!$A:$A),"ZZ"&amp;RIGHT($B793,4)),""),"")</f>
        <v/>
      </c>
      <c r="L793" s="396"/>
      <c r="O793" s="388"/>
      <c r="P793" s="388"/>
      <c r="AA793" s="421">
        <f t="shared" si="12"/>
        <v>0</v>
      </c>
    </row>
    <row r="794" spans="1:27" ht="16.5">
      <c r="A794" s="387">
        <f>'STAT 77 Table'!$I$793</f>
        <v>0</v>
      </c>
      <c r="B794"/>
      <c r="C794"/>
      <c r="D794" s="387" t="str">
        <f>IF($B794&lt;&gt;"",IFERROR(IF(LEFT($B794,3)=$Z$2,VLOOKUP($C794,Outbound!$B:$Z,4,FALSE),VLOOKUP($B794,Outbound!$B:$Z,4,FALSE)),"ON ROCS/NOT ON FILE"),"")</f>
        <v/>
      </c>
      <c r="E794" s="387" t="str">
        <f>IF($B794&lt;&gt;"",IFERROR(IF(LEFT($B794,4)=$Z$2,VLOOKUP($C794,Outbound!$B:$Z,5,FALSE),VLOOKUP($B794,Outbound!$B:$Z,5,FALSE)),"ON ROCS/NOT ON FILE"),"")</f>
        <v/>
      </c>
      <c r="F794" s="387" t="str">
        <f>IF(B794&lt;&gt;"",IFERROR(IF(LEFT($B794,3)=$Z$2,VLOOKUP($C794,Outbound!$B:$Z,11,FALSE),VLOOKUP($B794,Outbound!$B:$Z,11,FALSE)),"NON TROVATO"),"")</f>
        <v/>
      </c>
      <c r="G794" s="394" t="str">
        <f>IF(B794&lt;&gt;"",IFERROR(IF(LEFT($B794,3)=$Z$2,VLOOKUP($C794,Outbound!$B:$AAZ,16,FALSE),VLOOKUP($B794,Outbound!$B:$AAZ,16,FALSE)),"NON TROVATO"),"")</f>
        <v/>
      </c>
      <c r="H794" s="394" t="str">
        <f>IF(B794&lt;&gt;"",IFERROR(IF(LEFT($B794,3)=$Z$2,VLOOKUP($C794,Outbound!$B:$AAZ,6,FALSE),VLOOKUP($B794,Outbound!$B:$AAZ,6,FALSE)),"NON TROVATO"),"")</f>
        <v/>
      </c>
      <c r="I794" s="394" t="str">
        <f>IF(B794&lt;&gt;"",IFERROR(IF(LEFT($B794,3)=$Z$2,VLOOKUP($C794,Outbound!$B:$AAZ,52,FALSE),VLOOKUP($B794,Outbound!$B:$AAZ,52,FALSE)),"NON TROVATO"),"")</f>
        <v/>
      </c>
      <c r="J794" s="396"/>
      <c r="K794" s="387" t="str">
        <f>IF(B794&lt;&gt;"",IF($D794&lt;&gt;"ON ROCS/NOT ON FILE",IFERROR(_xlfn.XLOOKUP(LEFT($D794,3),'STAT 77 Table'!$B:$B,'STAT 77 Table'!$A:$A),"ZZ"&amp;RIGHT($B794,4)),""),"")</f>
        <v/>
      </c>
      <c r="L794" s="396"/>
      <c r="O794" s="388"/>
      <c r="P794" s="388"/>
      <c r="AA794" s="421">
        <f t="shared" si="12"/>
        <v>0</v>
      </c>
    </row>
    <row r="795" spans="1:27" ht="16.5">
      <c r="A795" s="387">
        <f>'STAT 77 Table'!$I$794</f>
        <v>0</v>
      </c>
      <c r="B795"/>
      <c r="C795"/>
      <c r="D795" s="387" t="str">
        <f>IF($B795&lt;&gt;"",IFERROR(IF(LEFT($B795,3)=$Z$2,VLOOKUP($C795,Outbound!$B:$Z,4,FALSE),VLOOKUP($B795,Outbound!$B:$Z,4,FALSE)),"ON ROCS/NOT ON FILE"),"")</f>
        <v/>
      </c>
      <c r="E795" s="387" t="str">
        <f>IF($B795&lt;&gt;"",IFERROR(IF(LEFT($B795,4)=$Z$2,VLOOKUP($C795,Outbound!$B:$Z,5,FALSE),VLOOKUP($B795,Outbound!$B:$Z,5,FALSE)),"ON ROCS/NOT ON FILE"),"")</f>
        <v/>
      </c>
      <c r="F795" s="387" t="str">
        <f>IF(B795&lt;&gt;"",IFERROR(IF(LEFT($B795,3)=$Z$2,VLOOKUP($C795,Outbound!$B:$Z,11,FALSE),VLOOKUP($B795,Outbound!$B:$Z,11,FALSE)),"NON TROVATO"),"")</f>
        <v/>
      </c>
      <c r="G795" s="394" t="str">
        <f>IF(B795&lt;&gt;"",IFERROR(IF(LEFT($B795,3)=$Z$2,VLOOKUP($C795,Outbound!$B:$AAZ,16,FALSE),VLOOKUP($B795,Outbound!$B:$AAZ,16,FALSE)),"NON TROVATO"),"")</f>
        <v/>
      </c>
      <c r="H795" s="394" t="str">
        <f>IF(B795&lt;&gt;"",IFERROR(IF(LEFT($B795,3)=$Z$2,VLOOKUP($C795,Outbound!$B:$AAZ,6,FALSE),VLOOKUP($B795,Outbound!$B:$AAZ,6,FALSE)),"NON TROVATO"),"")</f>
        <v/>
      </c>
      <c r="I795" s="394" t="str">
        <f>IF(B795&lt;&gt;"",IFERROR(IF(LEFT($B795,3)=$Z$2,VLOOKUP($C795,Outbound!$B:$AAZ,52,FALSE),VLOOKUP($B795,Outbound!$B:$AAZ,52,FALSE)),"NON TROVATO"),"")</f>
        <v/>
      </c>
      <c r="J795" s="396"/>
      <c r="K795" s="387" t="str">
        <f>IF(B795&lt;&gt;"",IF($D795&lt;&gt;"ON ROCS/NOT ON FILE",IFERROR(_xlfn.XLOOKUP(LEFT($D795,3),'STAT 77 Table'!$B:$B,'STAT 77 Table'!$A:$A),"ZZ"&amp;RIGHT($B795,4)),""),"")</f>
        <v/>
      </c>
      <c r="L795" s="396"/>
      <c r="O795" s="388"/>
      <c r="P795" s="388"/>
      <c r="AA795" s="421">
        <f t="shared" si="12"/>
        <v>0</v>
      </c>
    </row>
    <row r="796" spans="1:27" ht="16.5">
      <c r="A796" s="387">
        <f>'STAT 77 Table'!$I$795</f>
        <v>0</v>
      </c>
      <c r="B796"/>
      <c r="C796"/>
      <c r="D796" s="387" t="str">
        <f>IF($B796&lt;&gt;"",IFERROR(IF(LEFT($B796,3)=$Z$2,VLOOKUP($C796,Outbound!$B:$Z,4,FALSE),VLOOKUP($B796,Outbound!$B:$Z,4,FALSE)),"ON ROCS/NOT ON FILE"),"")</f>
        <v/>
      </c>
      <c r="E796" s="387" t="str">
        <f>IF($B796&lt;&gt;"",IFERROR(IF(LEFT($B796,4)=$Z$2,VLOOKUP($C796,Outbound!$B:$Z,5,FALSE),VLOOKUP($B796,Outbound!$B:$Z,5,FALSE)),"ON ROCS/NOT ON FILE"),"")</f>
        <v/>
      </c>
      <c r="F796" s="387" t="str">
        <f>IF(B796&lt;&gt;"",IFERROR(IF(LEFT($B796,3)=$Z$2,VLOOKUP($C796,Outbound!$B:$Z,11,FALSE),VLOOKUP($B796,Outbound!$B:$Z,11,FALSE)),"NON TROVATO"),"")</f>
        <v/>
      </c>
      <c r="G796" s="394" t="str">
        <f>IF(B796&lt;&gt;"",IFERROR(IF(LEFT($B796,3)=$Z$2,VLOOKUP($C796,Outbound!$B:$AAZ,16,FALSE),VLOOKUP($B796,Outbound!$B:$AAZ,16,FALSE)),"NON TROVATO"),"")</f>
        <v/>
      </c>
      <c r="H796" s="394" t="str">
        <f>IF(B796&lt;&gt;"",IFERROR(IF(LEFT($B796,3)=$Z$2,VLOOKUP($C796,Outbound!$B:$AAZ,6,FALSE),VLOOKUP($B796,Outbound!$B:$AAZ,6,FALSE)),"NON TROVATO"),"")</f>
        <v/>
      </c>
      <c r="I796" s="394" t="str">
        <f>IF(B796&lt;&gt;"",IFERROR(IF(LEFT($B796,3)=$Z$2,VLOOKUP($C796,Outbound!$B:$AAZ,52,FALSE),VLOOKUP($B796,Outbound!$B:$AAZ,52,FALSE)),"NON TROVATO"),"")</f>
        <v/>
      </c>
      <c r="J796" s="396"/>
      <c r="K796" s="387" t="str">
        <f>IF(B796&lt;&gt;"",IF($D796&lt;&gt;"ON ROCS/NOT ON FILE",IFERROR(_xlfn.XLOOKUP(LEFT($D796,3),'STAT 77 Table'!$B:$B,'STAT 77 Table'!$A:$A),"ZZ"&amp;RIGHT($B796,4)),""),"")</f>
        <v/>
      </c>
      <c r="L796" s="396"/>
      <c r="O796" s="388"/>
      <c r="P796" s="388"/>
      <c r="AA796" s="421">
        <f t="shared" si="12"/>
        <v>0</v>
      </c>
    </row>
    <row r="797" spans="1:27" ht="16.5">
      <c r="A797" s="387">
        <f>'STAT 77 Table'!$I$796</f>
        <v>0</v>
      </c>
      <c r="B797"/>
      <c r="C797"/>
      <c r="D797" s="387" t="str">
        <f>IF($B797&lt;&gt;"",IFERROR(IF(LEFT($B797,3)=$Z$2,VLOOKUP($C797,Outbound!$B:$Z,4,FALSE),VLOOKUP($B797,Outbound!$B:$Z,4,FALSE)),"ON ROCS/NOT ON FILE"),"")</f>
        <v/>
      </c>
      <c r="E797" s="387" t="str">
        <f>IF($B797&lt;&gt;"",IFERROR(IF(LEFT($B797,4)=$Z$2,VLOOKUP($C797,Outbound!$B:$Z,5,FALSE),VLOOKUP($B797,Outbound!$B:$Z,5,FALSE)),"ON ROCS/NOT ON FILE"),"")</f>
        <v/>
      </c>
      <c r="F797" s="387" t="str">
        <f>IF(B797&lt;&gt;"",IFERROR(IF(LEFT($B797,3)=$Z$2,VLOOKUP($C797,Outbound!$B:$Z,11,FALSE),VLOOKUP($B797,Outbound!$B:$Z,11,FALSE)),"NON TROVATO"),"")</f>
        <v/>
      </c>
      <c r="G797" s="394" t="str">
        <f>IF(B797&lt;&gt;"",IFERROR(IF(LEFT($B797,3)=$Z$2,VLOOKUP($C797,Outbound!$B:$AAZ,16,FALSE),VLOOKUP($B797,Outbound!$B:$AAZ,16,FALSE)),"NON TROVATO"),"")</f>
        <v/>
      </c>
      <c r="H797" s="394" t="str">
        <f>IF(B797&lt;&gt;"",IFERROR(IF(LEFT($B797,3)=$Z$2,VLOOKUP($C797,Outbound!$B:$AAZ,6,FALSE),VLOOKUP($B797,Outbound!$B:$AAZ,6,FALSE)),"NON TROVATO"),"")</f>
        <v/>
      </c>
      <c r="I797" s="394" t="str">
        <f>IF(B797&lt;&gt;"",IFERROR(IF(LEFT($B797,3)=$Z$2,VLOOKUP($C797,Outbound!$B:$AAZ,52,FALSE),VLOOKUP($B797,Outbound!$B:$AAZ,52,FALSE)),"NON TROVATO"),"")</f>
        <v/>
      </c>
      <c r="J797" s="396"/>
      <c r="K797" s="387" t="str">
        <f>IF(B797&lt;&gt;"",IF($D797&lt;&gt;"ON ROCS/NOT ON FILE",IFERROR(_xlfn.XLOOKUP(LEFT($D797,3),'STAT 77 Table'!$B:$B,'STAT 77 Table'!$A:$A),"ZZ"&amp;RIGHT($B797,4)),""),"")</f>
        <v/>
      </c>
      <c r="L797" s="396"/>
      <c r="O797" s="388"/>
      <c r="P797" s="388"/>
      <c r="AA797" s="421">
        <f t="shared" si="12"/>
        <v>0</v>
      </c>
    </row>
    <row r="798" spans="1:27" ht="16.5">
      <c r="A798" s="387">
        <f>'STAT 77 Table'!$I$797</f>
        <v>0</v>
      </c>
      <c r="B798"/>
      <c r="C798"/>
      <c r="D798" s="387" t="str">
        <f>IF($B798&lt;&gt;"",IFERROR(IF(LEFT($B798,3)=$Z$2,VLOOKUP($C798,Outbound!$B:$Z,4,FALSE),VLOOKUP($B798,Outbound!$B:$Z,4,FALSE)),"ON ROCS/NOT ON FILE"),"")</f>
        <v/>
      </c>
      <c r="E798" s="387" t="str">
        <f>IF($B798&lt;&gt;"",IFERROR(IF(LEFT($B798,4)=$Z$2,VLOOKUP($C798,Outbound!$B:$Z,5,FALSE),VLOOKUP($B798,Outbound!$B:$Z,5,FALSE)),"ON ROCS/NOT ON FILE"),"")</f>
        <v/>
      </c>
      <c r="F798" s="387" t="str">
        <f>IF(B798&lt;&gt;"",IFERROR(IF(LEFT($B798,3)=$Z$2,VLOOKUP($C798,Outbound!$B:$Z,11,FALSE),VLOOKUP($B798,Outbound!$B:$Z,11,FALSE)),"NON TROVATO"),"")</f>
        <v/>
      </c>
      <c r="G798" s="394" t="str">
        <f>IF(B798&lt;&gt;"",IFERROR(IF(LEFT($B798,3)=$Z$2,VLOOKUP($C798,Outbound!$B:$AAZ,16,FALSE),VLOOKUP($B798,Outbound!$B:$AAZ,16,FALSE)),"NON TROVATO"),"")</f>
        <v/>
      </c>
      <c r="H798" s="394" t="str">
        <f>IF(B798&lt;&gt;"",IFERROR(IF(LEFT($B798,3)=$Z$2,VLOOKUP($C798,Outbound!$B:$AAZ,6,FALSE),VLOOKUP($B798,Outbound!$B:$AAZ,6,FALSE)),"NON TROVATO"),"")</f>
        <v/>
      </c>
      <c r="I798" s="394" t="str">
        <f>IF(B798&lt;&gt;"",IFERROR(IF(LEFT($B798,3)=$Z$2,VLOOKUP($C798,Outbound!$B:$AAZ,52,FALSE),VLOOKUP($B798,Outbound!$B:$AAZ,52,FALSE)),"NON TROVATO"),"")</f>
        <v/>
      </c>
      <c r="J798" s="396"/>
      <c r="K798" s="387" t="str">
        <f>IF(B798&lt;&gt;"",IF($D798&lt;&gt;"ON ROCS/NOT ON FILE",IFERROR(_xlfn.XLOOKUP(LEFT($D798,3),'STAT 77 Table'!$B:$B,'STAT 77 Table'!$A:$A),"ZZ"&amp;RIGHT($B798,4)),""),"")</f>
        <v/>
      </c>
      <c r="L798" s="396"/>
      <c r="O798" s="388"/>
      <c r="P798" s="388"/>
      <c r="AA798" s="421">
        <f t="shared" si="12"/>
        <v>0</v>
      </c>
    </row>
    <row r="799" spans="1:27" ht="16.5">
      <c r="A799" s="387">
        <f>'STAT 77 Table'!$I$798</f>
        <v>0</v>
      </c>
      <c r="B799"/>
      <c r="C799"/>
      <c r="D799" s="387" t="str">
        <f>IF($B799&lt;&gt;"",IFERROR(IF(LEFT($B799,3)=$Z$2,VLOOKUP($C799,Outbound!$B:$Z,4,FALSE),VLOOKUP($B799,Outbound!$B:$Z,4,FALSE)),"ON ROCS/NOT ON FILE"),"")</f>
        <v/>
      </c>
      <c r="E799" s="387" t="str">
        <f>IF($B799&lt;&gt;"",IFERROR(IF(LEFT($B799,4)=$Z$2,VLOOKUP($C799,Outbound!$B:$Z,5,FALSE),VLOOKUP($B799,Outbound!$B:$Z,5,FALSE)),"ON ROCS/NOT ON FILE"),"")</f>
        <v/>
      </c>
      <c r="F799" s="387" t="str">
        <f>IF(B799&lt;&gt;"",IFERROR(IF(LEFT($B799,3)=$Z$2,VLOOKUP($C799,Outbound!$B:$Z,11,FALSE),VLOOKUP($B799,Outbound!$B:$Z,11,FALSE)),"NON TROVATO"),"")</f>
        <v/>
      </c>
      <c r="G799" s="394" t="str">
        <f>IF(B799&lt;&gt;"",IFERROR(IF(LEFT($B799,3)=$Z$2,VLOOKUP($C799,Outbound!$B:$AAZ,16,FALSE),VLOOKUP($B799,Outbound!$B:$AAZ,16,FALSE)),"NON TROVATO"),"")</f>
        <v/>
      </c>
      <c r="H799" s="394" t="str">
        <f>IF(B799&lt;&gt;"",IFERROR(IF(LEFT($B799,3)=$Z$2,VLOOKUP($C799,Outbound!$B:$AAZ,6,FALSE),VLOOKUP($B799,Outbound!$B:$AAZ,6,FALSE)),"NON TROVATO"),"")</f>
        <v/>
      </c>
      <c r="I799" s="394" t="str">
        <f>IF(B799&lt;&gt;"",IFERROR(IF(LEFT($B799,3)=$Z$2,VLOOKUP($C799,Outbound!$B:$AAZ,52,FALSE),VLOOKUP($B799,Outbound!$B:$AAZ,52,FALSE)),"NON TROVATO"),"")</f>
        <v/>
      </c>
      <c r="J799" s="396"/>
      <c r="K799" s="387" t="str">
        <f>IF(B799&lt;&gt;"",IF($D799&lt;&gt;"ON ROCS/NOT ON FILE",IFERROR(_xlfn.XLOOKUP(LEFT($D799,3),'STAT 77 Table'!$B:$B,'STAT 77 Table'!$A:$A),"ZZ"&amp;RIGHT($B799,4)),""),"")</f>
        <v/>
      </c>
      <c r="L799" s="396"/>
      <c r="O799" s="388"/>
      <c r="P799" s="388"/>
      <c r="AA799" s="421">
        <f t="shared" si="12"/>
        <v>0</v>
      </c>
    </row>
    <row r="800" spans="1:27" ht="16.5">
      <c r="A800" s="387">
        <f>'STAT 77 Table'!$I$799</f>
        <v>0</v>
      </c>
      <c r="B800"/>
      <c r="C800"/>
      <c r="D800" s="387" t="str">
        <f>IF($B800&lt;&gt;"",IFERROR(IF(LEFT($B800,3)=$Z$2,VLOOKUP($C800,Outbound!$B:$Z,4,FALSE),VLOOKUP($B800,Outbound!$B:$Z,4,FALSE)),"ON ROCS/NOT ON FILE"),"")</f>
        <v/>
      </c>
      <c r="E800" s="387" t="str">
        <f>IF($B800&lt;&gt;"",IFERROR(IF(LEFT($B800,4)=$Z$2,VLOOKUP($C800,Outbound!$B:$Z,5,FALSE),VLOOKUP($B800,Outbound!$B:$Z,5,FALSE)),"ON ROCS/NOT ON FILE"),"")</f>
        <v/>
      </c>
      <c r="F800" s="387" t="str">
        <f>IF(B800&lt;&gt;"",IFERROR(IF(LEFT($B800,3)=$Z$2,VLOOKUP($C800,Outbound!$B:$Z,11,FALSE),VLOOKUP($B800,Outbound!$B:$Z,11,FALSE)),"NON TROVATO"),"")</f>
        <v/>
      </c>
      <c r="G800" s="394" t="str">
        <f>IF(B800&lt;&gt;"",IFERROR(IF(LEFT($B800,3)=$Z$2,VLOOKUP($C800,Outbound!$B:$AAZ,16,FALSE),VLOOKUP($B800,Outbound!$B:$AAZ,16,FALSE)),"NON TROVATO"),"")</f>
        <v/>
      </c>
      <c r="H800" s="394" t="str">
        <f>IF(B800&lt;&gt;"",IFERROR(IF(LEFT($B800,3)=$Z$2,VLOOKUP($C800,Outbound!$B:$AAZ,6,FALSE),VLOOKUP($B800,Outbound!$B:$AAZ,6,FALSE)),"NON TROVATO"),"")</f>
        <v/>
      </c>
      <c r="I800" s="394" t="str">
        <f>IF(B800&lt;&gt;"",IFERROR(IF(LEFT($B800,3)=$Z$2,VLOOKUP($C800,Outbound!$B:$AAZ,52,FALSE),VLOOKUP($B800,Outbound!$B:$AAZ,52,FALSE)),"NON TROVATO"),"")</f>
        <v/>
      </c>
      <c r="J800" s="396"/>
      <c r="K800" s="387" t="str">
        <f>IF(B800&lt;&gt;"",IF($D800&lt;&gt;"ON ROCS/NOT ON FILE",IFERROR(_xlfn.XLOOKUP(LEFT($D800,3),'STAT 77 Table'!$B:$B,'STAT 77 Table'!$A:$A),"ZZ"&amp;RIGHT($B800,4)),""),"")</f>
        <v/>
      </c>
      <c r="L800" s="396"/>
      <c r="O800" s="388"/>
      <c r="P800" s="388"/>
      <c r="AA800" s="421">
        <f t="shared" si="12"/>
        <v>0</v>
      </c>
    </row>
    <row r="801" spans="1:27" ht="16.5">
      <c r="A801" s="387">
        <f>'STAT 77 Table'!$I$800</f>
        <v>0</v>
      </c>
      <c r="B801"/>
      <c r="C801"/>
      <c r="D801" s="387" t="str">
        <f>IF($B801&lt;&gt;"",IFERROR(IF(LEFT($B801,3)=$Z$2,VLOOKUP($C801,Outbound!$B:$Z,4,FALSE),VLOOKUP($B801,Outbound!$B:$Z,4,FALSE)),"ON ROCS/NOT ON FILE"),"")</f>
        <v/>
      </c>
      <c r="E801" s="387" t="str">
        <f>IF($B801&lt;&gt;"",IFERROR(IF(LEFT($B801,4)=$Z$2,VLOOKUP($C801,Outbound!$B:$Z,5,FALSE),VLOOKUP($B801,Outbound!$B:$Z,5,FALSE)),"ON ROCS/NOT ON FILE"),"")</f>
        <v/>
      </c>
      <c r="F801" s="387" t="str">
        <f>IF(B801&lt;&gt;"",IFERROR(IF(LEFT($B801,3)=$Z$2,VLOOKUP($C801,Outbound!$B:$Z,11,FALSE),VLOOKUP($B801,Outbound!$B:$Z,11,FALSE)),"NON TROVATO"),"")</f>
        <v/>
      </c>
      <c r="G801" s="394" t="str">
        <f>IF(B801&lt;&gt;"",IFERROR(IF(LEFT($B801,3)=$Z$2,VLOOKUP($C801,Outbound!$B:$AAZ,16,FALSE),VLOOKUP($B801,Outbound!$B:$AAZ,16,FALSE)),"NON TROVATO"),"")</f>
        <v/>
      </c>
      <c r="H801" s="394" t="str">
        <f>IF(B801&lt;&gt;"",IFERROR(IF(LEFT($B801,3)=$Z$2,VLOOKUP($C801,Outbound!$B:$AAZ,6,FALSE),VLOOKUP($B801,Outbound!$B:$AAZ,6,FALSE)),"NON TROVATO"),"")</f>
        <v/>
      </c>
      <c r="I801" s="394" t="str">
        <f>IF(B801&lt;&gt;"",IFERROR(IF(LEFT($B801,3)=$Z$2,VLOOKUP($C801,Outbound!$B:$AAZ,52,FALSE),VLOOKUP($B801,Outbound!$B:$AAZ,52,FALSE)),"NON TROVATO"),"")</f>
        <v/>
      </c>
      <c r="J801" s="396"/>
      <c r="K801" s="387" t="str">
        <f>IF(B801&lt;&gt;"",IF($D801&lt;&gt;"ON ROCS/NOT ON FILE",IFERROR(_xlfn.XLOOKUP(LEFT($D801,3),'STAT 77 Table'!$B:$B,'STAT 77 Table'!$A:$A),"ZZ"&amp;RIGHT($B801,4)),""),"")</f>
        <v/>
      </c>
      <c r="L801" s="396"/>
      <c r="O801" s="388"/>
      <c r="P801" s="388"/>
      <c r="AA801" s="421">
        <f t="shared" si="12"/>
        <v>0</v>
      </c>
    </row>
    <row r="802" spans="1:27" ht="16.5">
      <c r="A802" s="387">
        <f>'STAT 77 Table'!$I$801</f>
        <v>0</v>
      </c>
      <c r="B802"/>
      <c r="C802"/>
      <c r="D802" s="387" t="str">
        <f>IF($B802&lt;&gt;"",IFERROR(IF(LEFT($B802,3)=$Z$2,VLOOKUP($C802,Outbound!$B:$Z,4,FALSE),VLOOKUP($B802,Outbound!$B:$Z,4,FALSE)),"ON ROCS/NOT ON FILE"),"")</f>
        <v/>
      </c>
      <c r="E802" s="387" t="str">
        <f>IF($B802&lt;&gt;"",IFERROR(IF(LEFT($B802,4)=$Z$2,VLOOKUP($C802,Outbound!$B:$Z,5,FALSE),VLOOKUP($B802,Outbound!$B:$Z,5,FALSE)),"ON ROCS/NOT ON FILE"),"")</f>
        <v/>
      </c>
      <c r="F802" s="387" t="str">
        <f>IF(B802&lt;&gt;"",IFERROR(IF(LEFT($B802,3)=$Z$2,VLOOKUP($C802,Outbound!$B:$Z,11,FALSE),VLOOKUP($B802,Outbound!$B:$Z,11,FALSE)),"NON TROVATO"),"")</f>
        <v/>
      </c>
      <c r="G802" s="394" t="str">
        <f>IF(B802&lt;&gt;"",IFERROR(IF(LEFT($B802,3)=$Z$2,VLOOKUP($C802,Outbound!$B:$AAZ,16,FALSE),VLOOKUP($B802,Outbound!$B:$AAZ,16,FALSE)),"NON TROVATO"),"")</f>
        <v/>
      </c>
      <c r="H802" s="394" t="str">
        <f>IF(B802&lt;&gt;"",IFERROR(IF(LEFT($B802,3)=$Z$2,VLOOKUP($C802,Outbound!$B:$AAZ,6,FALSE),VLOOKUP($B802,Outbound!$B:$AAZ,6,FALSE)),"NON TROVATO"),"")</f>
        <v/>
      </c>
      <c r="I802" s="394" t="str">
        <f>IF(B802&lt;&gt;"",IFERROR(IF(LEFT($B802,3)=$Z$2,VLOOKUP($C802,Outbound!$B:$AAZ,52,FALSE),VLOOKUP($B802,Outbound!$B:$AAZ,52,FALSE)),"NON TROVATO"),"")</f>
        <v/>
      </c>
      <c r="J802" s="396"/>
      <c r="K802" s="387" t="str">
        <f>IF(B802&lt;&gt;"",IF($D802&lt;&gt;"ON ROCS/NOT ON FILE",IFERROR(_xlfn.XLOOKUP(LEFT($D802,3),'STAT 77 Table'!$B:$B,'STAT 77 Table'!$A:$A),"ZZ"&amp;RIGHT($B802,4)),""),"")</f>
        <v/>
      </c>
      <c r="L802" s="396"/>
      <c r="O802" s="388"/>
      <c r="P802" s="388"/>
      <c r="AA802" s="421">
        <f t="shared" si="12"/>
        <v>0</v>
      </c>
    </row>
    <row r="803" spans="1:27" ht="16.5">
      <c r="A803" s="387">
        <f>'STAT 77 Table'!$I$802</f>
        <v>0</v>
      </c>
      <c r="B803"/>
      <c r="C803"/>
      <c r="D803" s="387" t="str">
        <f>IF($B803&lt;&gt;"",IFERROR(IF(LEFT($B803,3)=$Z$2,VLOOKUP($C803,Outbound!$B:$Z,4,FALSE),VLOOKUP($B803,Outbound!$B:$Z,4,FALSE)),"ON ROCS/NOT ON FILE"),"")</f>
        <v/>
      </c>
      <c r="E803" s="387" t="str">
        <f>IF($B803&lt;&gt;"",IFERROR(IF(LEFT($B803,4)=$Z$2,VLOOKUP($C803,Outbound!$B:$Z,5,FALSE),VLOOKUP($B803,Outbound!$B:$Z,5,FALSE)),"ON ROCS/NOT ON FILE"),"")</f>
        <v/>
      </c>
      <c r="F803" s="387" t="str">
        <f>IF(B803&lt;&gt;"",IFERROR(IF(LEFT($B803,3)=$Z$2,VLOOKUP($C803,Outbound!$B:$Z,11,FALSE),VLOOKUP($B803,Outbound!$B:$Z,11,FALSE)),"NON TROVATO"),"")</f>
        <v/>
      </c>
      <c r="G803" s="394" t="str">
        <f>IF(B803&lt;&gt;"",IFERROR(IF(LEFT($B803,3)=$Z$2,VLOOKUP($C803,Outbound!$B:$AAZ,16,FALSE),VLOOKUP($B803,Outbound!$B:$AAZ,16,FALSE)),"NON TROVATO"),"")</f>
        <v/>
      </c>
      <c r="H803" s="394" t="str">
        <f>IF(B803&lt;&gt;"",IFERROR(IF(LEFT($B803,3)=$Z$2,VLOOKUP($C803,Outbound!$B:$AAZ,6,FALSE),VLOOKUP($B803,Outbound!$B:$AAZ,6,FALSE)),"NON TROVATO"),"")</f>
        <v/>
      </c>
      <c r="I803" s="394" t="str">
        <f>IF(B803&lt;&gt;"",IFERROR(IF(LEFT($B803,3)=$Z$2,VLOOKUP($C803,Outbound!$B:$AAZ,52,FALSE),VLOOKUP($B803,Outbound!$B:$AAZ,52,FALSE)),"NON TROVATO"),"")</f>
        <v/>
      </c>
      <c r="J803" s="396"/>
      <c r="K803" s="387" t="str">
        <f>IF(B803&lt;&gt;"",IF($D803&lt;&gt;"ON ROCS/NOT ON FILE",IFERROR(_xlfn.XLOOKUP(LEFT($D803,3),'STAT 77 Table'!$B:$B,'STAT 77 Table'!$A:$A),"ZZ"&amp;RIGHT($B803,4)),""),"")</f>
        <v/>
      </c>
      <c r="L803" s="396"/>
      <c r="O803" s="388"/>
      <c r="P803" s="388"/>
      <c r="AA803" s="421">
        <f t="shared" si="12"/>
        <v>0</v>
      </c>
    </row>
    <row r="804" spans="1:27" ht="16.5">
      <c r="A804" s="387">
        <f>'STAT 77 Table'!$I$803</f>
        <v>0</v>
      </c>
      <c r="B804"/>
      <c r="C804"/>
      <c r="D804" s="387" t="str">
        <f>IF($B804&lt;&gt;"",IFERROR(IF(LEFT($B804,3)=$Z$2,VLOOKUP($C804,Outbound!$B:$Z,4,FALSE),VLOOKUP($B804,Outbound!$B:$Z,4,FALSE)),"ON ROCS/NOT ON FILE"),"")</f>
        <v/>
      </c>
      <c r="E804" s="387" t="str">
        <f>IF($B804&lt;&gt;"",IFERROR(IF(LEFT($B804,4)=$Z$2,VLOOKUP($C804,Outbound!$B:$Z,5,FALSE),VLOOKUP($B804,Outbound!$B:$Z,5,FALSE)),"ON ROCS/NOT ON FILE"),"")</f>
        <v/>
      </c>
      <c r="F804" s="387" t="str">
        <f>IF(B804&lt;&gt;"",IFERROR(IF(LEFT($B804,3)=$Z$2,VLOOKUP($C804,Outbound!$B:$Z,11,FALSE),VLOOKUP($B804,Outbound!$B:$Z,11,FALSE)),"NON TROVATO"),"")</f>
        <v/>
      </c>
      <c r="G804" s="394" t="str">
        <f>IF(B804&lt;&gt;"",IFERROR(IF(LEFT($B804,3)=$Z$2,VLOOKUP($C804,Outbound!$B:$AAZ,16,FALSE),VLOOKUP($B804,Outbound!$B:$AAZ,16,FALSE)),"NON TROVATO"),"")</f>
        <v/>
      </c>
      <c r="H804" s="394" t="str">
        <f>IF(B804&lt;&gt;"",IFERROR(IF(LEFT($B804,3)=$Z$2,VLOOKUP($C804,Outbound!$B:$AAZ,6,FALSE),VLOOKUP($B804,Outbound!$B:$AAZ,6,FALSE)),"NON TROVATO"),"")</f>
        <v/>
      </c>
      <c r="I804" s="394" t="str">
        <f>IF(B804&lt;&gt;"",IFERROR(IF(LEFT($B804,3)=$Z$2,VLOOKUP($C804,Outbound!$B:$AAZ,52,FALSE),VLOOKUP($B804,Outbound!$B:$AAZ,52,FALSE)),"NON TROVATO"),"")</f>
        <v/>
      </c>
      <c r="J804" s="396"/>
      <c r="K804" s="387" t="str">
        <f>IF(B804&lt;&gt;"",IF($D804&lt;&gt;"ON ROCS/NOT ON FILE",IFERROR(_xlfn.XLOOKUP(LEFT($D804,3),'STAT 77 Table'!$B:$B,'STAT 77 Table'!$A:$A),"ZZ"&amp;RIGHT($B804,4)),""),"")</f>
        <v/>
      </c>
      <c r="L804" s="396"/>
      <c r="O804" s="388"/>
      <c r="P804" s="388"/>
      <c r="AA804" s="421">
        <f t="shared" si="12"/>
        <v>0</v>
      </c>
    </row>
    <row r="805" spans="1:27" ht="16.5">
      <c r="A805" s="387">
        <f>'STAT 77 Table'!$I$804</f>
        <v>0</v>
      </c>
      <c r="B805"/>
      <c r="C805"/>
      <c r="D805" s="387" t="str">
        <f>IF($B805&lt;&gt;"",IFERROR(IF(LEFT($B805,3)=$Z$2,VLOOKUP($C805,Outbound!$B:$Z,4,FALSE),VLOOKUP($B805,Outbound!$B:$Z,4,FALSE)),"ON ROCS/NOT ON FILE"),"")</f>
        <v/>
      </c>
      <c r="E805" s="387" t="str">
        <f>IF($B805&lt;&gt;"",IFERROR(IF(LEFT($B805,4)=$Z$2,VLOOKUP($C805,Outbound!$B:$Z,5,FALSE),VLOOKUP($B805,Outbound!$B:$Z,5,FALSE)),"ON ROCS/NOT ON FILE"),"")</f>
        <v/>
      </c>
      <c r="F805" s="387" t="str">
        <f>IF(B805&lt;&gt;"",IFERROR(IF(LEFT($B805,3)=$Z$2,VLOOKUP($C805,Outbound!$B:$Z,11,FALSE),VLOOKUP($B805,Outbound!$B:$Z,11,FALSE)),"NON TROVATO"),"")</f>
        <v/>
      </c>
      <c r="G805" s="394" t="str">
        <f>IF(B805&lt;&gt;"",IFERROR(IF(LEFT($B805,3)=$Z$2,VLOOKUP($C805,Outbound!$B:$AAZ,16,FALSE),VLOOKUP($B805,Outbound!$B:$AAZ,16,FALSE)),"NON TROVATO"),"")</f>
        <v/>
      </c>
      <c r="H805" s="394" t="str">
        <f>IF(B805&lt;&gt;"",IFERROR(IF(LEFT($B805,3)=$Z$2,VLOOKUP($C805,Outbound!$B:$AAZ,6,FALSE),VLOOKUP($B805,Outbound!$B:$AAZ,6,FALSE)),"NON TROVATO"),"")</f>
        <v/>
      </c>
      <c r="I805" s="394" t="str">
        <f>IF(B805&lt;&gt;"",IFERROR(IF(LEFT($B805,3)=$Z$2,VLOOKUP($C805,Outbound!$B:$AAZ,52,FALSE),VLOOKUP($B805,Outbound!$B:$AAZ,52,FALSE)),"NON TROVATO"),"")</f>
        <v/>
      </c>
      <c r="J805" s="396"/>
      <c r="K805" s="387" t="str">
        <f>IF(B805&lt;&gt;"",IF($D805&lt;&gt;"ON ROCS/NOT ON FILE",IFERROR(_xlfn.XLOOKUP(LEFT($D805,3),'STAT 77 Table'!$B:$B,'STAT 77 Table'!$A:$A),"ZZ"&amp;RIGHT($B805,4)),""),"")</f>
        <v/>
      </c>
      <c r="L805" s="396"/>
      <c r="O805" s="388"/>
      <c r="P805" s="388"/>
      <c r="AA805" s="421">
        <f t="shared" si="12"/>
        <v>0</v>
      </c>
    </row>
    <row r="806" spans="1:27" ht="16.5">
      <c r="A806" s="387">
        <f>'STAT 77 Table'!$I$805</f>
        <v>0</v>
      </c>
      <c r="B806"/>
      <c r="C806"/>
      <c r="D806" s="387" t="str">
        <f>IF($B806&lt;&gt;"",IFERROR(IF(LEFT($B806,3)=$Z$2,VLOOKUP($C806,Outbound!$B:$Z,4,FALSE),VLOOKUP($B806,Outbound!$B:$Z,4,FALSE)),"ON ROCS/NOT ON FILE"),"")</f>
        <v/>
      </c>
      <c r="E806" s="387" t="str">
        <f>IF($B806&lt;&gt;"",IFERROR(IF(LEFT($B806,4)=$Z$2,VLOOKUP($C806,Outbound!$B:$Z,5,FALSE),VLOOKUP($B806,Outbound!$B:$Z,5,FALSE)),"ON ROCS/NOT ON FILE"),"")</f>
        <v/>
      </c>
      <c r="F806" s="387" t="str">
        <f>IF(B806&lt;&gt;"",IFERROR(IF(LEFT($B806,3)=$Z$2,VLOOKUP($C806,Outbound!$B:$Z,11,FALSE),VLOOKUP($B806,Outbound!$B:$Z,11,FALSE)),"NON TROVATO"),"")</f>
        <v/>
      </c>
      <c r="G806" s="394" t="str">
        <f>IF(B806&lt;&gt;"",IFERROR(IF(LEFT($B806,3)=$Z$2,VLOOKUP($C806,Outbound!$B:$AAZ,16,FALSE),VLOOKUP($B806,Outbound!$B:$AAZ,16,FALSE)),"NON TROVATO"),"")</f>
        <v/>
      </c>
      <c r="H806" s="394" t="str">
        <f>IF(B806&lt;&gt;"",IFERROR(IF(LEFT($B806,3)=$Z$2,VLOOKUP($C806,Outbound!$B:$AAZ,6,FALSE),VLOOKUP($B806,Outbound!$B:$AAZ,6,FALSE)),"NON TROVATO"),"")</f>
        <v/>
      </c>
      <c r="I806" s="394" t="str">
        <f>IF(B806&lt;&gt;"",IFERROR(IF(LEFT($B806,3)=$Z$2,VLOOKUP($C806,Outbound!$B:$AAZ,52,FALSE),VLOOKUP($B806,Outbound!$B:$AAZ,52,FALSE)),"NON TROVATO"),"")</f>
        <v/>
      </c>
      <c r="J806" s="396"/>
      <c r="K806" s="387" t="str">
        <f>IF(B806&lt;&gt;"",IF($D806&lt;&gt;"ON ROCS/NOT ON FILE",IFERROR(_xlfn.XLOOKUP(LEFT($D806,3),'STAT 77 Table'!$B:$B,'STAT 77 Table'!$A:$A),"ZZ"&amp;RIGHT($B806,4)),""),"")</f>
        <v/>
      </c>
      <c r="L806" s="396"/>
      <c r="O806" s="388"/>
      <c r="P806" s="388"/>
      <c r="AA806" s="421">
        <f t="shared" si="12"/>
        <v>0</v>
      </c>
    </row>
    <row r="807" spans="1:27" ht="16.5">
      <c r="A807" s="387">
        <f>'STAT 77 Table'!$I$806</f>
        <v>0</v>
      </c>
      <c r="B807"/>
      <c r="C807"/>
      <c r="D807" s="387" t="str">
        <f>IF($B807&lt;&gt;"",IFERROR(IF(LEFT($B807,3)=$Z$2,VLOOKUP($C807,Outbound!$B:$Z,4,FALSE),VLOOKUP($B807,Outbound!$B:$Z,4,FALSE)),"ON ROCS/NOT ON FILE"),"")</f>
        <v/>
      </c>
      <c r="E807" s="387" t="str">
        <f>IF($B807&lt;&gt;"",IFERROR(IF(LEFT($B807,4)=$Z$2,VLOOKUP($C807,Outbound!$B:$Z,5,FALSE),VLOOKUP($B807,Outbound!$B:$Z,5,FALSE)),"ON ROCS/NOT ON FILE"),"")</f>
        <v/>
      </c>
      <c r="F807" s="387" t="str">
        <f>IF(B807&lt;&gt;"",IFERROR(IF(LEFT($B807,3)=$Z$2,VLOOKUP($C807,Outbound!$B:$Z,11,FALSE),VLOOKUP($B807,Outbound!$B:$Z,11,FALSE)),"NON TROVATO"),"")</f>
        <v/>
      </c>
      <c r="G807" s="394" t="str">
        <f>IF(B807&lt;&gt;"",IFERROR(IF(LEFT($B807,3)=$Z$2,VLOOKUP($C807,Outbound!$B:$AAZ,16,FALSE),VLOOKUP($B807,Outbound!$B:$AAZ,16,FALSE)),"NON TROVATO"),"")</f>
        <v/>
      </c>
      <c r="H807" s="394" t="str">
        <f>IF(B807&lt;&gt;"",IFERROR(IF(LEFT($B807,3)=$Z$2,VLOOKUP($C807,Outbound!$B:$AAZ,6,FALSE),VLOOKUP($B807,Outbound!$B:$AAZ,6,FALSE)),"NON TROVATO"),"")</f>
        <v/>
      </c>
      <c r="I807" s="394" t="str">
        <f>IF(B807&lt;&gt;"",IFERROR(IF(LEFT($B807,3)=$Z$2,VLOOKUP($C807,Outbound!$B:$AAZ,52,FALSE),VLOOKUP($B807,Outbound!$B:$AAZ,52,FALSE)),"NON TROVATO"),"")</f>
        <v/>
      </c>
      <c r="J807" s="396"/>
      <c r="K807" s="387" t="str">
        <f>IF(B807&lt;&gt;"",IF($D807&lt;&gt;"ON ROCS/NOT ON FILE",IFERROR(_xlfn.XLOOKUP(LEFT($D807,3),'STAT 77 Table'!$B:$B,'STAT 77 Table'!$A:$A),"ZZ"&amp;RIGHT($B807,4)),""),"")</f>
        <v/>
      </c>
      <c r="L807" s="396"/>
      <c r="O807" s="388"/>
      <c r="P807" s="388"/>
      <c r="AA807" s="421">
        <f t="shared" si="12"/>
        <v>0</v>
      </c>
    </row>
    <row r="808" spans="1:27" ht="16.5">
      <c r="A808" s="387">
        <f>'STAT 77 Table'!$I$807</f>
        <v>0</v>
      </c>
      <c r="B808"/>
      <c r="C808"/>
      <c r="D808" s="387" t="str">
        <f>IF($B808&lt;&gt;"",IFERROR(IF(LEFT($B808,3)=$Z$2,VLOOKUP($C808,Outbound!$B:$Z,4,FALSE),VLOOKUP($B808,Outbound!$B:$Z,4,FALSE)),"ON ROCS/NOT ON FILE"),"")</f>
        <v/>
      </c>
      <c r="E808" s="387" t="str">
        <f>IF($B808&lt;&gt;"",IFERROR(IF(LEFT($B808,4)=$Z$2,VLOOKUP($C808,Outbound!$B:$Z,5,FALSE),VLOOKUP($B808,Outbound!$B:$Z,5,FALSE)),"ON ROCS/NOT ON FILE"),"")</f>
        <v/>
      </c>
      <c r="F808" s="387" t="str">
        <f>IF(B808&lt;&gt;"",IFERROR(IF(LEFT($B808,3)=$Z$2,VLOOKUP($C808,Outbound!$B:$Z,11,FALSE),VLOOKUP($B808,Outbound!$B:$Z,11,FALSE)),"NON TROVATO"),"")</f>
        <v/>
      </c>
      <c r="G808" s="394" t="str">
        <f>IF(B808&lt;&gt;"",IFERROR(IF(LEFT($B808,3)=$Z$2,VLOOKUP($C808,Outbound!$B:$AAZ,16,FALSE),VLOOKUP($B808,Outbound!$B:$AAZ,16,FALSE)),"NON TROVATO"),"")</f>
        <v/>
      </c>
      <c r="H808" s="394" t="str">
        <f>IF(B808&lt;&gt;"",IFERROR(IF(LEFT($B808,3)=$Z$2,VLOOKUP($C808,Outbound!$B:$AAZ,6,FALSE),VLOOKUP($B808,Outbound!$B:$AAZ,6,FALSE)),"NON TROVATO"),"")</f>
        <v/>
      </c>
      <c r="I808" s="394" t="str">
        <f>IF(B808&lt;&gt;"",IFERROR(IF(LEFT($B808,3)=$Z$2,VLOOKUP($C808,Outbound!$B:$AAZ,52,FALSE),VLOOKUP($B808,Outbound!$B:$AAZ,52,FALSE)),"NON TROVATO"),"")</f>
        <v/>
      </c>
      <c r="J808" s="396"/>
      <c r="K808" s="387" t="str">
        <f>IF(B808&lt;&gt;"",IF($D808&lt;&gt;"ON ROCS/NOT ON FILE",IFERROR(_xlfn.XLOOKUP(LEFT($D808,3),'STAT 77 Table'!$B:$B,'STAT 77 Table'!$A:$A),"ZZ"&amp;RIGHT($B808,4)),""),"")</f>
        <v/>
      </c>
      <c r="L808" s="396"/>
      <c r="O808" s="388"/>
      <c r="P808" s="388"/>
      <c r="AA808" s="421">
        <f t="shared" si="12"/>
        <v>0</v>
      </c>
    </row>
    <row r="809" spans="1:27" ht="16.5">
      <c r="A809" s="387">
        <f>'STAT 77 Table'!$I$808</f>
        <v>0</v>
      </c>
      <c r="B809"/>
      <c r="C809"/>
      <c r="D809" s="387" t="str">
        <f>IF($B809&lt;&gt;"",IFERROR(IF(LEFT($B809,3)=$Z$2,VLOOKUP($C809,Outbound!$B:$Z,4,FALSE),VLOOKUP($B809,Outbound!$B:$Z,4,FALSE)),"ON ROCS/NOT ON FILE"),"")</f>
        <v/>
      </c>
      <c r="E809" s="387" t="str">
        <f>IF($B809&lt;&gt;"",IFERROR(IF(LEFT($B809,4)=$Z$2,VLOOKUP($C809,Outbound!$B:$Z,5,FALSE),VLOOKUP($B809,Outbound!$B:$Z,5,FALSE)),"ON ROCS/NOT ON FILE"),"")</f>
        <v/>
      </c>
      <c r="F809" s="387" t="str">
        <f>IF(B809&lt;&gt;"",IFERROR(IF(LEFT($B809,3)=$Z$2,VLOOKUP($C809,Outbound!$B:$Z,11,FALSE),VLOOKUP($B809,Outbound!$B:$Z,11,FALSE)),"NON TROVATO"),"")</f>
        <v/>
      </c>
      <c r="G809" s="394" t="str">
        <f>IF(B809&lt;&gt;"",IFERROR(IF(LEFT($B809,3)=$Z$2,VLOOKUP($C809,Outbound!$B:$AAZ,16,FALSE),VLOOKUP($B809,Outbound!$B:$AAZ,16,FALSE)),"NON TROVATO"),"")</f>
        <v/>
      </c>
      <c r="H809" s="394" t="str">
        <f>IF(B809&lt;&gt;"",IFERROR(IF(LEFT($B809,3)=$Z$2,VLOOKUP($C809,Outbound!$B:$AAZ,6,FALSE),VLOOKUP($B809,Outbound!$B:$AAZ,6,FALSE)),"NON TROVATO"),"")</f>
        <v/>
      </c>
      <c r="I809" s="394" t="str">
        <f>IF(B809&lt;&gt;"",IFERROR(IF(LEFT($B809,3)=$Z$2,VLOOKUP($C809,Outbound!$B:$AAZ,52,FALSE),VLOOKUP($B809,Outbound!$B:$AAZ,52,FALSE)),"NON TROVATO"),"")</f>
        <v/>
      </c>
      <c r="J809" s="396"/>
      <c r="K809" s="387" t="str">
        <f>IF(B809&lt;&gt;"",IF($D809&lt;&gt;"ON ROCS/NOT ON FILE",IFERROR(_xlfn.XLOOKUP(LEFT($D809,3),'STAT 77 Table'!$B:$B,'STAT 77 Table'!$A:$A),"ZZ"&amp;RIGHT($B809,4)),""),"")</f>
        <v/>
      </c>
      <c r="L809" s="396"/>
      <c r="O809" s="388"/>
      <c r="P809" s="388"/>
      <c r="AA809" s="421">
        <f t="shared" si="12"/>
        <v>0</v>
      </c>
    </row>
    <row r="810" spans="1:27" ht="16.5">
      <c r="A810" s="387">
        <f>'STAT 77 Table'!$I$809</f>
        <v>0</v>
      </c>
      <c r="B810"/>
      <c r="C810"/>
      <c r="D810" s="387" t="str">
        <f>IF($B810&lt;&gt;"",IFERROR(IF(LEFT($B810,3)=$Z$2,VLOOKUP($C810,Outbound!$B:$Z,4,FALSE),VLOOKUP($B810,Outbound!$B:$Z,4,FALSE)),"ON ROCS/NOT ON FILE"),"")</f>
        <v/>
      </c>
      <c r="E810" s="387" t="str">
        <f>IF($B810&lt;&gt;"",IFERROR(IF(LEFT($B810,4)=$Z$2,VLOOKUP($C810,Outbound!$B:$Z,5,FALSE),VLOOKUP($B810,Outbound!$B:$Z,5,FALSE)),"ON ROCS/NOT ON FILE"),"")</f>
        <v/>
      </c>
      <c r="F810" s="387" t="str">
        <f>IF(B810&lt;&gt;"",IFERROR(IF(LEFT($B810,3)=$Z$2,VLOOKUP($C810,Outbound!$B:$Z,11,FALSE),VLOOKUP($B810,Outbound!$B:$Z,11,FALSE)),"NON TROVATO"),"")</f>
        <v/>
      </c>
      <c r="G810" s="394" t="str">
        <f>IF(B810&lt;&gt;"",IFERROR(IF(LEFT($B810,3)=$Z$2,VLOOKUP($C810,Outbound!$B:$AAZ,16,FALSE),VLOOKUP($B810,Outbound!$B:$AAZ,16,FALSE)),"NON TROVATO"),"")</f>
        <v/>
      </c>
      <c r="H810" s="394" t="str">
        <f>IF(B810&lt;&gt;"",IFERROR(IF(LEFT($B810,3)=$Z$2,VLOOKUP($C810,Outbound!$B:$AAZ,6,FALSE),VLOOKUP($B810,Outbound!$B:$AAZ,6,FALSE)),"NON TROVATO"),"")</f>
        <v/>
      </c>
      <c r="I810" s="394" t="str">
        <f>IF(B810&lt;&gt;"",IFERROR(IF(LEFT($B810,3)=$Z$2,VLOOKUP($C810,Outbound!$B:$AAZ,52,FALSE),VLOOKUP($B810,Outbound!$B:$AAZ,52,FALSE)),"NON TROVATO"),"")</f>
        <v/>
      </c>
      <c r="J810" s="396"/>
      <c r="K810" s="387" t="str">
        <f>IF(B810&lt;&gt;"",IF($D810&lt;&gt;"ON ROCS/NOT ON FILE",IFERROR(_xlfn.XLOOKUP(LEFT($D810,3),'STAT 77 Table'!$B:$B,'STAT 77 Table'!$A:$A),"ZZ"&amp;RIGHT($B810,4)),""),"")</f>
        <v/>
      </c>
      <c r="L810" s="396"/>
      <c r="O810" s="388"/>
      <c r="P810" s="388"/>
      <c r="AA810" s="421">
        <f t="shared" si="12"/>
        <v>0</v>
      </c>
    </row>
    <row r="811" spans="1:27" ht="16.5">
      <c r="A811" s="387">
        <f>'STAT 77 Table'!$I$810</f>
        <v>0</v>
      </c>
      <c r="B811"/>
      <c r="C811"/>
      <c r="D811" s="387" t="str">
        <f>IF($B811&lt;&gt;"",IFERROR(IF(LEFT($B811,3)=$Z$2,VLOOKUP($C811,Outbound!$B:$Z,4,FALSE),VLOOKUP($B811,Outbound!$B:$Z,4,FALSE)),"ON ROCS/NOT ON FILE"),"")</f>
        <v/>
      </c>
      <c r="E811" s="387" t="str">
        <f>IF($B811&lt;&gt;"",IFERROR(IF(LEFT($B811,4)=$Z$2,VLOOKUP($C811,Outbound!$B:$Z,5,FALSE),VLOOKUP($B811,Outbound!$B:$Z,5,FALSE)),"ON ROCS/NOT ON FILE"),"")</f>
        <v/>
      </c>
      <c r="F811" s="387" t="str">
        <f>IF(B811&lt;&gt;"",IFERROR(IF(LEFT($B811,3)=$Z$2,VLOOKUP($C811,Outbound!$B:$Z,11,FALSE),VLOOKUP($B811,Outbound!$B:$Z,11,FALSE)),"NON TROVATO"),"")</f>
        <v/>
      </c>
      <c r="G811" s="394" t="str">
        <f>IF(B811&lt;&gt;"",IFERROR(IF(LEFT($B811,3)=$Z$2,VLOOKUP($C811,Outbound!$B:$AAZ,16,FALSE),VLOOKUP($B811,Outbound!$B:$AAZ,16,FALSE)),"NON TROVATO"),"")</f>
        <v/>
      </c>
      <c r="H811" s="394" t="str">
        <f>IF(B811&lt;&gt;"",IFERROR(IF(LEFT($B811,3)=$Z$2,VLOOKUP($C811,Outbound!$B:$AAZ,6,FALSE),VLOOKUP($B811,Outbound!$B:$AAZ,6,FALSE)),"NON TROVATO"),"")</f>
        <v/>
      </c>
      <c r="I811" s="394" t="str">
        <f>IF(B811&lt;&gt;"",IFERROR(IF(LEFT($B811,3)=$Z$2,VLOOKUP($C811,Outbound!$B:$AAZ,52,FALSE),VLOOKUP($B811,Outbound!$B:$AAZ,52,FALSE)),"NON TROVATO"),"")</f>
        <v/>
      </c>
      <c r="J811" s="396"/>
      <c r="K811" s="387" t="str">
        <f>IF(B811&lt;&gt;"",IF($D811&lt;&gt;"ON ROCS/NOT ON FILE",IFERROR(_xlfn.XLOOKUP(LEFT($D811,3),'STAT 77 Table'!$B:$B,'STAT 77 Table'!$A:$A),"ZZ"&amp;RIGHT($B811,4)),""),"")</f>
        <v/>
      </c>
      <c r="L811" s="396"/>
      <c r="O811" s="388"/>
      <c r="P811" s="388"/>
      <c r="AA811" s="421">
        <f t="shared" si="12"/>
        <v>0</v>
      </c>
    </row>
    <row r="812" spans="1:27" ht="16.5">
      <c r="A812" s="387">
        <f>'STAT 77 Table'!$I$811</f>
        <v>0</v>
      </c>
      <c r="B812"/>
      <c r="C812"/>
      <c r="D812" s="387" t="str">
        <f>IF($B812&lt;&gt;"",IFERROR(IF(LEFT($B812,3)=$Z$2,VLOOKUP($C812,Outbound!$B:$Z,4,FALSE),VLOOKUP($B812,Outbound!$B:$Z,4,FALSE)),"ON ROCS/NOT ON FILE"),"")</f>
        <v/>
      </c>
      <c r="E812" s="387" t="str">
        <f>IF($B812&lt;&gt;"",IFERROR(IF(LEFT($B812,4)=$Z$2,VLOOKUP($C812,Outbound!$B:$Z,5,FALSE),VLOOKUP($B812,Outbound!$B:$Z,5,FALSE)),"ON ROCS/NOT ON FILE"),"")</f>
        <v/>
      </c>
      <c r="F812" s="387" t="str">
        <f>IF(B812&lt;&gt;"",IFERROR(IF(LEFT($B812,3)=$Z$2,VLOOKUP($C812,Outbound!$B:$Z,11,FALSE),VLOOKUP($B812,Outbound!$B:$Z,11,FALSE)),"NON TROVATO"),"")</f>
        <v/>
      </c>
      <c r="G812" s="394" t="str">
        <f>IF(B812&lt;&gt;"",IFERROR(IF(LEFT($B812,3)=$Z$2,VLOOKUP($C812,Outbound!$B:$AAZ,16,FALSE),VLOOKUP($B812,Outbound!$B:$AAZ,16,FALSE)),"NON TROVATO"),"")</f>
        <v/>
      </c>
      <c r="H812" s="394" t="str">
        <f>IF(B812&lt;&gt;"",IFERROR(IF(LEFT($B812,3)=$Z$2,VLOOKUP($C812,Outbound!$B:$AAZ,6,FALSE),VLOOKUP($B812,Outbound!$B:$AAZ,6,FALSE)),"NON TROVATO"),"")</f>
        <v/>
      </c>
      <c r="I812" s="394" t="str">
        <f>IF(B812&lt;&gt;"",IFERROR(IF(LEFT($B812,3)=$Z$2,VLOOKUP($C812,Outbound!$B:$AAZ,52,FALSE),VLOOKUP($B812,Outbound!$B:$AAZ,52,FALSE)),"NON TROVATO"),"")</f>
        <v/>
      </c>
      <c r="J812" s="396"/>
      <c r="K812" s="387" t="str">
        <f>IF(B812&lt;&gt;"",IF($D812&lt;&gt;"ON ROCS/NOT ON FILE",IFERROR(_xlfn.XLOOKUP(LEFT($D812,3),'STAT 77 Table'!$B:$B,'STAT 77 Table'!$A:$A),"ZZ"&amp;RIGHT($B812,4)),""),"")</f>
        <v/>
      </c>
      <c r="L812" s="396"/>
      <c r="O812" s="388"/>
      <c r="P812" s="388"/>
      <c r="AA812" s="421">
        <f t="shared" si="12"/>
        <v>0</v>
      </c>
    </row>
    <row r="813" spans="1:27" ht="16.5">
      <c r="A813" s="387">
        <f>'STAT 77 Table'!$I$812</f>
        <v>0</v>
      </c>
      <c r="B813"/>
      <c r="C813"/>
      <c r="D813" s="387" t="str">
        <f>IF($B813&lt;&gt;"",IFERROR(IF(LEFT($B813,3)=$Z$2,VLOOKUP($C813,Outbound!$B:$Z,4,FALSE),VLOOKUP($B813,Outbound!$B:$Z,4,FALSE)),"ON ROCS/NOT ON FILE"),"")</f>
        <v/>
      </c>
      <c r="E813" s="387" t="str">
        <f>IF($B813&lt;&gt;"",IFERROR(IF(LEFT($B813,4)=$Z$2,VLOOKUP($C813,Outbound!$B:$Z,5,FALSE),VLOOKUP($B813,Outbound!$B:$Z,5,FALSE)),"ON ROCS/NOT ON FILE"),"")</f>
        <v/>
      </c>
      <c r="F813" s="387" t="str">
        <f>IF(B813&lt;&gt;"",IFERROR(IF(LEFT($B813,3)=$Z$2,VLOOKUP($C813,Outbound!$B:$Z,11,FALSE),VLOOKUP($B813,Outbound!$B:$Z,11,FALSE)),"NON TROVATO"),"")</f>
        <v/>
      </c>
      <c r="G813" s="394" t="str">
        <f>IF(B813&lt;&gt;"",IFERROR(IF(LEFT($B813,3)=$Z$2,VLOOKUP($C813,Outbound!$B:$AAZ,16,FALSE),VLOOKUP($B813,Outbound!$B:$AAZ,16,FALSE)),"NON TROVATO"),"")</f>
        <v/>
      </c>
      <c r="H813" s="394" t="str">
        <f>IF(B813&lt;&gt;"",IFERROR(IF(LEFT($B813,3)=$Z$2,VLOOKUP($C813,Outbound!$B:$AAZ,6,FALSE),VLOOKUP($B813,Outbound!$B:$AAZ,6,FALSE)),"NON TROVATO"),"")</f>
        <v/>
      </c>
      <c r="I813" s="394" t="str">
        <f>IF(B813&lt;&gt;"",IFERROR(IF(LEFT($B813,3)=$Z$2,VLOOKUP($C813,Outbound!$B:$AAZ,52,FALSE),VLOOKUP($B813,Outbound!$B:$AAZ,52,FALSE)),"NON TROVATO"),"")</f>
        <v/>
      </c>
      <c r="J813" s="396"/>
      <c r="K813" s="387" t="str">
        <f>IF(B813&lt;&gt;"",IF($D813&lt;&gt;"ON ROCS/NOT ON FILE",IFERROR(_xlfn.XLOOKUP(LEFT($D813,3),'STAT 77 Table'!$B:$B,'STAT 77 Table'!$A:$A),"ZZ"&amp;RIGHT($B813,4)),""),"")</f>
        <v/>
      </c>
      <c r="L813" s="396"/>
      <c r="O813" s="388"/>
      <c r="P813" s="388"/>
      <c r="AA813" s="421">
        <f t="shared" si="12"/>
        <v>0</v>
      </c>
    </row>
    <row r="814" spans="1:27" ht="16.5">
      <c r="A814" s="387">
        <f>'STAT 77 Table'!$I$813</f>
        <v>0</v>
      </c>
      <c r="B814"/>
      <c r="C814"/>
      <c r="D814" s="387" t="str">
        <f>IF($B814&lt;&gt;"",IFERROR(IF(LEFT($B814,3)=$Z$2,VLOOKUP($C814,Outbound!$B:$Z,4,FALSE),VLOOKUP($B814,Outbound!$B:$Z,4,FALSE)),"ON ROCS/NOT ON FILE"),"")</f>
        <v/>
      </c>
      <c r="E814" s="387" t="str">
        <f>IF($B814&lt;&gt;"",IFERROR(IF(LEFT($B814,4)=$Z$2,VLOOKUP($C814,Outbound!$B:$Z,5,FALSE),VLOOKUP($B814,Outbound!$B:$Z,5,FALSE)),"ON ROCS/NOT ON FILE"),"")</f>
        <v/>
      </c>
      <c r="F814" s="387" t="str">
        <f>IF(B814&lt;&gt;"",IFERROR(IF(LEFT($B814,3)=$Z$2,VLOOKUP($C814,Outbound!$B:$Z,11,FALSE),VLOOKUP($B814,Outbound!$B:$Z,11,FALSE)),"NON TROVATO"),"")</f>
        <v/>
      </c>
      <c r="G814" s="394" t="str">
        <f>IF(B814&lt;&gt;"",IFERROR(IF(LEFT($B814,3)=$Z$2,VLOOKUP($C814,Outbound!$B:$AAZ,16,FALSE),VLOOKUP($B814,Outbound!$B:$AAZ,16,FALSE)),"NON TROVATO"),"")</f>
        <v/>
      </c>
      <c r="H814" s="394" t="str">
        <f>IF(B814&lt;&gt;"",IFERROR(IF(LEFT($B814,3)=$Z$2,VLOOKUP($C814,Outbound!$B:$AAZ,6,FALSE),VLOOKUP($B814,Outbound!$B:$AAZ,6,FALSE)),"NON TROVATO"),"")</f>
        <v/>
      </c>
      <c r="I814" s="394" t="str">
        <f>IF(B814&lt;&gt;"",IFERROR(IF(LEFT($B814,3)=$Z$2,VLOOKUP($C814,Outbound!$B:$AAZ,52,FALSE),VLOOKUP($B814,Outbound!$B:$AAZ,52,FALSE)),"NON TROVATO"),"")</f>
        <v/>
      </c>
      <c r="J814" s="396"/>
      <c r="K814" s="387" t="str">
        <f>IF(B814&lt;&gt;"",IF($D814&lt;&gt;"ON ROCS/NOT ON FILE",IFERROR(_xlfn.XLOOKUP(LEFT($D814,3),'STAT 77 Table'!$B:$B,'STAT 77 Table'!$A:$A),"ZZ"&amp;RIGHT($B814,4)),""),"")</f>
        <v/>
      </c>
      <c r="L814" s="396"/>
      <c r="O814" s="388"/>
      <c r="P814" s="388"/>
      <c r="AA814" s="421">
        <f t="shared" si="12"/>
        <v>0</v>
      </c>
    </row>
    <row r="815" spans="1:27" ht="16.5">
      <c r="A815" s="387">
        <f>'STAT 77 Table'!$I$814</f>
        <v>0</v>
      </c>
      <c r="B815"/>
      <c r="C815"/>
      <c r="D815" s="387" t="str">
        <f>IF($B815&lt;&gt;"",IFERROR(IF(LEFT($B815,3)=$Z$2,VLOOKUP($C815,Outbound!$B:$Z,4,FALSE),VLOOKUP($B815,Outbound!$B:$Z,4,FALSE)),"ON ROCS/NOT ON FILE"),"")</f>
        <v/>
      </c>
      <c r="E815" s="387" t="str">
        <f>IF($B815&lt;&gt;"",IFERROR(IF(LEFT($B815,4)=$Z$2,VLOOKUP($C815,Outbound!$B:$Z,5,FALSE),VLOOKUP($B815,Outbound!$B:$Z,5,FALSE)),"ON ROCS/NOT ON FILE"),"")</f>
        <v/>
      </c>
      <c r="F815" s="387" t="str">
        <f>IF(B815&lt;&gt;"",IFERROR(IF(LEFT($B815,3)=$Z$2,VLOOKUP($C815,Outbound!$B:$Z,11,FALSE),VLOOKUP($B815,Outbound!$B:$Z,11,FALSE)),"NON TROVATO"),"")</f>
        <v/>
      </c>
      <c r="G815" s="394" t="str">
        <f>IF(B815&lt;&gt;"",IFERROR(IF(LEFT($B815,3)=$Z$2,VLOOKUP($C815,Outbound!$B:$AAZ,16,FALSE),VLOOKUP($B815,Outbound!$B:$AAZ,16,FALSE)),"NON TROVATO"),"")</f>
        <v/>
      </c>
      <c r="H815" s="394" t="str">
        <f>IF(B815&lt;&gt;"",IFERROR(IF(LEFT($B815,3)=$Z$2,VLOOKUP($C815,Outbound!$B:$AAZ,6,FALSE),VLOOKUP($B815,Outbound!$B:$AAZ,6,FALSE)),"NON TROVATO"),"")</f>
        <v/>
      </c>
      <c r="I815" s="394" t="str">
        <f>IF(B815&lt;&gt;"",IFERROR(IF(LEFT($B815,3)=$Z$2,VLOOKUP($C815,Outbound!$B:$AAZ,52,FALSE),VLOOKUP($B815,Outbound!$B:$AAZ,52,FALSE)),"NON TROVATO"),"")</f>
        <v/>
      </c>
      <c r="J815" s="396"/>
      <c r="K815" s="387" t="str">
        <f>IF(B815&lt;&gt;"",IF($D815&lt;&gt;"ON ROCS/NOT ON FILE",IFERROR(_xlfn.XLOOKUP(LEFT($D815,3),'STAT 77 Table'!$B:$B,'STAT 77 Table'!$A:$A),"ZZ"&amp;RIGHT($B815,4)),""),"")</f>
        <v/>
      </c>
      <c r="L815" s="396"/>
      <c r="O815" s="388"/>
      <c r="P815" s="388"/>
      <c r="AA815" s="421">
        <f t="shared" si="12"/>
        <v>0</v>
      </c>
    </row>
    <row r="816" spans="1:27" ht="16.5">
      <c r="A816" s="387">
        <f>'STAT 77 Table'!$I$815</f>
        <v>0</v>
      </c>
      <c r="B816"/>
      <c r="C816"/>
      <c r="D816" s="387" t="str">
        <f>IF($B816&lt;&gt;"",IFERROR(IF(LEFT($B816,3)=$Z$2,VLOOKUP($C816,Outbound!$B:$Z,4,FALSE),VLOOKUP($B816,Outbound!$B:$Z,4,FALSE)),"ON ROCS/NOT ON FILE"),"")</f>
        <v/>
      </c>
      <c r="E816" s="387" t="str">
        <f>IF($B816&lt;&gt;"",IFERROR(IF(LEFT($B816,4)=$Z$2,VLOOKUP($C816,Outbound!$B:$Z,5,FALSE),VLOOKUP($B816,Outbound!$B:$Z,5,FALSE)),"ON ROCS/NOT ON FILE"),"")</f>
        <v/>
      </c>
      <c r="F816" s="387" t="str">
        <f>IF(B816&lt;&gt;"",IFERROR(IF(LEFT($B816,3)=$Z$2,VLOOKUP($C816,Outbound!$B:$Z,11,FALSE),VLOOKUP($B816,Outbound!$B:$Z,11,FALSE)),"NON TROVATO"),"")</f>
        <v/>
      </c>
      <c r="G816" s="394" t="str">
        <f>IF(B816&lt;&gt;"",IFERROR(IF(LEFT($B816,3)=$Z$2,VLOOKUP($C816,Outbound!$B:$AAZ,16,FALSE),VLOOKUP($B816,Outbound!$B:$AAZ,16,FALSE)),"NON TROVATO"),"")</f>
        <v/>
      </c>
      <c r="H816" s="394" t="str">
        <f>IF(B816&lt;&gt;"",IFERROR(IF(LEFT($B816,3)=$Z$2,VLOOKUP($C816,Outbound!$B:$AAZ,6,FALSE),VLOOKUP($B816,Outbound!$B:$AAZ,6,FALSE)),"NON TROVATO"),"")</f>
        <v/>
      </c>
      <c r="I816" s="394" t="str">
        <f>IF(B816&lt;&gt;"",IFERROR(IF(LEFT($B816,3)=$Z$2,VLOOKUP($C816,Outbound!$B:$AAZ,52,FALSE),VLOOKUP($B816,Outbound!$B:$AAZ,52,FALSE)),"NON TROVATO"),"")</f>
        <v/>
      </c>
      <c r="J816" s="396"/>
      <c r="K816" s="387" t="str">
        <f>IF(B816&lt;&gt;"",IF($D816&lt;&gt;"ON ROCS/NOT ON FILE",IFERROR(_xlfn.XLOOKUP(LEFT($D816,3),'STAT 77 Table'!$B:$B,'STAT 77 Table'!$A:$A),"ZZ"&amp;RIGHT($B816,4)),""),"")</f>
        <v/>
      </c>
      <c r="L816" s="396"/>
      <c r="O816" s="388"/>
      <c r="P816" s="388"/>
      <c r="AA816" s="421">
        <f t="shared" si="12"/>
        <v>0</v>
      </c>
    </row>
    <row r="817" spans="1:27" ht="16.5">
      <c r="A817" s="387">
        <f>'STAT 77 Table'!$I$816</f>
        <v>0</v>
      </c>
      <c r="B817"/>
      <c r="C817"/>
      <c r="D817" s="387" t="str">
        <f>IF($B817&lt;&gt;"",IFERROR(IF(LEFT($B817,3)=$Z$2,VLOOKUP($C817,Outbound!$B:$Z,4,FALSE),VLOOKUP($B817,Outbound!$B:$Z,4,FALSE)),"ON ROCS/NOT ON FILE"),"")</f>
        <v/>
      </c>
      <c r="E817" s="387" t="str">
        <f>IF($B817&lt;&gt;"",IFERROR(IF(LEFT($B817,4)=$Z$2,VLOOKUP($C817,Outbound!$B:$Z,5,FALSE),VLOOKUP($B817,Outbound!$B:$Z,5,FALSE)),"ON ROCS/NOT ON FILE"),"")</f>
        <v/>
      </c>
      <c r="F817" s="387" t="str">
        <f>IF(B817&lt;&gt;"",IFERROR(IF(LEFT($B817,3)=$Z$2,VLOOKUP($C817,Outbound!$B:$Z,11,FALSE),VLOOKUP($B817,Outbound!$B:$Z,11,FALSE)),"NON TROVATO"),"")</f>
        <v/>
      </c>
      <c r="G817" s="394" t="str">
        <f>IF(B817&lt;&gt;"",IFERROR(IF(LEFT($B817,3)=$Z$2,VLOOKUP($C817,Outbound!$B:$AAZ,16,FALSE),VLOOKUP($B817,Outbound!$B:$AAZ,16,FALSE)),"NON TROVATO"),"")</f>
        <v/>
      </c>
      <c r="H817" s="394" t="str">
        <f>IF(B817&lt;&gt;"",IFERROR(IF(LEFT($B817,3)=$Z$2,VLOOKUP($C817,Outbound!$B:$AAZ,6,FALSE),VLOOKUP($B817,Outbound!$B:$AAZ,6,FALSE)),"NON TROVATO"),"")</f>
        <v/>
      </c>
      <c r="I817" s="394" t="str">
        <f>IF(B817&lt;&gt;"",IFERROR(IF(LEFT($B817,3)=$Z$2,VLOOKUP($C817,Outbound!$B:$AAZ,52,FALSE),VLOOKUP($B817,Outbound!$B:$AAZ,52,FALSE)),"NON TROVATO"),"")</f>
        <v/>
      </c>
      <c r="J817" s="396"/>
      <c r="K817" s="387" t="str">
        <f>IF(B817&lt;&gt;"",IF($D817&lt;&gt;"ON ROCS/NOT ON FILE",IFERROR(_xlfn.XLOOKUP(LEFT($D817,3),'STAT 77 Table'!$B:$B,'STAT 77 Table'!$A:$A),"ZZ"&amp;RIGHT($B817,4)),""),"")</f>
        <v/>
      </c>
      <c r="L817" s="396"/>
      <c r="O817" s="388"/>
      <c r="P817" s="388"/>
      <c r="AA817" s="421">
        <f t="shared" si="12"/>
        <v>0</v>
      </c>
    </row>
    <row r="818" spans="1:27" ht="16.5">
      <c r="A818" s="387">
        <f>'STAT 77 Table'!$I$817</f>
        <v>0</v>
      </c>
      <c r="B818"/>
      <c r="C818"/>
      <c r="D818" s="387" t="str">
        <f>IF($B818&lt;&gt;"",IFERROR(IF(LEFT($B818,3)=$Z$2,VLOOKUP($C818,Outbound!$B:$Z,4,FALSE),VLOOKUP($B818,Outbound!$B:$Z,4,FALSE)),"ON ROCS/NOT ON FILE"),"")</f>
        <v/>
      </c>
      <c r="E818" s="387" t="str">
        <f>IF($B818&lt;&gt;"",IFERROR(IF(LEFT($B818,4)=$Z$2,VLOOKUP($C818,Outbound!$B:$Z,5,FALSE),VLOOKUP($B818,Outbound!$B:$Z,5,FALSE)),"ON ROCS/NOT ON FILE"),"")</f>
        <v/>
      </c>
      <c r="F818" s="387" t="str">
        <f>IF(B818&lt;&gt;"",IFERROR(IF(LEFT($B818,3)=$Z$2,VLOOKUP($C818,Outbound!$B:$Z,11,FALSE),VLOOKUP($B818,Outbound!$B:$Z,11,FALSE)),"NON TROVATO"),"")</f>
        <v/>
      </c>
      <c r="G818" s="394" t="str">
        <f>IF(B818&lt;&gt;"",IFERROR(IF(LEFT($B818,3)=$Z$2,VLOOKUP($C818,Outbound!$B:$AAZ,16,FALSE),VLOOKUP($B818,Outbound!$B:$AAZ,16,FALSE)),"NON TROVATO"),"")</f>
        <v/>
      </c>
      <c r="H818" s="394" t="str">
        <f>IF(B818&lt;&gt;"",IFERROR(IF(LEFT($B818,3)=$Z$2,VLOOKUP($C818,Outbound!$B:$AAZ,6,FALSE),VLOOKUP($B818,Outbound!$B:$AAZ,6,FALSE)),"NON TROVATO"),"")</f>
        <v/>
      </c>
      <c r="I818" s="394" t="str">
        <f>IF(B818&lt;&gt;"",IFERROR(IF(LEFT($B818,3)=$Z$2,VLOOKUP($C818,Outbound!$B:$AAZ,52,FALSE),VLOOKUP($B818,Outbound!$B:$AAZ,52,FALSE)),"NON TROVATO"),"")</f>
        <v/>
      </c>
      <c r="J818" s="396"/>
      <c r="K818" s="387" t="str">
        <f>IF(B818&lt;&gt;"",IF($D818&lt;&gt;"ON ROCS/NOT ON FILE",IFERROR(_xlfn.XLOOKUP(LEFT($D818,3),'STAT 77 Table'!$B:$B,'STAT 77 Table'!$A:$A),"ZZ"&amp;RIGHT($B818,4)),""),"")</f>
        <v/>
      </c>
      <c r="L818" s="396"/>
      <c r="O818" s="388"/>
      <c r="P818" s="388"/>
      <c r="AA818" s="421">
        <f t="shared" si="12"/>
        <v>0</v>
      </c>
    </row>
    <row r="819" spans="1:27" ht="16.5">
      <c r="A819" s="387">
        <f>'STAT 77 Table'!$I$818</f>
        <v>0</v>
      </c>
      <c r="B819"/>
      <c r="C819"/>
      <c r="D819" s="387" t="str">
        <f>IF($B819&lt;&gt;"",IFERROR(IF(LEFT($B819,3)=$Z$2,VLOOKUP($C819,Outbound!$B:$Z,4,FALSE),VLOOKUP($B819,Outbound!$B:$Z,4,FALSE)),"ON ROCS/NOT ON FILE"),"")</f>
        <v/>
      </c>
      <c r="E819" s="387" t="str">
        <f>IF($B819&lt;&gt;"",IFERROR(IF(LEFT($B819,4)=$Z$2,VLOOKUP($C819,Outbound!$B:$Z,5,FALSE),VLOOKUP($B819,Outbound!$B:$Z,5,FALSE)),"ON ROCS/NOT ON FILE"),"")</f>
        <v/>
      </c>
      <c r="F819" s="387" t="str">
        <f>IF(B819&lt;&gt;"",IFERROR(IF(LEFT($B819,3)=$Z$2,VLOOKUP($C819,Outbound!$B:$Z,11,FALSE),VLOOKUP($B819,Outbound!$B:$Z,11,FALSE)),"NON TROVATO"),"")</f>
        <v/>
      </c>
      <c r="G819" s="394" t="str">
        <f>IF(B819&lt;&gt;"",IFERROR(IF(LEFT($B819,3)=$Z$2,VLOOKUP($C819,Outbound!$B:$AAZ,16,FALSE),VLOOKUP($B819,Outbound!$B:$AAZ,16,FALSE)),"NON TROVATO"),"")</f>
        <v/>
      </c>
      <c r="H819" s="394" t="str">
        <f>IF(B819&lt;&gt;"",IFERROR(IF(LEFT($B819,3)=$Z$2,VLOOKUP($C819,Outbound!$B:$AAZ,6,FALSE),VLOOKUP($B819,Outbound!$B:$AAZ,6,FALSE)),"NON TROVATO"),"")</f>
        <v/>
      </c>
      <c r="I819" s="394" t="str">
        <f>IF(B819&lt;&gt;"",IFERROR(IF(LEFT($B819,3)=$Z$2,VLOOKUP($C819,Outbound!$B:$AAZ,52,FALSE),VLOOKUP($B819,Outbound!$B:$AAZ,52,FALSE)),"NON TROVATO"),"")</f>
        <v/>
      </c>
      <c r="J819" s="396"/>
      <c r="K819" s="387" t="str">
        <f>IF(B819&lt;&gt;"",IF($D819&lt;&gt;"ON ROCS/NOT ON FILE",IFERROR(_xlfn.XLOOKUP(LEFT($D819,3),'STAT 77 Table'!$B:$B,'STAT 77 Table'!$A:$A),"ZZ"&amp;RIGHT($B819,4)),""),"")</f>
        <v/>
      </c>
      <c r="L819" s="396"/>
      <c r="O819" s="388"/>
      <c r="P819" s="388"/>
      <c r="AA819" s="421">
        <f t="shared" si="12"/>
        <v>0</v>
      </c>
    </row>
    <row r="820" spans="1:27" ht="16.5">
      <c r="A820" s="387">
        <f>'STAT 77 Table'!$I$819</f>
        <v>0</v>
      </c>
      <c r="B820"/>
      <c r="C820"/>
      <c r="D820" s="387" t="str">
        <f>IF($B820&lt;&gt;"",IFERROR(IF(LEFT($B820,3)=$Z$2,VLOOKUP($C820,Outbound!$B:$Z,4,FALSE),VLOOKUP($B820,Outbound!$B:$Z,4,FALSE)),"ON ROCS/NOT ON FILE"),"")</f>
        <v/>
      </c>
      <c r="E820" s="387" t="str">
        <f>IF($B820&lt;&gt;"",IFERROR(IF(LEFT($B820,4)=$Z$2,VLOOKUP($C820,Outbound!$B:$Z,5,FALSE),VLOOKUP($B820,Outbound!$B:$Z,5,FALSE)),"ON ROCS/NOT ON FILE"),"")</f>
        <v/>
      </c>
      <c r="F820" s="387" t="str">
        <f>IF(B820&lt;&gt;"",IFERROR(IF(LEFT($B820,3)=$Z$2,VLOOKUP($C820,Outbound!$B:$Z,11,FALSE),VLOOKUP($B820,Outbound!$B:$Z,11,FALSE)),"NON TROVATO"),"")</f>
        <v/>
      </c>
      <c r="G820" s="394" t="str">
        <f>IF(B820&lt;&gt;"",IFERROR(IF(LEFT($B820,3)=$Z$2,VLOOKUP($C820,Outbound!$B:$AAZ,16,FALSE),VLOOKUP($B820,Outbound!$B:$AAZ,16,FALSE)),"NON TROVATO"),"")</f>
        <v/>
      </c>
      <c r="H820" s="394" t="str">
        <f>IF(B820&lt;&gt;"",IFERROR(IF(LEFT($B820,3)=$Z$2,VLOOKUP($C820,Outbound!$B:$AAZ,6,FALSE),VLOOKUP($B820,Outbound!$B:$AAZ,6,FALSE)),"NON TROVATO"),"")</f>
        <v/>
      </c>
      <c r="I820" s="394" t="str">
        <f>IF(B820&lt;&gt;"",IFERROR(IF(LEFT($B820,3)=$Z$2,VLOOKUP($C820,Outbound!$B:$AAZ,52,FALSE),VLOOKUP($B820,Outbound!$B:$AAZ,52,FALSE)),"NON TROVATO"),"")</f>
        <v/>
      </c>
      <c r="J820" s="396"/>
      <c r="K820" s="387" t="str">
        <f>IF(B820&lt;&gt;"",IF($D820&lt;&gt;"ON ROCS/NOT ON FILE",IFERROR(_xlfn.XLOOKUP(LEFT($D820,3),'STAT 77 Table'!$B:$B,'STAT 77 Table'!$A:$A),"ZZ"&amp;RIGHT($B820,4)),""),"")</f>
        <v/>
      </c>
      <c r="L820" s="396"/>
      <c r="O820" s="388"/>
      <c r="P820" s="388"/>
      <c r="AA820" s="421">
        <f t="shared" si="12"/>
        <v>0</v>
      </c>
    </row>
    <row r="821" spans="1:27" ht="16.5">
      <c r="A821" s="387">
        <f>'STAT 77 Table'!$I$820</f>
        <v>0</v>
      </c>
      <c r="B821"/>
      <c r="C821"/>
      <c r="D821" s="387" t="str">
        <f>IF($B821&lt;&gt;"",IFERROR(IF(LEFT($B821,3)=$Z$2,VLOOKUP($C821,Outbound!$B:$Z,4,FALSE),VLOOKUP($B821,Outbound!$B:$Z,4,FALSE)),"ON ROCS/NOT ON FILE"),"")</f>
        <v/>
      </c>
      <c r="E821" s="387" t="str">
        <f>IF($B821&lt;&gt;"",IFERROR(IF(LEFT($B821,4)=$Z$2,VLOOKUP($C821,Outbound!$B:$Z,5,FALSE),VLOOKUP($B821,Outbound!$B:$Z,5,FALSE)),"ON ROCS/NOT ON FILE"),"")</f>
        <v/>
      </c>
      <c r="F821" s="387" t="str">
        <f>IF(B821&lt;&gt;"",IFERROR(IF(LEFT($B821,3)=$Z$2,VLOOKUP($C821,Outbound!$B:$Z,11,FALSE),VLOOKUP($B821,Outbound!$B:$Z,11,FALSE)),"NON TROVATO"),"")</f>
        <v/>
      </c>
      <c r="G821" s="394" t="str">
        <f>IF(B821&lt;&gt;"",IFERROR(IF(LEFT($B821,3)=$Z$2,VLOOKUP($C821,Outbound!$B:$AAZ,16,FALSE),VLOOKUP($B821,Outbound!$B:$AAZ,16,FALSE)),"NON TROVATO"),"")</f>
        <v/>
      </c>
      <c r="H821" s="394" t="str">
        <f>IF(B821&lt;&gt;"",IFERROR(IF(LEFT($B821,3)=$Z$2,VLOOKUP($C821,Outbound!$B:$AAZ,6,FALSE),VLOOKUP($B821,Outbound!$B:$AAZ,6,FALSE)),"NON TROVATO"),"")</f>
        <v/>
      </c>
      <c r="I821" s="394" t="str">
        <f>IF(B821&lt;&gt;"",IFERROR(IF(LEFT($B821,3)=$Z$2,VLOOKUP($C821,Outbound!$B:$AAZ,52,FALSE),VLOOKUP($B821,Outbound!$B:$AAZ,52,FALSE)),"NON TROVATO"),"")</f>
        <v/>
      </c>
      <c r="J821" s="396"/>
      <c r="K821" s="387" t="str">
        <f>IF(B821&lt;&gt;"",IF($D821&lt;&gt;"ON ROCS/NOT ON FILE",IFERROR(_xlfn.XLOOKUP(LEFT($D821,3),'STAT 77 Table'!$B:$B,'STAT 77 Table'!$A:$A),"ZZ"&amp;RIGHT($B821,4)),""),"")</f>
        <v/>
      </c>
      <c r="L821" s="396"/>
      <c r="O821" s="388"/>
      <c r="P821" s="388"/>
      <c r="AA821" s="421">
        <f t="shared" si="12"/>
        <v>0</v>
      </c>
    </row>
    <row r="822" spans="1:27" ht="16.5">
      <c r="A822" s="387">
        <f>'STAT 77 Table'!$I$821</f>
        <v>0</v>
      </c>
      <c r="B822"/>
      <c r="C822"/>
      <c r="D822" s="387" t="str">
        <f>IF($B822&lt;&gt;"",IFERROR(IF(LEFT($B822,3)=$Z$2,VLOOKUP($C822,Outbound!$B:$Z,4,FALSE),VLOOKUP($B822,Outbound!$B:$Z,4,FALSE)),"ON ROCS/NOT ON FILE"),"")</f>
        <v/>
      </c>
      <c r="E822" s="387" t="str">
        <f>IF($B822&lt;&gt;"",IFERROR(IF(LEFT($B822,4)=$Z$2,VLOOKUP($C822,Outbound!$B:$Z,5,FALSE),VLOOKUP($B822,Outbound!$B:$Z,5,FALSE)),"ON ROCS/NOT ON FILE"),"")</f>
        <v/>
      </c>
      <c r="F822" s="387" t="str">
        <f>IF(B822&lt;&gt;"",IFERROR(IF(LEFT($B822,3)=$Z$2,VLOOKUP($C822,Outbound!$B:$Z,11,FALSE),VLOOKUP($B822,Outbound!$B:$Z,11,FALSE)),"NON TROVATO"),"")</f>
        <v/>
      </c>
      <c r="G822" s="394" t="str">
        <f>IF(B822&lt;&gt;"",IFERROR(IF(LEFT($B822,3)=$Z$2,VLOOKUP($C822,Outbound!$B:$AAZ,16,FALSE),VLOOKUP($B822,Outbound!$B:$AAZ,16,FALSE)),"NON TROVATO"),"")</f>
        <v/>
      </c>
      <c r="H822" s="394" t="str">
        <f>IF(B822&lt;&gt;"",IFERROR(IF(LEFT($B822,3)=$Z$2,VLOOKUP($C822,Outbound!$B:$AAZ,6,FALSE),VLOOKUP($B822,Outbound!$B:$AAZ,6,FALSE)),"NON TROVATO"),"")</f>
        <v/>
      </c>
      <c r="I822" s="394" t="str">
        <f>IF(B822&lt;&gt;"",IFERROR(IF(LEFT($B822,3)=$Z$2,VLOOKUP($C822,Outbound!$B:$AAZ,52,FALSE),VLOOKUP($B822,Outbound!$B:$AAZ,52,FALSE)),"NON TROVATO"),"")</f>
        <v/>
      </c>
      <c r="J822" s="396"/>
      <c r="K822" s="387" t="str">
        <f>IF(B822&lt;&gt;"",IF($D822&lt;&gt;"ON ROCS/NOT ON FILE",IFERROR(_xlfn.XLOOKUP(LEFT($D822,3),'STAT 77 Table'!$B:$B,'STAT 77 Table'!$A:$A),"ZZ"&amp;RIGHT($B822,4)),""),"")</f>
        <v/>
      </c>
      <c r="L822" s="396"/>
      <c r="O822" s="388"/>
      <c r="P822" s="388"/>
      <c r="AA822" s="421">
        <f t="shared" si="12"/>
        <v>0</v>
      </c>
    </row>
    <row r="823" spans="1:27" ht="16.5">
      <c r="A823" s="387">
        <f>'STAT 77 Table'!$I$822</f>
        <v>0</v>
      </c>
      <c r="B823"/>
      <c r="C823"/>
      <c r="D823" s="387" t="str">
        <f>IF($B823&lt;&gt;"",IFERROR(IF(LEFT($B823,3)=$Z$2,VLOOKUP($C823,Outbound!$B:$Z,4,FALSE),VLOOKUP($B823,Outbound!$B:$Z,4,FALSE)),"ON ROCS/NOT ON FILE"),"")</f>
        <v/>
      </c>
      <c r="E823" s="387" t="str">
        <f>IF($B823&lt;&gt;"",IFERROR(IF(LEFT($B823,4)=$Z$2,VLOOKUP($C823,Outbound!$B:$Z,5,FALSE),VLOOKUP($B823,Outbound!$B:$Z,5,FALSE)),"ON ROCS/NOT ON FILE"),"")</f>
        <v/>
      </c>
      <c r="F823" s="387" t="str">
        <f>IF(B823&lt;&gt;"",IFERROR(IF(LEFT($B823,3)=$Z$2,VLOOKUP($C823,Outbound!$B:$Z,11,FALSE),VLOOKUP($B823,Outbound!$B:$Z,11,FALSE)),"NON TROVATO"),"")</f>
        <v/>
      </c>
      <c r="G823" s="394" t="str">
        <f>IF(B823&lt;&gt;"",IFERROR(IF(LEFT($B823,3)=$Z$2,VLOOKUP($C823,Outbound!$B:$AAZ,16,FALSE),VLOOKUP($B823,Outbound!$B:$AAZ,16,FALSE)),"NON TROVATO"),"")</f>
        <v/>
      </c>
      <c r="H823" s="394" t="str">
        <f>IF(B823&lt;&gt;"",IFERROR(IF(LEFT($B823,3)=$Z$2,VLOOKUP($C823,Outbound!$B:$AAZ,6,FALSE),VLOOKUP($B823,Outbound!$B:$AAZ,6,FALSE)),"NON TROVATO"),"")</f>
        <v/>
      </c>
      <c r="I823" s="394" t="str">
        <f>IF(B823&lt;&gt;"",IFERROR(IF(LEFT($B823,3)=$Z$2,VLOOKUP($C823,Outbound!$B:$AAZ,52,FALSE),VLOOKUP($B823,Outbound!$B:$AAZ,52,FALSE)),"NON TROVATO"),"")</f>
        <v/>
      </c>
      <c r="J823" s="396"/>
      <c r="K823" s="387" t="str">
        <f>IF(B823&lt;&gt;"",IF($D823&lt;&gt;"ON ROCS/NOT ON FILE",IFERROR(_xlfn.XLOOKUP(LEFT($D823,3),'STAT 77 Table'!$B:$B,'STAT 77 Table'!$A:$A),"ZZ"&amp;RIGHT($B823,4)),""),"")</f>
        <v/>
      </c>
      <c r="L823" s="396"/>
      <c r="O823" s="388"/>
      <c r="P823" s="388"/>
      <c r="AA823" s="421">
        <f t="shared" si="12"/>
        <v>0</v>
      </c>
    </row>
    <row r="824" spans="1:27" ht="16.5">
      <c r="A824" s="387">
        <f>'STAT 77 Table'!$I$823</f>
        <v>0</v>
      </c>
      <c r="B824"/>
      <c r="C824"/>
      <c r="D824" s="387" t="str">
        <f>IF($B824&lt;&gt;"",IFERROR(IF(LEFT($B824,3)=$Z$2,VLOOKUP($C824,Outbound!$B:$Z,4,FALSE),VLOOKUP($B824,Outbound!$B:$Z,4,FALSE)),"ON ROCS/NOT ON FILE"),"")</f>
        <v/>
      </c>
      <c r="E824" s="387" t="str">
        <f>IF($B824&lt;&gt;"",IFERROR(IF(LEFT($B824,4)=$Z$2,VLOOKUP($C824,Outbound!$B:$Z,5,FALSE),VLOOKUP($B824,Outbound!$B:$Z,5,FALSE)),"ON ROCS/NOT ON FILE"),"")</f>
        <v/>
      </c>
      <c r="F824" s="387" t="str">
        <f>IF(B824&lt;&gt;"",IFERROR(IF(LEFT($B824,3)=$Z$2,VLOOKUP($C824,Outbound!$B:$Z,11,FALSE),VLOOKUP($B824,Outbound!$B:$Z,11,FALSE)),"NON TROVATO"),"")</f>
        <v/>
      </c>
      <c r="G824" s="394" t="str">
        <f>IF(B824&lt;&gt;"",IFERROR(IF(LEFT($B824,3)=$Z$2,VLOOKUP($C824,Outbound!$B:$AAZ,16,FALSE),VLOOKUP($B824,Outbound!$B:$AAZ,16,FALSE)),"NON TROVATO"),"")</f>
        <v/>
      </c>
      <c r="H824" s="394" t="str">
        <f>IF(B824&lt;&gt;"",IFERROR(IF(LEFT($B824,3)=$Z$2,VLOOKUP($C824,Outbound!$B:$AAZ,6,FALSE),VLOOKUP($B824,Outbound!$B:$AAZ,6,FALSE)),"NON TROVATO"),"")</f>
        <v/>
      </c>
      <c r="I824" s="394" t="str">
        <f>IF(B824&lt;&gt;"",IFERROR(IF(LEFT($B824,3)=$Z$2,VLOOKUP($C824,Outbound!$B:$AAZ,52,FALSE),VLOOKUP($B824,Outbound!$B:$AAZ,52,FALSE)),"NON TROVATO"),"")</f>
        <v/>
      </c>
      <c r="J824" s="396"/>
      <c r="K824" s="387" t="str">
        <f>IF(B824&lt;&gt;"",IF($D824&lt;&gt;"ON ROCS/NOT ON FILE",IFERROR(_xlfn.XLOOKUP(LEFT($D824,3),'STAT 77 Table'!$B:$B,'STAT 77 Table'!$A:$A),"ZZ"&amp;RIGHT($B824,4)),""),"")</f>
        <v/>
      </c>
      <c r="L824" s="396"/>
      <c r="O824" s="388"/>
      <c r="P824" s="388"/>
      <c r="AA824" s="421">
        <f t="shared" si="12"/>
        <v>0</v>
      </c>
    </row>
    <row r="825" spans="1:27" ht="16.5">
      <c r="A825" s="387">
        <f>'STAT 77 Table'!$I$824</f>
        <v>0</v>
      </c>
      <c r="B825"/>
      <c r="C825"/>
      <c r="D825" s="387" t="str">
        <f>IF($B825&lt;&gt;"",IFERROR(IF(LEFT($B825,3)=$Z$2,VLOOKUP($C825,Outbound!$B:$Z,4,FALSE),VLOOKUP($B825,Outbound!$B:$Z,4,FALSE)),"ON ROCS/NOT ON FILE"),"")</f>
        <v/>
      </c>
      <c r="E825" s="387" t="str">
        <f>IF($B825&lt;&gt;"",IFERROR(IF(LEFT($B825,4)=$Z$2,VLOOKUP($C825,Outbound!$B:$Z,5,FALSE),VLOOKUP($B825,Outbound!$B:$Z,5,FALSE)),"ON ROCS/NOT ON FILE"),"")</f>
        <v/>
      </c>
      <c r="F825" s="387" t="str">
        <f>IF(B825&lt;&gt;"",IFERROR(IF(LEFT($B825,3)=$Z$2,VLOOKUP($C825,Outbound!$B:$Z,11,FALSE),VLOOKUP($B825,Outbound!$B:$Z,11,FALSE)),"NON TROVATO"),"")</f>
        <v/>
      </c>
      <c r="G825" s="394" t="str">
        <f>IF(B825&lt;&gt;"",IFERROR(IF(LEFT($B825,3)=$Z$2,VLOOKUP($C825,Outbound!$B:$AAZ,16,FALSE),VLOOKUP($B825,Outbound!$B:$AAZ,16,FALSE)),"NON TROVATO"),"")</f>
        <v/>
      </c>
      <c r="H825" s="394" t="str">
        <f>IF(B825&lt;&gt;"",IFERROR(IF(LEFT($B825,3)=$Z$2,VLOOKUP($C825,Outbound!$B:$AAZ,6,FALSE),VLOOKUP($B825,Outbound!$B:$AAZ,6,FALSE)),"NON TROVATO"),"")</f>
        <v/>
      </c>
      <c r="I825" s="394" t="str">
        <f>IF(B825&lt;&gt;"",IFERROR(IF(LEFT($B825,3)=$Z$2,VLOOKUP($C825,Outbound!$B:$AAZ,52,FALSE),VLOOKUP($B825,Outbound!$B:$AAZ,52,FALSE)),"NON TROVATO"),"")</f>
        <v/>
      </c>
      <c r="J825" s="396"/>
      <c r="K825" s="387" t="str">
        <f>IF(B825&lt;&gt;"",IF($D825&lt;&gt;"ON ROCS/NOT ON FILE",IFERROR(_xlfn.XLOOKUP(LEFT($D825,3),'STAT 77 Table'!$B:$B,'STAT 77 Table'!$A:$A),"ZZ"&amp;RIGHT($B825,4)),""),"")</f>
        <v/>
      </c>
      <c r="L825" s="396"/>
      <c r="O825" s="388"/>
      <c r="P825" s="388"/>
      <c r="AA825" s="421">
        <f t="shared" si="12"/>
        <v>0</v>
      </c>
    </row>
    <row r="826" spans="1:27" ht="16.5">
      <c r="A826" s="387">
        <f>'STAT 77 Table'!$I$825</f>
        <v>0</v>
      </c>
      <c r="B826"/>
      <c r="C826"/>
      <c r="D826" s="387" t="str">
        <f>IF($B826&lt;&gt;"",IFERROR(IF(LEFT($B826,3)=$Z$2,VLOOKUP($C826,Outbound!$B:$Z,4,FALSE),VLOOKUP($B826,Outbound!$B:$Z,4,FALSE)),"ON ROCS/NOT ON FILE"),"")</f>
        <v/>
      </c>
      <c r="E826" s="387" t="str">
        <f>IF($B826&lt;&gt;"",IFERROR(IF(LEFT($B826,4)=$Z$2,VLOOKUP($C826,Outbound!$B:$Z,5,FALSE),VLOOKUP($B826,Outbound!$B:$Z,5,FALSE)),"ON ROCS/NOT ON FILE"),"")</f>
        <v/>
      </c>
      <c r="F826" s="387" t="str">
        <f>IF(B826&lt;&gt;"",IFERROR(IF(LEFT($B826,3)=$Z$2,VLOOKUP($C826,Outbound!$B:$Z,11,FALSE),VLOOKUP($B826,Outbound!$B:$Z,11,FALSE)),"NON TROVATO"),"")</f>
        <v/>
      </c>
      <c r="G826" s="394" t="str">
        <f>IF(B826&lt;&gt;"",IFERROR(IF(LEFT($B826,3)=$Z$2,VLOOKUP($C826,Outbound!$B:$AAZ,16,FALSE),VLOOKUP($B826,Outbound!$B:$AAZ,16,FALSE)),"NON TROVATO"),"")</f>
        <v/>
      </c>
      <c r="H826" s="394" t="str">
        <f>IF(B826&lt;&gt;"",IFERROR(IF(LEFT($B826,3)=$Z$2,VLOOKUP($C826,Outbound!$B:$AAZ,6,FALSE),VLOOKUP($B826,Outbound!$B:$AAZ,6,FALSE)),"NON TROVATO"),"")</f>
        <v/>
      </c>
      <c r="I826" s="394" t="str">
        <f>IF(B826&lt;&gt;"",IFERROR(IF(LEFT($B826,3)=$Z$2,VLOOKUP($C826,Outbound!$B:$AAZ,52,FALSE),VLOOKUP($B826,Outbound!$B:$AAZ,52,FALSE)),"NON TROVATO"),"")</f>
        <v/>
      </c>
      <c r="J826" s="396"/>
      <c r="K826" s="387" t="str">
        <f>IF(B826&lt;&gt;"",IF($D826&lt;&gt;"ON ROCS/NOT ON FILE",IFERROR(_xlfn.XLOOKUP(LEFT($D826,3),'STAT 77 Table'!$B:$B,'STAT 77 Table'!$A:$A),"ZZ"&amp;RIGHT($B826,4)),""),"")</f>
        <v/>
      </c>
      <c r="L826" s="396"/>
      <c r="O826" s="388"/>
      <c r="P826" s="388"/>
      <c r="AA826" s="421">
        <f t="shared" si="12"/>
        <v>0</v>
      </c>
    </row>
    <row r="827" spans="1:27" ht="16.5">
      <c r="A827" s="387">
        <f>'STAT 77 Table'!$I$826</f>
        <v>0</v>
      </c>
      <c r="B827"/>
      <c r="C827"/>
      <c r="D827" s="387" t="str">
        <f>IF($B827&lt;&gt;"",IFERROR(IF(LEFT($B827,3)=$Z$2,VLOOKUP($C827,Outbound!$B:$Z,4,FALSE),VLOOKUP($B827,Outbound!$B:$Z,4,FALSE)),"ON ROCS/NOT ON FILE"),"")</f>
        <v/>
      </c>
      <c r="E827" s="387" t="str">
        <f>IF($B827&lt;&gt;"",IFERROR(IF(LEFT($B827,4)=$Z$2,VLOOKUP($C827,Outbound!$B:$Z,5,FALSE),VLOOKUP($B827,Outbound!$B:$Z,5,FALSE)),"ON ROCS/NOT ON FILE"),"")</f>
        <v/>
      </c>
      <c r="F827" s="387" t="str">
        <f>IF(B827&lt;&gt;"",IFERROR(IF(LEFT($B827,3)=$Z$2,VLOOKUP($C827,Outbound!$B:$Z,11,FALSE),VLOOKUP($B827,Outbound!$B:$Z,11,FALSE)),"NON TROVATO"),"")</f>
        <v/>
      </c>
      <c r="G827" s="394" t="str">
        <f>IF(B827&lt;&gt;"",IFERROR(IF(LEFT($B827,3)=$Z$2,VLOOKUP($C827,Outbound!$B:$AAZ,16,FALSE),VLOOKUP($B827,Outbound!$B:$AAZ,16,FALSE)),"NON TROVATO"),"")</f>
        <v/>
      </c>
      <c r="H827" s="394" t="str">
        <f>IF(B827&lt;&gt;"",IFERROR(IF(LEFT($B827,3)=$Z$2,VLOOKUP($C827,Outbound!$B:$AAZ,6,FALSE),VLOOKUP($B827,Outbound!$B:$AAZ,6,FALSE)),"NON TROVATO"),"")</f>
        <v/>
      </c>
      <c r="I827" s="394" t="str">
        <f>IF(B827&lt;&gt;"",IFERROR(IF(LEFT($B827,3)=$Z$2,VLOOKUP($C827,Outbound!$B:$AAZ,52,FALSE),VLOOKUP($B827,Outbound!$B:$AAZ,52,FALSE)),"NON TROVATO"),"")</f>
        <v/>
      </c>
      <c r="J827" s="396"/>
      <c r="K827" s="387" t="str">
        <f>IF(B827&lt;&gt;"",IF($D827&lt;&gt;"ON ROCS/NOT ON FILE",IFERROR(_xlfn.XLOOKUP(LEFT($D827,3),'STAT 77 Table'!$B:$B,'STAT 77 Table'!$A:$A),"ZZ"&amp;RIGHT($B827,4)),""),"")</f>
        <v/>
      </c>
      <c r="L827" s="396"/>
      <c r="O827" s="388"/>
      <c r="P827" s="388"/>
      <c r="AA827" s="421">
        <f t="shared" si="12"/>
        <v>0</v>
      </c>
    </row>
    <row r="828" spans="1:27" ht="16.5">
      <c r="A828" s="387">
        <f>'STAT 77 Table'!$I$827</f>
        <v>0</v>
      </c>
      <c r="B828"/>
      <c r="C828"/>
      <c r="D828" s="387" t="str">
        <f>IF($B828&lt;&gt;"",IFERROR(IF(LEFT($B828,3)=$Z$2,VLOOKUP($C828,Outbound!$B:$Z,4,FALSE),VLOOKUP($B828,Outbound!$B:$Z,4,FALSE)),"ON ROCS/NOT ON FILE"),"")</f>
        <v/>
      </c>
      <c r="E828" s="387" t="str">
        <f>IF($B828&lt;&gt;"",IFERROR(IF(LEFT($B828,4)=$Z$2,VLOOKUP($C828,Outbound!$B:$Z,5,FALSE),VLOOKUP($B828,Outbound!$B:$Z,5,FALSE)),"ON ROCS/NOT ON FILE"),"")</f>
        <v/>
      </c>
      <c r="F828" s="387" t="str">
        <f>IF(B828&lt;&gt;"",IFERROR(IF(LEFT($B828,3)=$Z$2,VLOOKUP($C828,Outbound!$B:$Z,11,FALSE),VLOOKUP($B828,Outbound!$B:$Z,11,FALSE)),"NON TROVATO"),"")</f>
        <v/>
      </c>
      <c r="G828" s="394" t="str">
        <f>IF(B828&lt;&gt;"",IFERROR(IF(LEFT($B828,3)=$Z$2,VLOOKUP($C828,Outbound!$B:$AAZ,16,FALSE),VLOOKUP($B828,Outbound!$B:$AAZ,16,FALSE)),"NON TROVATO"),"")</f>
        <v/>
      </c>
      <c r="H828" s="394" t="str">
        <f>IF(B828&lt;&gt;"",IFERROR(IF(LEFT($B828,3)=$Z$2,VLOOKUP($C828,Outbound!$B:$AAZ,6,FALSE),VLOOKUP($B828,Outbound!$B:$AAZ,6,FALSE)),"NON TROVATO"),"")</f>
        <v/>
      </c>
      <c r="I828" s="394" t="str">
        <f>IF(B828&lt;&gt;"",IFERROR(IF(LEFT($B828,3)=$Z$2,VLOOKUP($C828,Outbound!$B:$AAZ,52,FALSE),VLOOKUP($B828,Outbound!$B:$AAZ,52,FALSE)),"NON TROVATO"),"")</f>
        <v/>
      </c>
      <c r="J828" s="396"/>
      <c r="K828" s="387" t="str">
        <f>IF(B828&lt;&gt;"",IF($D828&lt;&gt;"ON ROCS/NOT ON FILE",IFERROR(_xlfn.XLOOKUP(LEFT($D828,3),'STAT 77 Table'!$B:$B,'STAT 77 Table'!$A:$A),"ZZ"&amp;RIGHT($B828,4)),""),"")</f>
        <v/>
      </c>
      <c r="L828" s="396"/>
      <c r="O828" s="388"/>
      <c r="P828" s="388"/>
      <c r="AA828" s="421">
        <f t="shared" si="12"/>
        <v>0</v>
      </c>
    </row>
    <row r="829" spans="1:27" ht="16.5">
      <c r="A829" s="387">
        <f>'STAT 77 Table'!$I$828</f>
        <v>0</v>
      </c>
      <c r="B829"/>
      <c r="C829"/>
      <c r="D829" s="387" t="str">
        <f>IF($B829&lt;&gt;"",IFERROR(IF(LEFT($B829,3)=$Z$2,VLOOKUP($C829,Outbound!$B:$Z,4,FALSE),VLOOKUP($B829,Outbound!$B:$Z,4,FALSE)),"ON ROCS/NOT ON FILE"),"")</f>
        <v/>
      </c>
      <c r="E829" s="387" t="str">
        <f>IF($B829&lt;&gt;"",IFERROR(IF(LEFT($B829,4)=$Z$2,VLOOKUP($C829,Outbound!$B:$Z,5,FALSE),VLOOKUP($B829,Outbound!$B:$Z,5,FALSE)),"ON ROCS/NOT ON FILE"),"")</f>
        <v/>
      </c>
      <c r="F829" s="387" t="str">
        <f>IF(B829&lt;&gt;"",IFERROR(IF(LEFT($B829,3)=$Z$2,VLOOKUP($C829,Outbound!$B:$Z,11,FALSE),VLOOKUP($B829,Outbound!$B:$Z,11,FALSE)),"NON TROVATO"),"")</f>
        <v/>
      </c>
      <c r="G829" s="394" t="str">
        <f>IF(B829&lt;&gt;"",IFERROR(IF(LEFT($B829,3)=$Z$2,VLOOKUP($C829,Outbound!$B:$AAZ,16,FALSE),VLOOKUP($B829,Outbound!$B:$AAZ,16,FALSE)),"NON TROVATO"),"")</f>
        <v/>
      </c>
      <c r="H829" s="394" t="str">
        <f>IF(B829&lt;&gt;"",IFERROR(IF(LEFT($B829,3)=$Z$2,VLOOKUP($C829,Outbound!$B:$AAZ,6,FALSE),VLOOKUP($B829,Outbound!$B:$AAZ,6,FALSE)),"NON TROVATO"),"")</f>
        <v/>
      </c>
      <c r="I829" s="394" t="str">
        <f>IF(B829&lt;&gt;"",IFERROR(IF(LEFT($B829,3)=$Z$2,VLOOKUP($C829,Outbound!$B:$AAZ,52,FALSE),VLOOKUP($B829,Outbound!$B:$AAZ,52,FALSE)),"NON TROVATO"),"")</f>
        <v/>
      </c>
      <c r="J829" s="396"/>
      <c r="K829" s="387" t="str">
        <f>IF(B829&lt;&gt;"",IF($D829&lt;&gt;"ON ROCS/NOT ON FILE",IFERROR(_xlfn.XLOOKUP(LEFT($D829,3),'STAT 77 Table'!$B:$B,'STAT 77 Table'!$A:$A),"ZZ"&amp;RIGHT($B829,4)),""),"")</f>
        <v/>
      </c>
      <c r="L829" s="396"/>
      <c r="O829" s="388"/>
      <c r="P829" s="388"/>
      <c r="AA829" s="421">
        <f t="shared" si="12"/>
        <v>0</v>
      </c>
    </row>
    <row r="830" spans="1:27" ht="16.5">
      <c r="A830" s="387">
        <f>'STAT 77 Table'!$I$829</f>
        <v>0</v>
      </c>
      <c r="B830"/>
      <c r="C830"/>
      <c r="D830" s="387" t="str">
        <f>IF($B830&lt;&gt;"",IFERROR(IF(LEFT($B830,3)=$Z$2,VLOOKUP($C830,Outbound!$B:$Z,4,FALSE),VLOOKUP($B830,Outbound!$B:$Z,4,FALSE)),"ON ROCS/NOT ON FILE"),"")</f>
        <v/>
      </c>
      <c r="E830" s="387" t="str">
        <f>IF($B830&lt;&gt;"",IFERROR(IF(LEFT($B830,4)=$Z$2,VLOOKUP($C830,Outbound!$B:$Z,5,FALSE),VLOOKUP($B830,Outbound!$B:$Z,5,FALSE)),"ON ROCS/NOT ON FILE"),"")</f>
        <v/>
      </c>
      <c r="F830" s="387" t="str">
        <f>IF(B830&lt;&gt;"",IFERROR(IF(LEFT($B830,3)=$Z$2,VLOOKUP($C830,Outbound!$B:$Z,11,FALSE),VLOOKUP($B830,Outbound!$B:$Z,11,FALSE)),"NON TROVATO"),"")</f>
        <v/>
      </c>
      <c r="G830" s="394" t="str">
        <f>IF(B830&lt;&gt;"",IFERROR(IF(LEFT($B830,3)=$Z$2,VLOOKUP($C830,Outbound!$B:$AAZ,16,FALSE),VLOOKUP($B830,Outbound!$B:$AAZ,16,FALSE)),"NON TROVATO"),"")</f>
        <v/>
      </c>
      <c r="H830" s="394" t="str">
        <f>IF(B830&lt;&gt;"",IFERROR(IF(LEFT($B830,3)=$Z$2,VLOOKUP($C830,Outbound!$B:$AAZ,6,FALSE),VLOOKUP($B830,Outbound!$B:$AAZ,6,FALSE)),"NON TROVATO"),"")</f>
        <v/>
      </c>
      <c r="I830" s="394" t="str">
        <f>IF(B830&lt;&gt;"",IFERROR(IF(LEFT($B830,3)=$Z$2,VLOOKUP($C830,Outbound!$B:$AAZ,52,FALSE),VLOOKUP($B830,Outbound!$B:$AAZ,52,FALSE)),"NON TROVATO"),"")</f>
        <v/>
      </c>
      <c r="J830" s="396"/>
      <c r="K830" s="387" t="str">
        <f>IF(B830&lt;&gt;"",IF($D830&lt;&gt;"ON ROCS/NOT ON FILE",IFERROR(_xlfn.XLOOKUP(LEFT($D830,3),'STAT 77 Table'!$B:$B,'STAT 77 Table'!$A:$A),"ZZ"&amp;RIGHT($B830,4)),""),"")</f>
        <v/>
      </c>
      <c r="L830" s="396"/>
      <c r="O830" s="388"/>
      <c r="P830" s="388"/>
      <c r="AA830" s="421">
        <f t="shared" si="12"/>
        <v>0</v>
      </c>
    </row>
    <row r="831" spans="1:27" ht="16.5">
      <c r="A831" s="387">
        <f>'STAT 77 Table'!$I$830</f>
        <v>0</v>
      </c>
      <c r="B831"/>
      <c r="C831"/>
      <c r="D831" s="387" t="str">
        <f>IF($B831&lt;&gt;"",IFERROR(IF(LEFT($B831,3)=$Z$2,VLOOKUP($C831,Outbound!$B:$Z,4,FALSE),VLOOKUP($B831,Outbound!$B:$Z,4,FALSE)),"ON ROCS/NOT ON FILE"),"")</f>
        <v/>
      </c>
      <c r="E831" s="387" t="str">
        <f>IF($B831&lt;&gt;"",IFERROR(IF(LEFT($B831,4)=$Z$2,VLOOKUP($C831,Outbound!$B:$Z,5,FALSE),VLOOKUP($B831,Outbound!$B:$Z,5,FALSE)),"ON ROCS/NOT ON FILE"),"")</f>
        <v/>
      </c>
      <c r="F831" s="387" t="str">
        <f>IF(B831&lt;&gt;"",IFERROR(IF(LEFT($B831,3)=$Z$2,VLOOKUP($C831,Outbound!$B:$Z,11,FALSE),VLOOKUP($B831,Outbound!$B:$Z,11,FALSE)),"NON TROVATO"),"")</f>
        <v/>
      </c>
      <c r="G831" s="394" t="str">
        <f>IF(B831&lt;&gt;"",IFERROR(IF(LEFT($B831,3)=$Z$2,VLOOKUP($C831,Outbound!$B:$AAZ,16,FALSE),VLOOKUP($B831,Outbound!$B:$AAZ,16,FALSE)),"NON TROVATO"),"")</f>
        <v/>
      </c>
      <c r="H831" s="394" t="str">
        <f>IF(B831&lt;&gt;"",IFERROR(IF(LEFT($B831,3)=$Z$2,VLOOKUP($C831,Outbound!$B:$AAZ,6,FALSE),VLOOKUP($B831,Outbound!$B:$AAZ,6,FALSE)),"NON TROVATO"),"")</f>
        <v/>
      </c>
      <c r="I831" s="394" t="str">
        <f>IF(B831&lt;&gt;"",IFERROR(IF(LEFT($B831,3)=$Z$2,VLOOKUP($C831,Outbound!$B:$AAZ,52,FALSE),VLOOKUP($B831,Outbound!$B:$AAZ,52,FALSE)),"NON TROVATO"),"")</f>
        <v/>
      </c>
      <c r="J831" s="396"/>
      <c r="K831" s="387" t="str">
        <f>IF(B831&lt;&gt;"",IF($D831&lt;&gt;"ON ROCS/NOT ON FILE",IFERROR(_xlfn.XLOOKUP(LEFT($D831,3),'STAT 77 Table'!$B:$B,'STAT 77 Table'!$A:$A),"ZZ"&amp;RIGHT($B831,4)),""),"")</f>
        <v/>
      </c>
      <c r="L831" s="396"/>
      <c r="O831" s="388"/>
      <c r="P831" s="388"/>
      <c r="AA831" s="421">
        <f t="shared" si="12"/>
        <v>0</v>
      </c>
    </row>
    <row r="832" spans="1:27" ht="16.5">
      <c r="A832" s="387">
        <f>'STAT 77 Table'!$I$831</f>
        <v>0</v>
      </c>
      <c r="B832"/>
      <c r="C832"/>
      <c r="D832" s="387" t="str">
        <f>IF($B832&lt;&gt;"",IFERROR(IF(LEFT($B832,3)=$Z$2,VLOOKUP($C832,Outbound!$B:$Z,4,FALSE),VLOOKUP($B832,Outbound!$B:$Z,4,FALSE)),"ON ROCS/NOT ON FILE"),"")</f>
        <v/>
      </c>
      <c r="E832" s="387" t="str">
        <f>IF($B832&lt;&gt;"",IFERROR(IF(LEFT($B832,4)=$Z$2,VLOOKUP($C832,Outbound!$B:$Z,5,FALSE),VLOOKUP($B832,Outbound!$B:$Z,5,FALSE)),"ON ROCS/NOT ON FILE"),"")</f>
        <v/>
      </c>
      <c r="F832" s="387" t="str">
        <f>IF(B832&lt;&gt;"",IFERROR(IF(LEFT($B832,3)=$Z$2,VLOOKUP($C832,Outbound!$B:$Z,11,FALSE),VLOOKUP($B832,Outbound!$B:$Z,11,FALSE)),"NON TROVATO"),"")</f>
        <v/>
      </c>
      <c r="G832" s="394" t="str">
        <f>IF(B832&lt;&gt;"",IFERROR(IF(LEFT($B832,3)=$Z$2,VLOOKUP($C832,Outbound!$B:$AAZ,16,FALSE),VLOOKUP($B832,Outbound!$B:$AAZ,16,FALSE)),"NON TROVATO"),"")</f>
        <v/>
      </c>
      <c r="H832" s="394" t="str">
        <f>IF(B832&lt;&gt;"",IFERROR(IF(LEFT($B832,3)=$Z$2,VLOOKUP($C832,Outbound!$B:$AAZ,6,FALSE),VLOOKUP($B832,Outbound!$B:$AAZ,6,FALSE)),"NON TROVATO"),"")</f>
        <v/>
      </c>
      <c r="I832" s="394" t="str">
        <f>IF(B832&lt;&gt;"",IFERROR(IF(LEFT($B832,3)=$Z$2,VLOOKUP($C832,Outbound!$B:$AAZ,52,FALSE),VLOOKUP($B832,Outbound!$B:$AAZ,52,FALSE)),"NON TROVATO"),"")</f>
        <v/>
      </c>
      <c r="J832" s="396"/>
      <c r="K832" s="387" t="str">
        <f>IF(B832&lt;&gt;"",IF($D832&lt;&gt;"ON ROCS/NOT ON FILE",IFERROR(_xlfn.XLOOKUP(LEFT($D832,3),'STAT 77 Table'!$B:$B,'STAT 77 Table'!$A:$A),"ZZ"&amp;RIGHT($B832,4)),""),"")</f>
        <v/>
      </c>
      <c r="L832" s="396"/>
      <c r="O832" s="388"/>
      <c r="P832" s="388"/>
      <c r="AA832" s="421">
        <f t="shared" si="12"/>
        <v>0</v>
      </c>
    </row>
    <row r="833" spans="1:27" ht="16.5">
      <c r="A833" s="387">
        <f>'STAT 77 Table'!$I$832</f>
        <v>0</v>
      </c>
      <c r="B833"/>
      <c r="C833"/>
      <c r="D833" s="387" t="str">
        <f>IF($B833&lt;&gt;"",IFERROR(IF(LEFT($B833,3)=$Z$2,VLOOKUP($C833,Outbound!$B:$Z,4,FALSE),VLOOKUP($B833,Outbound!$B:$Z,4,FALSE)),"ON ROCS/NOT ON FILE"),"")</f>
        <v/>
      </c>
      <c r="E833" s="387" t="str">
        <f>IF($B833&lt;&gt;"",IFERROR(IF(LEFT($B833,4)=$Z$2,VLOOKUP($C833,Outbound!$B:$Z,5,FALSE),VLOOKUP($B833,Outbound!$B:$Z,5,FALSE)),"ON ROCS/NOT ON FILE"),"")</f>
        <v/>
      </c>
      <c r="F833" s="387" t="str">
        <f>IF(B833&lt;&gt;"",IFERROR(IF(LEFT($B833,3)=$Z$2,VLOOKUP($C833,Outbound!$B:$Z,11,FALSE),VLOOKUP($B833,Outbound!$B:$Z,11,FALSE)),"NON TROVATO"),"")</f>
        <v/>
      </c>
      <c r="G833" s="394" t="str">
        <f>IF(B833&lt;&gt;"",IFERROR(IF(LEFT($B833,3)=$Z$2,VLOOKUP($C833,Outbound!$B:$AAZ,16,FALSE),VLOOKUP($B833,Outbound!$B:$AAZ,16,FALSE)),"NON TROVATO"),"")</f>
        <v/>
      </c>
      <c r="H833" s="394" t="str">
        <f>IF(B833&lt;&gt;"",IFERROR(IF(LEFT($B833,3)=$Z$2,VLOOKUP($C833,Outbound!$B:$AAZ,6,FALSE),VLOOKUP($B833,Outbound!$B:$AAZ,6,FALSE)),"NON TROVATO"),"")</f>
        <v/>
      </c>
      <c r="I833" s="394" t="str">
        <f>IF(B833&lt;&gt;"",IFERROR(IF(LEFT($B833,3)=$Z$2,VLOOKUP($C833,Outbound!$B:$AAZ,52,FALSE),VLOOKUP($B833,Outbound!$B:$AAZ,52,FALSE)),"NON TROVATO"),"")</f>
        <v/>
      </c>
      <c r="J833" s="396"/>
      <c r="K833" s="387" t="str">
        <f>IF(B833&lt;&gt;"",IF($D833&lt;&gt;"ON ROCS/NOT ON FILE",IFERROR(_xlfn.XLOOKUP(LEFT($D833,3),'STAT 77 Table'!$B:$B,'STAT 77 Table'!$A:$A),"ZZ"&amp;RIGHT($B833,4)),""),"")</f>
        <v/>
      </c>
      <c r="L833" s="396"/>
      <c r="O833" s="388"/>
      <c r="P833" s="388"/>
      <c r="AA833" s="421">
        <f t="shared" si="12"/>
        <v>0</v>
      </c>
    </row>
    <row r="834" spans="1:27" ht="16.5">
      <c r="A834" s="387">
        <f>'STAT 77 Table'!$I$833</f>
        <v>0</v>
      </c>
      <c r="B834"/>
      <c r="C834"/>
      <c r="D834" s="387" t="str">
        <f>IF($B834&lt;&gt;"",IFERROR(IF(LEFT($B834,3)=$Z$2,VLOOKUP($C834,Outbound!$B:$Z,4,FALSE),VLOOKUP($B834,Outbound!$B:$Z,4,FALSE)),"ON ROCS/NOT ON FILE"),"")</f>
        <v/>
      </c>
      <c r="E834" s="387" t="str">
        <f>IF($B834&lt;&gt;"",IFERROR(IF(LEFT($B834,4)=$Z$2,VLOOKUP($C834,Outbound!$B:$Z,5,FALSE),VLOOKUP($B834,Outbound!$B:$Z,5,FALSE)),"ON ROCS/NOT ON FILE"),"")</f>
        <v/>
      </c>
      <c r="F834" s="387" t="str">
        <f>IF(B834&lt;&gt;"",IFERROR(IF(LEFT($B834,3)=$Z$2,VLOOKUP($C834,Outbound!$B:$Z,11,FALSE),VLOOKUP($B834,Outbound!$B:$Z,11,FALSE)),"NON TROVATO"),"")</f>
        <v/>
      </c>
      <c r="G834" s="394" t="str">
        <f>IF(B834&lt;&gt;"",IFERROR(IF(LEFT($B834,3)=$Z$2,VLOOKUP($C834,Outbound!$B:$AAZ,16,FALSE),VLOOKUP($B834,Outbound!$B:$AAZ,16,FALSE)),"NON TROVATO"),"")</f>
        <v/>
      </c>
      <c r="H834" s="394" t="str">
        <f>IF(B834&lt;&gt;"",IFERROR(IF(LEFT($B834,3)=$Z$2,VLOOKUP($C834,Outbound!$B:$AAZ,6,FALSE),VLOOKUP($B834,Outbound!$B:$AAZ,6,FALSE)),"NON TROVATO"),"")</f>
        <v/>
      </c>
      <c r="I834" s="394" t="str">
        <f>IF(B834&lt;&gt;"",IFERROR(IF(LEFT($B834,3)=$Z$2,VLOOKUP($C834,Outbound!$B:$AAZ,52,FALSE),VLOOKUP($B834,Outbound!$B:$AAZ,52,FALSE)),"NON TROVATO"),"")</f>
        <v/>
      </c>
      <c r="J834" s="396"/>
      <c r="K834" s="387" t="str">
        <f>IF(B834&lt;&gt;"",IF($D834&lt;&gt;"ON ROCS/NOT ON FILE",IFERROR(_xlfn.XLOOKUP(LEFT($D834,3),'STAT 77 Table'!$B:$B,'STAT 77 Table'!$A:$A),"ZZ"&amp;RIGHT($B834,4)),""),"")</f>
        <v/>
      </c>
      <c r="L834" s="396"/>
      <c r="O834" s="388"/>
      <c r="P834" s="388"/>
      <c r="AA834" s="421">
        <f t="shared" si="12"/>
        <v>0</v>
      </c>
    </row>
    <row r="835" spans="1:27" ht="16.5">
      <c r="A835" s="387">
        <f>'STAT 77 Table'!$I$834</f>
        <v>0</v>
      </c>
      <c r="B835"/>
      <c r="C835"/>
      <c r="D835" s="387" t="str">
        <f>IF($B835&lt;&gt;"",IFERROR(IF(LEFT($B835,3)=$Z$2,VLOOKUP($C835,Outbound!$B:$Z,4,FALSE),VLOOKUP($B835,Outbound!$B:$Z,4,FALSE)),"ON ROCS/NOT ON FILE"),"")</f>
        <v/>
      </c>
      <c r="E835" s="387" t="str">
        <f>IF($B835&lt;&gt;"",IFERROR(IF(LEFT($B835,4)=$Z$2,VLOOKUP($C835,Outbound!$B:$Z,5,FALSE),VLOOKUP($B835,Outbound!$B:$Z,5,FALSE)),"ON ROCS/NOT ON FILE"),"")</f>
        <v/>
      </c>
      <c r="F835" s="387" t="str">
        <f>IF(B835&lt;&gt;"",IFERROR(IF(LEFT($B835,3)=$Z$2,VLOOKUP($C835,Outbound!$B:$Z,11,FALSE),VLOOKUP($B835,Outbound!$B:$Z,11,FALSE)),"NON TROVATO"),"")</f>
        <v/>
      </c>
      <c r="G835" s="394" t="str">
        <f>IF(B835&lt;&gt;"",IFERROR(IF(LEFT($B835,3)=$Z$2,VLOOKUP($C835,Outbound!$B:$AAZ,16,FALSE),VLOOKUP($B835,Outbound!$B:$AAZ,16,FALSE)),"NON TROVATO"),"")</f>
        <v/>
      </c>
      <c r="H835" s="394" t="str">
        <f>IF(B835&lt;&gt;"",IFERROR(IF(LEFT($B835,3)=$Z$2,VLOOKUP($C835,Outbound!$B:$AAZ,6,FALSE),VLOOKUP($B835,Outbound!$B:$AAZ,6,FALSE)),"NON TROVATO"),"")</f>
        <v/>
      </c>
      <c r="I835" s="394" t="str">
        <f>IF(B835&lt;&gt;"",IFERROR(IF(LEFT($B835,3)=$Z$2,VLOOKUP($C835,Outbound!$B:$AAZ,52,FALSE),VLOOKUP($B835,Outbound!$B:$AAZ,52,FALSE)),"NON TROVATO"),"")</f>
        <v/>
      </c>
      <c r="J835" s="396"/>
      <c r="K835" s="387" t="str">
        <f>IF(B835&lt;&gt;"",IF($D835&lt;&gt;"ON ROCS/NOT ON FILE",IFERROR(_xlfn.XLOOKUP(LEFT($D835,3),'STAT 77 Table'!$B:$B,'STAT 77 Table'!$A:$A),"ZZ"&amp;RIGHT($B835,4)),""),"")</f>
        <v/>
      </c>
      <c r="L835" s="396"/>
      <c r="O835" s="388"/>
      <c r="P835" s="388"/>
      <c r="AA835" s="421">
        <f t="shared" si="12"/>
        <v>0</v>
      </c>
    </row>
    <row r="836" spans="1:27" ht="16.5">
      <c r="A836" s="387">
        <f>'STAT 77 Table'!$I$835</f>
        <v>0</v>
      </c>
      <c r="B836"/>
      <c r="C836"/>
      <c r="D836" s="387" t="str">
        <f>IF($B836&lt;&gt;"",IFERROR(IF(LEFT($B836,3)=$Z$2,VLOOKUP($C836,Outbound!$B:$Z,4,FALSE),VLOOKUP($B836,Outbound!$B:$Z,4,FALSE)),"ON ROCS/NOT ON FILE"),"")</f>
        <v/>
      </c>
      <c r="E836" s="387" t="str">
        <f>IF($B836&lt;&gt;"",IFERROR(IF(LEFT($B836,4)=$Z$2,VLOOKUP($C836,Outbound!$B:$Z,5,FALSE),VLOOKUP($B836,Outbound!$B:$Z,5,FALSE)),"ON ROCS/NOT ON FILE"),"")</f>
        <v/>
      </c>
      <c r="F836" s="387" t="str">
        <f>IF(B836&lt;&gt;"",IFERROR(IF(LEFT($B836,3)=$Z$2,VLOOKUP($C836,Outbound!$B:$Z,11,FALSE),VLOOKUP($B836,Outbound!$B:$Z,11,FALSE)),"NON TROVATO"),"")</f>
        <v/>
      </c>
      <c r="G836" s="394" t="str">
        <f>IF(B836&lt;&gt;"",IFERROR(IF(LEFT($B836,3)=$Z$2,VLOOKUP($C836,Outbound!$B:$AAZ,16,FALSE),VLOOKUP($B836,Outbound!$B:$AAZ,16,FALSE)),"NON TROVATO"),"")</f>
        <v/>
      </c>
      <c r="H836" s="394" t="str">
        <f>IF(B836&lt;&gt;"",IFERROR(IF(LEFT($B836,3)=$Z$2,VLOOKUP($C836,Outbound!$B:$AAZ,6,FALSE),VLOOKUP($B836,Outbound!$B:$AAZ,6,FALSE)),"NON TROVATO"),"")</f>
        <v/>
      </c>
      <c r="I836" s="394" t="str">
        <f>IF(B836&lt;&gt;"",IFERROR(IF(LEFT($B836,3)=$Z$2,VLOOKUP($C836,Outbound!$B:$AAZ,52,FALSE),VLOOKUP($B836,Outbound!$B:$AAZ,52,FALSE)),"NON TROVATO"),"")</f>
        <v/>
      </c>
      <c r="J836" s="396"/>
      <c r="K836" s="387" t="str">
        <f>IF(B836&lt;&gt;"",IF($D836&lt;&gt;"ON ROCS/NOT ON FILE",IFERROR(_xlfn.XLOOKUP(LEFT($D836,3),'STAT 77 Table'!$B:$B,'STAT 77 Table'!$A:$A),"ZZ"&amp;RIGHT($B836,4)),""),"")</f>
        <v/>
      </c>
      <c r="L836" s="396"/>
      <c r="O836" s="388"/>
      <c r="P836" s="388"/>
      <c r="AA836" s="421">
        <f t="shared" ref="AA836:AA899" si="13">IF(LEFT(A836,3)=$X$2,C836,B836)</f>
        <v>0</v>
      </c>
    </row>
    <row r="837" spans="1:27" ht="16.5">
      <c r="A837" s="387">
        <f>'STAT 77 Table'!$I$836</f>
        <v>0</v>
      </c>
      <c r="B837"/>
      <c r="C837"/>
      <c r="D837" s="387" t="str">
        <f>IF($B837&lt;&gt;"",IFERROR(IF(LEFT($B837,3)=$Z$2,VLOOKUP($C837,Outbound!$B:$Z,4,FALSE),VLOOKUP($B837,Outbound!$B:$Z,4,FALSE)),"ON ROCS/NOT ON FILE"),"")</f>
        <v/>
      </c>
      <c r="E837" s="387" t="str">
        <f>IF($B837&lt;&gt;"",IFERROR(IF(LEFT($B837,4)=$Z$2,VLOOKUP($C837,Outbound!$B:$Z,5,FALSE),VLOOKUP($B837,Outbound!$B:$Z,5,FALSE)),"ON ROCS/NOT ON FILE"),"")</f>
        <v/>
      </c>
      <c r="F837" s="387" t="str">
        <f>IF(B837&lt;&gt;"",IFERROR(IF(LEFT($B837,3)=$Z$2,VLOOKUP($C837,Outbound!$B:$Z,11,FALSE),VLOOKUP($B837,Outbound!$B:$Z,11,FALSE)),"NON TROVATO"),"")</f>
        <v/>
      </c>
      <c r="G837" s="394" t="str">
        <f>IF(B837&lt;&gt;"",IFERROR(IF(LEFT($B837,3)=$Z$2,VLOOKUP($C837,Outbound!$B:$AAZ,16,FALSE),VLOOKUP($B837,Outbound!$B:$AAZ,16,FALSE)),"NON TROVATO"),"")</f>
        <v/>
      </c>
      <c r="H837" s="394" t="str">
        <f>IF(B837&lt;&gt;"",IFERROR(IF(LEFT($B837,3)=$Z$2,VLOOKUP($C837,Outbound!$B:$AAZ,6,FALSE),VLOOKUP($B837,Outbound!$B:$AAZ,6,FALSE)),"NON TROVATO"),"")</f>
        <v/>
      </c>
      <c r="I837" s="394" t="str">
        <f>IF(B837&lt;&gt;"",IFERROR(IF(LEFT($B837,3)=$Z$2,VLOOKUP($C837,Outbound!$B:$AAZ,52,FALSE),VLOOKUP($B837,Outbound!$B:$AAZ,52,FALSE)),"NON TROVATO"),"")</f>
        <v/>
      </c>
      <c r="J837" s="396"/>
      <c r="K837" s="387" t="str">
        <f>IF(B837&lt;&gt;"",IF($D837&lt;&gt;"ON ROCS/NOT ON FILE",IFERROR(_xlfn.XLOOKUP(LEFT($D837,3),'STAT 77 Table'!$B:$B,'STAT 77 Table'!$A:$A),"ZZ"&amp;RIGHT($B837,4)),""),"")</f>
        <v/>
      </c>
      <c r="L837" s="396"/>
      <c r="O837" s="388"/>
      <c r="P837" s="388"/>
      <c r="AA837" s="421">
        <f t="shared" si="13"/>
        <v>0</v>
      </c>
    </row>
    <row r="838" spans="1:27" ht="16.5">
      <c r="A838" s="387">
        <f>'STAT 77 Table'!$I$837</f>
        <v>0</v>
      </c>
      <c r="B838"/>
      <c r="C838"/>
      <c r="D838" s="387" t="str">
        <f>IF($B838&lt;&gt;"",IFERROR(IF(LEFT($B838,3)=$Z$2,VLOOKUP($C838,Outbound!$B:$Z,4,FALSE),VLOOKUP($B838,Outbound!$B:$Z,4,FALSE)),"ON ROCS/NOT ON FILE"),"")</f>
        <v/>
      </c>
      <c r="E838" s="387" t="str">
        <f>IF($B838&lt;&gt;"",IFERROR(IF(LEFT($B838,4)=$Z$2,VLOOKUP($C838,Outbound!$B:$Z,5,FALSE),VLOOKUP($B838,Outbound!$B:$Z,5,FALSE)),"ON ROCS/NOT ON FILE"),"")</f>
        <v/>
      </c>
      <c r="F838" s="387" t="str">
        <f>IF(B838&lt;&gt;"",IFERROR(IF(LEFT($B838,3)=$Z$2,VLOOKUP($C838,Outbound!$B:$Z,11,FALSE),VLOOKUP($B838,Outbound!$B:$Z,11,FALSE)),"NON TROVATO"),"")</f>
        <v/>
      </c>
      <c r="G838" s="394" t="str">
        <f>IF(B838&lt;&gt;"",IFERROR(IF(LEFT($B838,3)=$Z$2,VLOOKUP($C838,Outbound!$B:$AAZ,16,FALSE),VLOOKUP($B838,Outbound!$B:$AAZ,16,FALSE)),"NON TROVATO"),"")</f>
        <v/>
      </c>
      <c r="H838" s="394" t="str">
        <f>IF(B838&lt;&gt;"",IFERROR(IF(LEFT($B838,3)=$Z$2,VLOOKUP($C838,Outbound!$B:$AAZ,6,FALSE),VLOOKUP($B838,Outbound!$B:$AAZ,6,FALSE)),"NON TROVATO"),"")</f>
        <v/>
      </c>
      <c r="I838" s="394" t="str">
        <f>IF(B838&lt;&gt;"",IFERROR(IF(LEFT($B838,3)=$Z$2,VLOOKUP($C838,Outbound!$B:$AAZ,52,FALSE),VLOOKUP($B838,Outbound!$B:$AAZ,52,FALSE)),"NON TROVATO"),"")</f>
        <v/>
      </c>
      <c r="J838" s="396"/>
      <c r="K838" s="387" t="str">
        <f>IF(B838&lt;&gt;"",IF($D838&lt;&gt;"ON ROCS/NOT ON FILE",IFERROR(_xlfn.XLOOKUP(LEFT($D838,3),'STAT 77 Table'!$B:$B,'STAT 77 Table'!$A:$A),"ZZ"&amp;RIGHT($B838,4)),""),"")</f>
        <v/>
      </c>
      <c r="L838" s="396"/>
      <c r="O838" s="388"/>
      <c r="P838" s="388"/>
      <c r="AA838" s="421">
        <f t="shared" si="13"/>
        <v>0</v>
      </c>
    </row>
    <row r="839" spans="1:27" ht="16.5">
      <c r="A839" s="387">
        <f>'STAT 77 Table'!$I$838</f>
        <v>0</v>
      </c>
      <c r="B839"/>
      <c r="C839"/>
      <c r="D839" s="387" t="str">
        <f>IF($B839&lt;&gt;"",IFERROR(IF(LEFT($B839,3)=$Z$2,VLOOKUP($C839,Outbound!$B:$Z,4,FALSE),VLOOKUP($B839,Outbound!$B:$Z,4,FALSE)),"ON ROCS/NOT ON FILE"),"")</f>
        <v/>
      </c>
      <c r="E839" s="387" t="str">
        <f>IF($B839&lt;&gt;"",IFERROR(IF(LEFT($B839,4)=$Z$2,VLOOKUP($C839,Outbound!$B:$Z,5,FALSE),VLOOKUP($B839,Outbound!$B:$Z,5,FALSE)),"ON ROCS/NOT ON FILE"),"")</f>
        <v/>
      </c>
      <c r="F839" s="387" t="str">
        <f>IF(B839&lt;&gt;"",IFERROR(IF(LEFT($B839,3)=$Z$2,VLOOKUP($C839,Outbound!$B:$Z,11,FALSE),VLOOKUP($B839,Outbound!$B:$Z,11,FALSE)),"NON TROVATO"),"")</f>
        <v/>
      </c>
      <c r="G839" s="394" t="str">
        <f>IF(B839&lt;&gt;"",IFERROR(IF(LEFT($B839,3)=$Z$2,VLOOKUP($C839,Outbound!$B:$AAZ,16,FALSE),VLOOKUP($B839,Outbound!$B:$AAZ,16,FALSE)),"NON TROVATO"),"")</f>
        <v/>
      </c>
      <c r="H839" s="394" t="str">
        <f>IF(B839&lt;&gt;"",IFERROR(IF(LEFT($B839,3)=$Z$2,VLOOKUP($C839,Outbound!$B:$AAZ,6,FALSE),VLOOKUP($B839,Outbound!$B:$AAZ,6,FALSE)),"NON TROVATO"),"")</f>
        <v/>
      </c>
      <c r="I839" s="394" t="str">
        <f>IF(B839&lt;&gt;"",IFERROR(IF(LEFT($B839,3)=$Z$2,VLOOKUP($C839,Outbound!$B:$AAZ,52,FALSE),VLOOKUP($B839,Outbound!$B:$AAZ,52,FALSE)),"NON TROVATO"),"")</f>
        <v/>
      </c>
      <c r="J839" s="396"/>
      <c r="K839" s="387" t="str">
        <f>IF(B839&lt;&gt;"",IF($D839&lt;&gt;"ON ROCS/NOT ON FILE",IFERROR(_xlfn.XLOOKUP(LEFT($D839,3),'STAT 77 Table'!$B:$B,'STAT 77 Table'!$A:$A),"ZZ"&amp;RIGHT($B839,4)),""),"")</f>
        <v/>
      </c>
      <c r="L839" s="396"/>
      <c r="O839" s="388"/>
      <c r="P839" s="388"/>
      <c r="AA839" s="421">
        <f t="shared" si="13"/>
        <v>0</v>
      </c>
    </row>
    <row r="840" spans="1:27" ht="16.5">
      <c r="A840" s="387">
        <f>'STAT 77 Table'!$I$839</f>
        <v>0</v>
      </c>
      <c r="B840"/>
      <c r="C840"/>
      <c r="D840" s="387" t="str">
        <f>IF($B840&lt;&gt;"",IFERROR(IF(LEFT($B840,3)=$Z$2,VLOOKUP($C840,Outbound!$B:$Z,4,FALSE),VLOOKUP($B840,Outbound!$B:$Z,4,FALSE)),"ON ROCS/NOT ON FILE"),"")</f>
        <v/>
      </c>
      <c r="E840" s="387" t="str">
        <f>IF($B840&lt;&gt;"",IFERROR(IF(LEFT($B840,4)=$Z$2,VLOOKUP($C840,Outbound!$B:$Z,5,FALSE),VLOOKUP($B840,Outbound!$B:$Z,5,FALSE)),"ON ROCS/NOT ON FILE"),"")</f>
        <v/>
      </c>
      <c r="F840" s="387" t="str">
        <f>IF(B840&lt;&gt;"",IFERROR(IF(LEFT($B840,3)=$Z$2,VLOOKUP($C840,Outbound!$B:$Z,11,FALSE),VLOOKUP($B840,Outbound!$B:$Z,11,FALSE)),"NON TROVATO"),"")</f>
        <v/>
      </c>
      <c r="G840" s="394" t="str">
        <f>IF(B840&lt;&gt;"",IFERROR(IF(LEFT($B840,3)=$Z$2,VLOOKUP($C840,Outbound!$B:$AAZ,16,FALSE),VLOOKUP($B840,Outbound!$B:$AAZ,16,FALSE)),"NON TROVATO"),"")</f>
        <v/>
      </c>
      <c r="H840" s="394" t="str">
        <f>IF(B840&lt;&gt;"",IFERROR(IF(LEFT($B840,3)=$Z$2,VLOOKUP($C840,Outbound!$B:$AAZ,6,FALSE),VLOOKUP($B840,Outbound!$B:$AAZ,6,FALSE)),"NON TROVATO"),"")</f>
        <v/>
      </c>
      <c r="I840" s="394" t="str">
        <f>IF(B840&lt;&gt;"",IFERROR(IF(LEFT($B840,3)=$Z$2,VLOOKUP($C840,Outbound!$B:$AAZ,52,FALSE),VLOOKUP($B840,Outbound!$B:$AAZ,52,FALSE)),"NON TROVATO"),"")</f>
        <v/>
      </c>
      <c r="J840" s="396"/>
      <c r="K840" s="387" t="str">
        <f>IF(B840&lt;&gt;"",IF($D840&lt;&gt;"ON ROCS/NOT ON FILE",IFERROR(_xlfn.XLOOKUP(LEFT($D840,3),'STAT 77 Table'!$B:$B,'STAT 77 Table'!$A:$A),"ZZ"&amp;RIGHT($B840,4)),""),"")</f>
        <v/>
      </c>
      <c r="L840" s="396"/>
      <c r="O840" s="388"/>
      <c r="P840" s="388"/>
      <c r="AA840" s="421">
        <f t="shared" si="13"/>
        <v>0</v>
      </c>
    </row>
    <row r="841" spans="1:27" ht="16.5">
      <c r="A841" s="387">
        <f>'STAT 77 Table'!$I$840</f>
        <v>0</v>
      </c>
      <c r="B841"/>
      <c r="C841"/>
      <c r="D841" s="387" t="str">
        <f>IF($B841&lt;&gt;"",IFERROR(IF(LEFT($B841,3)=$Z$2,VLOOKUP($C841,Outbound!$B:$Z,4,FALSE),VLOOKUP($B841,Outbound!$B:$Z,4,FALSE)),"ON ROCS/NOT ON FILE"),"")</f>
        <v/>
      </c>
      <c r="E841" s="387" t="str">
        <f>IF($B841&lt;&gt;"",IFERROR(IF(LEFT($B841,4)=$Z$2,VLOOKUP($C841,Outbound!$B:$Z,5,FALSE),VLOOKUP($B841,Outbound!$B:$Z,5,FALSE)),"ON ROCS/NOT ON FILE"),"")</f>
        <v/>
      </c>
      <c r="F841" s="387" t="str">
        <f>IF(B841&lt;&gt;"",IFERROR(IF(LEFT($B841,3)=$Z$2,VLOOKUP($C841,Outbound!$B:$Z,11,FALSE),VLOOKUP($B841,Outbound!$B:$Z,11,FALSE)),"NON TROVATO"),"")</f>
        <v/>
      </c>
      <c r="G841" s="394" t="str">
        <f>IF(B841&lt;&gt;"",IFERROR(IF(LEFT($B841,3)=$Z$2,VLOOKUP($C841,Outbound!$B:$AAZ,16,FALSE),VLOOKUP($B841,Outbound!$B:$AAZ,16,FALSE)),"NON TROVATO"),"")</f>
        <v/>
      </c>
      <c r="H841" s="394" t="str">
        <f>IF(B841&lt;&gt;"",IFERROR(IF(LEFT($B841,3)=$Z$2,VLOOKUP($C841,Outbound!$B:$AAZ,6,FALSE),VLOOKUP($B841,Outbound!$B:$AAZ,6,FALSE)),"NON TROVATO"),"")</f>
        <v/>
      </c>
      <c r="I841" s="394" t="str">
        <f>IF(B841&lt;&gt;"",IFERROR(IF(LEFT($B841,3)=$Z$2,VLOOKUP($C841,Outbound!$B:$AAZ,52,FALSE),VLOOKUP($B841,Outbound!$B:$AAZ,52,FALSE)),"NON TROVATO"),"")</f>
        <v/>
      </c>
      <c r="J841" s="396"/>
      <c r="K841" s="387" t="str">
        <f>IF(B841&lt;&gt;"",IF($D841&lt;&gt;"ON ROCS/NOT ON FILE",IFERROR(_xlfn.XLOOKUP(LEFT($D841,3),'STAT 77 Table'!$B:$B,'STAT 77 Table'!$A:$A),"ZZ"&amp;RIGHT($B841,4)),""),"")</f>
        <v/>
      </c>
      <c r="L841" s="396"/>
      <c r="O841" s="388"/>
      <c r="P841" s="388"/>
      <c r="AA841" s="421">
        <f t="shared" si="13"/>
        <v>0</v>
      </c>
    </row>
    <row r="842" spans="1:27" ht="16.5">
      <c r="A842" s="387">
        <f>'STAT 77 Table'!$I$841</f>
        <v>0</v>
      </c>
      <c r="B842"/>
      <c r="C842"/>
      <c r="D842" s="387" t="str">
        <f>IF($B842&lt;&gt;"",IFERROR(IF(LEFT($B842,3)=$Z$2,VLOOKUP($C842,Outbound!$B:$Z,4,FALSE),VLOOKUP($B842,Outbound!$B:$Z,4,FALSE)),"ON ROCS/NOT ON FILE"),"")</f>
        <v/>
      </c>
      <c r="E842" s="387" t="str">
        <f>IF($B842&lt;&gt;"",IFERROR(IF(LEFT($B842,4)=$Z$2,VLOOKUP($C842,Outbound!$B:$Z,5,FALSE),VLOOKUP($B842,Outbound!$B:$Z,5,FALSE)),"ON ROCS/NOT ON FILE"),"")</f>
        <v/>
      </c>
      <c r="F842" s="387" t="str">
        <f>IF(B842&lt;&gt;"",IFERROR(IF(LEFT($B842,3)=$Z$2,VLOOKUP($C842,Outbound!$B:$Z,11,FALSE),VLOOKUP($B842,Outbound!$B:$Z,11,FALSE)),"NON TROVATO"),"")</f>
        <v/>
      </c>
      <c r="G842" s="394" t="str">
        <f>IF(B842&lt;&gt;"",IFERROR(IF(LEFT($B842,3)=$Z$2,VLOOKUP($C842,Outbound!$B:$AAZ,16,FALSE),VLOOKUP($B842,Outbound!$B:$AAZ,16,FALSE)),"NON TROVATO"),"")</f>
        <v/>
      </c>
      <c r="H842" s="394" t="str">
        <f>IF(B842&lt;&gt;"",IFERROR(IF(LEFT($B842,3)=$Z$2,VLOOKUP($C842,Outbound!$B:$AAZ,6,FALSE),VLOOKUP($B842,Outbound!$B:$AAZ,6,FALSE)),"NON TROVATO"),"")</f>
        <v/>
      </c>
      <c r="I842" s="394" t="str">
        <f>IF(B842&lt;&gt;"",IFERROR(IF(LEFT($B842,3)=$Z$2,VLOOKUP($C842,Outbound!$B:$AAZ,52,FALSE),VLOOKUP($B842,Outbound!$B:$AAZ,52,FALSE)),"NON TROVATO"),"")</f>
        <v/>
      </c>
      <c r="J842" s="396"/>
      <c r="K842" s="387" t="str">
        <f>IF(B842&lt;&gt;"",IF($D842&lt;&gt;"ON ROCS/NOT ON FILE",IFERROR(_xlfn.XLOOKUP(LEFT($D842,3),'STAT 77 Table'!$B:$B,'STAT 77 Table'!$A:$A),"ZZ"&amp;RIGHT($B842,4)),""),"")</f>
        <v/>
      </c>
      <c r="L842" s="396"/>
      <c r="O842" s="388"/>
      <c r="P842" s="388"/>
      <c r="AA842" s="421">
        <f t="shared" si="13"/>
        <v>0</v>
      </c>
    </row>
    <row r="843" spans="1:27" ht="16.5">
      <c r="A843" s="387">
        <f>'STAT 77 Table'!$I$842</f>
        <v>0</v>
      </c>
      <c r="B843"/>
      <c r="C843"/>
      <c r="D843" s="387" t="str">
        <f>IF($B843&lt;&gt;"",IFERROR(IF(LEFT($B843,3)=$Z$2,VLOOKUP($C843,Outbound!$B:$Z,4,FALSE),VLOOKUP($B843,Outbound!$B:$Z,4,FALSE)),"ON ROCS/NOT ON FILE"),"")</f>
        <v/>
      </c>
      <c r="E843" s="387" t="str">
        <f>IF($B843&lt;&gt;"",IFERROR(IF(LEFT($B843,4)=$Z$2,VLOOKUP($C843,Outbound!$B:$Z,5,FALSE),VLOOKUP($B843,Outbound!$B:$Z,5,FALSE)),"ON ROCS/NOT ON FILE"),"")</f>
        <v/>
      </c>
      <c r="F843" s="387" t="str">
        <f>IF(B843&lt;&gt;"",IFERROR(IF(LEFT($B843,3)=$Z$2,VLOOKUP($C843,Outbound!$B:$Z,11,FALSE),VLOOKUP($B843,Outbound!$B:$Z,11,FALSE)),"NON TROVATO"),"")</f>
        <v/>
      </c>
      <c r="G843" s="394" t="str">
        <f>IF(B843&lt;&gt;"",IFERROR(IF(LEFT($B843,3)=$Z$2,VLOOKUP($C843,Outbound!$B:$AAZ,16,FALSE),VLOOKUP($B843,Outbound!$B:$AAZ,16,FALSE)),"NON TROVATO"),"")</f>
        <v/>
      </c>
      <c r="H843" s="394" t="str">
        <f>IF(B843&lt;&gt;"",IFERROR(IF(LEFT($B843,3)=$Z$2,VLOOKUP($C843,Outbound!$B:$AAZ,6,FALSE),VLOOKUP($B843,Outbound!$B:$AAZ,6,FALSE)),"NON TROVATO"),"")</f>
        <v/>
      </c>
      <c r="I843" s="394" t="str">
        <f>IF(B843&lt;&gt;"",IFERROR(IF(LEFT($B843,3)=$Z$2,VLOOKUP($C843,Outbound!$B:$AAZ,52,FALSE),VLOOKUP($B843,Outbound!$B:$AAZ,52,FALSE)),"NON TROVATO"),"")</f>
        <v/>
      </c>
      <c r="J843" s="396"/>
      <c r="K843" s="387" t="str">
        <f>IF(B843&lt;&gt;"",IF($D843&lt;&gt;"ON ROCS/NOT ON FILE",IFERROR(_xlfn.XLOOKUP(LEFT($D843,3),'STAT 77 Table'!$B:$B,'STAT 77 Table'!$A:$A),"ZZ"&amp;RIGHT($B843,4)),""),"")</f>
        <v/>
      </c>
      <c r="L843" s="396"/>
      <c r="O843" s="388"/>
      <c r="P843" s="388"/>
      <c r="AA843" s="421">
        <f t="shared" si="13"/>
        <v>0</v>
      </c>
    </row>
    <row r="844" spans="1:27" ht="16.5">
      <c r="A844" s="387">
        <f>'STAT 77 Table'!$I$843</f>
        <v>0</v>
      </c>
      <c r="B844"/>
      <c r="C844"/>
      <c r="D844" s="387" t="str">
        <f>IF($B844&lt;&gt;"",IFERROR(IF(LEFT($B844,3)=$Z$2,VLOOKUP($C844,Outbound!$B:$Z,4,FALSE),VLOOKUP($B844,Outbound!$B:$Z,4,FALSE)),"ON ROCS/NOT ON FILE"),"")</f>
        <v/>
      </c>
      <c r="E844" s="387" t="str">
        <f>IF($B844&lt;&gt;"",IFERROR(IF(LEFT($B844,4)=$Z$2,VLOOKUP($C844,Outbound!$B:$Z,5,FALSE),VLOOKUP($B844,Outbound!$B:$Z,5,FALSE)),"ON ROCS/NOT ON FILE"),"")</f>
        <v/>
      </c>
      <c r="F844" s="387" t="str">
        <f>IF(B844&lt;&gt;"",IFERROR(IF(LEFT($B844,3)=$Z$2,VLOOKUP($C844,Outbound!$B:$Z,11,FALSE),VLOOKUP($B844,Outbound!$B:$Z,11,FALSE)),"NON TROVATO"),"")</f>
        <v/>
      </c>
      <c r="G844" s="394" t="str">
        <f>IF(B844&lt;&gt;"",IFERROR(IF(LEFT($B844,3)=$Z$2,VLOOKUP($C844,Outbound!$B:$AAZ,16,FALSE),VLOOKUP($B844,Outbound!$B:$AAZ,16,FALSE)),"NON TROVATO"),"")</f>
        <v/>
      </c>
      <c r="H844" s="394" t="str">
        <f>IF(B844&lt;&gt;"",IFERROR(IF(LEFT($B844,3)=$Z$2,VLOOKUP($C844,Outbound!$B:$AAZ,6,FALSE),VLOOKUP($B844,Outbound!$B:$AAZ,6,FALSE)),"NON TROVATO"),"")</f>
        <v/>
      </c>
      <c r="I844" s="394" t="str">
        <f>IF(B844&lt;&gt;"",IFERROR(IF(LEFT($B844,3)=$Z$2,VLOOKUP($C844,Outbound!$B:$AAZ,52,FALSE),VLOOKUP($B844,Outbound!$B:$AAZ,52,FALSE)),"NON TROVATO"),"")</f>
        <v/>
      </c>
      <c r="J844" s="396"/>
      <c r="K844" s="387" t="str">
        <f>IF(B844&lt;&gt;"",IF($D844&lt;&gt;"ON ROCS/NOT ON FILE",IFERROR(_xlfn.XLOOKUP(LEFT($D844,3),'STAT 77 Table'!$B:$B,'STAT 77 Table'!$A:$A),"ZZ"&amp;RIGHT($B844,4)),""),"")</f>
        <v/>
      </c>
      <c r="L844" s="396"/>
      <c r="O844" s="388"/>
      <c r="P844" s="388"/>
      <c r="AA844" s="421">
        <f t="shared" si="13"/>
        <v>0</v>
      </c>
    </row>
    <row r="845" spans="1:27" ht="16.5">
      <c r="A845" s="387">
        <f>'STAT 77 Table'!$I$844</f>
        <v>0</v>
      </c>
      <c r="B845"/>
      <c r="C845"/>
      <c r="D845" s="387" t="str">
        <f>IF($B845&lt;&gt;"",IFERROR(IF(LEFT($B845,3)=$Z$2,VLOOKUP($C845,Outbound!$B:$Z,4,FALSE),VLOOKUP($B845,Outbound!$B:$Z,4,FALSE)),"ON ROCS/NOT ON FILE"),"")</f>
        <v/>
      </c>
      <c r="E845" s="387" t="str">
        <f>IF($B845&lt;&gt;"",IFERROR(IF(LEFT($B845,4)=$Z$2,VLOOKUP($C845,Outbound!$B:$Z,5,FALSE),VLOOKUP($B845,Outbound!$B:$Z,5,FALSE)),"ON ROCS/NOT ON FILE"),"")</f>
        <v/>
      </c>
      <c r="F845" s="387" t="str">
        <f>IF(B845&lt;&gt;"",IFERROR(IF(LEFT($B845,3)=$Z$2,VLOOKUP($C845,Outbound!$B:$Z,11,FALSE),VLOOKUP($B845,Outbound!$B:$Z,11,FALSE)),"NON TROVATO"),"")</f>
        <v/>
      </c>
      <c r="G845" s="394" t="str">
        <f>IF(B845&lt;&gt;"",IFERROR(IF(LEFT($B845,3)=$Z$2,VLOOKUP($C845,Outbound!$B:$AAZ,16,FALSE),VLOOKUP($B845,Outbound!$B:$AAZ,16,FALSE)),"NON TROVATO"),"")</f>
        <v/>
      </c>
      <c r="H845" s="394" t="str">
        <f>IF(B845&lt;&gt;"",IFERROR(IF(LEFT($B845,3)=$Z$2,VLOOKUP($C845,Outbound!$B:$AAZ,6,FALSE),VLOOKUP($B845,Outbound!$B:$AAZ,6,FALSE)),"NON TROVATO"),"")</f>
        <v/>
      </c>
      <c r="I845" s="394" t="str">
        <f>IF(B845&lt;&gt;"",IFERROR(IF(LEFT($B845,3)=$Z$2,VLOOKUP($C845,Outbound!$B:$AAZ,52,FALSE),VLOOKUP($B845,Outbound!$B:$AAZ,52,FALSE)),"NON TROVATO"),"")</f>
        <v/>
      </c>
      <c r="J845" s="396"/>
      <c r="K845" s="387" t="str">
        <f>IF(B845&lt;&gt;"",IF($D845&lt;&gt;"ON ROCS/NOT ON FILE",IFERROR(_xlfn.XLOOKUP(LEFT($D845,3),'STAT 77 Table'!$B:$B,'STAT 77 Table'!$A:$A),"ZZ"&amp;RIGHT($B845,4)),""),"")</f>
        <v/>
      </c>
      <c r="L845" s="396"/>
      <c r="O845" s="388"/>
      <c r="P845" s="388"/>
      <c r="AA845" s="421">
        <f t="shared" si="13"/>
        <v>0</v>
      </c>
    </row>
    <row r="846" spans="1:27" ht="16.5">
      <c r="A846" s="387">
        <f>'STAT 77 Table'!$I$845</f>
        <v>0</v>
      </c>
      <c r="B846"/>
      <c r="C846"/>
      <c r="D846" s="387" t="str">
        <f>IF($B846&lt;&gt;"",IFERROR(IF(LEFT($B846,3)=$Z$2,VLOOKUP($C846,Outbound!$B:$Z,4,FALSE),VLOOKUP($B846,Outbound!$B:$Z,4,FALSE)),"ON ROCS/NOT ON FILE"),"")</f>
        <v/>
      </c>
      <c r="E846" s="387" t="str">
        <f>IF($B846&lt;&gt;"",IFERROR(IF(LEFT($B846,4)=$Z$2,VLOOKUP($C846,Outbound!$B:$Z,5,FALSE),VLOOKUP($B846,Outbound!$B:$Z,5,FALSE)),"ON ROCS/NOT ON FILE"),"")</f>
        <v/>
      </c>
      <c r="F846" s="387" t="str">
        <f>IF(B846&lt;&gt;"",IFERROR(IF(LEFT($B846,3)=$Z$2,VLOOKUP($C846,Outbound!$B:$Z,11,FALSE),VLOOKUP($B846,Outbound!$B:$Z,11,FALSE)),"NON TROVATO"),"")</f>
        <v/>
      </c>
      <c r="G846" s="394" t="str">
        <f>IF(B846&lt;&gt;"",IFERROR(IF(LEFT($B846,3)=$Z$2,VLOOKUP($C846,Outbound!$B:$AAZ,16,FALSE),VLOOKUP($B846,Outbound!$B:$AAZ,16,FALSE)),"NON TROVATO"),"")</f>
        <v/>
      </c>
      <c r="H846" s="394" t="str">
        <f>IF(B846&lt;&gt;"",IFERROR(IF(LEFT($B846,3)=$Z$2,VLOOKUP($C846,Outbound!$B:$AAZ,6,FALSE),VLOOKUP($B846,Outbound!$B:$AAZ,6,FALSE)),"NON TROVATO"),"")</f>
        <v/>
      </c>
      <c r="I846" s="394" t="str">
        <f>IF(B846&lt;&gt;"",IFERROR(IF(LEFT($B846,3)=$Z$2,VLOOKUP($C846,Outbound!$B:$AAZ,52,FALSE),VLOOKUP($B846,Outbound!$B:$AAZ,52,FALSE)),"NON TROVATO"),"")</f>
        <v/>
      </c>
      <c r="J846" s="396"/>
      <c r="K846" s="387" t="str">
        <f>IF(B846&lt;&gt;"",IF($D846&lt;&gt;"ON ROCS/NOT ON FILE",IFERROR(_xlfn.XLOOKUP(LEFT($D846,3),'STAT 77 Table'!$B:$B,'STAT 77 Table'!$A:$A),"ZZ"&amp;RIGHT($B846,4)),""),"")</f>
        <v/>
      </c>
      <c r="L846" s="396"/>
      <c r="O846" s="388"/>
      <c r="P846" s="388"/>
      <c r="AA846" s="421">
        <f t="shared" si="13"/>
        <v>0</v>
      </c>
    </row>
    <row r="847" spans="1:27" ht="16.5">
      <c r="A847" s="387">
        <f>'STAT 77 Table'!$I$846</f>
        <v>0</v>
      </c>
      <c r="B847"/>
      <c r="C847"/>
      <c r="D847" s="387" t="str">
        <f>IF($B847&lt;&gt;"",IFERROR(IF(LEFT($B847,3)=$Z$2,VLOOKUP($C847,Outbound!$B:$Z,4,FALSE),VLOOKUP($B847,Outbound!$B:$Z,4,FALSE)),"ON ROCS/NOT ON FILE"),"")</f>
        <v/>
      </c>
      <c r="E847" s="387" t="str">
        <f>IF($B847&lt;&gt;"",IFERROR(IF(LEFT($B847,4)=$Z$2,VLOOKUP($C847,Outbound!$B:$Z,5,FALSE),VLOOKUP($B847,Outbound!$B:$Z,5,FALSE)),"ON ROCS/NOT ON FILE"),"")</f>
        <v/>
      </c>
      <c r="F847" s="387" t="str">
        <f>IF(B847&lt;&gt;"",IFERROR(IF(LEFT($B847,3)=$Z$2,VLOOKUP($C847,Outbound!$B:$Z,11,FALSE),VLOOKUP($B847,Outbound!$B:$Z,11,FALSE)),"NON TROVATO"),"")</f>
        <v/>
      </c>
      <c r="G847" s="394" t="str">
        <f>IF(B847&lt;&gt;"",IFERROR(IF(LEFT($B847,3)=$Z$2,VLOOKUP($C847,Outbound!$B:$AAZ,16,FALSE),VLOOKUP($B847,Outbound!$B:$AAZ,16,FALSE)),"NON TROVATO"),"")</f>
        <v/>
      </c>
      <c r="H847" s="394" t="str">
        <f>IF(B847&lt;&gt;"",IFERROR(IF(LEFT($B847,3)=$Z$2,VLOOKUP($C847,Outbound!$B:$AAZ,6,FALSE),VLOOKUP($B847,Outbound!$B:$AAZ,6,FALSE)),"NON TROVATO"),"")</f>
        <v/>
      </c>
      <c r="I847" s="394" t="str">
        <f>IF(B847&lt;&gt;"",IFERROR(IF(LEFT($B847,3)=$Z$2,VLOOKUP($C847,Outbound!$B:$AAZ,52,FALSE),VLOOKUP($B847,Outbound!$B:$AAZ,52,FALSE)),"NON TROVATO"),"")</f>
        <v/>
      </c>
      <c r="J847" s="396"/>
      <c r="K847" s="387" t="str">
        <f>IF(B847&lt;&gt;"",IF($D847&lt;&gt;"ON ROCS/NOT ON FILE",IFERROR(_xlfn.XLOOKUP(LEFT($D847,3),'STAT 77 Table'!$B:$B,'STAT 77 Table'!$A:$A),"ZZ"&amp;RIGHT($B847,4)),""),"")</f>
        <v/>
      </c>
      <c r="L847" s="396"/>
      <c r="O847" s="388"/>
      <c r="P847" s="388"/>
      <c r="AA847" s="421">
        <f t="shared" si="13"/>
        <v>0</v>
      </c>
    </row>
    <row r="848" spans="1:27" ht="16.5">
      <c r="A848" s="387">
        <f>'STAT 77 Table'!$I$847</f>
        <v>0</v>
      </c>
      <c r="B848"/>
      <c r="C848"/>
      <c r="D848" s="387" t="str">
        <f>IF($B848&lt;&gt;"",IFERROR(IF(LEFT($B848,3)=$Z$2,VLOOKUP($C848,Outbound!$B:$Z,4,FALSE),VLOOKUP($B848,Outbound!$B:$Z,4,FALSE)),"ON ROCS/NOT ON FILE"),"")</f>
        <v/>
      </c>
      <c r="E848" s="387" t="str">
        <f>IF($B848&lt;&gt;"",IFERROR(IF(LEFT($B848,4)=$Z$2,VLOOKUP($C848,Outbound!$B:$Z,5,FALSE),VLOOKUP($B848,Outbound!$B:$Z,5,FALSE)),"ON ROCS/NOT ON FILE"),"")</f>
        <v/>
      </c>
      <c r="F848" s="387" t="str">
        <f>IF(B848&lt;&gt;"",IFERROR(IF(LEFT($B848,3)=$Z$2,VLOOKUP($C848,Outbound!$B:$Z,11,FALSE),VLOOKUP($B848,Outbound!$B:$Z,11,FALSE)),"NON TROVATO"),"")</f>
        <v/>
      </c>
      <c r="G848" s="394" t="str">
        <f>IF(B848&lt;&gt;"",IFERROR(IF(LEFT($B848,3)=$Z$2,VLOOKUP($C848,Outbound!$B:$AAZ,16,FALSE),VLOOKUP($B848,Outbound!$B:$AAZ,16,FALSE)),"NON TROVATO"),"")</f>
        <v/>
      </c>
      <c r="H848" s="394" t="str">
        <f>IF(B848&lt;&gt;"",IFERROR(IF(LEFT($B848,3)=$Z$2,VLOOKUP($C848,Outbound!$B:$AAZ,6,FALSE),VLOOKUP($B848,Outbound!$B:$AAZ,6,FALSE)),"NON TROVATO"),"")</f>
        <v/>
      </c>
      <c r="I848" s="394" t="str">
        <f>IF(B848&lt;&gt;"",IFERROR(IF(LEFT($B848,3)=$Z$2,VLOOKUP($C848,Outbound!$B:$AAZ,52,FALSE),VLOOKUP($B848,Outbound!$B:$AAZ,52,FALSE)),"NON TROVATO"),"")</f>
        <v/>
      </c>
      <c r="J848" s="396"/>
      <c r="K848" s="387" t="str">
        <f>IF(B848&lt;&gt;"",IF($D848&lt;&gt;"ON ROCS/NOT ON FILE",IFERROR(_xlfn.XLOOKUP(LEFT($D848,3),'STAT 77 Table'!$B:$B,'STAT 77 Table'!$A:$A),"ZZ"&amp;RIGHT($B848,4)),""),"")</f>
        <v/>
      </c>
      <c r="L848" s="396"/>
      <c r="O848" s="388"/>
      <c r="P848" s="388"/>
      <c r="AA848" s="421">
        <f t="shared" si="13"/>
        <v>0</v>
      </c>
    </row>
    <row r="849" spans="1:27" ht="16.5">
      <c r="A849" s="387">
        <f>'STAT 77 Table'!$I$848</f>
        <v>0</v>
      </c>
      <c r="B849"/>
      <c r="C849"/>
      <c r="D849" s="387" t="str">
        <f>IF($B849&lt;&gt;"",IFERROR(IF(LEFT($B849,3)=$Z$2,VLOOKUP($C849,Outbound!$B:$Z,4,FALSE),VLOOKUP($B849,Outbound!$B:$Z,4,FALSE)),"ON ROCS/NOT ON FILE"),"")</f>
        <v/>
      </c>
      <c r="E849" s="387" t="str">
        <f>IF($B849&lt;&gt;"",IFERROR(IF(LEFT($B849,4)=$Z$2,VLOOKUP($C849,Outbound!$B:$Z,5,FALSE),VLOOKUP($B849,Outbound!$B:$Z,5,FALSE)),"ON ROCS/NOT ON FILE"),"")</f>
        <v/>
      </c>
      <c r="F849" s="387" t="str">
        <f>IF(B849&lt;&gt;"",IFERROR(IF(LEFT($B849,3)=$Z$2,VLOOKUP($C849,Outbound!$B:$Z,11,FALSE),VLOOKUP($B849,Outbound!$B:$Z,11,FALSE)),"NON TROVATO"),"")</f>
        <v/>
      </c>
      <c r="G849" s="394" t="str">
        <f>IF(B849&lt;&gt;"",IFERROR(IF(LEFT($B849,3)=$Z$2,VLOOKUP($C849,Outbound!$B:$AAZ,16,FALSE),VLOOKUP($B849,Outbound!$B:$AAZ,16,FALSE)),"NON TROVATO"),"")</f>
        <v/>
      </c>
      <c r="H849" s="394" t="str">
        <f>IF(B849&lt;&gt;"",IFERROR(IF(LEFT($B849,3)=$Z$2,VLOOKUP($C849,Outbound!$B:$AAZ,6,FALSE),VLOOKUP($B849,Outbound!$B:$AAZ,6,FALSE)),"NON TROVATO"),"")</f>
        <v/>
      </c>
      <c r="I849" s="394" t="str">
        <f>IF(B849&lt;&gt;"",IFERROR(IF(LEFT($B849,3)=$Z$2,VLOOKUP($C849,Outbound!$B:$AAZ,52,FALSE),VLOOKUP($B849,Outbound!$B:$AAZ,52,FALSE)),"NON TROVATO"),"")</f>
        <v/>
      </c>
      <c r="J849" s="396"/>
      <c r="K849" s="387" t="str">
        <f>IF(B849&lt;&gt;"",IF($D849&lt;&gt;"ON ROCS/NOT ON FILE",IFERROR(_xlfn.XLOOKUP(LEFT($D849,3),'STAT 77 Table'!$B:$B,'STAT 77 Table'!$A:$A),"ZZ"&amp;RIGHT($B849,4)),""),"")</f>
        <v/>
      </c>
      <c r="L849" s="396"/>
      <c r="O849" s="388"/>
      <c r="P849" s="388"/>
      <c r="AA849" s="421">
        <f t="shared" si="13"/>
        <v>0</v>
      </c>
    </row>
    <row r="850" spans="1:27" ht="16.5">
      <c r="A850" s="387">
        <f>'STAT 77 Table'!$I$849</f>
        <v>0</v>
      </c>
      <c r="B850"/>
      <c r="C850"/>
      <c r="D850" s="387" t="str">
        <f>IF($B850&lt;&gt;"",IFERROR(IF(LEFT($B850,3)=$Z$2,VLOOKUP($C850,Outbound!$B:$Z,4,FALSE),VLOOKUP($B850,Outbound!$B:$Z,4,FALSE)),"ON ROCS/NOT ON FILE"),"")</f>
        <v/>
      </c>
      <c r="E850" s="387" t="str">
        <f>IF($B850&lt;&gt;"",IFERROR(IF(LEFT($B850,4)=$Z$2,VLOOKUP($C850,Outbound!$B:$Z,5,FALSE),VLOOKUP($B850,Outbound!$B:$Z,5,FALSE)),"ON ROCS/NOT ON FILE"),"")</f>
        <v/>
      </c>
      <c r="F850" s="387" t="str">
        <f>IF(B850&lt;&gt;"",IFERROR(IF(LEFT($B850,3)=$Z$2,VLOOKUP($C850,Outbound!$B:$Z,11,FALSE),VLOOKUP($B850,Outbound!$B:$Z,11,FALSE)),"NON TROVATO"),"")</f>
        <v/>
      </c>
      <c r="G850" s="394" t="str">
        <f>IF(B850&lt;&gt;"",IFERROR(IF(LEFT($B850,3)=$Z$2,VLOOKUP($C850,Outbound!$B:$AAZ,16,FALSE),VLOOKUP($B850,Outbound!$B:$AAZ,16,FALSE)),"NON TROVATO"),"")</f>
        <v/>
      </c>
      <c r="H850" s="394" t="str">
        <f>IF(B850&lt;&gt;"",IFERROR(IF(LEFT($B850,3)=$Z$2,VLOOKUP($C850,Outbound!$B:$AAZ,6,FALSE),VLOOKUP($B850,Outbound!$B:$AAZ,6,FALSE)),"NON TROVATO"),"")</f>
        <v/>
      </c>
      <c r="I850" s="394" t="str">
        <f>IF(B850&lt;&gt;"",IFERROR(IF(LEFT($B850,3)=$Z$2,VLOOKUP($C850,Outbound!$B:$AAZ,52,FALSE),VLOOKUP($B850,Outbound!$B:$AAZ,52,FALSE)),"NON TROVATO"),"")</f>
        <v/>
      </c>
      <c r="J850" s="396"/>
      <c r="K850" s="387" t="str">
        <f>IF(B850&lt;&gt;"",IF($D850&lt;&gt;"ON ROCS/NOT ON FILE",IFERROR(_xlfn.XLOOKUP(LEFT($D850,3),'STAT 77 Table'!$B:$B,'STAT 77 Table'!$A:$A),"ZZ"&amp;RIGHT($B850,4)),""),"")</f>
        <v/>
      </c>
      <c r="L850" s="396"/>
      <c r="O850" s="388"/>
      <c r="P850" s="388"/>
      <c r="AA850" s="421">
        <f t="shared" si="13"/>
        <v>0</v>
      </c>
    </row>
    <row r="851" spans="1:27" ht="16.5">
      <c r="A851" s="387">
        <f>'STAT 77 Table'!$I$850</f>
        <v>0</v>
      </c>
      <c r="B851"/>
      <c r="C851"/>
      <c r="D851" s="387" t="str">
        <f>IF($B851&lt;&gt;"",IFERROR(IF(LEFT($B851,3)=$Z$2,VLOOKUP($C851,Outbound!$B:$Z,4,FALSE),VLOOKUP($B851,Outbound!$B:$Z,4,FALSE)),"ON ROCS/NOT ON FILE"),"")</f>
        <v/>
      </c>
      <c r="E851" s="387" t="str">
        <f>IF($B851&lt;&gt;"",IFERROR(IF(LEFT($B851,4)=$Z$2,VLOOKUP($C851,Outbound!$B:$Z,5,FALSE),VLOOKUP($B851,Outbound!$B:$Z,5,FALSE)),"ON ROCS/NOT ON FILE"),"")</f>
        <v/>
      </c>
      <c r="F851" s="387" t="str">
        <f>IF(B851&lt;&gt;"",IFERROR(IF(LEFT($B851,3)=$Z$2,VLOOKUP($C851,Outbound!$B:$Z,11,FALSE),VLOOKUP($B851,Outbound!$B:$Z,11,FALSE)),"NON TROVATO"),"")</f>
        <v/>
      </c>
      <c r="G851" s="394" t="str">
        <f>IF(B851&lt;&gt;"",IFERROR(IF(LEFT($B851,3)=$Z$2,VLOOKUP($C851,Outbound!$B:$AAZ,16,FALSE),VLOOKUP($B851,Outbound!$B:$AAZ,16,FALSE)),"NON TROVATO"),"")</f>
        <v/>
      </c>
      <c r="H851" s="394" t="str">
        <f>IF(B851&lt;&gt;"",IFERROR(IF(LEFT($B851,3)=$Z$2,VLOOKUP($C851,Outbound!$B:$AAZ,6,FALSE),VLOOKUP($B851,Outbound!$B:$AAZ,6,FALSE)),"NON TROVATO"),"")</f>
        <v/>
      </c>
      <c r="I851" s="394" t="str">
        <f>IF(B851&lt;&gt;"",IFERROR(IF(LEFT($B851,3)=$Z$2,VLOOKUP($C851,Outbound!$B:$AAZ,52,FALSE),VLOOKUP($B851,Outbound!$B:$AAZ,52,FALSE)),"NON TROVATO"),"")</f>
        <v/>
      </c>
      <c r="J851" s="396"/>
      <c r="K851" s="387" t="str">
        <f>IF(B851&lt;&gt;"",IF($D851&lt;&gt;"ON ROCS/NOT ON FILE",IFERROR(_xlfn.XLOOKUP(LEFT($D851,3),'STAT 77 Table'!$B:$B,'STAT 77 Table'!$A:$A),"ZZ"&amp;RIGHT($B851,4)),""),"")</f>
        <v/>
      </c>
      <c r="L851" s="396"/>
      <c r="O851" s="388"/>
      <c r="P851" s="388"/>
      <c r="AA851" s="421">
        <f t="shared" si="13"/>
        <v>0</v>
      </c>
    </row>
    <row r="852" spans="1:27" ht="16.5">
      <c r="A852" s="387">
        <f>'STAT 77 Table'!$I$851</f>
        <v>0</v>
      </c>
      <c r="B852"/>
      <c r="C852"/>
      <c r="D852" s="387" t="str">
        <f>IF($B852&lt;&gt;"",IFERROR(IF(LEFT($B852,3)=$Z$2,VLOOKUP($C852,Outbound!$B:$Z,4,FALSE),VLOOKUP($B852,Outbound!$B:$Z,4,FALSE)),"ON ROCS/NOT ON FILE"),"")</f>
        <v/>
      </c>
      <c r="E852" s="387" t="str">
        <f>IF($B852&lt;&gt;"",IFERROR(IF(LEFT($B852,4)=$Z$2,VLOOKUP($C852,Outbound!$B:$Z,5,FALSE),VLOOKUP($B852,Outbound!$B:$Z,5,FALSE)),"ON ROCS/NOT ON FILE"),"")</f>
        <v/>
      </c>
      <c r="F852" s="387" t="str">
        <f>IF(B852&lt;&gt;"",IFERROR(IF(LEFT($B852,3)=$Z$2,VLOOKUP($C852,Outbound!$B:$Z,11,FALSE),VLOOKUP($B852,Outbound!$B:$Z,11,FALSE)),"NON TROVATO"),"")</f>
        <v/>
      </c>
      <c r="G852" s="394" t="str">
        <f>IF(B852&lt;&gt;"",IFERROR(IF(LEFT($B852,3)=$Z$2,VLOOKUP($C852,Outbound!$B:$AAZ,16,FALSE),VLOOKUP($B852,Outbound!$B:$AAZ,16,FALSE)),"NON TROVATO"),"")</f>
        <v/>
      </c>
      <c r="H852" s="394" t="str">
        <f>IF(B852&lt;&gt;"",IFERROR(IF(LEFT($B852,3)=$Z$2,VLOOKUP($C852,Outbound!$B:$AAZ,6,FALSE),VLOOKUP($B852,Outbound!$B:$AAZ,6,FALSE)),"NON TROVATO"),"")</f>
        <v/>
      </c>
      <c r="I852" s="394" t="str">
        <f>IF(B852&lt;&gt;"",IFERROR(IF(LEFT($B852,3)=$Z$2,VLOOKUP($C852,Outbound!$B:$AAZ,52,FALSE),VLOOKUP($B852,Outbound!$B:$AAZ,52,FALSE)),"NON TROVATO"),"")</f>
        <v/>
      </c>
      <c r="J852" s="396"/>
      <c r="K852" s="387" t="str">
        <f>IF(B852&lt;&gt;"",IF($D852&lt;&gt;"ON ROCS/NOT ON FILE",IFERROR(_xlfn.XLOOKUP(LEFT($D852,3),'STAT 77 Table'!$B:$B,'STAT 77 Table'!$A:$A),"ZZ"&amp;RIGHT($B852,4)),""),"")</f>
        <v/>
      </c>
      <c r="L852" s="396"/>
      <c r="O852" s="388"/>
      <c r="P852" s="388"/>
      <c r="AA852" s="421">
        <f t="shared" si="13"/>
        <v>0</v>
      </c>
    </row>
    <row r="853" spans="1:27" ht="16.5">
      <c r="A853" s="387">
        <f>'STAT 77 Table'!$I$852</f>
        <v>0</v>
      </c>
      <c r="B853"/>
      <c r="C853"/>
      <c r="D853" s="387" t="str">
        <f>IF($B853&lt;&gt;"",IFERROR(IF(LEFT($B853,3)=$Z$2,VLOOKUP($C853,Outbound!$B:$Z,4,FALSE),VLOOKUP($B853,Outbound!$B:$Z,4,FALSE)),"ON ROCS/NOT ON FILE"),"")</f>
        <v/>
      </c>
      <c r="E853" s="387" t="str">
        <f>IF($B853&lt;&gt;"",IFERROR(IF(LEFT($B853,4)=$Z$2,VLOOKUP($C853,Outbound!$B:$Z,5,FALSE),VLOOKUP($B853,Outbound!$B:$Z,5,FALSE)),"ON ROCS/NOT ON FILE"),"")</f>
        <v/>
      </c>
      <c r="F853" s="387" t="str">
        <f>IF(B853&lt;&gt;"",IFERROR(IF(LEFT($B853,3)=$Z$2,VLOOKUP($C853,Outbound!$B:$Z,11,FALSE),VLOOKUP($B853,Outbound!$B:$Z,11,FALSE)),"NON TROVATO"),"")</f>
        <v/>
      </c>
      <c r="G853" s="394" t="str">
        <f>IF(B853&lt;&gt;"",IFERROR(IF(LEFT($B853,3)=$Z$2,VLOOKUP($C853,Outbound!$B:$AAZ,16,FALSE),VLOOKUP($B853,Outbound!$B:$AAZ,16,FALSE)),"NON TROVATO"),"")</f>
        <v/>
      </c>
      <c r="H853" s="394" t="str">
        <f>IF(B853&lt;&gt;"",IFERROR(IF(LEFT($B853,3)=$Z$2,VLOOKUP($C853,Outbound!$B:$AAZ,6,FALSE),VLOOKUP($B853,Outbound!$B:$AAZ,6,FALSE)),"NON TROVATO"),"")</f>
        <v/>
      </c>
      <c r="I853" s="394" t="str">
        <f>IF(B853&lt;&gt;"",IFERROR(IF(LEFT($B853,3)=$Z$2,VLOOKUP($C853,Outbound!$B:$AAZ,52,FALSE),VLOOKUP($B853,Outbound!$B:$AAZ,52,FALSE)),"NON TROVATO"),"")</f>
        <v/>
      </c>
      <c r="J853" s="396"/>
      <c r="K853" s="387" t="str">
        <f>IF(B853&lt;&gt;"",IF($D853&lt;&gt;"ON ROCS/NOT ON FILE",IFERROR(_xlfn.XLOOKUP(LEFT($D853,3),'STAT 77 Table'!$B:$B,'STAT 77 Table'!$A:$A),"ZZ"&amp;RIGHT($B853,4)),""),"")</f>
        <v/>
      </c>
      <c r="L853" s="396"/>
      <c r="O853" s="388"/>
      <c r="P853" s="388"/>
      <c r="AA853" s="421">
        <f t="shared" si="13"/>
        <v>0</v>
      </c>
    </row>
    <row r="854" spans="1:27" ht="16.5">
      <c r="A854" s="387">
        <f>'STAT 77 Table'!$I$853</f>
        <v>0</v>
      </c>
      <c r="B854"/>
      <c r="C854"/>
      <c r="D854" s="387" t="str">
        <f>IF($B854&lt;&gt;"",IFERROR(IF(LEFT($B854,3)=$Z$2,VLOOKUP($C854,Outbound!$B:$Z,4,FALSE),VLOOKUP($B854,Outbound!$B:$Z,4,FALSE)),"ON ROCS/NOT ON FILE"),"")</f>
        <v/>
      </c>
      <c r="E854" s="387" t="str">
        <f>IF($B854&lt;&gt;"",IFERROR(IF(LEFT($B854,4)=$Z$2,VLOOKUP($C854,Outbound!$B:$Z,5,FALSE),VLOOKUP($B854,Outbound!$B:$Z,5,FALSE)),"ON ROCS/NOT ON FILE"),"")</f>
        <v/>
      </c>
      <c r="F854" s="387" t="str">
        <f>IF(B854&lt;&gt;"",IFERROR(IF(LEFT($B854,3)=$Z$2,VLOOKUP($C854,Outbound!$B:$Z,11,FALSE),VLOOKUP($B854,Outbound!$B:$Z,11,FALSE)),"NON TROVATO"),"")</f>
        <v/>
      </c>
      <c r="G854" s="394" t="str">
        <f>IF(B854&lt;&gt;"",IFERROR(IF(LEFT($B854,3)=$Z$2,VLOOKUP($C854,Outbound!$B:$AAZ,16,FALSE),VLOOKUP($B854,Outbound!$B:$AAZ,16,FALSE)),"NON TROVATO"),"")</f>
        <v/>
      </c>
      <c r="H854" s="394" t="str">
        <f>IF(B854&lt;&gt;"",IFERROR(IF(LEFT($B854,3)=$Z$2,VLOOKUP($C854,Outbound!$B:$AAZ,6,FALSE),VLOOKUP($B854,Outbound!$B:$AAZ,6,FALSE)),"NON TROVATO"),"")</f>
        <v/>
      </c>
      <c r="I854" s="394" t="str">
        <f>IF(B854&lt;&gt;"",IFERROR(IF(LEFT($B854,3)=$Z$2,VLOOKUP($C854,Outbound!$B:$AAZ,52,FALSE),VLOOKUP($B854,Outbound!$B:$AAZ,52,FALSE)),"NON TROVATO"),"")</f>
        <v/>
      </c>
      <c r="J854" s="396"/>
      <c r="K854" s="387" t="str">
        <f>IF(B854&lt;&gt;"",IF($D854&lt;&gt;"ON ROCS/NOT ON FILE",IFERROR(_xlfn.XLOOKUP(LEFT($D854,3),'STAT 77 Table'!$B:$B,'STAT 77 Table'!$A:$A),"ZZ"&amp;RIGHT($B854,4)),""),"")</f>
        <v/>
      </c>
      <c r="L854" s="396"/>
      <c r="O854" s="388"/>
      <c r="P854" s="388"/>
      <c r="AA854" s="421">
        <f t="shared" si="13"/>
        <v>0</v>
      </c>
    </row>
    <row r="855" spans="1:27" ht="16.5">
      <c r="A855" s="387">
        <f>'STAT 77 Table'!$I$854</f>
        <v>0</v>
      </c>
      <c r="B855"/>
      <c r="C855"/>
      <c r="D855" s="387" t="str">
        <f>IF($B855&lt;&gt;"",IFERROR(IF(LEFT($B855,3)=$Z$2,VLOOKUP($C855,Outbound!$B:$Z,4,FALSE),VLOOKUP($B855,Outbound!$B:$Z,4,FALSE)),"ON ROCS/NOT ON FILE"),"")</f>
        <v/>
      </c>
      <c r="E855" s="387" t="str">
        <f>IF($B855&lt;&gt;"",IFERROR(IF(LEFT($B855,4)=$Z$2,VLOOKUP($C855,Outbound!$B:$Z,5,FALSE),VLOOKUP($B855,Outbound!$B:$Z,5,FALSE)),"ON ROCS/NOT ON FILE"),"")</f>
        <v/>
      </c>
      <c r="F855" s="387" t="str">
        <f>IF(B855&lt;&gt;"",IFERROR(IF(LEFT($B855,3)=$Z$2,VLOOKUP($C855,Outbound!$B:$Z,11,FALSE),VLOOKUP($B855,Outbound!$B:$Z,11,FALSE)),"NON TROVATO"),"")</f>
        <v/>
      </c>
      <c r="G855" s="394" t="str">
        <f>IF(B855&lt;&gt;"",IFERROR(IF(LEFT($B855,3)=$Z$2,VLOOKUP($C855,Outbound!$B:$AAZ,16,FALSE),VLOOKUP($B855,Outbound!$B:$AAZ,16,FALSE)),"NON TROVATO"),"")</f>
        <v/>
      </c>
      <c r="H855" s="394" t="str">
        <f>IF(B855&lt;&gt;"",IFERROR(IF(LEFT($B855,3)=$Z$2,VLOOKUP($C855,Outbound!$B:$AAZ,6,FALSE),VLOOKUP($B855,Outbound!$B:$AAZ,6,FALSE)),"NON TROVATO"),"")</f>
        <v/>
      </c>
      <c r="I855" s="394" t="str">
        <f>IF(B855&lt;&gt;"",IFERROR(IF(LEFT($B855,3)=$Z$2,VLOOKUP($C855,Outbound!$B:$AAZ,52,FALSE),VLOOKUP($B855,Outbound!$B:$AAZ,52,FALSE)),"NON TROVATO"),"")</f>
        <v/>
      </c>
      <c r="J855" s="396"/>
      <c r="K855" s="387" t="str">
        <f>IF(B855&lt;&gt;"",IF($D855&lt;&gt;"ON ROCS/NOT ON FILE",IFERROR(_xlfn.XLOOKUP(LEFT($D855,3),'STAT 77 Table'!$B:$B,'STAT 77 Table'!$A:$A),"ZZ"&amp;RIGHT($B855,4)),""),"")</f>
        <v/>
      </c>
      <c r="L855" s="396"/>
      <c r="O855" s="388"/>
      <c r="P855" s="388"/>
      <c r="AA855" s="421">
        <f t="shared" si="13"/>
        <v>0</v>
      </c>
    </row>
    <row r="856" spans="1:27" ht="16.5">
      <c r="A856" s="387">
        <f>'STAT 77 Table'!$I$855</f>
        <v>0</v>
      </c>
      <c r="B856"/>
      <c r="C856"/>
      <c r="D856" s="387" t="str">
        <f>IF($B856&lt;&gt;"",IFERROR(IF(LEFT($B856,3)=$Z$2,VLOOKUP($C856,Outbound!$B:$Z,4,FALSE),VLOOKUP($B856,Outbound!$B:$Z,4,FALSE)),"ON ROCS/NOT ON FILE"),"")</f>
        <v/>
      </c>
      <c r="E856" s="387" t="str">
        <f>IF($B856&lt;&gt;"",IFERROR(IF(LEFT($B856,4)=$Z$2,VLOOKUP($C856,Outbound!$B:$Z,5,FALSE),VLOOKUP($B856,Outbound!$B:$Z,5,FALSE)),"ON ROCS/NOT ON FILE"),"")</f>
        <v/>
      </c>
      <c r="F856" s="387" t="str">
        <f>IF(B856&lt;&gt;"",IFERROR(IF(LEFT($B856,3)=$Z$2,VLOOKUP($C856,Outbound!$B:$Z,11,FALSE),VLOOKUP($B856,Outbound!$B:$Z,11,FALSE)),"NON TROVATO"),"")</f>
        <v/>
      </c>
      <c r="G856" s="394" t="str">
        <f>IF(B856&lt;&gt;"",IFERROR(IF(LEFT($B856,3)=$Z$2,VLOOKUP($C856,Outbound!$B:$AAZ,16,FALSE),VLOOKUP($B856,Outbound!$B:$AAZ,16,FALSE)),"NON TROVATO"),"")</f>
        <v/>
      </c>
      <c r="H856" s="394" t="str">
        <f>IF(B856&lt;&gt;"",IFERROR(IF(LEFT($B856,3)=$Z$2,VLOOKUP($C856,Outbound!$B:$AAZ,6,FALSE),VLOOKUP($B856,Outbound!$B:$AAZ,6,FALSE)),"NON TROVATO"),"")</f>
        <v/>
      </c>
      <c r="I856" s="394" t="str">
        <f>IF(B856&lt;&gt;"",IFERROR(IF(LEFT($B856,3)=$Z$2,VLOOKUP($C856,Outbound!$B:$AAZ,52,FALSE),VLOOKUP($B856,Outbound!$B:$AAZ,52,FALSE)),"NON TROVATO"),"")</f>
        <v/>
      </c>
      <c r="J856" s="396"/>
      <c r="K856" s="387" t="str">
        <f>IF(B856&lt;&gt;"",IF($D856&lt;&gt;"ON ROCS/NOT ON FILE",IFERROR(_xlfn.XLOOKUP(LEFT($D856,3),'STAT 77 Table'!$B:$B,'STAT 77 Table'!$A:$A),"ZZ"&amp;RIGHT($B856,4)),""),"")</f>
        <v/>
      </c>
      <c r="L856" s="396"/>
      <c r="O856" s="388"/>
      <c r="P856" s="388"/>
      <c r="AA856" s="421">
        <f t="shared" si="13"/>
        <v>0</v>
      </c>
    </row>
    <row r="857" spans="1:27" ht="16.5">
      <c r="A857" s="387">
        <f>'STAT 77 Table'!$I$856</f>
        <v>0</v>
      </c>
      <c r="B857"/>
      <c r="C857"/>
      <c r="D857" s="387" t="str">
        <f>IF($B857&lt;&gt;"",IFERROR(IF(LEFT($B857,3)=$Z$2,VLOOKUP($C857,Outbound!$B:$Z,4,FALSE),VLOOKUP($B857,Outbound!$B:$Z,4,FALSE)),"ON ROCS/NOT ON FILE"),"")</f>
        <v/>
      </c>
      <c r="E857" s="387" t="str">
        <f>IF($B857&lt;&gt;"",IFERROR(IF(LEFT($B857,4)=$Z$2,VLOOKUP($C857,Outbound!$B:$Z,5,FALSE),VLOOKUP($B857,Outbound!$B:$Z,5,FALSE)),"ON ROCS/NOT ON FILE"),"")</f>
        <v/>
      </c>
      <c r="F857" s="387" t="str">
        <f>IF(B857&lt;&gt;"",IFERROR(IF(LEFT($B857,3)=$Z$2,VLOOKUP($C857,Outbound!$B:$Z,11,FALSE),VLOOKUP($B857,Outbound!$B:$Z,11,FALSE)),"NON TROVATO"),"")</f>
        <v/>
      </c>
      <c r="G857" s="394" t="str">
        <f>IF(B857&lt;&gt;"",IFERROR(IF(LEFT($B857,3)=$Z$2,VLOOKUP($C857,Outbound!$B:$AAZ,16,FALSE),VLOOKUP($B857,Outbound!$B:$AAZ,16,FALSE)),"NON TROVATO"),"")</f>
        <v/>
      </c>
      <c r="H857" s="394" t="str">
        <f>IF(B857&lt;&gt;"",IFERROR(IF(LEFT($B857,3)=$Z$2,VLOOKUP($C857,Outbound!$B:$AAZ,6,FALSE),VLOOKUP($B857,Outbound!$B:$AAZ,6,FALSE)),"NON TROVATO"),"")</f>
        <v/>
      </c>
      <c r="I857" s="394" t="str">
        <f>IF(B857&lt;&gt;"",IFERROR(IF(LEFT($B857,3)=$Z$2,VLOOKUP($C857,Outbound!$B:$AAZ,52,FALSE),VLOOKUP($B857,Outbound!$B:$AAZ,52,FALSE)),"NON TROVATO"),"")</f>
        <v/>
      </c>
      <c r="J857" s="396"/>
      <c r="K857" s="387" t="str">
        <f>IF(B857&lt;&gt;"",IF($D857&lt;&gt;"ON ROCS/NOT ON FILE",IFERROR(_xlfn.XLOOKUP(LEFT($D857,3),'STAT 77 Table'!$B:$B,'STAT 77 Table'!$A:$A),"ZZ"&amp;RIGHT($B857,4)),""),"")</f>
        <v/>
      </c>
      <c r="L857" s="396"/>
      <c r="O857" s="388"/>
      <c r="P857" s="388"/>
      <c r="AA857" s="421">
        <f t="shared" si="13"/>
        <v>0</v>
      </c>
    </row>
    <row r="858" spans="1:27" ht="16.5">
      <c r="A858" s="387">
        <f>'STAT 77 Table'!$I$857</f>
        <v>0</v>
      </c>
      <c r="B858"/>
      <c r="C858"/>
      <c r="D858" s="387" t="str">
        <f>IF($B858&lt;&gt;"",IFERROR(IF(LEFT($B858,3)=$Z$2,VLOOKUP($C858,Outbound!$B:$Z,4,FALSE),VLOOKUP($B858,Outbound!$B:$Z,4,FALSE)),"ON ROCS/NOT ON FILE"),"")</f>
        <v/>
      </c>
      <c r="E858" s="387" t="str">
        <f>IF($B858&lt;&gt;"",IFERROR(IF(LEFT($B858,4)=$Z$2,VLOOKUP($C858,Outbound!$B:$Z,5,FALSE),VLOOKUP($B858,Outbound!$B:$Z,5,FALSE)),"ON ROCS/NOT ON FILE"),"")</f>
        <v/>
      </c>
      <c r="F858" s="387" t="str">
        <f>IF(B858&lt;&gt;"",IFERROR(IF(LEFT($B858,3)=$Z$2,VLOOKUP($C858,Outbound!$B:$Z,11,FALSE),VLOOKUP($B858,Outbound!$B:$Z,11,FALSE)),"NON TROVATO"),"")</f>
        <v/>
      </c>
      <c r="G858" s="394" t="str">
        <f>IF(B858&lt;&gt;"",IFERROR(IF(LEFT($B858,3)=$Z$2,VLOOKUP($C858,Outbound!$B:$AAZ,16,FALSE),VLOOKUP($B858,Outbound!$B:$AAZ,16,FALSE)),"NON TROVATO"),"")</f>
        <v/>
      </c>
      <c r="H858" s="394" t="str">
        <f>IF(B858&lt;&gt;"",IFERROR(IF(LEFT($B858,3)=$Z$2,VLOOKUP($C858,Outbound!$B:$AAZ,6,FALSE),VLOOKUP($B858,Outbound!$B:$AAZ,6,FALSE)),"NON TROVATO"),"")</f>
        <v/>
      </c>
      <c r="I858" s="394" t="str">
        <f>IF(B858&lt;&gt;"",IFERROR(IF(LEFT($B858,3)=$Z$2,VLOOKUP($C858,Outbound!$B:$AAZ,52,FALSE),VLOOKUP($B858,Outbound!$B:$AAZ,52,FALSE)),"NON TROVATO"),"")</f>
        <v/>
      </c>
      <c r="J858" s="396"/>
      <c r="K858" s="387" t="str">
        <f>IF(B858&lt;&gt;"",IF($D858&lt;&gt;"ON ROCS/NOT ON FILE",IFERROR(_xlfn.XLOOKUP(LEFT($D858,3),'STAT 77 Table'!$B:$B,'STAT 77 Table'!$A:$A),"ZZ"&amp;RIGHT($B858,4)),""),"")</f>
        <v/>
      </c>
      <c r="L858" s="396"/>
      <c r="O858" s="388"/>
      <c r="P858" s="388"/>
      <c r="AA858" s="421">
        <f t="shared" si="13"/>
        <v>0</v>
      </c>
    </row>
    <row r="859" spans="1:27" ht="16.5">
      <c r="A859" s="387">
        <f>'STAT 77 Table'!$I$858</f>
        <v>0</v>
      </c>
      <c r="B859"/>
      <c r="C859"/>
      <c r="D859" s="387" t="str">
        <f>IF($B859&lt;&gt;"",IFERROR(IF(LEFT($B859,3)=$Z$2,VLOOKUP($C859,Outbound!$B:$Z,4,FALSE),VLOOKUP($B859,Outbound!$B:$Z,4,FALSE)),"ON ROCS/NOT ON FILE"),"")</f>
        <v/>
      </c>
      <c r="E859" s="387" t="str">
        <f>IF($B859&lt;&gt;"",IFERROR(IF(LEFT($B859,4)=$Z$2,VLOOKUP($C859,Outbound!$B:$Z,5,FALSE),VLOOKUP($B859,Outbound!$B:$Z,5,FALSE)),"ON ROCS/NOT ON FILE"),"")</f>
        <v/>
      </c>
      <c r="F859" s="387" t="str">
        <f>IF(B859&lt;&gt;"",IFERROR(IF(LEFT($B859,3)=$Z$2,VLOOKUP($C859,Outbound!$B:$Z,11,FALSE),VLOOKUP($B859,Outbound!$B:$Z,11,FALSE)),"NON TROVATO"),"")</f>
        <v/>
      </c>
      <c r="G859" s="394" t="str">
        <f>IF(B859&lt;&gt;"",IFERROR(IF(LEFT($B859,3)=$Z$2,VLOOKUP($C859,Outbound!$B:$AAZ,16,FALSE),VLOOKUP($B859,Outbound!$B:$AAZ,16,FALSE)),"NON TROVATO"),"")</f>
        <v/>
      </c>
      <c r="H859" s="394" t="str">
        <f>IF(B859&lt;&gt;"",IFERROR(IF(LEFT($B859,3)=$Z$2,VLOOKUP($C859,Outbound!$B:$AAZ,6,FALSE),VLOOKUP($B859,Outbound!$B:$AAZ,6,FALSE)),"NON TROVATO"),"")</f>
        <v/>
      </c>
      <c r="I859" s="394" t="str">
        <f>IF(B859&lt;&gt;"",IFERROR(IF(LEFT($B859,3)=$Z$2,VLOOKUP($C859,Outbound!$B:$AAZ,52,FALSE),VLOOKUP($B859,Outbound!$B:$AAZ,52,FALSE)),"NON TROVATO"),"")</f>
        <v/>
      </c>
      <c r="J859" s="396"/>
      <c r="K859" s="387" t="str">
        <f>IF(B859&lt;&gt;"",IF($D859&lt;&gt;"ON ROCS/NOT ON FILE",IFERROR(_xlfn.XLOOKUP(LEFT($D859,3),'STAT 77 Table'!$B:$B,'STAT 77 Table'!$A:$A),"ZZ"&amp;RIGHT($B859,4)),""),"")</f>
        <v/>
      </c>
      <c r="L859" s="396"/>
      <c r="O859" s="388"/>
      <c r="P859" s="388"/>
      <c r="AA859" s="421">
        <f t="shared" si="13"/>
        <v>0</v>
      </c>
    </row>
    <row r="860" spans="1:27" ht="16.5">
      <c r="A860" s="387">
        <f>'STAT 77 Table'!$I$859</f>
        <v>0</v>
      </c>
      <c r="B860"/>
      <c r="C860"/>
      <c r="D860" s="387" t="str">
        <f>IF($B860&lt;&gt;"",IFERROR(IF(LEFT($B860,3)=$Z$2,VLOOKUP($C860,Outbound!$B:$Z,4,FALSE),VLOOKUP($B860,Outbound!$B:$Z,4,FALSE)),"ON ROCS/NOT ON FILE"),"")</f>
        <v/>
      </c>
      <c r="E860" s="387" t="str">
        <f>IF($B860&lt;&gt;"",IFERROR(IF(LEFT($B860,4)=$Z$2,VLOOKUP($C860,Outbound!$B:$Z,5,FALSE),VLOOKUP($B860,Outbound!$B:$Z,5,FALSE)),"ON ROCS/NOT ON FILE"),"")</f>
        <v/>
      </c>
      <c r="F860" s="387" t="str">
        <f>IF(B860&lt;&gt;"",IFERROR(IF(LEFT($B860,3)=$Z$2,VLOOKUP($C860,Outbound!$B:$Z,11,FALSE),VLOOKUP($B860,Outbound!$B:$Z,11,FALSE)),"NON TROVATO"),"")</f>
        <v/>
      </c>
      <c r="G860" s="394" t="str">
        <f>IF(B860&lt;&gt;"",IFERROR(IF(LEFT($B860,3)=$Z$2,VLOOKUP($C860,Outbound!$B:$AAZ,16,FALSE),VLOOKUP($B860,Outbound!$B:$AAZ,16,FALSE)),"NON TROVATO"),"")</f>
        <v/>
      </c>
      <c r="H860" s="394" t="str">
        <f>IF(B860&lt;&gt;"",IFERROR(IF(LEFT($B860,3)=$Z$2,VLOOKUP($C860,Outbound!$B:$AAZ,6,FALSE),VLOOKUP($B860,Outbound!$B:$AAZ,6,FALSE)),"NON TROVATO"),"")</f>
        <v/>
      </c>
      <c r="I860" s="394" t="str">
        <f>IF(B860&lt;&gt;"",IFERROR(IF(LEFT($B860,3)=$Z$2,VLOOKUP($C860,Outbound!$B:$AAZ,52,FALSE),VLOOKUP($B860,Outbound!$B:$AAZ,52,FALSE)),"NON TROVATO"),"")</f>
        <v/>
      </c>
      <c r="J860" s="396"/>
      <c r="K860" s="387" t="str">
        <f>IF(B860&lt;&gt;"",IF($D860&lt;&gt;"ON ROCS/NOT ON FILE",IFERROR(_xlfn.XLOOKUP(LEFT($D860,3),'STAT 77 Table'!$B:$B,'STAT 77 Table'!$A:$A),"ZZ"&amp;RIGHT($B860,4)),""),"")</f>
        <v/>
      </c>
      <c r="L860" s="396"/>
      <c r="O860" s="388"/>
      <c r="P860" s="388"/>
      <c r="AA860" s="421">
        <f t="shared" si="13"/>
        <v>0</v>
      </c>
    </row>
    <row r="861" spans="1:27" ht="16.5">
      <c r="A861" s="387">
        <f>'STAT 77 Table'!$I$860</f>
        <v>0</v>
      </c>
      <c r="B861"/>
      <c r="C861"/>
      <c r="D861" s="387" t="str">
        <f>IF($B861&lt;&gt;"",IFERROR(IF(LEFT($B861,3)=$Z$2,VLOOKUP($C861,Outbound!$B:$Z,4,FALSE),VLOOKUP($B861,Outbound!$B:$Z,4,FALSE)),"ON ROCS/NOT ON FILE"),"")</f>
        <v/>
      </c>
      <c r="E861" s="387" t="str">
        <f>IF($B861&lt;&gt;"",IFERROR(IF(LEFT($B861,4)=$Z$2,VLOOKUP($C861,Outbound!$B:$Z,5,FALSE),VLOOKUP($B861,Outbound!$B:$Z,5,FALSE)),"ON ROCS/NOT ON FILE"),"")</f>
        <v/>
      </c>
      <c r="F861" s="387" t="str">
        <f>IF(B861&lt;&gt;"",IFERROR(IF(LEFT($B861,3)=$Z$2,VLOOKUP($C861,Outbound!$B:$Z,11,FALSE),VLOOKUP($B861,Outbound!$B:$Z,11,FALSE)),"NON TROVATO"),"")</f>
        <v/>
      </c>
      <c r="G861" s="394" t="str">
        <f>IF(B861&lt;&gt;"",IFERROR(IF(LEFT($B861,3)=$Z$2,VLOOKUP($C861,Outbound!$B:$AAZ,16,FALSE),VLOOKUP($B861,Outbound!$B:$AAZ,16,FALSE)),"NON TROVATO"),"")</f>
        <v/>
      </c>
      <c r="H861" s="394" t="str">
        <f>IF(B861&lt;&gt;"",IFERROR(IF(LEFT($B861,3)=$Z$2,VLOOKUP($C861,Outbound!$B:$AAZ,6,FALSE),VLOOKUP($B861,Outbound!$B:$AAZ,6,FALSE)),"NON TROVATO"),"")</f>
        <v/>
      </c>
      <c r="I861" s="394" t="str">
        <f>IF(B861&lt;&gt;"",IFERROR(IF(LEFT($B861,3)=$Z$2,VLOOKUP($C861,Outbound!$B:$AAZ,52,FALSE),VLOOKUP($B861,Outbound!$B:$AAZ,52,FALSE)),"NON TROVATO"),"")</f>
        <v/>
      </c>
      <c r="J861" s="396"/>
      <c r="K861" s="387" t="str">
        <f>IF(B861&lt;&gt;"",IF($D861&lt;&gt;"ON ROCS/NOT ON FILE",IFERROR(_xlfn.XLOOKUP(LEFT($D861,3),'STAT 77 Table'!$B:$B,'STAT 77 Table'!$A:$A),"ZZ"&amp;RIGHT($B861,4)),""),"")</f>
        <v/>
      </c>
      <c r="L861" s="396"/>
      <c r="O861" s="388"/>
      <c r="P861" s="388"/>
      <c r="AA861" s="421">
        <f t="shared" si="13"/>
        <v>0</v>
      </c>
    </row>
    <row r="862" spans="1:27" ht="16.5">
      <c r="A862" s="387">
        <f>'STAT 77 Table'!$I$861</f>
        <v>0</v>
      </c>
      <c r="B862"/>
      <c r="C862"/>
      <c r="D862" s="387" t="str">
        <f>IF($B862&lt;&gt;"",IFERROR(IF(LEFT($B862,3)=$Z$2,VLOOKUP($C862,Outbound!$B:$Z,4,FALSE),VLOOKUP($B862,Outbound!$B:$Z,4,FALSE)),"ON ROCS/NOT ON FILE"),"")</f>
        <v/>
      </c>
      <c r="E862" s="387" t="str">
        <f>IF($B862&lt;&gt;"",IFERROR(IF(LEFT($B862,4)=$Z$2,VLOOKUP($C862,Outbound!$B:$Z,5,FALSE),VLOOKUP($B862,Outbound!$B:$Z,5,FALSE)),"ON ROCS/NOT ON FILE"),"")</f>
        <v/>
      </c>
      <c r="F862" s="387" t="str">
        <f>IF(B862&lt;&gt;"",IFERROR(IF(LEFT($B862,3)=$Z$2,VLOOKUP($C862,Outbound!$B:$Z,11,FALSE),VLOOKUP($B862,Outbound!$B:$Z,11,FALSE)),"NON TROVATO"),"")</f>
        <v/>
      </c>
      <c r="G862" s="394" t="str">
        <f>IF(B862&lt;&gt;"",IFERROR(IF(LEFT($B862,3)=$Z$2,VLOOKUP($C862,Outbound!$B:$AAZ,16,FALSE),VLOOKUP($B862,Outbound!$B:$AAZ,16,FALSE)),"NON TROVATO"),"")</f>
        <v/>
      </c>
      <c r="H862" s="394" t="str">
        <f>IF(B862&lt;&gt;"",IFERROR(IF(LEFT($B862,3)=$Z$2,VLOOKUP($C862,Outbound!$B:$AAZ,6,FALSE),VLOOKUP($B862,Outbound!$B:$AAZ,6,FALSE)),"NON TROVATO"),"")</f>
        <v/>
      </c>
      <c r="I862" s="394" t="str">
        <f>IF(B862&lt;&gt;"",IFERROR(IF(LEFT($B862,3)=$Z$2,VLOOKUP($C862,Outbound!$B:$AAZ,52,FALSE),VLOOKUP($B862,Outbound!$B:$AAZ,52,FALSE)),"NON TROVATO"),"")</f>
        <v/>
      </c>
      <c r="J862" s="396"/>
      <c r="K862" s="387" t="str">
        <f>IF(B862&lt;&gt;"",IF($D862&lt;&gt;"ON ROCS/NOT ON FILE",IFERROR(_xlfn.XLOOKUP(LEFT($D862,3),'STAT 77 Table'!$B:$B,'STAT 77 Table'!$A:$A),"ZZ"&amp;RIGHT($B862,4)),""),"")</f>
        <v/>
      </c>
      <c r="L862" s="396"/>
      <c r="O862" s="388"/>
      <c r="P862" s="388"/>
      <c r="AA862" s="421">
        <f t="shared" si="13"/>
        <v>0</v>
      </c>
    </row>
    <row r="863" spans="1:27" ht="16.5">
      <c r="A863" s="387">
        <f>'STAT 77 Table'!$I$862</f>
        <v>0</v>
      </c>
      <c r="B863"/>
      <c r="C863"/>
      <c r="D863" s="387" t="str">
        <f>IF($B863&lt;&gt;"",IFERROR(IF(LEFT($B863,3)=$Z$2,VLOOKUP($C863,Outbound!$B:$Z,4,FALSE),VLOOKUP($B863,Outbound!$B:$Z,4,FALSE)),"ON ROCS/NOT ON FILE"),"")</f>
        <v/>
      </c>
      <c r="E863" s="387" t="str">
        <f>IF($B863&lt;&gt;"",IFERROR(IF(LEFT($B863,4)=$Z$2,VLOOKUP($C863,Outbound!$B:$Z,5,FALSE),VLOOKUP($B863,Outbound!$B:$Z,5,FALSE)),"ON ROCS/NOT ON FILE"),"")</f>
        <v/>
      </c>
      <c r="F863" s="387" t="str">
        <f>IF(B863&lt;&gt;"",IFERROR(IF(LEFT($B863,3)=$Z$2,VLOOKUP($C863,Outbound!$B:$Z,11,FALSE),VLOOKUP($B863,Outbound!$B:$Z,11,FALSE)),"NON TROVATO"),"")</f>
        <v/>
      </c>
      <c r="G863" s="394" t="str">
        <f>IF(B863&lt;&gt;"",IFERROR(IF(LEFT($B863,3)=$Z$2,VLOOKUP($C863,Outbound!$B:$AAZ,16,FALSE),VLOOKUP($B863,Outbound!$B:$AAZ,16,FALSE)),"NON TROVATO"),"")</f>
        <v/>
      </c>
      <c r="H863" s="394" t="str">
        <f>IF(B863&lt;&gt;"",IFERROR(IF(LEFT($B863,3)=$Z$2,VLOOKUP($C863,Outbound!$B:$AAZ,6,FALSE),VLOOKUP($B863,Outbound!$B:$AAZ,6,FALSE)),"NON TROVATO"),"")</f>
        <v/>
      </c>
      <c r="I863" s="394" t="str">
        <f>IF(B863&lt;&gt;"",IFERROR(IF(LEFT($B863,3)=$Z$2,VLOOKUP($C863,Outbound!$B:$AAZ,52,FALSE),VLOOKUP($B863,Outbound!$B:$AAZ,52,FALSE)),"NON TROVATO"),"")</f>
        <v/>
      </c>
      <c r="J863" s="396"/>
      <c r="K863" s="387" t="str">
        <f>IF(B863&lt;&gt;"",IF($D863&lt;&gt;"ON ROCS/NOT ON FILE",IFERROR(_xlfn.XLOOKUP(LEFT($D863,3),'STAT 77 Table'!$B:$B,'STAT 77 Table'!$A:$A),"ZZ"&amp;RIGHT($B863,4)),""),"")</f>
        <v/>
      </c>
      <c r="L863" s="396"/>
      <c r="O863" s="388"/>
      <c r="P863" s="388"/>
      <c r="AA863" s="421">
        <f t="shared" si="13"/>
        <v>0</v>
      </c>
    </row>
    <row r="864" spans="1:27" ht="16.5">
      <c r="A864" s="387">
        <f>'STAT 77 Table'!$I$863</f>
        <v>0</v>
      </c>
      <c r="B864"/>
      <c r="C864"/>
      <c r="D864" s="387" t="str">
        <f>IF($B864&lt;&gt;"",IFERROR(IF(LEFT($B864,3)=$Z$2,VLOOKUP($C864,Outbound!$B:$Z,4,FALSE),VLOOKUP($B864,Outbound!$B:$Z,4,FALSE)),"ON ROCS/NOT ON FILE"),"")</f>
        <v/>
      </c>
      <c r="E864" s="387" t="str">
        <f>IF($B864&lt;&gt;"",IFERROR(IF(LEFT($B864,4)=$Z$2,VLOOKUP($C864,Outbound!$B:$Z,5,FALSE),VLOOKUP($B864,Outbound!$B:$Z,5,FALSE)),"ON ROCS/NOT ON FILE"),"")</f>
        <v/>
      </c>
      <c r="F864" s="387" t="str">
        <f>IF(B864&lt;&gt;"",IFERROR(IF(LEFT($B864,3)=$Z$2,VLOOKUP($C864,Outbound!$B:$Z,11,FALSE),VLOOKUP($B864,Outbound!$B:$Z,11,FALSE)),"NON TROVATO"),"")</f>
        <v/>
      </c>
      <c r="G864" s="394" t="str">
        <f>IF(B864&lt;&gt;"",IFERROR(IF(LEFT($B864,3)=$Z$2,VLOOKUP($C864,Outbound!$B:$AAZ,16,FALSE),VLOOKUP($B864,Outbound!$B:$AAZ,16,FALSE)),"NON TROVATO"),"")</f>
        <v/>
      </c>
      <c r="H864" s="394" t="str">
        <f>IF(B864&lt;&gt;"",IFERROR(IF(LEFT($B864,3)=$Z$2,VLOOKUP($C864,Outbound!$B:$AAZ,6,FALSE),VLOOKUP($B864,Outbound!$B:$AAZ,6,FALSE)),"NON TROVATO"),"")</f>
        <v/>
      </c>
      <c r="I864" s="394" t="str">
        <f>IF(B864&lt;&gt;"",IFERROR(IF(LEFT($B864,3)=$Z$2,VLOOKUP($C864,Outbound!$B:$AAZ,52,FALSE),VLOOKUP($B864,Outbound!$B:$AAZ,52,FALSE)),"NON TROVATO"),"")</f>
        <v/>
      </c>
      <c r="J864" s="396"/>
      <c r="K864" s="387" t="str">
        <f>IF(B864&lt;&gt;"",IF($D864&lt;&gt;"ON ROCS/NOT ON FILE",IFERROR(_xlfn.XLOOKUP(LEFT($D864,3),'STAT 77 Table'!$B:$B,'STAT 77 Table'!$A:$A),"ZZ"&amp;RIGHT($B864,4)),""),"")</f>
        <v/>
      </c>
      <c r="L864" s="396"/>
      <c r="O864" s="388"/>
      <c r="P864" s="388"/>
      <c r="AA864" s="421">
        <f t="shared" si="13"/>
        <v>0</v>
      </c>
    </row>
    <row r="865" spans="1:27" ht="16.5">
      <c r="A865" s="387">
        <f>'STAT 77 Table'!$I$864</f>
        <v>0</v>
      </c>
      <c r="B865"/>
      <c r="C865"/>
      <c r="D865" s="387" t="str">
        <f>IF($B865&lt;&gt;"",IFERROR(IF(LEFT($B865,3)=$Z$2,VLOOKUP($C865,Outbound!$B:$Z,4,FALSE),VLOOKUP($B865,Outbound!$B:$Z,4,FALSE)),"ON ROCS/NOT ON FILE"),"")</f>
        <v/>
      </c>
      <c r="E865" s="387" t="str">
        <f>IF($B865&lt;&gt;"",IFERROR(IF(LEFT($B865,4)=$Z$2,VLOOKUP($C865,Outbound!$B:$Z,5,FALSE),VLOOKUP($B865,Outbound!$B:$Z,5,FALSE)),"ON ROCS/NOT ON FILE"),"")</f>
        <v/>
      </c>
      <c r="F865" s="387" t="str">
        <f>IF(B865&lt;&gt;"",IFERROR(IF(LEFT($B865,3)=$Z$2,VLOOKUP($C865,Outbound!$B:$Z,11,FALSE),VLOOKUP($B865,Outbound!$B:$Z,11,FALSE)),"NON TROVATO"),"")</f>
        <v/>
      </c>
      <c r="G865" s="394" t="str">
        <f>IF(B865&lt;&gt;"",IFERROR(IF(LEFT($B865,3)=$Z$2,VLOOKUP($C865,Outbound!$B:$AAZ,16,FALSE),VLOOKUP($B865,Outbound!$B:$AAZ,16,FALSE)),"NON TROVATO"),"")</f>
        <v/>
      </c>
      <c r="H865" s="394" t="str">
        <f>IF(B865&lt;&gt;"",IFERROR(IF(LEFT($B865,3)=$Z$2,VLOOKUP($C865,Outbound!$B:$AAZ,6,FALSE),VLOOKUP($B865,Outbound!$B:$AAZ,6,FALSE)),"NON TROVATO"),"")</f>
        <v/>
      </c>
      <c r="I865" s="394" t="str">
        <f>IF(B865&lt;&gt;"",IFERROR(IF(LEFT($B865,3)=$Z$2,VLOOKUP($C865,Outbound!$B:$AAZ,52,FALSE),VLOOKUP($B865,Outbound!$B:$AAZ,52,FALSE)),"NON TROVATO"),"")</f>
        <v/>
      </c>
      <c r="J865" s="396"/>
      <c r="K865" s="387" t="str">
        <f>IF(B865&lt;&gt;"",IF($D865&lt;&gt;"ON ROCS/NOT ON FILE",IFERROR(_xlfn.XLOOKUP(LEFT($D865,3),'STAT 77 Table'!$B:$B,'STAT 77 Table'!$A:$A),"ZZ"&amp;RIGHT($B865,4)),""),"")</f>
        <v/>
      </c>
      <c r="L865" s="396"/>
      <c r="O865" s="388"/>
      <c r="P865" s="388"/>
      <c r="AA865" s="421">
        <f t="shared" si="13"/>
        <v>0</v>
      </c>
    </row>
    <row r="866" spans="1:27" ht="16.5">
      <c r="A866" s="387">
        <f>'STAT 77 Table'!$I$865</f>
        <v>0</v>
      </c>
      <c r="B866"/>
      <c r="C866"/>
      <c r="D866" s="387" t="str">
        <f>IF($B866&lt;&gt;"",IFERROR(IF(LEFT($B866,3)=$Z$2,VLOOKUP($C866,Outbound!$B:$Z,4,FALSE),VLOOKUP($B866,Outbound!$B:$Z,4,FALSE)),"ON ROCS/NOT ON FILE"),"")</f>
        <v/>
      </c>
      <c r="E866" s="387" t="str">
        <f>IF($B866&lt;&gt;"",IFERROR(IF(LEFT($B866,4)=$Z$2,VLOOKUP($C866,Outbound!$B:$Z,5,FALSE),VLOOKUP($B866,Outbound!$B:$Z,5,FALSE)),"ON ROCS/NOT ON FILE"),"")</f>
        <v/>
      </c>
      <c r="F866" s="387" t="str">
        <f>IF(B866&lt;&gt;"",IFERROR(IF(LEFT($B866,3)=$Z$2,VLOOKUP($C866,Outbound!$B:$Z,11,FALSE),VLOOKUP($B866,Outbound!$B:$Z,11,FALSE)),"NON TROVATO"),"")</f>
        <v/>
      </c>
      <c r="G866" s="394" t="str">
        <f>IF(B866&lt;&gt;"",IFERROR(IF(LEFT($B866,3)=$Z$2,VLOOKUP($C866,Outbound!$B:$AAZ,16,FALSE),VLOOKUP($B866,Outbound!$B:$AAZ,16,FALSE)),"NON TROVATO"),"")</f>
        <v/>
      </c>
      <c r="H866" s="394" t="str">
        <f>IF(B866&lt;&gt;"",IFERROR(IF(LEFT($B866,3)=$Z$2,VLOOKUP($C866,Outbound!$B:$AAZ,6,FALSE),VLOOKUP($B866,Outbound!$B:$AAZ,6,FALSE)),"NON TROVATO"),"")</f>
        <v/>
      </c>
      <c r="I866" s="394" t="str">
        <f>IF(B866&lt;&gt;"",IFERROR(IF(LEFT($B866,3)=$Z$2,VLOOKUP($C866,Outbound!$B:$AAZ,52,FALSE),VLOOKUP($B866,Outbound!$B:$AAZ,52,FALSE)),"NON TROVATO"),"")</f>
        <v/>
      </c>
      <c r="J866" s="396"/>
      <c r="K866" s="387" t="str">
        <f>IF(B866&lt;&gt;"",IF($D866&lt;&gt;"ON ROCS/NOT ON FILE",IFERROR(_xlfn.XLOOKUP(LEFT($D866,3),'STAT 77 Table'!$B:$B,'STAT 77 Table'!$A:$A),"ZZ"&amp;RIGHT($B866,4)),""),"")</f>
        <v/>
      </c>
      <c r="L866" s="396"/>
      <c r="O866" s="388"/>
      <c r="P866" s="388"/>
      <c r="AA866" s="421">
        <f t="shared" si="13"/>
        <v>0</v>
      </c>
    </row>
    <row r="867" spans="1:27" ht="16.5">
      <c r="A867" s="387">
        <f>'STAT 77 Table'!$I$866</f>
        <v>0</v>
      </c>
      <c r="B867"/>
      <c r="C867"/>
      <c r="D867" s="387" t="str">
        <f>IF($B867&lt;&gt;"",IFERROR(IF(LEFT($B867,3)=$Z$2,VLOOKUP($C867,Outbound!$B:$Z,4,FALSE),VLOOKUP($B867,Outbound!$B:$Z,4,FALSE)),"ON ROCS/NOT ON FILE"),"")</f>
        <v/>
      </c>
      <c r="E867" s="387" t="str">
        <f>IF($B867&lt;&gt;"",IFERROR(IF(LEFT($B867,4)=$Z$2,VLOOKUP($C867,Outbound!$B:$Z,5,FALSE),VLOOKUP($B867,Outbound!$B:$Z,5,FALSE)),"ON ROCS/NOT ON FILE"),"")</f>
        <v/>
      </c>
      <c r="F867" s="387" t="str">
        <f>IF(B867&lt;&gt;"",IFERROR(IF(LEFT($B867,3)=$Z$2,VLOOKUP($C867,Outbound!$B:$Z,11,FALSE),VLOOKUP($B867,Outbound!$B:$Z,11,FALSE)),"NON TROVATO"),"")</f>
        <v/>
      </c>
      <c r="G867" s="394" t="str">
        <f>IF(B867&lt;&gt;"",IFERROR(IF(LEFT($B867,3)=$Z$2,VLOOKUP($C867,Outbound!$B:$AAZ,16,FALSE),VLOOKUP($B867,Outbound!$B:$AAZ,16,FALSE)),"NON TROVATO"),"")</f>
        <v/>
      </c>
      <c r="H867" s="394" t="str">
        <f>IF(B867&lt;&gt;"",IFERROR(IF(LEFT($B867,3)=$Z$2,VLOOKUP($C867,Outbound!$B:$AAZ,6,FALSE),VLOOKUP($B867,Outbound!$B:$AAZ,6,FALSE)),"NON TROVATO"),"")</f>
        <v/>
      </c>
      <c r="I867" s="394" t="str">
        <f>IF(B867&lt;&gt;"",IFERROR(IF(LEFT($B867,3)=$Z$2,VLOOKUP($C867,Outbound!$B:$AAZ,52,FALSE),VLOOKUP($B867,Outbound!$B:$AAZ,52,FALSE)),"NON TROVATO"),"")</f>
        <v/>
      </c>
      <c r="J867" s="396"/>
      <c r="K867" s="387" t="str">
        <f>IF(B867&lt;&gt;"",IF($D867&lt;&gt;"ON ROCS/NOT ON FILE",IFERROR(_xlfn.XLOOKUP(LEFT($D867,3),'STAT 77 Table'!$B:$B,'STAT 77 Table'!$A:$A),"ZZ"&amp;RIGHT($B867,4)),""),"")</f>
        <v/>
      </c>
      <c r="L867" s="396"/>
      <c r="O867" s="388"/>
      <c r="P867" s="388"/>
      <c r="AA867" s="421">
        <f t="shared" si="13"/>
        <v>0</v>
      </c>
    </row>
    <row r="868" spans="1:27" ht="16.5">
      <c r="A868" s="387">
        <f>'STAT 77 Table'!$I$867</f>
        <v>0</v>
      </c>
      <c r="B868"/>
      <c r="C868"/>
      <c r="D868" s="387" t="str">
        <f>IF($B868&lt;&gt;"",IFERROR(IF(LEFT($B868,3)=$Z$2,VLOOKUP($C868,Outbound!$B:$Z,4,FALSE),VLOOKUP($B868,Outbound!$B:$Z,4,FALSE)),"ON ROCS/NOT ON FILE"),"")</f>
        <v/>
      </c>
      <c r="E868" s="387" t="str">
        <f>IF($B868&lt;&gt;"",IFERROR(IF(LEFT($B868,4)=$Z$2,VLOOKUP($C868,Outbound!$B:$Z,5,FALSE),VLOOKUP($B868,Outbound!$B:$Z,5,FALSE)),"ON ROCS/NOT ON FILE"),"")</f>
        <v/>
      </c>
      <c r="F868" s="387" t="str">
        <f>IF(B868&lt;&gt;"",IFERROR(IF(LEFT($B868,3)=$Z$2,VLOOKUP($C868,Outbound!$B:$Z,11,FALSE),VLOOKUP($B868,Outbound!$B:$Z,11,FALSE)),"NON TROVATO"),"")</f>
        <v/>
      </c>
      <c r="G868" s="394" t="str">
        <f>IF(B868&lt;&gt;"",IFERROR(IF(LEFT($B868,3)=$Z$2,VLOOKUP($C868,Outbound!$B:$AAZ,16,FALSE),VLOOKUP($B868,Outbound!$B:$AAZ,16,FALSE)),"NON TROVATO"),"")</f>
        <v/>
      </c>
      <c r="H868" s="394" t="str">
        <f>IF(B868&lt;&gt;"",IFERROR(IF(LEFT($B868,3)=$Z$2,VLOOKUP($C868,Outbound!$B:$AAZ,6,FALSE),VLOOKUP($B868,Outbound!$B:$AAZ,6,FALSE)),"NON TROVATO"),"")</f>
        <v/>
      </c>
      <c r="I868" s="394" t="str">
        <f>IF(B868&lt;&gt;"",IFERROR(IF(LEFT($B868,3)=$Z$2,VLOOKUP($C868,Outbound!$B:$AAZ,52,FALSE),VLOOKUP($B868,Outbound!$B:$AAZ,52,FALSE)),"NON TROVATO"),"")</f>
        <v/>
      </c>
      <c r="J868" s="396"/>
      <c r="K868" s="387" t="str">
        <f>IF(B868&lt;&gt;"",IF($D868&lt;&gt;"ON ROCS/NOT ON FILE",IFERROR(_xlfn.XLOOKUP(LEFT($D868,3),'STAT 77 Table'!$B:$B,'STAT 77 Table'!$A:$A),"ZZ"&amp;RIGHT($B868,4)),""),"")</f>
        <v/>
      </c>
      <c r="L868" s="396"/>
      <c r="O868" s="388"/>
      <c r="P868" s="388"/>
      <c r="AA868" s="421">
        <f t="shared" si="13"/>
        <v>0</v>
      </c>
    </row>
    <row r="869" spans="1:27" ht="16.5">
      <c r="A869" s="387">
        <f>'STAT 77 Table'!$I$868</f>
        <v>0</v>
      </c>
      <c r="B869"/>
      <c r="C869"/>
      <c r="D869" s="387" t="str">
        <f>IF($B869&lt;&gt;"",IFERROR(IF(LEFT($B869,3)=$Z$2,VLOOKUP($C869,Outbound!$B:$Z,4,FALSE),VLOOKUP($B869,Outbound!$B:$Z,4,FALSE)),"ON ROCS/NOT ON FILE"),"")</f>
        <v/>
      </c>
      <c r="E869" s="387" t="str">
        <f>IF($B869&lt;&gt;"",IFERROR(IF(LEFT($B869,4)=$Z$2,VLOOKUP($C869,Outbound!$B:$Z,5,FALSE),VLOOKUP($B869,Outbound!$B:$Z,5,FALSE)),"ON ROCS/NOT ON FILE"),"")</f>
        <v/>
      </c>
      <c r="F869" s="387" t="str">
        <f>IF(B869&lt;&gt;"",IFERROR(IF(LEFT($B869,3)=$Z$2,VLOOKUP($C869,Outbound!$B:$Z,11,FALSE),VLOOKUP($B869,Outbound!$B:$Z,11,FALSE)),"NON TROVATO"),"")</f>
        <v/>
      </c>
      <c r="G869" s="394" t="str">
        <f>IF(B869&lt;&gt;"",IFERROR(IF(LEFT($B869,3)=$Z$2,VLOOKUP($C869,Outbound!$B:$AAZ,16,FALSE),VLOOKUP($B869,Outbound!$B:$AAZ,16,FALSE)),"NON TROVATO"),"")</f>
        <v/>
      </c>
      <c r="H869" s="394" t="str">
        <f>IF(B869&lt;&gt;"",IFERROR(IF(LEFT($B869,3)=$Z$2,VLOOKUP($C869,Outbound!$B:$AAZ,6,FALSE),VLOOKUP($B869,Outbound!$B:$AAZ,6,FALSE)),"NON TROVATO"),"")</f>
        <v/>
      </c>
      <c r="I869" s="394" t="str">
        <f>IF(B869&lt;&gt;"",IFERROR(IF(LEFT($B869,3)=$Z$2,VLOOKUP($C869,Outbound!$B:$AAZ,52,FALSE),VLOOKUP($B869,Outbound!$B:$AAZ,52,FALSE)),"NON TROVATO"),"")</f>
        <v/>
      </c>
      <c r="J869" s="396"/>
      <c r="K869" s="387" t="str">
        <f>IF(B869&lt;&gt;"",IF($D869&lt;&gt;"ON ROCS/NOT ON FILE",IFERROR(_xlfn.XLOOKUP(LEFT($D869,3),'STAT 77 Table'!$B:$B,'STAT 77 Table'!$A:$A),"ZZ"&amp;RIGHT($B869,4)),""),"")</f>
        <v/>
      </c>
      <c r="L869" s="396"/>
      <c r="O869" s="388"/>
      <c r="P869" s="388"/>
      <c r="AA869" s="421">
        <f t="shared" si="13"/>
        <v>0</v>
      </c>
    </row>
    <row r="870" spans="1:27" ht="16.5">
      <c r="A870" s="387">
        <f>'STAT 77 Table'!$I$869</f>
        <v>0</v>
      </c>
      <c r="B870"/>
      <c r="C870"/>
      <c r="D870" s="387" t="str">
        <f>IF($B870&lt;&gt;"",IFERROR(IF(LEFT($B870,3)=$Z$2,VLOOKUP($C870,Outbound!$B:$Z,4,FALSE),VLOOKUP($B870,Outbound!$B:$Z,4,FALSE)),"ON ROCS/NOT ON FILE"),"")</f>
        <v/>
      </c>
      <c r="E870" s="387" t="str">
        <f>IF($B870&lt;&gt;"",IFERROR(IF(LEFT($B870,4)=$Z$2,VLOOKUP($C870,Outbound!$B:$Z,5,FALSE),VLOOKUP($B870,Outbound!$B:$Z,5,FALSE)),"ON ROCS/NOT ON FILE"),"")</f>
        <v/>
      </c>
      <c r="F870" s="387" t="str">
        <f>IF(B870&lt;&gt;"",IFERROR(IF(LEFT($B870,3)=$Z$2,VLOOKUP($C870,Outbound!$B:$Z,11,FALSE),VLOOKUP($B870,Outbound!$B:$Z,11,FALSE)),"NON TROVATO"),"")</f>
        <v/>
      </c>
      <c r="G870" s="394" t="str">
        <f>IF(B870&lt;&gt;"",IFERROR(IF(LEFT($B870,3)=$Z$2,VLOOKUP($C870,Outbound!$B:$AAZ,16,FALSE),VLOOKUP($B870,Outbound!$B:$AAZ,16,FALSE)),"NON TROVATO"),"")</f>
        <v/>
      </c>
      <c r="H870" s="394" t="str">
        <f>IF(B870&lt;&gt;"",IFERROR(IF(LEFT($B870,3)=$Z$2,VLOOKUP($C870,Outbound!$B:$AAZ,6,FALSE),VLOOKUP($B870,Outbound!$B:$AAZ,6,FALSE)),"NON TROVATO"),"")</f>
        <v/>
      </c>
      <c r="I870" s="394" t="str">
        <f>IF(B870&lt;&gt;"",IFERROR(IF(LEFT($B870,3)=$Z$2,VLOOKUP($C870,Outbound!$B:$AAZ,52,FALSE),VLOOKUP($B870,Outbound!$B:$AAZ,52,FALSE)),"NON TROVATO"),"")</f>
        <v/>
      </c>
      <c r="J870" s="396"/>
      <c r="K870" s="387" t="str">
        <f>IF(B870&lt;&gt;"",IF($D870&lt;&gt;"ON ROCS/NOT ON FILE",IFERROR(_xlfn.XLOOKUP(LEFT($D870,3),'STAT 77 Table'!$B:$B,'STAT 77 Table'!$A:$A),"ZZ"&amp;RIGHT($B870,4)),""),"")</f>
        <v/>
      </c>
      <c r="L870" s="396"/>
      <c r="O870" s="388"/>
      <c r="P870" s="388"/>
      <c r="AA870" s="421">
        <f t="shared" si="13"/>
        <v>0</v>
      </c>
    </row>
    <row r="871" spans="1:27" ht="16.5">
      <c r="A871" s="387">
        <f>'STAT 77 Table'!$I$870</f>
        <v>0</v>
      </c>
      <c r="B871"/>
      <c r="C871"/>
      <c r="D871" s="387" t="str">
        <f>IF($B871&lt;&gt;"",IFERROR(IF(LEFT($B871,3)=$Z$2,VLOOKUP($C871,Outbound!$B:$Z,4,FALSE),VLOOKUP($B871,Outbound!$B:$Z,4,FALSE)),"ON ROCS/NOT ON FILE"),"")</f>
        <v/>
      </c>
      <c r="E871" s="387" t="str">
        <f>IF($B871&lt;&gt;"",IFERROR(IF(LEFT($B871,4)=$Z$2,VLOOKUP($C871,Outbound!$B:$Z,5,FALSE),VLOOKUP($B871,Outbound!$B:$Z,5,FALSE)),"ON ROCS/NOT ON FILE"),"")</f>
        <v/>
      </c>
      <c r="F871" s="387" t="str">
        <f>IF(B871&lt;&gt;"",IFERROR(IF(LEFT($B871,3)=$Z$2,VLOOKUP($C871,Outbound!$B:$Z,11,FALSE),VLOOKUP($B871,Outbound!$B:$Z,11,FALSE)),"NON TROVATO"),"")</f>
        <v/>
      </c>
      <c r="G871" s="394" t="str">
        <f>IF(B871&lt;&gt;"",IFERROR(IF(LEFT($B871,3)=$Z$2,VLOOKUP($C871,Outbound!$B:$AAZ,16,FALSE),VLOOKUP($B871,Outbound!$B:$AAZ,16,FALSE)),"NON TROVATO"),"")</f>
        <v/>
      </c>
      <c r="H871" s="394" t="str">
        <f>IF(B871&lt;&gt;"",IFERROR(IF(LEFT($B871,3)=$Z$2,VLOOKUP($C871,Outbound!$B:$AAZ,6,FALSE),VLOOKUP($B871,Outbound!$B:$AAZ,6,FALSE)),"NON TROVATO"),"")</f>
        <v/>
      </c>
      <c r="I871" s="394" t="str">
        <f>IF(B871&lt;&gt;"",IFERROR(IF(LEFT($B871,3)=$Z$2,VLOOKUP($C871,Outbound!$B:$AAZ,52,FALSE),VLOOKUP($B871,Outbound!$B:$AAZ,52,FALSE)),"NON TROVATO"),"")</f>
        <v/>
      </c>
      <c r="J871" s="396"/>
      <c r="K871" s="387" t="str">
        <f>IF(B871&lt;&gt;"",IF($D871&lt;&gt;"ON ROCS/NOT ON FILE",IFERROR(_xlfn.XLOOKUP(LEFT($D871,3),'STAT 77 Table'!$B:$B,'STAT 77 Table'!$A:$A),"ZZ"&amp;RIGHT($B871,4)),""),"")</f>
        <v/>
      </c>
      <c r="L871" s="396"/>
      <c r="O871" s="388"/>
      <c r="P871" s="388"/>
      <c r="AA871" s="421">
        <f t="shared" si="13"/>
        <v>0</v>
      </c>
    </row>
    <row r="872" spans="1:27" ht="16.5">
      <c r="A872" s="387">
        <f>'STAT 77 Table'!$I$871</f>
        <v>0</v>
      </c>
      <c r="B872"/>
      <c r="C872"/>
      <c r="D872" s="387" t="str">
        <f>IF($B872&lt;&gt;"",IFERROR(IF(LEFT($B872,3)=$Z$2,VLOOKUP($C872,Outbound!$B:$Z,4,FALSE),VLOOKUP($B872,Outbound!$B:$Z,4,FALSE)),"ON ROCS/NOT ON FILE"),"")</f>
        <v/>
      </c>
      <c r="E872" s="387" t="str">
        <f>IF($B872&lt;&gt;"",IFERROR(IF(LEFT($B872,4)=$Z$2,VLOOKUP($C872,Outbound!$B:$Z,5,FALSE),VLOOKUP($B872,Outbound!$B:$Z,5,FALSE)),"ON ROCS/NOT ON FILE"),"")</f>
        <v/>
      </c>
      <c r="F872" s="387" t="str">
        <f>IF(B872&lt;&gt;"",IFERROR(IF(LEFT($B872,3)=$Z$2,VLOOKUP($C872,Outbound!$B:$Z,11,FALSE),VLOOKUP($B872,Outbound!$B:$Z,11,FALSE)),"NON TROVATO"),"")</f>
        <v/>
      </c>
      <c r="G872" s="394" t="str">
        <f>IF(B872&lt;&gt;"",IFERROR(IF(LEFT($B872,3)=$Z$2,VLOOKUP($C872,Outbound!$B:$AAZ,16,FALSE),VLOOKUP($B872,Outbound!$B:$AAZ,16,FALSE)),"NON TROVATO"),"")</f>
        <v/>
      </c>
      <c r="H872" s="394" t="str">
        <f>IF(B872&lt;&gt;"",IFERROR(IF(LEFT($B872,3)=$Z$2,VLOOKUP($C872,Outbound!$B:$AAZ,6,FALSE),VLOOKUP($B872,Outbound!$B:$AAZ,6,FALSE)),"NON TROVATO"),"")</f>
        <v/>
      </c>
      <c r="I872" s="394" t="str">
        <f>IF(B872&lt;&gt;"",IFERROR(IF(LEFT($B872,3)=$Z$2,VLOOKUP($C872,Outbound!$B:$AAZ,52,FALSE),VLOOKUP($B872,Outbound!$B:$AAZ,52,FALSE)),"NON TROVATO"),"")</f>
        <v/>
      </c>
      <c r="J872" s="396"/>
      <c r="K872" s="387" t="str">
        <f>IF(B872&lt;&gt;"",IF($D872&lt;&gt;"ON ROCS/NOT ON FILE",IFERROR(_xlfn.XLOOKUP(LEFT($D872,3),'STAT 77 Table'!$B:$B,'STAT 77 Table'!$A:$A),"ZZ"&amp;RIGHT($B872,4)),""),"")</f>
        <v/>
      </c>
      <c r="L872" s="396"/>
      <c r="O872" s="388"/>
      <c r="P872" s="388"/>
      <c r="AA872" s="421">
        <f t="shared" si="13"/>
        <v>0</v>
      </c>
    </row>
    <row r="873" spans="1:27" ht="16.5">
      <c r="A873" s="387">
        <f>'STAT 77 Table'!$I$872</f>
        <v>0</v>
      </c>
      <c r="B873"/>
      <c r="C873"/>
      <c r="D873" s="387" t="str">
        <f>IF($B873&lt;&gt;"",IFERROR(IF(LEFT($B873,3)=$Z$2,VLOOKUP($C873,Outbound!$B:$Z,4,FALSE),VLOOKUP($B873,Outbound!$B:$Z,4,FALSE)),"ON ROCS/NOT ON FILE"),"")</f>
        <v/>
      </c>
      <c r="E873" s="387" t="str">
        <f>IF($B873&lt;&gt;"",IFERROR(IF(LEFT($B873,4)=$Z$2,VLOOKUP($C873,Outbound!$B:$Z,5,FALSE),VLOOKUP($B873,Outbound!$B:$Z,5,FALSE)),"ON ROCS/NOT ON FILE"),"")</f>
        <v/>
      </c>
      <c r="F873" s="387" t="str">
        <f>IF(B873&lt;&gt;"",IFERROR(IF(LEFT($B873,3)=$Z$2,VLOOKUP($C873,Outbound!$B:$Z,11,FALSE),VLOOKUP($B873,Outbound!$B:$Z,11,FALSE)),"NON TROVATO"),"")</f>
        <v/>
      </c>
      <c r="G873" s="394" t="str">
        <f>IF(B873&lt;&gt;"",IFERROR(IF(LEFT($B873,3)=$Z$2,VLOOKUP($C873,Outbound!$B:$AAZ,16,FALSE),VLOOKUP($B873,Outbound!$B:$AAZ,16,FALSE)),"NON TROVATO"),"")</f>
        <v/>
      </c>
      <c r="H873" s="394" t="str">
        <f>IF(B873&lt;&gt;"",IFERROR(IF(LEFT($B873,3)=$Z$2,VLOOKUP($C873,Outbound!$B:$AAZ,6,FALSE),VLOOKUP($B873,Outbound!$B:$AAZ,6,FALSE)),"NON TROVATO"),"")</f>
        <v/>
      </c>
      <c r="I873" s="394" t="str">
        <f>IF(B873&lt;&gt;"",IFERROR(IF(LEFT($B873,3)=$Z$2,VLOOKUP($C873,Outbound!$B:$AAZ,52,FALSE),VLOOKUP($B873,Outbound!$B:$AAZ,52,FALSE)),"NON TROVATO"),"")</f>
        <v/>
      </c>
      <c r="J873" s="396"/>
      <c r="K873" s="387" t="str">
        <f>IF(B873&lt;&gt;"",IF($D873&lt;&gt;"ON ROCS/NOT ON FILE",IFERROR(_xlfn.XLOOKUP(LEFT($D873,3),'STAT 77 Table'!$B:$B,'STAT 77 Table'!$A:$A),"ZZ"&amp;RIGHT($B873,4)),""),"")</f>
        <v/>
      </c>
      <c r="L873" s="396"/>
      <c r="O873" s="388"/>
      <c r="P873" s="388"/>
      <c r="AA873" s="421">
        <f t="shared" si="13"/>
        <v>0</v>
      </c>
    </row>
    <row r="874" spans="1:27" ht="16.5">
      <c r="A874" s="387">
        <f>'STAT 77 Table'!$I$873</f>
        <v>0</v>
      </c>
      <c r="B874"/>
      <c r="C874"/>
      <c r="D874" s="387" t="str">
        <f>IF($B874&lt;&gt;"",IFERROR(IF(LEFT($B874,3)=$Z$2,VLOOKUP($C874,Outbound!$B:$Z,4,FALSE),VLOOKUP($B874,Outbound!$B:$Z,4,FALSE)),"ON ROCS/NOT ON FILE"),"")</f>
        <v/>
      </c>
      <c r="E874" s="387" t="str">
        <f>IF($B874&lt;&gt;"",IFERROR(IF(LEFT($B874,4)=$Z$2,VLOOKUP($C874,Outbound!$B:$Z,5,FALSE),VLOOKUP($B874,Outbound!$B:$Z,5,FALSE)),"ON ROCS/NOT ON FILE"),"")</f>
        <v/>
      </c>
      <c r="F874" s="387" t="str">
        <f>IF(B874&lt;&gt;"",IFERROR(IF(LEFT($B874,3)=$Z$2,VLOOKUP($C874,Outbound!$B:$Z,11,FALSE),VLOOKUP($B874,Outbound!$B:$Z,11,FALSE)),"NON TROVATO"),"")</f>
        <v/>
      </c>
      <c r="G874" s="394" t="str">
        <f>IF(B874&lt;&gt;"",IFERROR(IF(LEFT($B874,3)=$Z$2,VLOOKUP($C874,Outbound!$B:$AAZ,16,FALSE),VLOOKUP($B874,Outbound!$B:$AAZ,16,FALSE)),"NON TROVATO"),"")</f>
        <v/>
      </c>
      <c r="H874" s="394" t="str">
        <f>IF(B874&lt;&gt;"",IFERROR(IF(LEFT($B874,3)=$Z$2,VLOOKUP($C874,Outbound!$B:$AAZ,6,FALSE),VLOOKUP($B874,Outbound!$B:$AAZ,6,FALSE)),"NON TROVATO"),"")</f>
        <v/>
      </c>
      <c r="I874" s="394" t="str">
        <f>IF(B874&lt;&gt;"",IFERROR(IF(LEFT($B874,3)=$Z$2,VLOOKUP($C874,Outbound!$B:$AAZ,52,FALSE),VLOOKUP($B874,Outbound!$B:$AAZ,52,FALSE)),"NON TROVATO"),"")</f>
        <v/>
      </c>
      <c r="J874" s="396"/>
      <c r="K874" s="387" t="str">
        <f>IF(B874&lt;&gt;"",IF($D874&lt;&gt;"ON ROCS/NOT ON FILE",IFERROR(_xlfn.XLOOKUP(LEFT($D874,3),'STAT 77 Table'!$B:$B,'STAT 77 Table'!$A:$A),"ZZ"&amp;RIGHT($B874,4)),""),"")</f>
        <v/>
      </c>
      <c r="L874" s="396"/>
      <c r="O874" s="388"/>
      <c r="P874" s="388"/>
      <c r="AA874" s="421">
        <f t="shared" si="13"/>
        <v>0</v>
      </c>
    </row>
    <row r="875" spans="1:27" ht="16.5">
      <c r="A875" s="387">
        <f>'STAT 77 Table'!$I$874</f>
        <v>0</v>
      </c>
      <c r="B875"/>
      <c r="C875"/>
      <c r="D875" s="387" t="str">
        <f>IF($B875&lt;&gt;"",IFERROR(IF(LEFT($B875,3)=$Z$2,VLOOKUP($C875,Outbound!$B:$Z,4,FALSE),VLOOKUP($B875,Outbound!$B:$Z,4,FALSE)),"ON ROCS/NOT ON FILE"),"")</f>
        <v/>
      </c>
      <c r="E875" s="387" t="str">
        <f>IF($B875&lt;&gt;"",IFERROR(IF(LEFT($B875,4)=$Z$2,VLOOKUP($C875,Outbound!$B:$Z,5,FALSE),VLOOKUP($B875,Outbound!$B:$Z,5,FALSE)),"ON ROCS/NOT ON FILE"),"")</f>
        <v/>
      </c>
      <c r="F875" s="387" t="str">
        <f>IF(B875&lt;&gt;"",IFERROR(IF(LEFT($B875,3)=$Z$2,VLOOKUP($C875,Outbound!$B:$Z,11,FALSE),VLOOKUP($B875,Outbound!$B:$Z,11,FALSE)),"NON TROVATO"),"")</f>
        <v/>
      </c>
      <c r="G875" s="394" t="str">
        <f>IF(B875&lt;&gt;"",IFERROR(IF(LEFT($B875,3)=$Z$2,VLOOKUP($C875,Outbound!$B:$AAZ,16,FALSE),VLOOKUP($B875,Outbound!$B:$AAZ,16,FALSE)),"NON TROVATO"),"")</f>
        <v/>
      </c>
      <c r="H875" s="394" t="str">
        <f>IF(B875&lt;&gt;"",IFERROR(IF(LEFT($B875,3)=$Z$2,VLOOKUP($C875,Outbound!$B:$AAZ,6,FALSE),VLOOKUP($B875,Outbound!$B:$AAZ,6,FALSE)),"NON TROVATO"),"")</f>
        <v/>
      </c>
      <c r="I875" s="394" t="str">
        <f>IF(B875&lt;&gt;"",IFERROR(IF(LEFT($B875,3)=$Z$2,VLOOKUP($C875,Outbound!$B:$AAZ,52,FALSE),VLOOKUP($B875,Outbound!$B:$AAZ,52,FALSE)),"NON TROVATO"),"")</f>
        <v/>
      </c>
      <c r="J875" s="396"/>
      <c r="K875" s="387" t="str">
        <f>IF(B875&lt;&gt;"",IF($D875&lt;&gt;"ON ROCS/NOT ON FILE",IFERROR(_xlfn.XLOOKUP(LEFT($D875,3),'STAT 77 Table'!$B:$B,'STAT 77 Table'!$A:$A),"ZZ"&amp;RIGHT($B875,4)),""),"")</f>
        <v/>
      </c>
      <c r="L875" s="396"/>
      <c r="O875" s="388"/>
      <c r="P875" s="388"/>
      <c r="AA875" s="421">
        <f t="shared" si="13"/>
        <v>0</v>
      </c>
    </row>
    <row r="876" spans="1:27" ht="16.5">
      <c r="A876" s="387">
        <f>'STAT 77 Table'!$I$875</f>
        <v>0</v>
      </c>
      <c r="B876"/>
      <c r="C876"/>
      <c r="D876" s="387" t="str">
        <f>IF($B876&lt;&gt;"",IFERROR(IF(LEFT($B876,3)=$Z$2,VLOOKUP($C876,Outbound!$B:$Z,4,FALSE),VLOOKUP($B876,Outbound!$B:$Z,4,FALSE)),"ON ROCS/NOT ON FILE"),"")</f>
        <v/>
      </c>
      <c r="E876" s="387" t="str">
        <f>IF($B876&lt;&gt;"",IFERROR(IF(LEFT($B876,4)=$Z$2,VLOOKUP($C876,Outbound!$B:$Z,5,FALSE),VLOOKUP($B876,Outbound!$B:$Z,5,FALSE)),"ON ROCS/NOT ON FILE"),"")</f>
        <v/>
      </c>
      <c r="F876" s="387" t="str">
        <f>IF(B876&lt;&gt;"",IFERROR(IF(LEFT($B876,3)=$Z$2,VLOOKUP($C876,Outbound!$B:$Z,11,FALSE),VLOOKUP($B876,Outbound!$B:$Z,11,FALSE)),"NON TROVATO"),"")</f>
        <v/>
      </c>
      <c r="G876" s="394" t="str">
        <f>IF(B876&lt;&gt;"",IFERROR(IF(LEFT($B876,3)=$Z$2,VLOOKUP($C876,Outbound!$B:$AAZ,16,FALSE),VLOOKUP($B876,Outbound!$B:$AAZ,16,FALSE)),"NON TROVATO"),"")</f>
        <v/>
      </c>
      <c r="H876" s="394" t="str">
        <f>IF(B876&lt;&gt;"",IFERROR(IF(LEFT($B876,3)=$Z$2,VLOOKUP($C876,Outbound!$B:$AAZ,6,FALSE),VLOOKUP($B876,Outbound!$B:$AAZ,6,FALSE)),"NON TROVATO"),"")</f>
        <v/>
      </c>
      <c r="I876" s="394" t="str">
        <f>IF(B876&lt;&gt;"",IFERROR(IF(LEFT($B876,3)=$Z$2,VLOOKUP($C876,Outbound!$B:$AAZ,52,FALSE),VLOOKUP($B876,Outbound!$B:$AAZ,52,FALSE)),"NON TROVATO"),"")</f>
        <v/>
      </c>
      <c r="J876" s="396"/>
      <c r="K876" s="387" t="str">
        <f>IF(B876&lt;&gt;"",IF($D876&lt;&gt;"ON ROCS/NOT ON FILE",IFERROR(_xlfn.XLOOKUP(LEFT($D876,3),'STAT 77 Table'!$B:$B,'STAT 77 Table'!$A:$A),"ZZ"&amp;RIGHT($B876,4)),""),"")</f>
        <v/>
      </c>
      <c r="L876" s="396"/>
      <c r="O876" s="388"/>
      <c r="P876" s="388"/>
      <c r="AA876" s="421">
        <f t="shared" si="13"/>
        <v>0</v>
      </c>
    </row>
    <row r="877" spans="1:27" ht="16.5">
      <c r="A877" s="387">
        <f>'STAT 77 Table'!$I$876</f>
        <v>0</v>
      </c>
      <c r="B877"/>
      <c r="C877"/>
      <c r="D877" s="387" t="str">
        <f>IF($B877&lt;&gt;"",IFERROR(IF(LEFT($B877,3)=$Z$2,VLOOKUP($C877,Outbound!$B:$Z,4,FALSE),VLOOKUP($B877,Outbound!$B:$Z,4,FALSE)),"ON ROCS/NOT ON FILE"),"")</f>
        <v/>
      </c>
      <c r="E877" s="387" t="str">
        <f>IF($B877&lt;&gt;"",IFERROR(IF(LEFT($B877,4)=$Z$2,VLOOKUP($C877,Outbound!$B:$Z,5,FALSE),VLOOKUP($B877,Outbound!$B:$Z,5,FALSE)),"ON ROCS/NOT ON FILE"),"")</f>
        <v/>
      </c>
      <c r="F877" s="387" t="str">
        <f>IF(B877&lt;&gt;"",IFERROR(IF(LEFT($B877,3)=$Z$2,VLOOKUP($C877,Outbound!$B:$Z,11,FALSE),VLOOKUP($B877,Outbound!$B:$Z,11,FALSE)),"NON TROVATO"),"")</f>
        <v/>
      </c>
      <c r="G877" s="394" t="str">
        <f>IF(B877&lt;&gt;"",IFERROR(IF(LEFT($B877,3)=$Z$2,VLOOKUP($C877,Outbound!$B:$AAZ,16,FALSE),VLOOKUP($B877,Outbound!$B:$AAZ,16,FALSE)),"NON TROVATO"),"")</f>
        <v/>
      </c>
      <c r="H877" s="394" t="str">
        <f>IF(B877&lt;&gt;"",IFERROR(IF(LEFT($B877,3)=$Z$2,VLOOKUP($C877,Outbound!$B:$AAZ,6,FALSE),VLOOKUP($B877,Outbound!$B:$AAZ,6,FALSE)),"NON TROVATO"),"")</f>
        <v/>
      </c>
      <c r="I877" s="394" t="str">
        <f>IF(B877&lt;&gt;"",IFERROR(IF(LEFT($B877,3)=$Z$2,VLOOKUP($C877,Outbound!$B:$AAZ,52,FALSE),VLOOKUP($B877,Outbound!$B:$AAZ,52,FALSE)),"NON TROVATO"),"")</f>
        <v/>
      </c>
      <c r="J877" s="396"/>
      <c r="K877" s="387" t="str">
        <f>IF(B877&lt;&gt;"",IF($D877&lt;&gt;"ON ROCS/NOT ON FILE",IFERROR(_xlfn.XLOOKUP(LEFT($D877,3),'STAT 77 Table'!$B:$B,'STAT 77 Table'!$A:$A),"ZZ"&amp;RIGHT($B877,4)),""),"")</f>
        <v/>
      </c>
      <c r="L877" s="396"/>
      <c r="O877" s="388"/>
      <c r="P877" s="388"/>
      <c r="AA877" s="421">
        <f t="shared" si="13"/>
        <v>0</v>
      </c>
    </row>
    <row r="878" spans="1:27" ht="16.5">
      <c r="A878" s="387">
        <f>'STAT 77 Table'!$I$877</f>
        <v>0</v>
      </c>
      <c r="B878"/>
      <c r="C878"/>
      <c r="D878" s="387" t="str">
        <f>IF($B878&lt;&gt;"",IFERROR(IF(LEFT($B878,3)=$Z$2,VLOOKUP($C878,Outbound!$B:$Z,4,FALSE),VLOOKUP($B878,Outbound!$B:$Z,4,FALSE)),"ON ROCS/NOT ON FILE"),"")</f>
        <v/>
      </c>
      <c r="E878" s="387" t="str">
        <f>IF($B878&lt;&gt;"",IFERROR(IF(LEFT($B878,4)=$Z$2,VLOOKUP($C878,Outbound!$B:$Z,5,FALSE),VLOOKUP($B878,Outbound!$B:$Z,5,FALSE)),"ON ROCS/NOT ON FILE"),"")</f>
        <v/>
      </c>
      <c r="F878" s="387" t="str">
        <f>IF(B878&lt;&gt;"",IFERROR(IF(LEFT($B878,3)=$Z$2,VLOOKUP($C878,Outbound!$B:$Z,11,FALSE),VLOOKUP($B878,Outbound!$B:$Z,11,FALSE)),"NON TROVATO"),"")</f>
        <v/>
      </c>
      <c r="G878" s="394" t="str">
        <f>IF(B878&lt;&gt;"",IFERROR(IF(LEFT($B878,3)=$Z$2,VLOOKUP($C878,Outbound!$B:$AAZ,16,FALSE),VLOOKUP($B878,Outbound!$B:$AAZ,16,FALSE)),"NON TROVATO"),"")</f>
        <v/>
      </c>
      <c r="H878" s="394" t="str">
        <f>IF(B878&lt;&gt;"",IFERROR(IF(LEFT($B878,3)=$Z$2,VLOOKUP($C878,Outbound!$B:$AAZ,6,FALSE),VLOOKUP($B878,Outbound!$B:$AAZ,6,FALSE)),"NON TROVATO"),"")</f>
        <v/>
      </c>
      <c r="I878" s="394" t="str">
        <f>IF(B878&lt;&gt;"",IFERROR(IF(LEFT($B878,3)=$Z$2,VLOOKUP($C878,Outbound!$B:$AAZ,52,FALSE),VLOOKUP($B878,Outbound!$B:$AAZ,52,FALSE)),"NON TROVATO"),"")</f>
        <v/>
      </c>
      <c r="J878" s="396"/>
      <c r="K878" s="387" t="str">
        <f>IF(B878&lt;&gt;"",IF($D878&lt;&gt;"ON ROCS/NOT ON FILE",IFERROR(_xlfn.XLOOKUP(LEFT($D878,3),'STAT 77 Table'!$B:$B,'STAT 77 Table'!$A:$A),"ZZ"&amp;RIGHT($B878,4)),""),"")</f>
        <v/>
      </c>
      <c r="L878" s="396"/>
      <c r="O878" s="388"/>
      <c r="P878" s="388"/>
      <c r="AA878" s="421">
        <f t="shared" si="13"/>
        <v>0</v>
      </c>
    </row>
    <row r="879" spans="1:27" ht="16.5">
      <c r="A879" s="387">
        <f>'STAT 77 Table'!$I$878</f>
        <v>0</v>
      </c>
      <c r="B879"/>
      <c r="C879"/>
      <c r="D879" s="387" t="str">
        <f>IF($B879&lt;&gt;"",IFERROR(IF(LEFT($B879,3)=$Z$2,VLOOKUP($C879,Outbound!$B:$Z,4,FALSE),VLOOKUP($B879,Outbound!$B:$Z,4,FALSE)),"ON ROCS/NOT ON FILE"),"")</f>
        <v/>
      </c>
      <c r="E879" s="387" t="str">
        <f>IF($B879&lt;&gt;"",IFERROR(IF(LEFT($B879,4)=$Z$2,VLOOKUP($C879,Outbound!$B:$Z,5,FALSE),VLOOKUP($B879,Outbound!$B:$Z,5,FALSE)),"ON ROCS/NOT ON FILE"),"")</f>
        <v/>
      </c>
      <c r="F879" s="387" t="str">
        <f>IF(B879&lt;&gt;"",IFERROR(IF(LEFT($B879,3)=$Z$2,VLOOKUP($C879,Outbound!$B:$Z,11,FALSE),VLOOKUP($B879,Outbound!$B:$Z,11,FALSE)),"NON TROVATO"),"")</f>
        <v/>
      </c>
      <c r="G879" s="394" t="str">
        <f>IF(B879&lt;&gt;"",IFERROR(IF(LEFT($B879,3)=$Z$2,VLOOKUP($C879,Outbound!$B:$AAZ,16,FALSE),VLOOKUP($B879,Outbound!$B:$AAZ,16,FALSE)),"NON TROVATO"),"")</f>
        <v/>
      </c>
      <c r="H879" s="394" t="str">
        <f>IF(B879&lt;&gt;"",IFERROR(IF(LEFT($B879,3)=$Z$2,VLOOKUP($C879,Outbound!$B:$AAZ,6,FALSE),VLOOKUP($B879,Outbound!$B:$AAZ,6,FALSE)),"NON TROVATO"),"")</f>
        <v/>
      </c>
      <c r="I879" s="394" t="str">
        <f>IF(B879&lt;&gt;"",IFERROR(IF(LEFT($B879,3)=$Z$2,VLOOKUP($C879,Outbound!$B:$AAZ,52,FALSE),VLOOKUP($B879,Outbound!$B:$AAZ,52,FALSE)),"NON TROVATO"),"")</f>
        <v/>
      </c>
      <c r="J879" s="396"/>
      <c r="K879" s="387" t="str">
        <f>IF(B879&lt;&gt;"",IF($D879&lt;&gt;"ON ROCS/NOT ON FILE",IFERROR(_xlfn.XLOOKUP(LEFT($D879,3),'STAT 77 Table'!$B:$B,'STAT 77 Table'!$A:$A),"ZZ"&amp;RIGHT($B879,4)),""),"")</f>
        <v/>
      </c>
      <c r="L879" s="396"/>
      <c r="O879" s="388"/>
      <c r="P879" s="388"/>
      <c r="AA879" s="421">
        <f t="shared" si="13"/>
        <v>0</v>
      </c>
    </row>
    <row r="880" spans="1:27" ht="16.5">
      <c r="A880" s="387">
        <f>'STAT 77 Table'!$I$879</f>
        <v>0</v>
      </c>
      <c r="B880"/>
      <c r="C880"/>
      <c r="D880" s="387" t="str">
        <f>IF($B880&lt;&gt;"",IFERROR(IF(LEFT($B880,3)=$Z$2,VLOOKUP($C880,Outbound!$B:$Z,4,FALSE),VLOOKUP($B880,Outbound!$B:$Z,4,FALSE)),"ON ROCS/NOT ON FILE"),"")</f>
        <v/>
      </c>
      <c r="E880" s="387" t="str">
        <f>IF($B880&lt;&gt;"",IFERROR(IF(LEFT($B880,4)=$Z$2,VLOOKUP($C880,Outbound!$B:$Z,5,FALSE),VLOOKUP($B880,Outbound!$B:$Z,5,FALSE)),"ON ROCS/NOT ON FILE"),"")</f>
        <v/>
      </c>
      <c r="F880" s="387" t="str">
        <f>IF(B880&lt;&gt;"",IFERROR(IF(LEFT($B880,3)=$Z$2,VLOOKUP($C880,Outbound!$B:$Z,11,FALSE),VLOOKUP($B880,Outbound!$B:$Z,11,FALSE)),"NON TROVATO"),"")</f>
        <v/>
      </c>
      <c r="G880" s="394" t="str">
        <f>IF(B880&lt;&gt;"",IFERROR(IF(LEFT($B880,3)=$Z$2,VLOOKUP($C880,Outbound!$B:$AAZ,16,FALSE),VLOOKUP($B880,Outbound!$B:$AAZ,16,FALSE)),"NON TROVATO"),"")</f>
        <v/>
      </c>
      <c r="H880" s="394" t="str">
        <f>IF(B880&lt;&gt;"",IFERROR(IF(LEFT($B880,3)=$Z$2,VLOOKUP($C880,Outbound!$B:$AAZ,6,FALSE),VLOOKUP($B880,Outbound!$B:$AAZ,6,FALSE)),"NON TROVATO"),"")</f>
        <v/>
      </c>
      <c r="I880" s="394" t="str">
        <f>IF(B880&lt;&gt;"",IFERROR(IF(LEFT($B880,3)=$Z$2,VLOOKUP($C880,Outbound!$B:$AAZ,52,FALSE),VLOOKUP($B880,Outbound!$B:$AAZ,52,FALSE)),"NON TROVATO"),"")</f>
        <v/>
      </c>
      <c r="J880" s="396"/>
      <c r="K880" s="387" t="str">
        <f>IF(B880&lt;&gt;"",IF($D880&lt;&gt;"ON ROCS/NOT ON FILE",IFERROR(_xlfn.XLOOKUP(LEFT($D880,3),'STAT 77 Table'!$B:$B,'STAT 77 Table'!$A:$A),"ZZ"&amp;RIGHT($B880,4)),""),"")</f>
        <v/>
      </c>
      <c r="L880" s="396"/>
      <c r="O880" s="388"/>
      <c r="P880" s="388"/>
      <c r="AA880" s="421">
        <f t="shared" si="13"/>
        <v>0</v>
      </c>
    </row>
    <row r="881" spans="1:27" ht="16.5">
      <c r="A881" s="387">
        <f>'STAT 77 Table'!$I$880</f>
        <v>0</v>
      </c>
      <c r="B881"/>
      <c r="C881"/>
      <c r="D881" s="387" t="str">
        <f>IF($B881&lt;&gt;"",IFERROR(IF(LEFT($B881,3)=$Z$2,VLOOKUP($C881,Outbound!$B:$Z,4,FALSE),VLOOKUP($B881,Outbound!$B:$Z,4,FALSE)),"ON ROCS/NOT ON FILE"),"")</f>
        <v/>
      </c>
      <c r="E881" s="387" t="str">
        <f>IF($B881&lt;&gt;"",IFERROR(IF(LEFT($B881,4)=$Z$2,VLOOKUP($C881,Outbound!$B:$Z,5,FALSE),VLOOKUP($B881,Outbound!$B:$Z,5,FALSE)),"ON ROCS/NOT ON FILE"),"")</f>
        <v/>
      </c>
      <c r="F881" s="387" t="str">
        <f>IF(B881&lt;&gt;"",IFERROR(IF(LEFT($B881,3)=$Z$2,VLOOKUP($C881,Outbound!$B:$Z,11,FALSE),VLOOKUP($B881,Outbound!$B:$Z,11,FALSE)),"NON TROVATO"),"")</f>
        <v/>
      </c>
      <c r="G881" s="394" t="str">
        <f>IF(B881&lt;&gt;"",IFERROR(IF(LEFT($B881,3)=$Z$2,VLOOKUP($C881,Outbound!$B:$AAZ,16,FALSE),VLOOKUP($B881,Outbound!$B:$AAZ,16,FALSE)),"NON TROVATO"),"")</f>
        <v/>
      </c>
      <c r="H881" s="394" t="str">
        <f>IF(B881&lt;&gt;"",IFERROR(IF(LEFT($B881,3)=$Z$2,VLOOKUP($C881,Outbound!$B:$AAZ,6,FALSE),VLOOKUP($B881,Outbound!$B:$AAZ,6,FALSE)),"NON TROVATO"),"")</f>
        <v/>
      </c>
      <c r="I881" s="394" t="str">
        <f>IF(B881&lt;&gt;"",IFERROR(IF(LEFT($B881,3)=$Z$2,VLOOKUP($C881,Outbound!$B:$AAZ,52,FALSE),VLOOKUP($B881,Outbound!$B:$AAZ,52,FALSE)),"NON TROVATO"),"")</f>
        <v/>
      </c>
      <c r="J881" s="396"/>
      <c r="K881" s="387" t="str">
        <f>IF(B881&lt;&gt;"",IF($D881&lt;&gt;"ON ROCS/NOT ON FILE",IFERROR(_xlfn.XLOOKUP(LEFT($D881,3),'STAT 77 Table'!$B:$B,'STAT 77 Table'!$A:$A),"ZZ"&amp;RIGHT($B881,4)),""),"")</f>
        <v/>
      </c>
      <c r="L881" s="396"/>
      <c r="O881" s="388"/>
      <c r="P881" s="388"/>
      <c r="AA881" s="421">
        <f t="shared" si="13"/>
        <v>0</v>
      </c>
    </row>
    <row r="882" spans="1:27" ht="16.5">
      <c r="A882" s="387">
        <f>'STAT 77 Table'!$I$881</f>
        <v>0</v>
      </c>
      <c r="B882"/>
      <c r="C882"/>
      <c r="D882" s="387" t="str">
        <f>IF($B882&lt;&gt;"",IFERROR(IF(LEFT($B882,3)=$Z$2,VLOOKUP($C882,Outbound!$B:$Z,4,FALSE),VLOOKUP($B882,Outbound!$B:$Z,4,FALSE)),"ON ROCS/NOT ON FILE"),"")</f>
        <v/>
      </c>
      <c r="E882" s="387" t="str">
        <f>IF($B882&lt;&gt;"",IFERROR(IF(LEFT($B882,4)=$Z$2,VLOOKUP($C882,Outbound!$B:$Z,5,FALSE),VLOOKUP($B882,Outbound!$B:$Z,5,FALSE)),"ON ROCS/NOT ON FILE"),"")</f>
        <v/>
      </c>
      <c r="F882" s="387" t="str">
        <f>IF(B882&lt;&gt;"",IFERROR(IF(LEFT($B882,3)=$Z$2,VLOOKUP($C882,Outbound!$B:$Z,11,FALSE),VLOOKUP($B882,Outbound!$B:$Z,11,FALSE)),"NON TROVATO"),"")</f>
        <v/>
      </c>
      <c r="G882" s="394" t="str">
        <f>IF(B882&lt;&gt;"",IFERROR(IF(LEFT($B882,3)=$Z$2,VLOOKUP($C882,Outbound!$B:$AAZ,16,FALSE),VLOOKUP($B882,Outbound!$B:$AAZ,16,FALSE)),"NON TROVATO"),"")</f>
        <v/>
      </c>
      <c r="H882" s="394" t="str">
        <f>IF(B882&lt;&gt;"",IFERROR(IF(LEFT($B882,3)=$Z$2,VLOOKUP($C882,Outbound!$B:$AAZ,6,FALSE),VLOOKUP($B882,Outbound!$B:$AAZ,6,FALSE)),"NON TROVATO"),"")</f>
        <v/>
      </c>
      <c r="I882" s="394" t="str">
        <f>IF(B882&lt;&gt;"",IFERROR(IF(LEFT($B882,3)=$Z$2,VLOOKUP($C882,Outbound!$B:$AAZ,52,FALSE),VLOOKUP($B882,Outbound!$B:$AAZ,52,FALSE)),"NON TROVATO"),"")</f>
        <v/>
      </c>
      <c r="J882" s="396"/>
      <c r="K882" s="387" t="str">
        <f>IF(B882&lt;&gt;"",IF($D882&lt;&gt;"ON ROCS/NOT ON FILE",IFERROR(_xlfn.XLOOKUP(LEFT($D882,3),'STAT 77 Table'!$B:$B,'STAT 77 Table'!$A:$A),"ZZ"&amp;RIGHT($B882,4)),""),"")</f>
        <v/>
      </c>
      <c r="L882" s="396"/>
      <c r="O882" s="388"/>
      <c r="P882" s="388"/>
      <c r="AA882" s="421">
        <f t="shared" si="13"/>
        <v>0</v>
      </c>
    </row>
    <row r="883" spans="1:27" ht="16.5">
      <c r="A883" s="387">
        <f>'STAT 77 Table'!$I$882</f>
        <v>0</v>
      </c>
      <c r="B883"/>
      <c r="C883"/>
      <c r="D883" s="387" t="str">
        <f>IF($B883&lt;&gt;"",IFERROR(IF(LEFT($B883,3)=$Z$2,VLOOKUP($C883,Outbound!$B:$Z,4,FALSE),VLOOKUP($B883,Outbound!$B:$Z,4,FALSE)),"ON ROCS/NOT ON FILE"),"")</f>
        <v/>
      </c>
      <c r="E883" s="387" t="str">
        <f>IF($B883&lt;&gt;"",IFERROR(IF(LEFT($B883,4)=$Z$2,VLOOKUP($C883,Outbound!$B:$Z,5,FALSE),VLOOKUP($B883,Outbound!$B:$Z,5,FALSE)),"ON ROCS/NOT ON FILE"),"")</f>
        <v/>
      </c>
      <c r="F883" s="387" t="str">
        <f>IF(B883&lt;&gt;"",IFERROR(IF(LEFT($B883,3)=$Z$2,VLOOKUP($C883,Outbound!$B:$Z,11,FALSE),VLOOKUP($B883,Outbound!$B:$Z,11,FALSE)),"NON TROVATO"),"")</f>
        <v/>
      </c>
      <c r="G883" s="394" t="str">
        <f>IF(B883&lt;&gt;"",IFERROR(IF(LEFT($B883,3)=$Z$2,VLOOKUP($C883,Outbound!$B:$AAZ,16,FALSE),VLOOKUP($B883,Outbound!$B:$AAZ,16,FALSE)),"NON TROVATO"),"")</f>
        <v/>
      </c>
      <c r="H883" s="394" t="str">
        <f>IF(B883&lt;&gt;"",IFERROR(IF(LEFT($B883,3)=$Z$2,VLOOKUP($C883,Outbound!$B:$AAZ,6,FALSE),VLOOKUP($B883,Outbound!$B:$AAZ,6,FALSE)),"NON TROVATO"),"")</f>
        <v/>
      </c>
      <c r="I883" s="394" t="str">
        <f>IF(B883&lt;&gt;"",IFERROR(IF(LEFT($B883,3)=$Z$2,VLOOKUP($C883,Outbound!$B:$AAZ,52,FALSE),VLOOKUP($B883,Outbound!$B:$AAZ,52,FALSE)),"NON TROVATO"),"")</f>
        <v/>
      </c>
      <c r="J883" s="396"/>
      <c r="K883" s="387" t="str">
        <f>IF(B883&lt;&gt;"",IF($D883&lt;&gt;"ON ROCS/NOT ON FILE",IFERROR(_xlfn.XLOOKUP(LEFT($D883,3),'STAT 77 Table'!$B:$B,'STAT 77 Table'!$A:$A),"ZZ"&amp;RIGHT($B883,4)),""),"")</f>
        <v/>
      </c>
      <c r="L883" s="396"/>
      <c r="O883" s="388"/>
      <c r="P883" s="388"/>
      <c r="AA883" s="421">
        <f t="shared" si="13"/>
        <v>0</v>
      </c>
    </row>
    <row r="884" spans="1:27" ht="16.5">
      <c r="A884" s="387">
        <f>'STAT 77 Table'!$I$883</f>
        <v>0</v>
      </c>
      <c r="B884"/>
      <c r="C884"/>
      <c r="D884" s="387" t="str">
        <f>IF($B884&lt;&gt;"",IFERROR(IF(LEFT($B884,3)=$Z$2,VLOOKUP($C884,Outbound!$B:$Z,4,FALSE),VLOOKUP($B884,Outbound!$B:$Z,4,FALSE)),"ON ROCS/NOT ON FILE"),"")</f>
        <v/>
      </c>
      <c r="E884" s="387" t="str">
        <f>IF($B884&lt;&gt;"",IFERROR(IF(LEFT($B884,4)=$Z$2,VLOOKUP($C884,Outbound!$B:$Z,5,FALSE),VLOOKUP($B884,Outbound!$B:$Z,5,FALSE)),"ON ROCS/NOT ON FILE"),"")</f>
        <v/>
      </c>
      <c r="F884" s="387" t="str">
        <f>IF(B884&lt;&gt;"",IFERROR(IF(LEFT($B884,3)=$Z$2,VLOOKUP($C884,Outbound!$B:$Z,11,FALSE),VLOOKUP($B884,Outbound!$B:$Z,11,FALSE)),"NON TROVATO"),"")</f>
        <v/>
      </c>
      <c r="G884" s="394" t="str">
        <f>IF(B884&lt;&gt;"",IFERROR(IF(LEFT($B884,3)=$Z$2,VLOOKUP($C884,Outbound!$B:$AAZ,16,FALSE),VLOOKUP($B884,Outbound!$B:$AAZ,16,FALSE)),"NON TROVATO"),"")</f>
        <v/>
      </c>
      <c r="H884" s="394" t="str">
        <f>IF(B884&lt;&gt;"",IFERROR(IF(LEFT($B884,3)=$Z$2,VLOOKUP($C884,Outbound!$B:$AAZ,6,FALSE),VLOOKUP($B884,Outbound!$B:$AAZ,6,FALSE)),"NON TROVATO"),"")</f>
        <v/>
      </c>
      <c r="I884" s="394" t="str">
        <f>IF(B884&lt;&gt;"",IFERROR(IF(LEFT($B884,3)=$Z$2,VLOOKUP($C884,Outbound!$B:$AAZ,52,FALSE),VLOOKUP($B884,Outbound!$B:$AAZ,52,FALSE)),"NON TROVATO"),"")</f>
        <v/>
      </c>
      <c r="J884" s="396"/>
      <c r="K884" s="387" t="str">
        <f>IF(B884&lt;&gt;"",IF($D884&lt;&gt;"ON ROCS/NOT ON FILE",IFERROR(_xlfn.XLOOKUP(LEFT($D884,3),'STAT 77 Table'!$B:$B,'STAT 77 Table'!$A:$A),"ZZ"&amp;RIGHT($B884,4)),""),"")</f>
        <v/>
      </c>
      <c r="L884" s="396"/>
      <c r="O884" s="388"/>
      <c r="P884" s="388"/>
      <c r="AA884" s="421">
        <f t="shared" si="13"/>
        <v>0</v>
      </c>
    </row>
    <row r="885" spans="1:27" ht="16.5">
      <c r="A885" s="387">
        <f>'STAT 77 Table'!$I$884</f>
        <v>0</v>
      </c>
      <c r="B885"/>
      <c r="C885"/>
      <c r="D885" s="387" t="str">
        <f>IF($B885&lt;&gt;"",IFERROR(IF(LEFT($B885,3)=$Z$2,VLOOKUP($C885,Outbound!$B:$Z,4,FALSE),VLOOKUP($B885,Outbound!$B:$Z,4,FALSE)),"ON ROCS/NOT ON FILE"),"")</f>
        <v/>
      </c>
      <c r="E885" s="387" t="str">
        <f>IF($B885&lt;&gt;"",IFERROR(IF(LEFT($B885,4)=$Z$2,VLOOKUP($C885,Outbound!$B:$Z,5,FALSE),VLOOKUP($B885,Outbound!$B:$Z,5,FALSE)),"ON ROCS/NOT ON FILE"),"")</f>
        <v/>
      </c>
      <c r="F885" s="387" t="str">
        <f>IF(B885&lt;&gt;"",IFERROR(IF(LEFT($B885,3)=$Z$2,VLOOKUP($C885,Outbound!$B:$Z,11,FALSE),VLOOKUP($B885,Outbound!$B:$Z,11,FALSE)),"NON TROVATO"),"")</f>
        <v/>
      </c>
      <c r="G885" s="394" t="str">
        <f>IF(B885&lt;&gt;"",IFERROR(IF(LEFT($B885,3)=$Z$2,VLOOKUP($C885,Outbound!$B:$AAZ,16,FALSE),VLOOKUP($B885,Outbound!$B:$AAZ,16,FALSE)),"NON TROVATO"),"")</f>
        <v/>
      </c>
      <c r="H885" s="394" t="str">
        <f>IF(B885&lt;&gt;"",IFERROR(IF(LEFT($B885,3)=$Z$2,VLOOKUP($C885,Outbound!$B:$AAZ,6,FALSE),VLOOKUP($B885,Outbound!$B:$AAZ,6,FALSE)),"NON TROVATO"),"")</f>
        <v/>
      </c>
      <c r="I885" s="394" t="str">
        <f>IF(B885&lt;&gt;"",IFERROR(IF(LEFT($B885,3)=$Z$2,VLOOKUP($C885,Outbound!$B:$AAZ,52,FALSE),VLOOKUP($B885,Outbound!$B:$AAZ,52,FALSE)),"NON TROVATO"),"")</f>
        <v/>
      </c>
      <c r="J885" s="396"/>
      <c r="K885" s="387" t="str">
        <f>IF(B885&lt;&gt;"",IF($D885&lt;&gt;"ON ROCS/NOT ON FILE",IFERROR(_xlfn.XLOOKUP(LEFT($D885,3),'STAT 77 Table'!$B:$B,'STAT 77 Table'!$A:$A),"ZZ"&amp;RIGHT($B885,4)),""),"")</f>
        <v/>
      </c>
      <c r="L885" s="396"/>
      <c r="O885" s="388"/>
      <c r="P885" s="388"/>
      <c r="AA885" s="421">
        <f t="shared" si="13"/>
        <v>0</v>
      </c>
    </row>
    <row r="886" spans="1:27" ht="16.5">
      <c r="A886" s="387">
        <f>'STAT 77 Table'!$I$885</f>
        <v>0</v>
      </c>
      <c r="B886"/>
      <c r="C886"/>
      <c r="D886" s="387" t="str">
        <f>IF($B886&lt;&gt;"",IFERROR(IF(LEFT($B886,3)=$Z$2,VLOOKUP($C886,Outbound!$B:$Z,4,FALSE),VLOOKUP($B886,Outbound!$B:$Z,4,FALSE)),"ON ROCS/NOT ON FILE"),"")</f>
        <v/>
      </c>
      <c r="E886" s="387" t="str">
        <f>IF($B886&lt;&gt;"",IFERROR(IF(LEFT($B886,4)=$Z$2,VLOOKUP($C886,Outbound!$B:$Z,5,FALSE),VLOOKUP($B886,Outbound!$B:$Z,5,FALSE)),"ON ROCS/NOT ON FILE"),"")</f>
        <v/>
      </c>
      <c r="F886" s="387" t="str">
        <f>IF(B886&lt;&gt;"",IFERROR(IF(LEFT($B886,3)=$Z$2,VLOOKUP($C886,Outbound!$B:$Z,11,FALSE),VLOOKUP($B886,Outbound!$B:$Z,11,FALSE)),"NON TROVATO"),"")</f>
        <v/>
      </c>
      <c r="G886" s="394" t="str">
        <f>IF(B886&lt;&gt;"",IFERROR(IF(LEFT($B886,3)=$Z$2,VLOOKUP($C886,Outbound!$B:$AAZ,16,FALSE),VLOOKUP($B886,Outbound!$B:$AAZ,16,FALSE)),"NON TROVATO"),"")</f>
        <v/>
      </c>
      <c r="H886" s="394" t="str">
        <f>IF(B886&lt;&gt;"",IFERROR(IF(LEFT($B886,3)=$Z$2,VLOOKUP($C886,Outbound!$B:$AAZ,6,FALSE),VLOOKUP($B886,Outbound!$B:$AAZ,6,FALSE)),"NON TROVATO"),"")</f>
        <v/>
      </c>
      <c r="I886" s="394" t="str">
        <f>IF(B886&lt;&gt;"",IFERROR(IF(LEFT($B886,3)=$Z$2,VLOOKUP($C886,Outbound!$B:$AAZ,52,FALSE),VLOOKUP($B886,Outbound!$B:$AAZ,52,FALSE)),"NON TROVATO"),"")</f>
        <v/>
      </c>
      <c r="J886" s="396"/>
      <c r="K886" s="387" t="str">
        <f>IF(B886&lt;&gt;"",IF($D886&lt;&gt;"ON ROCS/NOT ON FILE",IFERROR(_xlfn.XLOOKUP(LEFT($D886,3),'STAT 77 Table'!$B:$B,'STAT 77 Table'!$A:$A),"ZZ"&amp;RIGHT($B886,4)),""),"")</f>
        <v/>
      </c>
      <c r="L886" s="396"/>
      <c r="O886" s="388"/>
      <c r="P886" s="388"/>
      <c r="AA886" s="421">
        <f t="shared" si="13"/>
        <v>0</v>
      </c>
    </row>
    <row r="887" spans="1:27" ht="16.5">
      <c r="A887" s="387">
        <f>'STAT 77 Table'!$I$886</f>
        <v>0</v>
      </c>
      <c r="B887"/>
      <c r="C887"/>
      <c r="D887" s="387" t="str">
        <f>IF($B887&lt;&gt;"",IFERROR(IF(LEFT($B887,3)=$Z$2,VLOOKUP($C887,Outbound!$B:$Z,4,FALSE),VLOOKUP($B887,Outbound!$B:$Z,4,FALSE)),"ON ROCS/NOT ON FILE"),"")</f>
        <v/>
      </c>
      <c r="E887" s="387" t="str">
        <f>IF($B887&lt;&gt;"",IFERROR(IF(LEFT($B887,4)=$Z$2,VLOOKUP($C887,Outbound!$B:$Z,5,FALSE),VLOOKUP($B887,Outbound!$B:$Z,5,FALSE)),"ON ROCS/NOT ON FILE"),"")</f>
        <v/>
      </c>
      <c r="F887" s="387" t="str">
        <f>IF(B887&lt;&gt;"",IFERROR(IF(LEFT($B887,3)=$Z$2,VLOOKUP($C887,Outbound!$B:$Z,11,FALSE),VLOOKUP($B887,Outbound!$B:$Z,11,FALSE)),"NON TROVATO"),"")</f>
        <v/>
      </c>
      <c r="G887" s="394" t="str">
        <f>IF(B887&lt;&gt;"",IFERROR(IF(LEFT($B887,3)=$Z$2,VLOOKUP($C887,Outbound!$B:$AAZ,16,FALSE),VLOOKUP($B887,Outbound!$B:$AAZ,16,FALSE)),"NON TROVATO"),"")</f>
        <v/>
      </c>
      <c r="H887" s="394" t="str">
        <f>IF(B887&lt;&gt;"",IFERROR(IF(LEFT($B887,3)=$Z$2,VLOOKUP($C887,Outbound!$B:$AAZ,6,FALSE),VLOOKUP($B887,Outbound!$B:$AAZ,6,FALSE)),"NON TROVATO"),"")</f>
        <v/>
      </c>
      <c r="I887" s="394" t="str">
        <f>IF(B887&lt;&gt;"",IFERROR(IF(LEFT($B887,3)=$Z$2,VLOOKUP($C887,Outbound!$B:$AAZ,52,FALSE),VLOOKUP($B887,Outbound!$B:$AAZ,52,FALSE)),"NON TROVATO"),"")</f>
        <v/>
      </c>
      <c r="J887" s="396"/>
      <c r="K887" s="387" t="str">
        <f>IF(B887&lt;&gt;"",IF($D887&lt;&gt;"ON ROCS/NOT ON FILE",IFERROR(_xlfn.XLOOKUP(LEFT($D887,3),'STAT 77 Table'!$B:$B,'STAT 77 Table'!$A:$A),"ZZ"&amp;RIGHT($B887,4)),""),"")</f>
        <v/>
      </c>
      <c r="L887" s="396"/>
      <c r="O887" s="388"/>
      <c r="P887" s="388"/>
      <c r="AA887" s="421">
        <f t="shared" si="13"/>
        <v>0</v>
      </c>
    </row>
    <row r="888" spans="1:27" ht="16.5">
      <c r="A888" s="387">
        <f>'STAT 77 Table'!$I$887</f>
        <v>0</v>
      </c>
      <c r="B888"/>
      <c r="C888"/>
      <c r="D888" s="387" t="str">
        <f>IF($B888&lt;&gt;"",IFERROR(IF(LEFT($B888,3)=$Z$2,VLOOKUP($C888,Outbound!$B:$Z,4,FALSE),VLOOKUP($B888,Outbound!$B:$Z,4,FALSE)),"ON ROCS/NOT ON FILE"),"")</f>
        <v/>
      </c>
      <c r="E888" s="387" t="str">
        <f>IF($B888&lt;&gt;"",IFERROR(IF(LEFT($B888,4)=$Z$2,VLOOKUP($C888,Outbound!$B:$Z,5,FALSE),VLOOKUP($B888,Outbound!$B:$Z,5,FALSE)),"ON ROCS/NOT ON FILE"),"")</f>
        <v/>
      </c>
      <c r="F888" s="387" t="str">
        <f>IF(B888&lt;&gt;"",IFERROR(IF(LEFT($B888,3)=$Z$2,VLOOKUP($C888,Outbound!$B:$Z,11,FALSE),VLOOKUP($B888,Outbound!$B:$Z,11,FALSE)),"NON TROVATO"),"")</f>
        <v/>
      </c>
      <c r="G888" s="394" t="str">
        <f>IF(B888&lt;&gt;"",IFERROR(IF(LEFT($B888,3)=$Z$2,VLOOKUP($C888,Outbound!$B:$AAZ,16,FALSE),VLOOKUP($B888,Outbound!$B:$AAZ,16,FALSE)),"NON TROVATO"),"")</f>
        <v/>
      </c>
      <c r="H888" s="394" t="str">
        <f>IF(B888&lt;&gt;"",IFERROR(IF(LEFT($B888,3)=$Z$2,VLOOKUP($C888,Outbound!$B:$AAZ,6,FALSE),VLOOKUP($B888,Outbound!$B:$AAZ,6,FALSE)),"NON TROVATO"),"")</f>
        <v/>
      </c>
      <c r="I888" s="394" t="str">
        <f>IF(B888&lt;&gt;"",IFERROR(IF(LEFT($B888,3)=$Z$2,VLOOKUP($C888,Outbound!$B:$AAZ,52,FALSE),VLOOKUP($B888,Outbound!$B:$AAZ,52,FALSE)),"NON TROVATO"),"")</f>
        <v/>
      </c>
      <c r="J888" s="396"/>
      <c r="K888" s="387" t="str">
        <f>IF(B888&lt;&gt;"",IF($D888&lt;&gt;"ON ROCS/NOT ON FILE",IFERROR(_xlfn.XLOOKUP(LEFT($D888,3),'STAT 77 Table'!$B:$B,'STAT 77 Table'!$A:$A),"ZZ"&amp;RIGHT($B888,4)),""),"")</f>
        <v/>
      </c>
      <c r="L888" s="396"/>
      <c r="O888" s="388"/>
      <c r="P888" s="388"/>
      <c r="AA888" s="421">
        <f t="shared" si="13"/>
        <v>0</v>
      </c>
    </row>
    <row r="889" spans="1:27" ht="16.5">
      <c r="A889" s="387">
        <f>'STAT 77 Table'!$I$888</f>
        <v>0</v>
      </c>
      <c r="B889"/>
      <c r="C889"/>
      <c r="D889" s="387" t="str">
        <f>IF($B889&lt;&gt;"",IFERROR(IF(LEFT($B889,3)=$Z$2,VLOOKUP($C889,Outbound!$B:$Z,4,FALSE),VLOOKUP($B889,Outbound!$B:$Z,4,FALSE)),"ON ROCS/NOT ON FILE"),"")</f>
        <v/>
      </c>
      <c r="E889" s="387" t="str">
        <f>IF($B889&lt;&gt;"",IFERROR(IF(LEFT($B889,4)=$Z$2,VLOOKUP($C889,Outbound!$B:$Z,5,FALSE),VLOOKUP($B889,Outbound!$B:$Z,5,FALSE)),"ON ROCS/NOT ON FILE"),"")</f>
        <v/>
      </c>
      <c r="F889" s="387" t="str">
        <f>IF(B889&lt;&gt;"",IFERROR(IF(LEFT($B889,3)=$Z$2,VLOOKUP($C889,Outbound!$B:$Z,11,FALSE),VLOOKUP($B889,Outbound!$B:$Z,11,FALSE)),"NON TROVATO"),"")</f>
        <v/>
      </c>
      <c r="G889" s="394" t="str">
        <f>IF(B889&lt;&gt;"",IFERROR(IF(LEFT($B889,3)=$Z$2,VLOOKUP($C889,Outbound!$B:$AAZ,16,FALSE),VLOOKUP($B889,Outbound!$B:$AAZ,16,FALSE)),"NON TROVATO"),"")</f>
        <v/>
      </c>
      <c r="H889" s="394" t="str">
        <f>IF(B889&lt;&gt;"",IFERROR(IF(LEFT($B889,3)=$Z$2,VLOOKUP($C889,Outbound!$B:$AAZ,6,FALSE),VLOOKUP($B889,Outbound!$B:$AAZ,6,FALSE)),"NON TROVATO"),"")</f>
        <v/>
      </c>
      <c r="I889" s="394" t="str">
        <f>IF(B889&lt;&gt;"",IFERROR(IF(LEFT($B889,3)=$Z$2,VLOOKUP($C889,Outbound!$B:$AAZ,52,FALSE),VLOOKUP($B889,Outbound!$B:$AAZ,52,FALSE)),"NON TROVATO"),"")</f>
        <v/>
      </c>
      <c r="J889" s="396"/>
      <c r="K889" s="387" t="str">
        <f>IF(B889&lt;&gt;"",IF($D889&lt;&gt;"ON ROCS/NOT ON FILE",IFERROR(_xlfn.XLOOKUP(LEFT($D889,3),'STAT 77 Table'!$B:$B,'STAT 77 Table'!$A:$A),"ZZ"&amp;RIGHT($B889,4)),""),"")</f>
        <v/>
      </c>
      <c r="L889" s="396"/>
      <c r="O889" s="388"/>
      <c r="P889" s="388"/>
      <c r="AA889" s="421">
        <f t="shared" si="13"/>
        <v>0</v>
      </c>
    </row>
    <row r="890" spans="1:27" ht="16.5">
      <c r="A890" s="387">
        <f>'STAT 77 Table'!$I$889</f>
        <v>0</v>
      </c>
      <c r="B890"/>
      <c r="C890"/>
      <c r="D890" s="387" t="str">
        <f>IF($B890&lt;&gt;"",IFERROR(IF(LEFT($B890,3)=$Z$2,VLOOKUP($C890,Outbound!$B:$Z,4,FALSE),VLOOKUP($B890,Outbound!$B:$Z,4,FALSE)),"ON ROCS/NOT ON FILE"),"")</f>
        <v/>
      </c>
      <c r="E890" s="387" t="str">
        <f>IF($B890&lt;&gt;"",IFERROR(IF(LEFT($B890,4)=$Z$2,VLOOKUP($C890,Outbound!$B:$Z,5,FALSE),VLOOKUP($B890,Outbound!$B:$Z,5,FALSE)),"ON ROCS/NOT ON FILE"),"")</f>
        <v/>
      </c>
      <c r="F890" s="387" t="str">
        <f>IF(B890&lt;&gt;"",IFERROR(IF(LEFT($B890,3)=$Z$2,VLOOKUP($C890,Outbound!$B:$Z,11,FALSE),VLOOKUP($B890,Outbound!$B:$Z,11,FALSE)),"NON TROVATO"),"")</f>
        <v/>
      </c>
      <c r="G890" s="394" t="str">
        <f>IF(B890&lt;&gt;"",IFERROR(IF(LEFT($B890,3)=$Z$2,VLOOKUP($C890,Outbound!$B:$AAZ,16,FALSE),VLOOKUP($B890,Outbound!$B:$AAZ,16,FALSE)),"NON TROVATO"),"")</f>
        <v/>
      </c>
      <c r="H890" s="394" t="str">
        <f>IF(B890&lt;&gt;"",IFERROR(IF(LEFT($B890,3)=$Z$2,VLOOKUP($C890,Outbound!$B:$AAZ,6,FALSE),VLOOKUP($B890,Outbound!$B:$AAZ,6,FALSE)),"NON TROVATO"),"")</f>
        <v/>
      </c>
      <c r="I890" s="394" t="str">
        <f>IF(B890&lt;&gt;"",IFERROR(IF(LEFT($B890,3)=$Z$2,VLOOKUP($C890,Outbound!$B:$AAZ,52,FALSE),VLOOKUP($B890,Outbound!$B:$AAZ,52,FALSE)),"NON TROVATO"),"")</f>
        <v/>
      </c>
      <c r="J890" s="396"/>
      <c r="K890" s="387" t="str">
        <f>IF(B890&lt;&gt;"",IF($D890&lt;&gt;"ON ROCS/NOT ON FILE",IFERROR(_xlfn.XLOOKUP(LEFT($D890,3),'STAT 77 Table'!$B:$B,'STAT 77 Table'!$A:$A),"ZZ"&amp;RIGHT($B890,4)),""),"")</f>
        <v/>
      </c>
      <c r="L890" s="396"/>
      <c r="O890" s="388"/>
      <c r="P890" s="388"/>
      <c r="AA890" s="421">
        <f t="shared" si="13"/>
        <v>0</v>
      </c>
    </row>
    <row r="891" spans="1:27" ht="16.5">
      <c r="A891" s="387">
        <f>'STAT 77 Table'!$I$890</f>
        <v>0</v>
      </c>
      <c r="B891"/>
      <c r="C891"/>
      <c r="D891" s="387" t="str">
        <f>IF($B891&lt;&gt;"",IFERROR(IF(LEFT($B891,3)=$Z$2,VLOOKUP($C891,Outbound!$B:$Z,4,FALSE),VLOOKUP($B891,Outbound!$B:$Z,4,FALSE)),"ON ROCS/NOT ON FILE"),"")</f>
        <v/>
      </c>
      <c r="E891" s="387" t="str">
        <f>IF($B891&lt;&gt;"",IFERROR(IF(LEFT($B891,4)=$Z$2,VLOOKUP($C891,Outbound!$B:$Z,5,FALSE),VLOOKUP($B891,Outbound!$B:$Z,5,FALSE)),"ON ROCS/NOT ON FILE"),"")</f>
        <v/>
      </c>
      <c r="F891" s="387" t="str">
        <f>IF(B891&lt;&gt;"",IFERROR(IF(LEFT($B891,3)=$Z$2,VLOOKUP($C891,Outbound!$B:$Z,11,FALSE),VLOOKUP($B891,Outbound!$B:$Z,11,FALSE)),"NON TROVATO"),"")</f>
        <v/>
      </c>
      <c r="G891" s="394" t="str">
        <f>IF(B891&lt;&gt;"",IFERROR(IF(LEFT($B891,3)=$Z$2,VLOOKUP($C891,Outbound!$B:$AAZ,16,FALSE),VLOOKUP($B891,Outbound!$B:$AAZ,16,FALSE)),"NON TROVATO"),"")</f>
        <v/>
      </c>
      <c r="H891" s="394" t="str">
        <f>IF(B891&lt;&gt;"",IFERROR(IF(LEFT($B891,3)=$Z$2,VLOOKUP($C891,Outbound!$B:$AAZ,6,FALSE),VLOOKUP($B891,Outbound!$B:$AAZ,6,FALSE)),"NON TROVATO"),"")</f>
        <v/>
      </c>
      <c r="I891" s="394" t="str">
        <f>IF(B891&lt;&gt;"",IFERROR(IF(LEFT($B891,3)=$Z$2,VLOOKUP($C891,Outbound!$B:$AAZ,52,FALSE),VLOOKUP($B891,Outbound!$B:$AAZ,52,FALSE)),"NON TROVATO"),"")</f>
        <v/>
      </c>
      <c r="J891" s="396"/>
      <c r="K891" s="387" t="str">
        <f>IF(B891&lt;&gt;"",IF($D891&lt;&gt;"ON ROCS/NOT ON FILE",IFERROR(_xlfn.XLOOKUP(LEFT($D891,3),'STAT 77 Table'!$B:$B,'STAT 77 Table'!$A:$A),"ZZ"&amp;RIGHT($B891,4)),""),"")</f>
        <v/>
      </c>
      <c r="L891" s="396"/>
      <c r="O891" s="388"/>
      <c r="P891" s="388"/>
      <c r="AA891" s="421">
        <f t="shared" si="13"/>
        <v>0</v>
      </c>
    </row>
    <row r="892" spans="1:27" ht="16.5">
      <c r="A892" s="387">
        <f>'STAT 77 Table'!$I$891</f>
        <v>0</v>
      </c>
      <c r="B892"/>
      <c r="C892"/>
      <c r="D892" s="387" t="str">
        <f>IF($B892&lt;&gt;"",IFERROR(IF(LEFT($B892,3)=$Z$2,VLOOKUP($C892,Outbound!$B:$Z,4,FALSE),VLOOKUP($B892,Outbound!$B:$Z,4,FALSE)),"ON ROCS/NOT ON FILE"),"")</f>
        <v/>
      </c>
      <c r="E892" s="387" t="str">
        <f>IF($B892&lt;&gt;"",IFERROR(IF(LEFT($B892,4)=$Z$2,VLOOKUP($C892,Outbound!$B:$Z,5,FALSE),VLOOKUP($B892,Outbound!$B:$Z,5,FALSE)),"ON ROCS/NOT ON FILE"),"")</f>
        <v/>
      </c>
      <c r="F892" s="387" t="str">
        <f>IF(B892&lt;&gt;"",IFERROR(IF(LEFT($B892,3)=$Z$2,VLOOKUP($C892,Outbound!$B:$Z,11,FALSE),VLOOKUP($B892,Outbound!$B:$Z,11,FALSE)),"NON TROVATO"),"")</f>
        <v/>
      </c>
      <c r="G892" s="394" t="str">
        <f>IF(B892&lt;&gt;"",IFERROR(IF(LEFT($B892,3)=$Z$2,VLOOKUP($C892,Outbound!$B:$AAZ,16,FALSE),VLOOKUP($B892,Outbound!$B:$AAZ,16,FALSE)),"NON TROVATO"),"")</f>
        <v/>
      </c>
      <c r="H892" s="394" t="str">
        <f>IF(B892&lt;&gt;"",IFERROR(IF(LEFT($B892,3)=$Z$2,VLOOKUP($C892,Outbound!$B:$AAZ,6,FALSE),VLOOKUP($B892,Outbound!$B:$AAZ,6,FALSE)),"NON TROVATO"),"")</f>
        <v/>
      </c>
      <c r="I892" s="394" t="str">
        <f>IF(B892&lt;&gt;"",IFERROR(IF(LEFT($B892,3)=$Z$2,VLOOKUP($C892,Outbound!$B:$AAZ,52,FALSE),VLOOKUP($B892,Outbound!$B:$AAZ,52,FALSE)),"NON TROVATO"),"")</f>
        <v/>
      </c>
      <c r="J892" s="396"/>
      <c r="K892" s="387" t="str">
        <f>IF(B892&lt;&gt;"",IF($D892&lt;&gt;"ON ROCS/NOT ON FILE",IFERROR(_xlfn.XLOOKUP(LEFT($D892,3),'STAT 77 Table'!$B:$B,'STAT 77 Table'!$A:$A),"ZZ"&amp;RIGHT($B892,4)),""),"")</f>
        <v/>
      </c>
      <c r="L892" s="396"/>
      <c r="O892" s="388"/>
      <c r="P892" s="388"/>
      <c r="AA892" s="421">
        <f t="shared" si="13"/>
        <v>0</v>
      </c>
    </row>
    <row r="893" spans="1:27" ht="16.5">
      <c r="A893" s="387">
        <f>'STAT 77 Table'!$I$892</f>
        <v>0</v>
      </c>
      <c r="B893"/>
      <c r="C893"/>
      <c r="D893" s="387" t="str">
        <f>IF($B893&lt;&gt;"",IFERROR(IF(LEFT($B893,3)=$Z$2,VLOOKUP($C893,Outbound!$B:$Z,4,FALSE),VLOOKUP($B893,Outbound!$B:$Z,4,FALSE)),"ON ROCS/NOT ON FILE"),"")</f>
        <v/>
      </c>
      <c r="E893" s="387" t="str">
        <f>IF($B893&lt;&gt;"",IFERROR(IF(LEFT($B893,4)=$Z$2,VLOOKUP($C893,Outbound!$B:$Z,5,FALSE),VLOOKUP($B893,Outbound!$B:$Z,5,FALSE)),"ON ROCS/NOT ON FILE"),"")</f>
        <v/>
      </c>
      <c r="F893" s="387" t="str">
        <f>IF(B893&lt;&gt;"",IFERROR(IF(LEFT($B893,3)=$Z$2,VLOOKUP($C893,Outbound!$B:$Z,11,FALSE),VLOOKUP($B893,Outbound!$B:$Z,11,FALSE)),"NON TROVATO"),"")</f>
        <v/>
      </c>
      <c r="G893" s="394" t="str">
        <f>IF(B893&lt;&gt;"",IFERROR(IF(LEFT($B893,3)=$Z$2,VLOOKUP($C893,Outbound!$B:$AAZ,16,FALSE),VLOOKUP($B893,Outbound!$B:$AAZ,16,FALSE)),"NON TROVATO"),"")</f>
        <v/>
      </c>
      <c r="H893" s="394" t="str">
        <f>IF(B893&lt;&gt;"",IFERROR(IF(LEFT($B893,3)=$Z$2,VLOOKUP($C893,Outbound!$B:$AAZ,6,FALSE),VLOOKUP($B893,Outbound!$B:$AAZ,6,FALSE)),"NON TROVATO"),"")</f>
        <v/>
      </c>
      <c r="I893" s="394" t="str">
        <f>IF(B893&lt;&gt;"",IFERROR(IF(LEFT($B893,3)=$Z$2,VLOOKUP($C893,Outbound!$B:$AAZ,52,FALSE),VLOOKUP($B893,Outbound!$B:$AAZ,52,FALSE)),"NON TROVATO"),"")</f>
        <v/>
      </c>
      <c r="J893" s="396"/>
      <c r="K893" s="387" t="str">
        <f>IF(B893&lt;&gt;"",IF($D893&lt;&gt;"ON ROCS/NOT ON FILE",IFERROR(_xlfn.XLOOKUP(LEFT($D893,3),'STAT 77 Table'!$B:$B,'STAT 77 Table'!$A:$A),"ZZ"&amp;RIGHT($B893,4)),""),"")</f>
        <v/>
      </c>
      <c r="L893" s="396"/>
      <c r="O893" s="388"/>
      <c r="P893" s="388"/>
      <c r="AA893" s="421">
        <f t="shared" si="13"/>
        <v>0</v>
      </c>
    </row>
    <row r="894" spans="1:27" ht="16.5">
      <c r="A894" s="387">
        <f>'STAT 77 Table'!$I$893</f>
        <v>0</v>
      </c>
      <c r="B894"/>
      <c r="C894"/>
      <c r="D894" s="387" t="str">
        <f>IF($B894&lt;&gt;"",IFERROR(IF(LEFT($B894,3)=$Z$2,VLOOKUP($C894,Outbound!$B:$Z,4,FALSE),VLOOKUP($B894,Outbound!$B:$Z,4,FALSE)),"ON ROCS/NOT ON FILE"),"")</f>
        <v/>
      </c>
      <c r="E894" s="387" t="str">
        <f>IF($B894&lt;&gt;"",IFERROR(IF(LEFT($B894,4)=$Z$2,VLOOKUP($C894,Outbound!$B:$Z,5,FALSE),VLOOKUP($B894,Outbound!$B:$Z,5,FALSE)),"ON ROCS/NOT ON FILE"),"")</f>
        <v/>
      </c>
      <c r="F894" s="387" t="str">
        <f>IF(B894&lt;&gt;"",IFERROR(IF(LEFT($B894,3)=$Z$2,VLOOKUP($C894,Outbound!$B:$Z,11,FALSE),VLOOKUP($B894,Outbound!$B:$Z,11,FALSE)),"NON TROVATO"),"")</f>
        <v/>
      </c>
      <c r="G894" s="394" t="str">
        <f>IF(B894&lt;&gt;"",IFERROR(IF(LEFT($B894,3)=$Z$2,VLOOKUP($C894,Outbound!$B:$AAZ,16,FALSE),VLOOKUP($B894,Outbound!$B:$AAZ,16,FALSE)),"NON TROVATO"),"")</f>
        <v/>
      </c>
      <c r="H894" s="394" t="str">
        <f>IF(B894&lt;&gt;"",IFERROR(IF(LEFT($B894,3)=$Z$2,VLOOKUP($C894,Outbound!$B:$AAZ,6,FALSE),VLOOKUP($B894,Outbound!$B:$AAZ,6,FALSE)),"NON TROVATO"),"")</f>
        <v/>
      </c>
      <c r="I894" s="394" t="str">
        <f>IF(B894&lt;&gt;"",IFERROR(IF(LEFT($B894,3)=$Z$2,VLOOKUP($C894,Outbound!$B:$AAZ,52,FALSE),VLOOKUP($B894,Outbound!$B:$AAZ,52,FALSE)),"NON TROVATO"),"")</f>
        <v/>
      </c>
      <c r="J894" s="396"/>
      <c r="K894" s="387" t="str">
        <f>IF(B894&lt;&gt;"",IF($D894&lt;&gt;"ON ROCS/NOT ON FILE",IFERROR(_xlfn.XLOOKUP(LEFT($D894,3),'STAT 77 Table'!$B:$B,'STAT 77 Table'!$A:$A),"ZZ"&amp;RIGHT($B894,4)),""),"")</f>
        <v/>
      </c>
      <c r="L894" s="396"/>
      <c r="O894" s="388"/>
      <c r="P894" s="388"/>
      <c r="AA894" s="421">
        <f t="shared" si="13"/>
        <v>0</v>
      </c>
    </row>
    <row r="895" spans="1:27" ht="16.5">
      <c r="A895" s="387">
        <f>'STAT 77 Table'!$I$894</f>
        <v>0</v>
      </c>
      <c r="B895"/>
      <c r="C895"/>
      <c r="D895" s="387" t="str">
        <f>IF($B895&lt;&gt;"",IFERROR(IF(LEFT($B895,3)=$Z$2,VLOOKUP($C895,Outbound!$B:$Z,4,FALSE),VLOOKUP($B895,Outbound!$B:$Z,4,FALSE)),"ON ROCS/NOT ON FILE"),"")</f>
        <v/>
      </c>
      <c r="E895" s="387" t="str">
        <f>IF($B895&lt;&gt;"",IFERROR(IF(LEFT($B895,4)=$Z$2,VLOOKUP($C895,Outbound!$B:$Z,5,FALSE),VLOOKUP($B895,Outbound!$B:$Z,5,FALSE)),"ON ROCS/NOT ON FILE"),"")</f>
        <v/>
      </c>
      <c r="F895" s="387" t="str">
        <f>IF(B895&lt;&gt;"",IFERROR(IF(LEFT($B895,3)=$Z$2,VLOOKUP($C895,Outbound!$B:$Z,11,FALSE),VLOOKUP($B895,Outbound!$B:$Z,11,FALSE)),"NON TROVATO"),"")</f>
        <v/>
      </c>
      <c r="G895" s="394" t="str">
        <f>IF(B895&lt;&gt;"",IFERROR(IF(LEFT($B895,3)=$Z$2,VLOOKUP($C895,Outbound!$B:$AAZ,16,FALSE),VLOOKUP($B895,Outbound!$B:$AAZ,16,FALSE)),"NON TROVATO"),"")</f>
        <v/>
      </c>
      <c r="H895" s="394" t="str">
        <f>IF(B895&lt;&gt;"",IFERROR(IF(LEFT($B895,3)=$Z$2,VLOOKUP($C895,Outbound!$B:$AAZ,6,FALSE),VLOOKUP($B895,Outbound!$B:$AAZ,6,FALSE)),"NON TROVATO"),"")</f>
        <v/>
      </c>
      <c r="I895" s="394" t="str">
        <f>IF(B895&lt;&gt;"",IFERROR(IF(LEFT($B895,3)=$Z$2,VLOOKUP($C895,Outbound!$B:$AAZ,52,FALSE),VLOOKUP($B895,Outbound!$B:$AAZ,52,FALSE)),"NON TROVATO"),"")</f>
        <v/>
      </c>
      <c r="J895" s="396"/>
      <c r="K895" s="387" t="str">
        <f>IF(B895&lt;&gt;"",IF($D895&lt;&gt;"ON ROCS/NOT ON FILE",IFERROR(_xlfn.XLOOKUP(LEFT($D895,3),'STAT 77 Table'!$B:$B,'STAT 77 Table'!$A:$A),"ZZ"&amp;RIGHT($B895,4)),""),"")</f>
        <v/>
      </c>
      <c r="L895" s="396"/>
      <c r="O895" s="388"/>
      <c r="P895" s="388"/>
      <c r="AA895" s="421">
        <f t="shared" si="13"/>
        <v>0</v>
      </c>
    </row>
    <row r="896" spans="1:27" ht="16.5">
      <c r="A896" s="387">
        <f>'STAT 77 Table'!$I$895</f>
        <v>0</v>
      </c>
      <c r="B896"/>
      <c r="C896"/>
      <c r="D896" s="387" t="str">
        <f>IF($B896&lt;&gt;"",IFERROR(IF(LEFT($B896,3)=$Z$2,VLOOKUP($C896,Outbound!$B:$Z,4,FALSE),VLOOKUP($B896,Outbound!$B:$Z,4,FALSE)),"ON ROCS/NOT ON FILE"),"")</f>
        <v/>
      </c>
      <c r="E896" s="387" t="str">
        <f>IF($B896&lt;&gt;"",IFERROR(IF(LEFT($B896,4)=$Z$2,VLOOKUP($C896,Outbound!$B:$Z,5,FALSE),VLOOKUP($B896,Outbound!$B:$Z,5,FALSE)),"ON ROCS/NOT ON FILE"),"")</f>
        <v/>
      </c>
      <c r="F896" s="387" t="str">
        <f>IF(B896&lt;&gt;"",IFERROR(IF(LEFT($B896,3)=$Z$2,VLOOKUP($C896,Outbound!$B:$Z,11,FALSE),VLOOKUP($B896,Outbound!$B:$Z,11,FALSE)),"NON TROVATO"),"")</f>
        <v/>
      </c>
      <c r="G896" s="394" t="str">
        <f>IF(B896&lt;&gt;"",IFERROR(IF(LEFT($B896,3)=$Z$2,VLOOKUP($C896,Outbound!$B:$AAZ,16,FALSE),VLOOKUP($B896,Outbound!$B:$AAZ,16,FALSE)),"NON TROVATO"),"")</f>
        <v/>
      </c>
      <c r="H896" s="394" t="str">
        <f>IF(B896&lt;&gt;"",IFERROR(IF(LEFT($B896,3)=$Z$2,VLOOKUP($C896,Outbound!$B:$AAZ,6,FALSE),VLOOKUP($B896,Outbound!$B:$AAZ,6,FALSE)),"NON TROVATO"),"")</f>
        <v/>
      </c>
      <c r="I896" s="394" t="str">
        <f>IF(B896&lt;&gt;"",IFERROR(IF(LEFT($B896,3)=$Z$2,VLOOKUP($C896,Outbound!$B:$AAZ,52,FALSE),VLOOKUP($B896,Outbound!$B:$AAZ,52,FALSE)),"NON TROVATO"),"")</f>
        <v/>
      </c>
      <c r="J896" s="396"/>
      <c r="K896" s="387" t="str">
        <f>IF(B896&lt;&gt;"",IF($D896&lt;&gt;"ON ROCS/NOT ON FILE",IFERROR(_xlfn.XLOOKUP(LEFT($D896,3),'STAT 77 Table'!$B:$B,'STAT 77 Table'!$A:$A),"ZZ"&amp;RIGHT($B896,4)),""),"")</f>
        <v/>
      </c>
      <c r="L896" s="396"/>
      <c r="O896" s="388"/>
      <c r="P896" s="388"/>
      <c r="AA896" s="421">
        <f t="shared" si="13"/>
        <v>0</v>
      </c>
    </row>
    <row r="897" spans="1:27" ht="16.5">
      <c r="A897" s="387">
        <f>'STAT 77 Table'!$I$896</f>
        <v>0</v>
      </c>
      <c r="B897"/>
      <c r="C897"/>
      <c r="D897" s="387" t="str">
        <f>IF($B897&lt;&gt;"",IFERROR(IF(LEFT($B897,3)=$Z$2,VLOOKUP($C897,Outbound!$B:$Z,4,FALSE),VLOOKUP($B897,Outbound!$B:$Z,4,FALSE)),"ON ROCS/NOT ON FILE"),"")</f>
        <v/>
      </c>
      <c r="E897" s="387" t="str">
        <f>IF($B897&lt;&gt;"",IFERROR(IF(LEFT($B897,4)=$Z$2,VLOOKUP($C897,Outbound!$B:$Z,5,FALSE),VLOOKUP($B897,Outbound!$B:$Z,5,FALSE)),"ON ROCS/NOT ON FILE"),"")</f>
        <v/>
      </c>
      <c r="F897" s="387" t="str">
        <f>IF(B897&lt;&gt;"",IFERROR(IF(LEFT($B897,3)=$Z$2,VLOOKUP($C897,Outbound!$B:$Z,11,FALSE),VLOOKUP($B897,Outbound!$B:$Z,11,FALSE)),"NON TROVATO"),"")</f>
        <v/>
      </c>
      <c r="G897" s="394" t="str">
        <f>IF(B897&lt;&gt;"",IFERROR(IF(LEFT($B897,3)=$Z$2,VLOOKUP($C897,Outbound!$B:$AAZ,16,FALSE),VLOOKUP($B897,Outbound!$B:$AAZ,16,FALSE)),"NON TROVATO"),"")</f>
        <v/>
      </c>
      <c r="H897" s="394" t="str">
        <f>IF(B897&lt;&gt;"",IFERROR(IF(LEFT($B897,3)=$Z$2,VLOOKUP($C897,Outbound!$B:$AAZ,6,FALSE),VLOOKUP($B897,Outbound!$B:$AAZ,6,FALSE)),"NON TROVATO"),"")</f>
        <v/>
      </c>
      <c r="I897" s="394" t="str">
        <f>IF(B897&lt;&gt;"",IFERROR(IF(LEFT($B897,3)=$Z$2,VLOOKUP($C897,Outbound!$B:$AAZ,52,FALSE),VLOOKUP($B897,Outbound!$B:$AAZ,52,FALSE)),"NON TROVATO"),"")</f>
        <v/>
      </c>
      <c r="J897" s="396"/>
      <c r="K897" s="387" t="str">
        <f>IF(B897&lt;&gt;"",IF($D897&lt;&gt;"ON ROCS/NOT ON FILE",IFERROR(_xlfn.XLOOKUP(LEFT($D897,3),'STAT 77 Table'!$B:$B,'STAT 77 Table'!$A:$A),"ZZ"&amp;RIGHT($B897,4)),""),"")</f>
        <v/>
      </c>
      <c r="L897" s="396"/>
      <c r="O897" s="388"/>
      <c r="P897" s="388"/>
      <c r="AA897" s="421">
        <f t="shared" si="13"/>
        <v>0</v>
      </c>
    </row>
    <row r="898" spans="1:27" ht="16.5">
      <c r="A898" s="387">
        <f>'STAT 77 Table'!$I$897</f>
        <v>0</v>
      </c>
      <c r="B898"/>
      <c r="C898"/>
      <c r="D898" s="387" t="str">
        <f>IF($B898&lt;&gt;"",IFERROR(IF(LEFT($B898,3)=$Z$2,VLOOKUP($C898,Outbound!$B:$Z,4,FALSE),VLOOKUP($B898,Outbound!$B:$Z,4,FALSE)),"ON ROCS/NOT ON FILE"),"")</f>
        <v/>
      </c>
      <c r="E898" s="387" t="str">
        <f>IF($B898&lt;&gt;"",IFERROR(IF(LEFT($B898,4)=$Z$2,VLOOKUP($C898,Outbound!$B:$Z,5,FALSE),VLOOKUP($B898,Outbound!$B:$Z,5,FALSE)),"ON ROCS/NOT ON FILE"),"")</f>
        <v/>
      </c>
      <c r="F898" s="387" t="str">
        <f>IF(B898&lt;&gt;"",IFERROR(IF(LEFT($B898,3)=$Z$2,VLOOKUP($C898,Outbound!$B:$Z,11,FALSE),VLOOKUP($B898,Outbound!$B:$Z,11,FALSE)),"NON TROVATO"),"")</f>
        <v/>
      </c>
      <c r="G898" s="394" t="str">
        <f>IF(B898&lt;&gt;"",IFERROR(IF(LEFT($B898,3)=$Z$2,VLOOKUP($C898,Outbound!$B:$AAZ,16,FALSE),VLOOKUP($B898,Outbound!$B:$AAZ,16,FALSE)),"NON TROVATO"),"")</f>
        <v/>
      </c>
      <c r="H898" s="394" t="str">
        <f>IF(B898&lt;&gt;"",IFERROR(IF(LEFT($B898,3)=$Z$2,VLOOKUP($C898,Outbound!$B:$AAZ,6,FALSE),VLOOKUP($B898,Outbound!$B:$AAZ,6,FALSE)),"NON TROVATO"),"")</f>
        <v/>
      </c>
      <c r="I898" s="394" t="str">
        <f>IF(B898&lt;&gt;"",IFERROR(IF(LEFT($B898,3)=$Z$2,VLOOKUP($C898,Outbound!$B:$AAZ,52,FALSE),VLOOKUP($B898,Outbound!$B:$AAZ,52,FALSE)),"NON TROVATO"),"")</f>
        <v/>
      </c>
      <c r="J898" s="396"/>
      <c r="K898" s="387" t="str">
        <f>IF(B898&lt;&gt;"",IF($D898&lt;&gt;"ON ROCS/NOT ON FILE",IFERROR(_xlfn.XLOOKUP(LEFT($D898,3),'STAT 77 Table'!$B:$B,'STAT 77 Table'!$A:$A),"ZZ"&amp;RIGHT($B898,4)),""),"")</f>
        <v/>
      </c>
      <c r="L898" s="396"/>
      <c r="O898" s="388"/>
      <c r="P898" s="388"/>
      <c r="AA898" s="421">
        <f t="shared" si="13"/>
        <v>0</v>
      </c>
    </row>
    <row r="899" spans="1:27" ht="16.5">
      <c r="A899" s="387">
        <f>'STAT 77 Table'!$I$898</f>
        <v>0</v>
      </c>
      <c r="B899"/>
      <c r="C899"/>
      <c r="D899" s="387" t="str">
        <f>IF($B899&lt;&gt;"",IFERROR(IF(LEFT($B899,3)=$Z$2,VLOOKUP($C899,Outbound!$B:$Z,4,FALSE),VLOOKUP($B899,Outbound!$B:$Z,4,FALSE)),"ON ROCS/NOT ON FILE"),"")</f>
        <v/>
      </c>
      <c r="E899" s="387" t="str">
        <f>IF($B899&lt;&gt;"",IFERROR(IF(LEFT($B899,4)=$Z$2,VLOOKUP($C899,Outbound!$B:$Z,5,FALSE),VLOOKUP($B899,Outbound!$B:$Z,5,FALSE)),"ON ROCS/NOT ON FILE"),"")</f>
        <v/>
      </c>
      <c r="F899" s="387" t="str">
        <f>IF(B899&lt;&gt;"",IFERROR(IF(LEFT($B899,3)=$Z$2,VLOOKUP($C899,Outbound!$B:$Z,11,FALSE),VLOOKUP($B899,Outbound!$B:$Z,11,FALSE)),"NON TROVATO"),"")</f>
        <v/>
      </c>
      <c r="G899" s="394" t="str">
        <f>IF(B899&lt;&gt;"",IFERROR(IF(LEFT($B899,3)=$Z$2,VLOOKUP($C899,Outbound!$B:$AAZ,16,FALSE),VLOOKUP($B899,Outbound!$B:$AAZ,16,FALSE)),"NON TROVATO"),"")</f>
        <v/>
      </c>
      <c r="H899" s="394" t="str">
        <f>IF(B899&lt;&gt;"",IFERROR(IF(LEFT($B899,3)=$Z$2,VLOOKUP($C899,Outbound!$B:$AAZ,6,FALSE),VLOOKUP($B899,Outbound!$B:$AAZ,6,FALSE)),"NON TROVATO"),"")</f>
        <v/>
      </c>
      <c r="I899" s="394" t="str">
        <f>IF(B899&lt;&gt;"",IFERROR(IF(LEFT($B899,3)=$Z$2,VLOOKUP($C899,Outbound!$B:$AAZ,52,FALSE),VLOOKUP($B899,Outbound!$B:$AAZ,52,FALSE)),"NON TROVATO"),"")</f>
        <v/>
      </c>
      <c r="J899" s="396"/>
      <c r="K899" s="387" t="str">
        <f>IF(B899&lt;&gt;"",IF($D899&lt;&gt;"ON ROCS/NOT ON FILE",IFERROR(_xlfn.XLOOKUP(LEFT($D899,3),'STAT 77 Table'!$B:$B,'STAT 77 Table'!$A:$A),"ZZ"&amp;RIGHT($B899,4)),""),"")</f>
        <v/>
      </c>
      <c r="L899" s="396"/>
      <c r="O899" s="388"/>
      <c r="P899" s="388"/>
      <c r="AA899" s="421">
        <f t="shared" si="13"/>
        <v>0</v>
      </c>
    </row>
    <row r="900" spans="1:27" ht="16.5">
      <c r="A900" s="387">
        <f>'STAT 77 Table'!$I$899</f>
        <v>0</v>
      </c>
      <c r="B900"/>
      <c r="C900"/>
      <c r="D900" s="387" t="str">
        <f>IF($B900&lt;&gt;"",IFERROR(IF(LEFT($B900,3)=$Z$2,VLOOKUP($C900,Outbound!$B:$Z,4,FALSE),VLOOKUP($B900,Outbound!$B:$Z,4,FALSE)),"ON ROCS/NOT ON FILE"),"")</f>
        <v/>
      </c>
      <c r="E900" s="387" t="str">
        <f>IF($B900&lt;&gt;"",IFERROR(IF(LEFT($B900,4)=$Z$2,VLOOKUP($C900,Outbound!$B:$Z,5,FALSE),VLOOKUP($B900,Outbound!$B:$Z,5,FALSE)),"ON ROCS/NOT ON FILE"),"")</f>
        <v/>
      </c>
      <c r="F900" s="387" t="str">
        <f>IF(B900&lt;&gt;"",IFERROR(IF(LEFT($B900,3)=$Z$2,VLOOKUP($C900,Outbound!$B:$Z,11,FALSE),VLOOKUP($B900,Outbound!$B:$Z,11,FALSE)),"NON TROVATO"),"")</f>
        <v/>
      </c>
      <c r="G900" s="394" t="str">
        <f>IF(B900&lt;&gt;"",IFERROR(IF(LEFT($B900,3)=$Z$2,VLOOKUP($C900,Outbound!$B:$AAZ,16,FALSE),VLOOKUP($B900,Outbound!$B:$AAZ,16,FALSE)),"NON TROVATO"),"")</f>
        <v/>
      </c>
      <c r="H900" s="394" t="str">
        <f>IF(B900&lt;&gt;"",IFERROR(IF(LEFT($B900,3)=$Z$2,VLOOKUP($C900,Outbound!$B:$AAZ,6,FALSE),VLOOKUP($B900,Outbound!$B:$AAZ,6,FALSE)),"NON TROVATO"),"")</f>
        <v/>
      </c>
      <c r="I900" s="394" t="str">
        <f>IF(B900&lt;&gt;"",IFERROR(IF(LEFT($B900,3)=$Z$2,VLOOKUP($C900,Outbound!$B:$AAZ,52,FALSE),VLOOKUP($B900,Outbound!$B:$AAZ,52,FALSE)),"NON TROVATO"),"")</f>
        <v/>
      </c>
      <c r="J900" s="396"/>
      <c r="K900" s="387" t="str">
        <f>IF(B900&lt;&gt;"",IF($D900&lt;&gt;"ON ROCS/NOT ON FILE",IFERROR(_xlfn.XLOOKUP(LEFT($D900,3),'STAT 77 Table'!$B:$B,'STAT 77 Table'!$A:$A),"ZZ"&amp;RIGHT($B900,4)),""),"")</f>
        <v/>
      </c>
      <c r="L900" s="396"/>
      <c r="O900" s="388"/>
      <c r="P900" s="388"/>
      <c r="AA900" s="421">
        <f t="shared" ref="AA900:AA963" si="14">IF(LEFT(A900,3)=$X$2,C900,B900)</f>
        <v>0</v>
      </c>
    </row>
    <row r="901" spans="1:27" ht="16.5">
      <c r="A901" s="387">
        <f>'STAT 77 Table'!$I$900</f>
        <v>0</v>
      </c>
      <c r="B901"/>
      <c r="C901"/>
      <c r="D901" s="387" t="str">
        <f>IF($B901&lt;&gt;"",IFERROR(IF(LEFT($B901,3)=$Z$2,VLOOKUP($C901,Outbound!$B:$Z,4,FALSE),VLOOKUP($B901,Outbound!$B:$Z,4,FALSE)),"ON ROCS/NOT ON FILE"),"")</f>
        <v/>
      </c>
      <c r="E901" s="387" t="str">
        <f>IF($B901&lt;&gt;"",IFERROR(IF(LEFT($B901,4)=$Z$2,VLOOKUP($C901,Outbound!$B:$Z,5,FALSE),VLOOKUP($B901,Outbound!$B:$Z,5,FALSE)),"ON ROCS/NOT ON FILE"),"")</f>
        <v/>
      </c>
      <c r="F901" s="387" t="str">
        <f>IF(B901&lt;&gt;"",IFERROR(IF(LEFT($B901,3)=$Z$2,VLOOKUP($C901,Outbound!$B:$Z,11,FALSE),VLOOKUP($B901,Outbound!$B:$Z,11,FALSE)),"NON TROVATO"),"")</f>
        <v/>
      </c>
      <c r="G901" s="394" t="str">
        <f>IF(B901&lt;&gt;"",IFERROR(IF(LEFT($B901,3)=$Z$2,VLOOKUP($C901,Outbound!$B:$AAZ,16,FALSE),VLOOKUP($B901,Outbound!$B:$AAZ,16,FALSE)),"NON TROVATO"),"")</f>
        <v/>
      </c>
      <c r="H901" s="394" t="str">
        <f>IF(B901&lt;&gt;"",IFERROR(IF(LEFT($B901,3)=$Z$2,VLOOKUP($C901,Outbound!$B:$AAZ,6,FALSE),VLOOKUP($B901,Outbound!$B:$AAZ,6,FALSE)),"NON TROVATO"),"")</f>
        <v/>
      </c>
      <c r="I901" s="394" t="str">
        <f>IF(B901&lt;&gt;"",IFERROR(IF(LEFT($B901,3)=$Z$2,VLOOKUP($C901,Outbound!$B:$AAZ,52,FALSE),VLOOKUP($B901,Outbound!$B:$AAZ,52,FALSE)),"NON TROVATO"),"")</f>
        <v/>
      </c>
      <c r="J901" s="396"/>
      <c r="K901" s="387" t="str">
        <f>IF(B901&lt;&gt;"",IF($D901&lt;&gt;"ON ROCS/NOT ON FILE",IFERROR(_xlfn.XLOOKUP(LEFT($D901,3),'STAT 77 Table'!$B:$B,'STAT 77 Table'!$A:$A),"ZZ"&amp;RIGHT($B901,4)),""),"")</f>
        <v/>
      </c>
      <c r="L901" s="396"/>
      <c r="O901" s="388"/>
      <c r="P901" s="388"/>
      <c r="AA901" s="421">
        <f t="shared" si="14"/>
        <v>0</v>
      </c>
    </row>
    <row r="902" spans="1:27" ht="16.5">
      <c r="A902" s="387">
        <f>'STAT 77 Table'!$I$901</f>
        <v>0</v>
      </c>
      <c r="B902"/>
      <c r="C902"/>
      <c r="D902" s="387" t="str">
        <f>IF($B902&lt;&gt;"",IFERROR(IF(LEFT($B902,3)=$Z$2,VLOOKUP($C902,Outbound!$B:$Z,4,FALSE),VLOOKUP($B902,Outbound!$B:$Z,4,FALSE)),"ON ROCS/NOT ON FILE"),"")</f>
        <v/>
      </c>
      <c r="E902" s="387" t="str">
        <f>IF($B902&lt;&gt;"",IFERROR(IF(LEFT($B902,4)=$Z$2,VLOOKUP($C902,Outbound!$B:$Z,5,FALSE),VLOOKUP($B902,Outbound!$B:$Z,5,FALSE)),"ON ROCS/NOT ON FILE"),"")</f>
        <v/>
      </c>
      <c r="F902" s="387" t="str">
        <f>IF(B902&lt;&gt;"",IFERROR(IF(LEFT($B902,3)=$Z$2,VLOOKUP($C902,Outbound!$B:$Z,11,FALSE),VLOOKUP($B902,Outbound!$B:$Z,11,FALSE)),"NON TROVATO"),"")</f>
        <v/>
      </c>
      <c r="G902" s="394" t="str">
        <f>IF(B902&lt;&gt;"",IFERROR(IF(LEFT($B902,3)=$Z$2,VLOOKUP($C902,Outbound!$B:$AAZ,16,FALSE),VLOOKUP($B902,Outbound!$B:$AAZ,16,FALSE)),"NON TROVATO"),"")</f>
        <v/>
      </c>
      <c r="H902" s="394" t="str">
        <f>IF(B902&lt;&gt;"",IFERROR(IF(LEFT($B902,3)=$Z$2,VLOOKUP($C902,Outbound!$B:$AAZ,6,FALSE),VLOOKUP($B902,Outbound!$B:$AAZ,6,FALSE)),"NON TROVATO"),"")</f>
        <v/>
      </c>
      <c r="I902" s="394" t="str">
        <f>IF(B902&lt;&gt;"",IFERROR(IF(LEFT($B902,3)=$Z$2,VLOOKUP($C902,Outbound!$B:$AAZ,52,FALSE),VLOOKUP($B902,Outbound!$B:$AAZ,52,FALSE)),"NON TROVATO"),"")</f>
        <v/>
      </c>
      <c r="J902" s="396"/>
      <c r="K902" s="387" t="str">
        <f>IF(B902&lt;&gt;"",IF($D902&lt;&gt;"ON ROCS/NOT ON FILE",IFERROR(_xlfn.XLOOKUP(LEFT($D902,3),'STAT 77 Table'!$B:$B,'STAT 77 Table'!$A:$A),"ZZ"&amp;RIGHT($B902,4)),""),"")</f>
        <v/>
      </c>
      <c r="L902" s="396"/>
      <c r="O902" s="388"/>
      <c r="P902" s="388"/>
      <c r="AA902" s="421">
        <f t="shared" si="14"/>
        <v>0</v>
      </c>
    </row>
    <row r="903" spans="1:27" ht="16.5">
      <c r="A903" s="387">
        <f>'STAT 77 Table'!$I$902</f>
        <v>0</v>
      </c>
      <c r="B903"/>
      <c r="C903"/>
      <c r="D903" s="387" t="str">
        <f>IF($B903&lt;&gt;"",IFERROR(IF(LEFT($B903,3)=$Z$2,VLOOKUP($C903,Outbound!$B:$Z,4,FALSE),VLOOKUP($B903,Outbound!$B:$Z,4,FALSE)),"ON ROCS/NOT ON FILE"),"")</f>
        <v/>
      </c>
      <c r="E903" s="387" t="str">
        <f>IF($B903&lt;&gt;"",IFERROR(IF(LEFT($B903,4)=$Z$2,VLOOKUP($C903,Outbound!$B:$Z,5,FALSE),VLOOKUP($B903,Outbound!$B:$Z,5,FALSE)),"ON ROCS/NOT ON FILE"),"")</f>
        <v/>
      </c>
      <c r="F903" s="387" t="str">
        <f>IF(B903&lt;&gt;"",IFERROR(IF(LEFT($B903,3)=$Z$2,VLOOKUP($C903,Outbound!$B:$Z,11,FALSE),VLOOKUP($B903,Outbound!$B:$Z,11,FALSE)),"NON TROVATO"),"")</f>
        <v/>
      </c>
      <c r="G903" s="394" t="str">
        <f>IF(B903&lt;&gt;"",IFERROR(IF(LEFT($B903,3)=$Z$2,VLOOKUP($C903,Outbound!$B:$AAZ,16,FALSE),VLOOKUP($B903,Outbound!$B:$AAZ,16,FALSE)),"NON TROVATO"),"")</f>
        <v/>
      </c>
      <c r="H903" s="394" t="str">
        <f>IF(B903&lt;&gt;"",IFERROR(IF(LEFT($B903,3)=$Z$2,VLOOKUP($C903,Outbound!$B:$AAZ,6,FALSE),VLOOKUP($B903,Outbound!$B:$AAZ,6,FALSE)),"NON TROVATO"),"")</f>
        <v/>
      </c>
      <c r="I903" s="394" t="str">
        <f>IF(B903&lt;&gt;"",IFERROR(IF(LEFT($B903,3)=$Z$2,VLOOKUP($C903,Outbound!$B:$AAZ,52,FALSE),VLOOKUP($B903,Outbound!$B:$AAZ,52,FALSE)),"NON TROVATO"),"")</f>
        <v/>
      </c>
      <c r="J903" s="396"/>
      <c r="K903" s="387" t="str">
        <f>IF(B903&lt;&gt;"",IF($D903&lt;&gt;"ON ROCS/NOT ON FILE",IFERROR(_xlfn.XLOOKUP(LEFT($D903,3),'STAT 77 Table'!$B:$B,'STAT 77 Table'!$A:$A),"ZZ"&amp;RIGHT($B903,4)),""),"")</f>
        <v/>
      </c>
      <c r="L903" s="396"/>
      <c r="O903" s="388"/>
      <c r="P903" s="388"/>
      <c r="AA903" s="421">
        <f t="shared" si="14"/>
        <v>0</v>
      </c>
    </row>
    <row r="904" spans="1:27" ht="16.5">
      <c r="A904" s="387">
        <f>'STAT 77 Table'!$I$903</f>
        <v>0</v>
      </c>
      <c r="B904"/>
      <c r="C904"/>
      <c r="D904" s="387" t="str">
        <f>IF($B904&lt;&gt;"",IFERROR(IF(LEFT($B904,3)=$Z$2,VLOOKUP($C904,Outbound!$B:$Z,4,FALSE),VLOOKUP($B904,Outbound!$B:$Z,4,FALSE)),"ON ROCS/NOT ON FILE"),"")</f>
        <v/>
      </c>
      <c r="E904" s="387" t="str">
        <f>IF($B904&lt;&gt;"",IFERROR(IF(LEFT($B904,4)=$Z$2,VLOOKUP($C904,Outbound!$B:$Z,5,FALSE),VLOOKUP($B904,Outbound!$B:$Z,5,FALSE)),"ON ROCS/NOT ON FILE"),"")</f>
        <v/>
      </c>
      <c r="F904" s="387" t="str">
        <f>IF(B904&lt;&gt;"",IFERROR(IF(LEFT($B904,3)=$Z$2,VLOOKUP($C904,Outbound!$B:$Z,11,FALSE),VLOOKUP($B904,Outbound!$B:$Z,11,FALSE)),"NON TROVATO"),"")</f>
        <v/>
      </c>
      <c r="G904" s="394" t="str">
        <f>IF(B904&lt;&gt;"",IFERROR(IF(LEFT($B904,3)=$Z$2,VLOOKUP($C904,Outbound!$B:$AAZ,16,FALSE),VLOOKUP($B904,Outbound!$B:$AAZ,16,FALSE)),"NON TROVATO"),"")</f>
        <v/>
      </c>
      <c r="H904" s="394" t="str">
        <f>IF(B904&lt;&gt;"",IFERROR(IF(LEFT($B904,3)=$Z$2,VLOOKUP($C904,Outbound!$B:$AAZ,6,FALSE),VLOOKUP($B904,Outbound!$B:$AAZ,6,FALSE)),"NON TROVATO"),"")</f>
        <v/>
      </c>
      <c r="I904" s="394" t="str">
        <f>IF(B904&lt;&gt;"",IFERROR(IF(LEFT($B904,3)=$Z$2,VLOOKUP($C904,Outbound!$B:$AAZ,52,FALSE),VLOOKUP($B904,Outbound!$B:$AAZ,52,FALSE)),"NON TROVATO"),"")</f>
        <v/>
      </c>
      <c r="J904" s="396"/>
      <c r="K904" s="387" t="str">
        <f>IF(B904&lt;&gt;"",IF($D904&lt;&gt;"ON ROCS/NOT ON FILE",IFERROR(_xlfn.XLOOKUP(LEFT($D904,3),'STAT 77 Table'!$B:$B,'STAT 77 Table'!$A:$A),"ZZ"&amp;RIGHT($B904,4)),""),"")</f>
        <v/>
      </c>
      <c r="L904" s="396"/>
      <c r="O904" s="388"/>
      <c r="P904" s="388"/>
      <c r="AA904" s="421">
        <f t="shared" si="14"/>
        <v>0</v>
      </c>
    </row>
    <row r="905" spans="1:27" ht="16.5">
      <c r="A905" s="387">
        <f>'STAT 77 Table'!$I$904</f>
        <v>0</v>
      </c>
      <c r="B905"/>
      <c r="C905"/>
      <c r="D905" s="387" t="str">
        <f>IF($B905&lt;&gt;"",IFERROR(IF(LEFT($B905,3)=$Z$2,VLOOKUP($C905,Outbound!$B:$Z,4,FALSE),VLOOKUP($B905,Outbound!$B:$Z,4,FALSE)),"ON ROCS/NOT ON FILE"),"")</f>
        <v/>
      </c>
      <c r="E905" s="387" t="str">
        <f>IF($B905&lt;&gt;"",IFERROR(IF(LEFT($B905,4)=$Z$2,VLOOKUP($C905,Outbound!$B:$Z,5,FALSE),VLOOKUP($B905,Outbound!$B:$Z,5,FALSE)),"ON ROCS/NOT ON FILE"),"")</f>
        <v/>
      </c>
      <c r="F905" s="387" t="str">
        <f>IF(B905&lt;&gt;"",IFERROR(IF(LEFT($B905,3)=$Z$2,VLOOKUP($C905,Outbound!$B:$Z,11,FALSE),VLOOKUP($B905,Outbound!$B:$Z,11,FALSE)),"NON TROVATO"),"")</f>
        <v/>
      </c>
      <c r="G905" s="394" t="str">
        <f>IF(B905&lt;&gt;"",IFERROR(IF(LEFT($B905,3)=$Z$2,VLOOKUP($C905,Outbound!$B:$AAZ,16,FALSE),VLOOKUP($B905,Outbound!$B:$AAZ,16,FALSE)),"NON TROVATO"),"")</f>
        <v/>
      </c>
      <c r="H905" s="394" t="str">
        <f>IF(B905&lt;&gt;"",IFERROR(IF(LEFT($B905,3)=$Z$2,VLOOKUP($C905,Outbound!$B:$AAZ,6,FALSE),VLOOKUP($B905,Outbound!$B:$AAZ,6,FALSE)),"NON TROVATO"),"")</f>
        <v/>
      </c>
      <c r="I905" s="394" t="str">
        <f>IF(B905&lt;&gt;"",IFERROR(IF(LEFT($B905,3)=$Z$2,VLOOKUP($C905,Outbound!$B:$AAZ,52,FALSE),VLOOKUP($B905,Outbound!$B:$AAZ,52,FALSE)),"NON TROVATO"),"")</f>
        <v/>
      </c>
      <c r="J905" s="396"/>
      <c r="K905" s="387" t="str">
        <f>IF(B905&lt;&gt;"",IF($D905&lt;&gt;"ON ROCS/NOT ON FILE",IFERROR(_xlfn.XLOOKUP(LEFT($D905,3),'STAT 77 Table'!$B:$B,'STAT 77 Table'!$A:$A),"ZZ"&amp;RIGHT($B905,4)),""),"")</f>
        <v/>
      </c>
      <c r="L905" s="396"/>
      <c r="O905" s="388"/>
      <c r="P905" s="388"/>
      <c r="AA905" s="421">
        <f t="shared" si="14"/>
        <v>0</v>
      </c>
    </row>
    <row r="906" spans="1:27" ht="16.5">
      <c r="A906" s="387">
        <f>'STAT 77 Table'!$I$905</f>
        <v>0</v>
      </c>
      <c r="B906"/>
      <c r="C906"/>
      <c r="D906" s="387" t="str">
        <f>IF($B906&lt;&gt;"",IFERROR(IF(LEFT($B906,3)=$Z$2,VLOOKUP($C906,Outbound!$B:$Z,4,FALSE),VLOOKUP($B906,Outbound!$B:$Z,4,FALSE)),"ON ROCS/NOT ON FILE"),"")</f>
        <v/>
      </c>
      <c r="E906" s="387" t="str">
        <f>IF($B906&lt;&gt;"",IFERROR(IF(LEFT($B906,4)=$Z$2,VLOOKUP($C906,Outbound!$B:$Z,5,FALSE),VLOOKUP($B906,Outbound!$B:$Z,5,FALSE)),"ON ROCS/NOT ON FILE"),"")</f>
        <v/>
      </c>
      <c r="F906" s="387" t="str">
        <f>IF(B906&lt;&gt;"",IFERROR(IF(LEFT($B906,3)=$Z$2,VLOOKUP($C906,Outbound!$B:$Z,11,FALSE),VLOOKUP($B906,Outbound!$B:$Z,11,FALSE)),"NON TROVATO"),"")</f>
        <v/>
      </c>
      <c r="G906" s="394" t="str">
        <f>IF(B906&lt;&gt;"",IFERROR(IF(LEFT($B906,3)=$Z$2,VLOOKUP($C906,Outbound!$B:$AAZ,16,FALSE),VLOOKUP($B906,Outbound!$B:$AAZ,16,FALSE)),"NON TROVATO"),"")</f>
        <v/>
      </c>
      <c r="H906" s="394" t="str">
        <f>IF(B906&lt;&gt;"",IFERROR(IF(LEFT($B906,3)=$Z$2,VLOOKUP($C906,Outbound!$B:$AAZ,6,FALSE),VLOOKUP($B906,Outbound!$B:$AAZ,6,FALSE)),"NON TROVATO"),"")</f>
        <v/>
      </c>
      <c r="I906" s="394" t="str">
        <f>IF(B906&lt;&gt;"",IFERROR(IF(LEFT($B906,3)=$Z$2,VLOOKUP($C906,Outbound!$B:$AAZ,52,FALSE),VLOOKUP($B906,Outbound!$B:$AAZ,52,FALSE)),"NON TROVATO"),"")</f>
        <v/>
      </c>
      <c r="J906" s="396"/>
      <c r="K906" s="387" t="str">
        <f>IF(B906&lt;&gt;"",IF($D906&lt;&gt;"ON ROCS/NOT ON FILE",IFERROR(_xlfn.XLOOKUP(LEFT($D906,3),'STAT 77 Table'!$B:$B,'STAT 77 Table'!$A:$A),"ZZ"&amp;RIGHT($B906,4)),""),"")</f>
        <v/>
      </c>
      <c r="L906" s="396"/>
      <c r="O906" s="388"/>
      <c r="P906" s="388"/>
      <c r="AA906" s="421">
        <f t="shared" si="14"/>
        <v>0</v>
      </c>
    </row>
    <row r="907" spans="1:27" ht="16.5">
      <c r="A907" s="387">
        <f>'STAT 77 Table'!$I$906</f>
        <v>0</v>
      </c>
      <c r="B907"/>
      <c r="C907"/>
      <c r="D907" s="387" t="str">
        <f>IF($B907&lt;&gt;"",IFERROR(IF(LEFT($B907,3)=$Z$2,VLOOKUP($C907,Outbound!$B:$Z,4,FALSE),VLOOKUP($B907,Outbound!$B:$Z,4,FALSE)),"ON ROCS/NOT ON FILE"),"")</f>
        <v/>
      </c>
      <c r="E907" s="387" t="str">
        <f>IF($B907&lt;&gt;"",IFERROR(IF(LEFT($B907,4)=$Z$2,VLOOKUP($C907,Outbound!$B:$Z,5,FALSE),VLOOKUP($B907,Outbound!$B:$Z,5,FALSE)),"ON ROCS/NOT ON FILE"),"")</f>
        <v/>
      </c>
      <c r="F907" s="387" t="str">
        <f>IF(B907&lt;&gt;"",IFERROR(IF(LEFT($B907,3)=$Z$2,VLOOKUP($C907,Outbound!$B:$Z,11,FALSE),VLOOKUP($B907,Outbound!$B:$Z,11,FALSE)),"NON TROVATO"),"")</f>
        <v/>
      </c>
      <c r="G907" s="394" t="str">
        <f>IF(B907&lt;&gt;"",IFERROR(IF(LEFT($B907,3)=$Z$2,VLOOKUP($C907,Outbound!$B:$AAZ,16,FALSE),VLOOKUP($B907,Outbound!$B:$AAZ,16,FALSE)),"NON TROVATO"),"")</f>
        <v/>
      </c>
      <c r="H907" s="394" t="str">
        <f>IF(B907&lt;&gt;"",IFERROR(IF(LEFT($B907,3)=$Z$2,VLOOKUP($C907,Outbound!$B:$AAZ,6,FALSE),VLOOKUP($B907,Outbound!$B:$AAZ,6,FALSE)),"NON TROVATO"),"")</f>
        <v/>
      </c>
      <c r="I907" s="394" t="str">
        <f>IF(B907&lt;&gt;"",IFERROR(IF(LEFT($B907,3)=$Z$2,VLOOKUP($C907,Outbound!$B:$AAZ,52,FALSE),VLOOKUP($B907,Outbound!$B:$AAZ,52,FALSE)),"NON TROVATO"),"")</f>
        <v/>
      </c>
      <c r="J907" s="396"/>
      <c r="K907" s="387" t="str">
        <f>IF(B907&lt;&gt;"",IF($D907&lt;&gt;"ON ROCS/NOT ON FILE",IFERROR(_xlfn.XLOOKUP(LEFT($D907,3),'STAT 77 Table'!$B:$B,'STAT 77 Table'!$A:$A),"ZZ"&amp;RIGHT($B907,4)),""),"")</f>
        <v/>
      </c>
      <c r="L907" s="396"/>
      <c r="O907" s="388"/>
      <c r="P907" s="388"/>
      <c r="AA907" s="421">
        <f t="shared" si="14"/>
        <v>0</v>
      </c>
    </row>
    <row r="908" spans="1:27" ht="16.5">
      <c r="A908" s="387">
        <f>'STAT 77 Table'!$I$907</f>
        <v>0</v>
      </c>
      <c r="B908"/>
      <c r="C908"/>
      <c r="D908" s="387" t="str">
        <f>IF($B908&lt;&gt;"",IFERROR(IF(LEFT($B908,3)=$Z$2,VLOOKUP($C908,Outbound!$B:$Z,4,FALSE),VLOOKUP($B908,Outbound!$B:$Z,4,FALSE)),"ON ROCS/NOT ON FILE"),"")</f>
        <v/>
      </c>
      <c r="E908" s="387" t="str">
        <f>IF($B908&lt;&gt;"",IFERROR(IF(LEFT($B908,4)=$Z$2,VLOOKUP($C908,Outbound!$B:$Z,5,FALSE),VLOOKUP($B908,Outbound!$B:$Z,5,FALSE)),"ON ROCS/NOT ON FILE"),"")</f>
        <v/>
      </c>
      <c r="F908" s="387" t="str">
        <f>IF(B908&lt;&gt;"",IFERROR(IF(LEFT($B908,3)=$Z$2,VLOOKUP($C908,Outbound!$B:$Z,11,FALSE),VLOOKUP($B908,Outbound!$B:$Z,11,FALSE)),"NON TROVATO"),"")</f>
        <v/>
      </c>
      <c r="G908" s="394" t="str">
        <f>IF(B908&lt;&gt;"",IFERROR(IF(LEFT($B908,3)=$Z$2,VLOOKUP($C908,Outbound!$B:$AAZ,16,FALSE),VLOOKUP($B908,Outbound!$B:$AAZ,16,FALSE)),"NON TROVATO"),"")</f>
        <v/>
      </c>
      <c r="H908" s="394" t="str">
        <f>IF(B908&lt;&gt;"",IFERROR(IF(LEFT($B908,3)=$Z$2,VLOOKUP($C908,Outbound!$B:$AAZ,6,FALSE),VLOOKUP($B908,Outbound!$B:$AAZ,6,FALSE)),"NON TROVATO"),"")</f>
        <v/>
      </c>
      <c r="I908" s="394" t="str">
        <f>IF(B908&lt;&gt;"",IFERROR(IF(LEFT($B908,3)=$Z$2,VLOOKUP($C908,Outbound!$B:$AAZ,52,FALSE),VLOOKUP($B908,Outbound!$B:$AAZ,52,FALSE)),"NON TROVATO"),"")</f>
        <v/>
      </c>
      <c r="J908" s="396"/>
      <c r="K908" s="387" t="str">
        <f>IF(B908&lt;&gt;"",IF($D908&lt;&gt;"ON ROCS/NOT ON FILE",IFERROR(_xlfn.XLOOKUP(LEFT($D908,3),'STAT 77 Table'!$B:$B,'STAT 77 Table'!$A:$A),"ZZ"&amp;RIGHT($B908,4)),""),"")</f>
        <v/>
      </c>
      <c r="L908" s="396"/>
      <c r="O908" s="388"/>
      <c r="P908" s="388"/>
      <c r="AA908" s="421">
        <f t="shared" si="14"/>
        <v>0</v>
      </c>
    </row>
    <row r="909" spans="1:27" ht="16.5">
      <c r="A909" s="387">
        <f>'STAT 77 Table'!$I$908</f>
        <v>0</v>
      </c>
      <c r="B909"/>
      <c r="C909"/>
      <c r="D909" s="387" t="str">
        <f>IF($B909&lt;&gt;"",IFERROR(IF(LEFT($B909,3)=$Z$2,VLOOKUP($C909,Outbound!$B:$Z,4,FALSE),VLOOKUP($B909,Outbound!$B:$Z,4,FALSE)),"ON ROCS/NOT ON FILE"),"")</f>
        <v/>
      </c>
      <c r="E909" s="387" t="str">
        <f>IF($B909&lt;&gt;"",IFERROR(IF(LEFT($B909,4)=$Z$2,VLOOKUP($C909,Outbound!$B:$Z,5,FALSE),VLOOKUP($B909,Outbound!$B:$Z,5,FALSE)),"ON ROCS/NOT ON FILE"),"")</f>
        <v/>
      </c>
      <c r="F909" s="387" t="str">
        <f>IF(B909&lt;&gt;"",IFERROR(IF(LEFT($B909,3)=$Z$2,VLOOKUP($C909,Outbound!$B:$Z,11,FALSE),VLOOKUP($B909,Outbound!$B:$Z,11,FALSE)),"NON TROVATO"),"")</f>
        <v/>
      </c>
      <c r="G909" s="394" t="str">
        <f>IF(B909&lt;&gt;"",IFERROR(IF(LEFT($B909,3)=$Z$2,VLOOKUP($C909,Outbound!$B:$AAZ,16,FALSE),VLOOKUP($B909,Outbound!$B:$AAZ,16,FALSE)),"NON TROVATO"),"")</f>
        <v/>
      </c>
      <c r="H909" s="394" t="str">
        <f>IF(B909&lt;&gt;"",IFERROR(IF(LEFT($B909,3)=$Z$2,VLOOKUP($C909,Outbound!$B:$AAZ,6,FALSE),VLOOKUP($B909,Outbound!$B:$AAZ,6,FALSE)),"NON TROVATO"),"")</f>
        <v/>
      </c>
      <c r="I909" s="394" t="str">
        <f>IF(B909&lt;&gt;"",IFERROR(IF(LEFT($B909,3)=$Z$2,VLOOKUP($C909,Outbound!$B:$AAZ,52,FALSE),VLOOKUP($B909,Outbound!$B:$AAZ,52,FALSE)),"NON TROVATO"),"")</f>
        <v/>
      </c>
      <c r="J909" s="396"/>
      <c r="K909" s="387" t="str">
        <f>IF(B909&lt;&gt;"",IF($D909&lt;&gt;"ON ROCS/NOT ON FILE",IFERROR(_xlfn.XLOOKUP(LEFT($D909,3),'STAT 77 Table'!$B:$B,'STAT 77 Table'!$A:$A),"ZZ"&amp;RIGHT($B909,4)),""),"")</f>
        <v/>
      </c>
      <c r="L909" s="396"/>
      <c r="O909" s="388"/>
      <c r="P909" s="388"/>
      <c r="AA909" s="421">
        <f t="shared" si="14"/>
        <v>0</v>
      </c>
    </row>
    <row r="910" spans="1:27" ht="16.5">
      <c r="A910" s="387">
        <f>'STAT 77 Table'!$I$909</f>
        <v>0</v>
      </c>
      <c r="B910"/>
      <c r="C910"/>
      <c r="D910" s="387" t="str">
        <f>IF($B910&lt;&gt;"",IFERROR(IF(LEFT($B910,3)=$Z$2,VLOOKUP($C910,Outbound!$B:$Z,4,FALSE),VLOOKUP($B910,Outbound!$B:$Z,4,FALSE)),"ON ROCS/NOT ON FILE"),"")</f>
        <v/>
      </c>
      <c r="E910" s="387" t="str">
        <f>IF($B910&lt;&gt;"",IFERROR(IF(LEFT($B910,4)=$Z$2,VLOOKUP($C910,Outbound!$B:$Z,5,FALSE),VLOOKUP($B910,Outbound!$B:$Z,5,FALSE)),"ON ROCS/NOT ON FILE"),"")</f>
        <v/>
      </c>
      <c r="F910" s="387" t="str">
        <f>IF(B910&lt;&gt;"",IFERROR(IF(LEFT($B910,3)=$Z$2,VLOOKUP($C910,Outbound!$B:$Z,11,FALSE),VLOOKUP($B910,Outbound!$B:$Z,11,FALSE)),"NON TROVATO"),"")</f>
        <v/>
      </c>
      <c r="G910" s="394" t="str">
        <f>IF(B910&lt;&gt;"",IFERROR(IF(LEFT($B910,3)=$Z$2,VLOOKUP($C910,Outbound!$B:$AAZ,16,FALSE),VLOOKUP($B910,Outbound!$B:$AAZ,16,FALSE)),"NON TROVATO"),"")</f>
        <v/>
      </c>
      <c r="H910" s="394" t="str">
        <f>IF(B910&lt;&gt;"",IFERROR(IF(LEFT($B910,3)=$Z$2,VLOOKUP($C910,Outbound!$B:$AAZ,6,FALSE),VLOOKUP($B910,Outbound!$B:$AAZ,6,FALSE)),"NON TROVATO"),"")</f>
        <v/>
      </c>
      <c r="I910" s="394" t="str">
        <f>IF(B910&lt;&gt;"",IFERROR(IF(LEFT($B910,3)=$Z$2,VLOOKUP($C910,Outbound!$B:$AAZ,52,FALSE),VLOOKUP($B910,Outbound!$B:$AAZ,52,FALSE)),"NON TROVATO"),"")</f>
        <v/>
      </c>
      <c r="J910" s="396"/>
      <c r="K910" s="387" t="str">
        <f>IF(B910&lt;&gt;"",IF($D910&lt;&gt;"ON ROCS/NOT ON FILE",IFERROR(_xlfn.XLOOKUP(LEFT($D910,3),'STAT 77 Table'!$B:$B,'STAT 77 Table'!$A:$A),"ZZ"&amp;RIGHT($B910,4)),""),"")</f>
        <v/>
      </c>
      <c r="L910" s="396"/>
      <c r="O910" s="388"/>
      <c r="P910" s="388"/>
      <c r="AA910" s="421">
        <f t="shared" si="14"/>
        <v>0</v>
      </c>
    </row>
    <row r="911" spans="1:27" ht="16.5">
      <c r="A911" s="387">
        <f>'STAT 77 Table'!$I$910</f>
        <v>0</v>
      </c>
      <c r="B911"/>
      <c r="C911"/>
      <c r="D911" s="387" t="str">
        <f>IF($B911&lt;&gt;"",IFERROR(IF(LEFT($B911,3)=$Z$2,VLOOKUP($C911,Outbound!$B:$Z,4,FALSE),VLOOKUP($B911,Outbound!$B:$Z,4,FALSE)),"ON ROCS/NOT ON FILE"),"")</f>
        <v/>
      </c>
      <c r="E911" s="387" t="str">
        <f>IF($B911&lt;&gt;"",IFERROR(IF(LEFT($B911,4)=$Z$2,VLOOKUP($C911,Outbound!$B:$Z,5,FALSE),VLOOKUP($B911,Outbound!$B:$Z,5,FALSE)),"ON ROCS/NOT ON FILE"),"")</f>
        <v/>
      </c>
      <c r="F911" s="387" t="str">
        <f>IF(B911&lt;&gt;"",IFERROR(IF(LEFT($B911,3)=$Z$2,VLOOKUP($C911,Outbound!$B:$Z,11,FALSE),VLOOKUP($B911,Outbound!$B:$Z,11,FALSE)),"NON TROVATO"),"")</f>
        <v/>
      </c>
      <c r="G911" s="394" t="str">
        <f>IF(B911&lt;&gt;"",IFERROR(IF(LEFT($B911,3)=$Z$2,VLOOKUP($C911,Outbound!$B:$AAZ,16,FALSE),VLOOKUP($B911,Outbound!$B:$AAZ,16,FALSE)),"NON TROVATO"),"")</f>
        <v/>
      </c>
      <c r="H911" s="394" t="str">
        <f>IF(B911&lt;&gt;"",IFERROR(IF(LEFT($B911,3)=$Z$2,VLOOKUP($C911,Outbound!$B:$AAZ,6,FALSE),VLOOKUP($B911,Outbound!$B:$AAZ,6,FALSE)),"NON TROVATO"),"")</f>
        <v/>
      </c>
      <c r="I911" s="394" t="str">
        <f>IF(B911&lt;&gt;"",IFERROR(IF(LEFT($B911,3)=$Z$2,VLOOKUP($C911,Outbound!$B:$AAZ,52,FALSE),VLOOKUP($B911,Outbound!$B:$AAZ,52,FALSE)),"NON TROVATO"),"")</f>
        <v/>
      </c>
      <c r="J911" s="396"/>
      <c r="K911" s="387" t="str">
        <f>IF(B911&lt;&gt;"",IF($D911&lt;&gt;"ON ROCS/NOT ON FILE",IFERROR(_xlfn.XLOOKUP(LEFT($D911,3),'STAT 77 Table'!$B:$B,'STAT 77 Table'!$A:$A),"ZZ"&amp;RIGHT($B911,4)),""),"")</f>
        <v/>
      </c>
      <c r="L911" s="396"/>
      <c r="O911" s="388"/>
      <c r="P911" s="388"/>
      <c r="AA911" s="421">
        <f t="shared" si="14"/>
        <v>0</v>
      </c>
    </row>
    <row r="912" spans="1:27" ht="16.5">
      <c r="A912" s="387">
        <f>'STAT 77 Table'!$I$911</f>
        <v>0</v>
      </c>
      <c r="B912"/>
      <c r="C912"/>
      <c r="D912" s="387" t="str">
        <f>IF($B912&lt;&gt;"",IFERROR(IF(LEFT($B912,3)=$Z$2,VLOOKUP($C912,Outbound!$B:$Z,4,FALSE),VLOOKUP($B912,Outbound!$B:$Z,4,FALSE)),"ON ROCS/NOT ON FILE"),"")</f>
        <v/>
      </c>
      <c r="E912" s="387" t="str">
        <f>IF($B912&lt;&gt;"",IFERROR(IF(LEFT($B912,4)=$Z$2,VLOOKUP($C912,Outbound!$B:$Z,5,FALSE),VLOOKUP($B912,Outbound!$B:$Z,5,FALSE)),"ON ROCS/NOT ON FILE"),"")</f>
        <v/>
      </c>
      <c r="F912" s="387" t="str">
        <f>IF(B912&lt;&gt;"",IFERROR(IF(LEFT($B912,3)=$Z$2,VLOOKUP($C912,Outbound!$B:$Z,11,FALSE),VLOOKUP($B912,Outbound!$B:$Z,11,FALSE)),"NON TROVATO"),"")</f>
        <v/>
      </c>
      <c r="G912" s="394" t="str">
        <f>IF(B912&lt;&gt;"",IFERROR(IF(LEFT($B912,3)=$Z$2,VLOOKUP($C912,Outbound!$B:$AAZ,16,FALSE),VLOOKUP($B912,Outbound!$B:$AAZ,16,FALSE)),"NON TROVATO"),"")</f>
        <v/>
      </c>
      <c r="H912" s="394" t="str">
        <f>IF(B912&lt;&gt;"",IFERROR(IF(LEFT($B912,3)=$Z$2,VLOOKUP($C912,Outbound!$B:$AAZ,6,FALSE),VLOOKUP($B912,Outbound!$B:$AAZ,6,FALSE)),"NON TROVATO"),"")</f>
        <v/>
      </c>
      <c r="I912" s="394" t="str">
        <f>IF(B912&lt;&gt;"",IFERROR(IF(LEFT($B912,3)=$Z$2,VLOOKUP($C912,Outbound!$B:$AAZ,52,FALSE),VLOOKUP($B912,Outbound!$B:$AAZ,52,FALSE)),"NON TROVATO"),"")</f>
        <v/>
      </c>
      <c r="J912" s="396"/>
      <c r="K912" s="387" t="str">
        <f>IF(B912&lt;&gt;"",IF($D912&lt;&gt;"ON ROCS/NOT ON FILE",IFERROR(_xlfn.XLOOKUP(LEFT($D912,3),'STAT 77 Table'!$B:$B,'STAT 77 Table'!$A:$A),"ZZ"&amp;RIGHT($B912,4)),""),"")</f>
        <v/>
      </c>
      <c r="L912" s="396"/>
      <c r="O912" s="388"/>
      <c r="P912" s="388"/>
      <c r="AA912" s="421">
        <f t="shared" si="14"/>
        <v>0</v>
      </c>
    </row>
    <row r="913" spans="1:27" ht="16.5">
      <c r="A913" s="387">
        <f>'STAT 77 Table'!$I$912</f>
        <v>0</v>
      </c>
      <c r="B913"/>
      <c r="C913"/>
      <c r="D913" s="387" t="str">
        <f>IF($B913&lt;&gt;"",IFERROR(IF(LEFT($B913,3)=$Z$2,VLOOKUP($C913,Outbound!$B:$Z,4,FALSE),VLOOKUP($B913,Outbound!$B:$Z,4,FALSE)),"ON ROCS/NOT ON FILE"),"")</f>
        <v/>
      </c>
      <c r="E913" s="387" t="str">
        <f>IF($B913&lt;&gt;"",IFERROR(IF(LEFT($B913,4)=$Z$2,VLOOKUP($C913,Outbound!$B:$Z,5,FALSE),VLOOKUP($B913,Outbound!$B:$Z,5,FALSE)),"ON ROCS/NOT ON FILE"),"")</f>
        <v/>
      </c>
      <c r="F913" s="387" t="str">
        <f>IF(B913&lt;&gt;"",IFERROR(IF(LEFT($B913,3)=$Z$2,VLOOKUP($C913,Outbound!$B:$Z,11,FALSE),VLOOKUP($B913,Outbound!$B:$Z,11,FALSE)),"NON TROVATO"),"")</f>
        <v/>
      </c>
      <c r="G913" s="394" t="str">
        <f>IF(B913&lt;&gt;"",IFERROR(IF(LEFT($B913,3)=$Z$2,VLOOKUP($C913,Outbound!$B:$AAZ,16,FALSE),VLOOKUP($B913,Outbound!$B:$AAZ,16,FALSE)),"NON TROVATO"),"")</f>
        <v/>
      </c>
      <c r="H913" s="394" t="str">
        <f>IF(B913&lt;&gt;"",IFERROR(IF(LEFT($B913,3)=$Z$2,VLOOKUP($C913,Outbound!$B:$AAZ,6,FALSE),VLOOKUP($B913,Outbound!$B:$AAZ,6,FALSE)),"NON TROVATO"),"")</f>
        <v/>
      </c>
      <c r="I913" s="394" t="str">
        <f>IF(B913&lt;&gt;"",IFERROR(IF(LEFT($B913,3)=$Z$2,VLOOKUP($C913,Outbound!$B:$AAZ,52,FALSE),VLOOKUP($B913,Outbound!$B:$AAZ,52,FALSE)),"NON TROVATO"),"")</f>
        <v/>
      </c>
      <c r="J913" s="396"/>
      <c r="K913" s="387" t="str">
        <f>IF(B913&lt;&gt;"",IF($D913&lt;&gt;"ON ROCS/NOT ON FILE",IFERROR(_xlfn.XLOOKUP(LEFT($D913,3),'STAT 77 Table'!$B:$B,'STAT 77 Table'!$A:$A),"ZZ"&amp;RIGHT($B913,4)),""),"")</f>
        <v/>
      </c>
      <c r="L913" s="396"/>
      <c r="O913" s="388"/>
      <c r="P913" s="388"/>
      <c r="AA913" s="421">
        <f t="shared" si="14"/>
        <v>0</v>
      </c>
    </row>
    <row r="914" spans="1:27" ht="16.5">
      <c r="A914" s="387">
        <f>'STAT 77 Table'!$I$913</f>
        <v>0</v>
      </c>
      <c r="B914"/>
      <c r="C914"/>
      <c r="D914" s="387" t="str">
        <f>IF($B914&lt;&gt;"",IFERROR(IF(LEFT($B914,3)=$Z$2,VLOOKUP($C914,Outbound!$B:$Z,4,FALSE),VLOOKUP($B914,Outbound!$B:$Z,4,FALSE)),"ON ROCS/NOT ON FILE"),"")</f>
        <v/>
      </c>
      <c r="E914" s="387" t="str">
        <f>IF($B914&lt;&gt;"",IFERROR(IF(LEFT($B914,4)=$Z$2,VLOOKUP($C914,Outbound!$B:$Z,5,FALSE),VLOOKUP($B914,Outbound!$B:$Z,5,FALSE)),"ON ROCS/NOT ON FILE"),"")</f>
        <v/>
      </c>
      <c r="F914" s="387" t="str">
        <f>IF(B914&lt;&gt;"",IFERROR(IF(LEFT($B914,3)=$Z$2,VLOOKUP($C914,Outbound!$B:$Z,11,FALSE),VLOOKUP($B914,Outbound!$B:$Z,11,FALSE)),"NON TROVATO"),"")</f>
        <v/>
      </c>
      <c r="G914" s="394" t="str">
        <f>IF(B914&lt;&gt;"",IFERROR(IF(LEFT($B914,3)=$Z$2,VLOOKUP($C914,Outbound!$B:$AAZ,16,FALSE),VLOOKUP($B914,Outbound!$B:$AAZ,16,FALSE)),"NON TROVATO"),"")</f>
        <v/>
      </c>
      <c r="H914" s="394" t="str">
        <f>IF(B914&lt;&gt;"",IFERROR(IF(LEFT($B914,3)=$Z$2,VLOOKUP($C914,Outbound!$B:$AAZ,6,FALSE),VLOOKUP($B914,Outbound!$B:$AAZ,6,FALSE)),"NON TROVATO"),"")</f>
        <v/>
      </c>
      <c r="I914" s="394" t="str">
        <f>IF(B914&lt;&gt;"",IFERROR(IF(LEFT($B914,3)=$Z$2,VLOOKUP($C914,Outbound!$B:$AAZ,52,FALSE),VLOOKUP($B914,Outbound!$B:$AAZ,52,FALSE)),"NON TROVATO"),"")</f>
        <v/>
      </c>
      <c r="J914" s="396"/>
      <c r="K914" s="387" t="str">
        <f>IF(B914&lt;&gt;"",IF($D914&lt;&gt;"ON ROCS/NOT ON FILE",IFERROR(_xlfn.XLOOKUP(LEFT($D914,3),'STAT 77 Table'!$B:$B,'STAT 77 Table'!$A:$A),"ZZ"&amp;RIGHT($B914,4)),""),"")</f>
        <v/>
      </c>
      <c r="L914" s="396"/>
      <c r="O914" s="388"/>
      <c r="P914" s="388"/>
      <c r="AA914" s="421">
        <f t="shared" si="14"/>
        <v>0</v>
      </c>
    </row>
    <row r="915" spans="1:27" ht="16.5">
      <c r="A915" s="387">
        <f>'STAT 77 Table'!$I$914</f>
        <v>0</v>
      </c>
      <c r="B915"/>
      <c r="C915"/>
      <c r="D915" s="387" t="str">
        <f>IF($B915&lt;&gt;"",IFERROR(IF(LEFT($B915,3)=$Z$2,VLOOKUP($C915,Outbound!$B:$Z,4,FALSE),VLOOKUP($B915,Outbound!$B:$Z,4,FALSE)),"ON ROCS/NOT ON FILE"),"")</f>
        <v/>
      </c>
      <c r="E915" s="387" t="str">
        <f>IF($B915&lt;&gt;"",IFERROR(IF(LEFT($B915,4)=$Z$2,VLOOKUP($C915,Outbound!$B:$Z,5,FALSE),VLOOKUP($B915,Outbound!$B:$Z,5,FALSE)),"ON ROCS/NOT ON FILE"),"")</f>
        <v/>
      </c>
      <c r="F915" s="387" t="str">
        <f>IF(B915&lt;&gt;"",IFERROR(IF(LEFT($B915,3)=$Z$2,VLOOKUP($C915,Outbound!$B:$Z,11,FALSE),VLOOKUP($B915,Outbound!$B:$Z,11,FALSE)),"NON TROVATO"),"")</f>
        <v/>
      </c>
      <c r="G915" s="394" t="str">
        <f>IF(B915&lt;&gt;"",IFERROR(IF(LEFT($B915,3)=$Z$2,VLOOKUP($C915,Outbound!$B:$AAZ,16,FALSE),VLOOKUP($B915,Outbound!$B:$AAZ,16,FALSE)),"NON TROVATO"),"")</f>
        <v/>
      </c>
      <c r="H915" s="394" t="str">
        <f>IF(B915&lt;&gt;"",IFERROR(IF(LEFT($B915,3)=$Z$2,VLOOKUP($C915,Outbound!$B:$AAZ,6,FALSE),VLOOKUP($B915,Outbound!$B:$AAZ,6,FALSE)),"NON TROVATO"),"")</f>
        <v/>
      </c>
      <c r="I915" s="394" t="str">
        <f>IF(B915&lt;&gt;"",IFERROR(IF(LEFT($B915,3)=$Z$2,VLOOKUP($C915,Outbound!$B:$AAZ,52,FALSE),VLOOKUP($B915,Outbound!$B:$AAZ,52,FALSE)),"NON TROVATO"),"")</f>
        <v/>
      </c>
      <c r="J915" s="396"/>
      <c r="K915" s="387" t="str">
        <f>IF(B915&lt;&gt;"",IF($D915&lt;&gt;"ON ROCS/NOT ON FILE",IFERROR(_xlfn.XLOOKUP(LEFT($D915,3),'STAT 77 Table'!$B:$B,'STAT 77 Table'!$A:$A),"ZZ"&amp;RIGHT($B915,4)),""),"")</f>
        <v/>
      </c>
      <c r="L915" s="396"/>
      <c r="O915" s="388"/>
      <c r="P915" s="388"/>
      <c r="AA915" s="421">
        <f t="shared" si="14"/>
        <v>0</v>
      </c>
    </row>
    <row r="916" spans="1:27" ht="16.5">
      <c r="A916" s="387">
        <f>'STAT 77 Table'!$I$915</f>
        <v>0</v>
      </c>
      <c r="B916"/>
      <c r="C916"/>
      <c r="D916" s="387" t="str">
        <f>IF($B916&lt;&gt;"",IFERROR(IF(LEFT($B916,3)=$Z$2,VLOOKUP($C916,Outbound!$B:$Z,4,FALSE),VLOOKUP($B916,Outbound!$B:$Z,4,FALSE)),"ON ROCS/NOT ON FILE"),"")</f>
        <v/>
      </c>
      <c r="E916" s="387" t="str">
        <f>IF($B916&lt;&gt;"",IFERROR(IF(LEFT($B916,4)=$Z$2,VLOOKUP($C916,Outbound!$B:$Z,5,FALSE),VLOOKUP($B916,Outbound!$B:$Z,5,FALSE)),"ON ROCS/NOT ON FILE"),"")</f>
        <v/>
      </c>
      <c r="F916" s="387" t="str">
        <f>IF(B916&lt;&gt;"",IFERROR(IF(LEFT($B916,3)=$Z$2,VLOOKUP($C916,Outbound!$B:$Z,11,FALSE),VLOOKUP($B916,Outbound!$B:$Z,11,FALSE)),"NON TROVATO"),"")</f>
        <v/>
      </c>
      <c r="G916" s="394" t="str">
        <f>IF(B916&lt;&gt;"",IFERROR(IF(LEFT($B916,3)=$Z$2,VLOOKUP($C916,Outbound!$B:$AAZ,16,FALSE),VLOOKUP($B916,Outbound!$B:$AAZ,16,FALSE)),"NON TROVATO"),"")</f>
        <v/>
      </c>
      <c r="H916" s="394" t="str">
        <f>IF(B916&lt;&gt;"",IFERROR(IF(LEFT($B916,3)=$Z$2,VLOOKUP($C916,Outbound!$B:$AAZ,6,FALSE),VLOOKUP($B916,Outbound!$B:$AAZ,6,FALSE)),"NON TROVATO"),"")</f>
        <v/>
      </c>
      <c r="I916" s="394" t="str">
        <f>IF(B916&lt;&gt;"",IFERROR(IF(LEFT($B916,3)=$Z$2,VLOOKUP($C916,Outbound!$B:$AAZ,52,FALSE),VLOOKUP($B916,Outbound!$B:$AAZ,52,FALSE)),"NON TROVATO"),"")</f>
        <v/>
      </c>
      <c r="J916" s="396"/>
      <c r="K916" s="387" t="str">
        <f>IF(B916&lt;&gt;"",IF($D916&lt;&gt;"ON ROCS/NOT ON FILE",IFERROR(_xlfn.XLOOKUP(LEFT($D916,3),'STAT 77 Table'!$B:$B,'STAT 77 Table'!$A:$A),"ZZ"&amp;RIGHT($B916,4)),""),"")</f>
        <v/>
      </c>
      <c r="L916" s="396"/>
      <c r="O916" s="388"/>
      <c r="P916" s="388"/>
      <c r="AA916" s="421">
        <f t="shared" si="14"/>
        <v>0</v>
      </c>
    </row>
    <row r="917" spans="1:27" ht="16.5">
      <c r="A917" s="387">
        <f>'STAT 77 Table'!$I$916</f>
        <v>0</v>
      </c>
      <c r="B917"/>
      <c r="C917"/>
      <c r="D917" s="387" t="str">
        <f>IF($B917&lt;&gt;"",IFERROR(IF(LEFT($B917,3)=$Z$2,VLOOKUP($C917,Outbound!$B:$Z,4,FALSE),VLOOKUP($B917,Outbound!$B:$Z,4,FALSE)),"ON ROCS/NOT ON FILE"),"")</f>
        <v/>
      </c>
      <c r="E917" s="387" t="str">
        <f>IF($B917&lt;&gt;"",IFERROR(IF(LEFT($B917,4)=$Z$2,VLOOKUP($C917,Outbound!$B:$Z,5,FALSE),VLOOKUP($B917,Outbound!$B:$Z,5,FALSE)),"ON ROCS/NOT ON FILE"),"")</f>
        <v/>
      </c>
      <c r="F917" s="387" t="str">
        <f>IF(B917&lt;&gt;"",IFERROR(IF(LEFT($B917,3)=$Z$2,VLOOKUP($C917,Outbound!$B:$Z,11,FALSE),VLOOKUP($B917,Outbound!$B:$Z,11,FALSE)),"NON TROVATO"),"")</f>
        <v/>
      </c>
      <c r="G917" s="394" t="str">
        <f>IF(B917&lt;&gt;"",IFERROR(IF(LEFT($B917,3)=$Z$2,VLOOKUP($C917,Outbound!$B:$AAZ,16,FALSE),VLOOKUP($B917,Outbound!$B:$AAZ,16,FALSE)),"NON TROVATO"),"")</f>
        <v/>
      </c>
      <c r="H917" s="394" t="str">
        <f>IF(B917&lt;&gt;"",IFERROR(IF(LEFT($B917,3)=$Z$2,VLOOKUP($C917,Outbound!$B:$AAZ,6,FALSE),VLOOKUP($B917,Outbound!$B:$AAZ,6,FALSE)),"NON TROVATO"),"")</f>
        <v/>
      </c>
      <c r="I917" s="394" t="str">
        <f>IF(B917&lt;&gt;"",IFERROR(IF(LEFT($B917,3)=$Z$2,VLOOKUP($C917,Outbound!$B:$AAZ,52,FALSE),VLOOKUP($B917,Outbound!$B:$AAZ,52,FALSE)),"NON TROVATO"),"")</f>
        <v/>
      </c>
      <c r="J917" s="396"/>
      <c r="K917" s="387" t="str">
        <f>IF(B917&lt;&gt;"",IF($D917&lt;&gt;"ON ROCS/NOT ON FILE",IFERROR(_xlfn.XLOOKUP(LEFT($D917,3),'STAT 77 Table'!$B:$B,'STAT 77 Table'!$A:$A),"ZZ"&amp;RIGHT($B917,4)),""),"")</f>
        <v/>
      </c>
      <c r="L917" s="396"/>
      <c r="O917" s="388"/>
      <c r="P917" s="388"/>
      <c r="AA917" s="421">
        <f t="shared" si="14"/>
        <v>0</v>
      </c>
    </row>
    <row r="918" spans="1:27" ht="16.5">
      <c r="A918" s="387">
        <f>'STAT 77 Table'!$I$917</f>
        <v>0</v>
      </c>
      <c r="B918"/>
      <c r="C918"/>
      <c r="D918" s="387" t="str">
        <f>IF($B918&lt;&gt;"",IFERROR(IF(LEFT($B918,3)=$Z$2,VLOOKUP($C918,Outbound!$B:$Z,4,FALSE),VLOOKUP($B918,Outbound!$B:$Z,4,FALSE)),"ON ROCS/NOT ON FILE"),"")</f>
        <v/>
      </c>
      <c r="E918" s="387" t="str">
        <f>IF($B918&lt;&gt;"",IFERROR(IF(LEFT($B918,4)=$Z$2,VLOOKUP($C918,Outbound!$B:$Z,5,FALSE),VLOOKUP($B918,Outbound!$B:$Z,5,FALSE)),"ON ROCS/NOT ON FILE"),"")</f>
        <v/>
      </c>
      <c r="F918" s="387" t="str">
        <f>IF(B918&lt;&gt;"",IFERROR(IF(LEFT($B918,3)=$Z$2,VLOOKUP($C918,Outbound!$B:$Z,11,FALSE),VLOOKUP($B918,Outbound!$B:$Z,11,FALSE)),"NON TROVATO"),"")</f>
        <v/>
      </c>
      <c r="G918" s="394" t="str">
        <f>IF(B918&lt;&gt;"",IFERROR(IF(LEFT($B918,3)=$Z$2,VLOOKUP($C918,Outbound!$B:$AAZ,16,FALSE),VLOOKUP($B918,Outbound!$B:$AAZ,16,FALSE)),"NON TROVATO"),"")</f>
        <v/>
      </c>
      <c r="H918" s="394" t="str">
        <f>IF(B918&lt;&gt;"",IFERROR(IF(LEFT($B918,3)=$Z$2,VLOOKUP($C918,Outbound!$B:$AAZ,6,FALSE),VLOOKUP($B918,Outbound!$B:$AAZ,6,FALSE)),"NON TROVATO"),"")</f>
        <v/>
      </c>
      <c r="I918" s="394" t="str">
        <f>IF(B918&lt;&gt;"",IFERROR(IF(LEFT($B918,3)=$Z$2,VLOOKUP($C918,Outbound!$B:$AAZ,52,FALSE),VLOOKUP($B918,Outbound!$B:$AAZ,52,FALSE)),"NON TROVATO"),"")</f>
        <v/>
      </c>
      <c r="J918" s="396"/>
      <c r="K918" s="387" t="str">
        <f>IF(B918&lt;&gt;"",IF($D918&lt;&gt;"ON ROCS/NOT ON FILE",IFERROR(_xlfn.XLOOKUP(LEFT($D918,3),'STAT 77 Table'!$B:$B,'STAT 77 Table'!$A:$A),"ZZ"&amp;RIGHT($B918,4)),""),"")</f>
        <v/>
      </c>
      <c r="L918" s="396"/>
      <c r="O918" s="388"/>
      <c r="P918" s="388"/>
      <c r="AA918" s="421">
        <f t="shared" si="14"/>
        <v>0</v>
      </c>
    </row>
    <row r="919" spans="1:27" ht="16.5">
      <c r="A919" s="387">
        <f>'STAT 77 Table'!$I$918</f>
        <v>0</v>
      </c>
      <c r="B919"/>
      <c r="C919"/>
      <c r="D919" s="387" t="str">
        <f>IF($B919&lt;&gt;"",IFERROR(IF(LEFT($B919,3)=$Z$2,VLOOKUP($C919,Outbound!$B:$Z,4,FALSE),VLOOKUP($B919,Outbound!$B:$Z,4,FALSE)),"ON ROCS/NOT ON FILE"),"")</f>
        <v/>
      </c>
      <c r="E919" s="387" t="str">
        <f>IF($B919&lt;&gt;"",IFERROR(IF(LEFT($B919,4)=$Z$2,VLOOKUP($C919,Outbound!$B:$Z,5,FALSE),VLOOKUP($B919,Outbound!$B:$Z,5,FALSE)),"ON ROCS/NOT ON FILE"),"")</f>
        <v/>
      </c>
      <c r="F919" s="387" t="str">
        <f>IF(B919&lt;&gt;"",IFERROR(IF(LEFT($B919,3)=$Z$2,VLOOKUP($C919,Outbound!$B:$Z,11,FALSE),VLOOKUP($B919,Outbound!$B:$Z,11,FALSE)),"NON TROVATO"),"")</f>
        <v/>
      </c>
      <c r="G919" s="394" t="str">
        <f>IF(B919&lt;&gt;"",IFERROR(IF(LEFT($B919,3)=$Z$2,VLOOKUP($C919,Outbound!$B:$AAZ,16,FALSE),VLOOKUP($B919,Outbound!$B:$AAZ,16,FALSE)),"NON TROVATO"),"")</f>
        <v/>
      </c>
      <c r="H919" s="394" t="str">
        <f>IF(B919&lt;&gt;"",IFERROR(IF(LEFT($B919,3)=$Z$2,VLOOKUP($C919,Outbound!$B:$AAZ,6,FALSE),VLOOKUP($B919,Outbound!$B:$AAZ,6,FALSE)),"NON TROVATO"),"")</f>
        <v/>
      </c>
      <c r="I919" s="394" t="str">
        <f>IF(B919&lt;&gt;"",IFERROR(IF(LEFT($B919,3)=$Z$2,VLOOKUP($C919,Outbound!$B:$AAZ,52,FALSE),VLOOKUP($B919,Outbound!$B:$AAZ,52,FALSE)),"NON TROVATO"),"")</f>
        <v/>
      </c>
      <c r="J919" s="396"/>
      <c r="K919" s="387" t="str">
        <f>IF(B919&lt;&gt;"",IF($D919&lt;&gt;"ON ROCS/NOT ON FILE",IFERROR(_xlfn.XLOOKUP(LEFT($D919,3),'STAT 77 Table'!$B:$B,'STAT 77 Table'!$A:$A),"ZZ"&amp;RIGHT($B919,4)),""),"")</f>
        <v/>
      </c>
      <c r="L919" s="396"/>
      <c r="O919" s="388"/>
      <c r="P919" s="388"/>
      <c r="AA919" s="421">
        <f t="shared" si="14"/>
        <v>0</v>
      </c>
    </row>
    <row r="920" spans="1:27" ht="16.5">
      <c r="A920" s="387">
        <f>'STAT 77 Table'!$I$919</f>
        <v>0</v>
      </c>
      <c r="B920"/>
      <c r="C920"/>
      <c r="D920" s="387" t="str">
        <f>IF($B920&lt;&gt;"",IFERROR(IF(LEFT($B920,3)=$Z$2,VLOOKUP($C920,Outbound!$B:$Z,4,FALSE),VLOOKUP($B920,Outbound!$B:$Z,4,FALSE)),"ON ROCS/NOT ON FILE"),"")</f>
        <v/>
      </c>
      <c r="E920" s="387" t="str">
        <f>IF($B920&lt;&gt;"",IFERROR(IF(LEFT($B920,4)=$Z$2,VLOOKUP($C920,Outbound!$B:$Z,5,FALSE),VLOOKUP($B920,Outbound!$B:$Z,5,FALSE)),"ON ROCS/NOT ON FILE"),"")</f>
        <v/>
      </c>
      <c r="F920" s="387" t="str">
        <f>IF(B920&lt;&gt;"",IFERROR(IF(LEFT($B920,3)=$Z$2,VLOOKUP($C920,Outbound!$B:$Z,11,FALSE),VLOOKUP($B920,Outbound!$B:$Z,11,FALSE)),"NON TROVATO"),"")</f>
        <v/>
      </c>
      <c r="G920" s="394" t="str">
        <f>IF(B920&lt;&gt;"",IFERROR(IF(LEFT($B920,3)=$Z$2,VLOOKUP($C920,Outbound!$B:$AAZ,16,FALSE),VLOOKUP($B920,Outbound!$B:$AAZ,16,FALSE)),"NON TROVATO"),"")</f>
        <v/>
      </c>
      <c r="H920" s="394" t="str">
        <f>IF(B920&lt;&gt;"",IFERROR(IF(LEFT($B920,3)=$Z$2,VLOOKUP($C920,Outbound!$B:$AAZ,6,FALSE),VLOOKUP($B920,Outbound!$B:$AAZ,6,FALSE)),"NON TROVATO"),"")</f>
        <v/>
      </c>
      <c r="I920" s="394" t="str">
        <f>IF(B920&lt;&gt;"",IFERROR(IF(LEFT($B920,3)=$Z$2,VLOOKUP($C920,Outbound!$B:$AAZ,52,FALSE),VLOOKUP($B920,Outbound!$B:$AAZ,52,FALSE)),"NON TROVATO"),"")</f>
        <v/>
      </c>
      <c r="J920" s="396"/>
      <c r="K920" s="387" t="str">
        <f>IF(B920&lt;&gt;"",IF($D920&lt;&gt;"ON ROCS/NOT ON FILE",IFERROR(_xlfn.XLOOKUP(LEFT($D920,3),'STAT 77 Table'!$B:$B,'STAT 77 Table'!$A:$A),"ZZ"&amp;RIGHT($B920,4)),""),"")</f>
        <v/>
      </c>
      <c r="L920" s="396"/>
      <c r="O920" s="388"/>
      <c r="P920" s="388"/>
      <c r="AA920" s="421">
        <f t="shared" si="14"/>
        <v>0</v>
      </c>
    </row>
    <row r="921" spans="1:27" ht="16.5">
      <c r="A921" s="387">
        <f>'STAT 77 Table'!$I$920</f>
        <v>0</v>
      </c>
      <c r="B921"/>
      <c r="C921"/>
      <c r="D921" s="387" t="str">
        <f>IF($B921&lt;&gt;"",IFERROR(IF(LEFT($B921,3)=$Z$2,VLOOKUP($C921,Outbound!$B:$Z,4,FALSE),VLOOKUP($B921,Outbound!$B:$Z,4,FALSE)),"ON ROCS/NOT ON FILE"),"")</f>
        <v/>
      </c>
      <c r="E921" s="387" t="str">
        <f>IF($B921&lt;&gt;"",IFERROR(IF(LEFT($B921,4)=$Z$2,VLOOKUP($C921,Outbound!$B:$Z,5,FALSE),VLOOKUP($B921,Outbound!$B:$Z,5,FALSE)),"ON ROCS/NOT ON FILE"),"")</f>
        <v/>
      </c>
      <c r="F921" s="387" t="str">
        <f>IF(B921&lt;&gt;"",IFERROR(IF(LEFT($B921,3)=$Z$2,VLOOKUP($C921,Outbound!$B:$Z,11,FALSE),VLOOKUP($B921,Outbound!$B:$Z,11,FALSE)),"NON TROVATO"),"")</f>
        <v/>
      </c>
      <c r="G921" s="394" t="str">
        <f>IF(B921&lt;&gt;"",IFERROR(IF(LEFT($B921,3)=$Z$2,VLOOKUP($C921,Outbound!$B:$AAZ,16,FALSE),VLOOKUP($B921,Outbound!$B:$AAZ,16,FALSE)),"NON TROVATO"),"")</f>
        <v/>
      </c>
      <c r="H921" s="394" t="str">
        <f>IF(B921&lt;&gt;"",IFERROR(IF(LEFT($B921,3)=$Z$2,VLOOKUP($C921,Outbound!$B:$AAZ,6,FALSE),VLOOKUP($B921,Outbound!$B:$AAZ,6,FALSE)),"NON TROVATO"),"")</f>
        <v/>
      </c>
      <c r="I921" s="394" t="str">
        <f>IF(B921&lt;&gt;"",IFERROR(IF(LEFT($B921,3)=$Z$2,VLOOKUP($C921,Outbound!$B:$AAZ,52,FALSE),VLOOKUP($B921,Outbound!$B:$AAZ,52,FALSE)),"NON TROVATO"),"")</f>
        <v/>
      </c>
      <c r="J921" s="396"/>
      <c r="K921" s="387" t="str">
        <f>IF(B921&lt;&gt;"",IF($D921&lt;&gt;"ON ROCS/NOT ON FILE",IFERROR(_xlfn.XLOOKUP(LEFT($D921,3),'STAT 77 Table'!$B:$B,'STAT 77 Table'!$A:$A),"ZZ"&amp;RIGHT($B921,4)),""),"")</f>
        <v/>
      </c>
      <c r="L921" s="396"/>
      <c r="O921" s="388"/>
      <c r="P921" s="388"/>
      <c r="AA921" s="421">
        <f t="shared" si="14"/>
        <v>0</v>
      </c>
    </row>
    <row r="922" spans="1:27" ht="16.5">
      <c r="A922" s="387">
        <f>'STAT 77 Table'!$I$921</f>
        <v>0</v>
      </c>
      <c r="B922"/>
      <c r="C922"/>
      <c r="D922" s="387" t="str">
        <f>IF($B922&lt;&gt;"",IFERROR(IF(LEFT($B922,3)=$Z$2,VLOOKUP($C922,Outbound!$B:$Z,4,FALSE),VLOOKUP($B922,Outbound!$B:$Z,4,FALSE)),"ON ROCS/NOT ON FILE"),"")</f>
        <v/>
      </c>
      <c r="E922" s="387" t="str">
        <f>IF($B922&lt;&gt;"",IFERROR(IF(LEFT($B922,4)=$Z$2,VLOOKUP($C922,Outbound!$B:$Z,5,FALSE),VLOOKUP($B922,Outbound!$B:$Z,5,FALSE)),"ON ROCS/NOT ON FILE"),"")</f>
        <v/>
      </c>
      <c r="F922" s="387" t="str">
        <f>IF(B922&lt;&gt;"",IFERROR(IF(LEFT($B922,3)=$Z$2,VLOOKUP($C922,Outbound!$B:$Z,11,FALSE),VLOOKUP($B922,Outbound!$B:$Z,11,FALSE)),"NON TROVATO"),"")</f>
        <v/>
      </c>
      <c r="G922" s="394" t="str">
        <f>IF(B922&lt;&gt;"",IFERROR(IF(LEFT($B922,3)=$Z$2,VLOOKUP($C922,Outbound!$B:$AAZ,16,FALSE),VLOOKUP($B922,Outbound!$B:$AAZ,16,FALSE)),"NON TROVATO"),"")</f>
        <v/>
      </c>
      <c r="H922" s="394" t="str">
        <f>IF(B922&lt;&gt;"",IFERROR(IF(LEFT($B922,3)=$Z$2,VLOOKUP($C922,Outbound!$B:$AAZ,6,FALSE),VLOOKUP($B922,Outbound!$B:$AAZ,6,FALSE)),"NON TROVATO"),"")</f>
        <v/>
      </c>
      <c r="I922" s="394" t="str">
        <f>IF(B922&lt;&gt;"",IFERROR(IF(LEFT($B922,3)=$Z$2,VLOOKUP($C922,Outbound!$B:$AAZ,52,FALSE),VLOOKUP($B922,Outbound!$B:$AAZ,52,FALSE)),"NON TROVATO"),"")</f>
        <v/>
      </c>
      <c r="J922" s="396"/>
      <c r="K922" s="387" t="str">
        <f>IF(B922&lt;&gt;"",IF($D922&lt;&gt;"ON ROCS/NOT ON FILE",IFERROR(_xlfn.XLOOKUP(LEFT($D922,3),'STAT 77 Table'!$B:$B,'STAT 77 Table'!$A:$A),"ZZ"&amp;RIGHT($B922,4)),""),"")</f>
        <v/>
      </c>
      <c r="L922" s="396"/>
      <c r="O922" s="388"/>
      <c r="P922" s="388"/>
      <c r="AA922" s="421">
        <f t="shared" si="14"/>
        <v>0</v>
      </c>
    </row>
    <row r="923" spans="1:27" ht="16.5">
      <c r="A923" s="387">
        <f>'STAT 77 Table'!$I$922</f>
        <v>0</v>
      </c>
      <c r="B923"/>
      <c r="C923"/>
      <c r="D923" s="387" t="str">
        <f>IF($B923&lt;&gt;"",IFERROR(IF(LEFT($B923,3)=$Z$2,VLOOKUP($C923,Outbound!$B:$Z,4,FALSE),VLOOKUP($B923,Outbound!$B:$Z,4,FALSE)),"ON ROCS/NOT ON FILE"),"")</f>
        <v/>
      </c>
      <c r="E923" s="387" t="str">
        <f>IF($B923&lt;&gt;"",IFERROR(IF(LEFT($B923,4)=$Z$2,VLOOKUP($C923,Outbound!$B:$Z,5,FALSE),VLOOKUP($B923,Outbound!$B:$Z,5,FALSE)),"ON ROCS/NOT ON FILE"),"")</f>
        <v/>
      </c>
      <c r="F923" s="387" t="str">
        <f>IF(B923&lt;&gt;"",IFERROR(IF(LEFT($B923,3)=$Z$2,VLOOKUP($C923,Outbound!$B:$Z,11,FALSE),VLOOKUP($B923,Outbound!$B:$Z,11,FALSE)),"NON TROVATO"),"")</f>
        <v/>
      </c>
      <c r="G923" s="394" t="str">
        <f>IF(B923&lt;&gt;"",IFERROR(IF(LEFT($B923,3)=$Z$2,VLOOKUP($C923,Outbound!$B:$AAZ,16,FALSE),VLOOKUP($B923,Outbound!$B:$AAZ,16,FALSE)),"NON TROVATO"),"")</f>
        <v/>
      </c>
      <c r="H923" s="394" t="str">
        <f>IF(B923&lt;&gt;"",IFERROR(IF(LEFT($B923,3)=$Z$2,VLOOKUP($C923,Outbound!$B:$AAZ,6,FALSE),VLOOKUP($B923,Outbound!$B:$AAZ,6,FALSE)),"NON TROVATO"),"")</f>
        <v/>
      </c>
      <c r="I923" s="394" t="str">
        <f>IF(B923&lt;&gt;"",IFERROR(IF(LEFT($B923,3)=$Z$2,VLOOKUP($C923,Outbound!$B:$AAZ,52,FALSE),VLOOKUP($B923,Outbound!$B:$AAZ,52,FALSE)),"NON TROVATO"),"")</f>
        <v/>
      </c>
      <c r="J923" s="396"/>
      <c r="K923" s="387" t="str">
        <f>IF(B923&lt;&gt;"",IF($D923&lt;&gt;"ON ROCS/NOT ON FILE",IFERROR(_xlfn.XLOOKUP(LEFT($D923,3),'STAT 77 Table'!$B:$B,'STAT 77 Table'!$A:$A),"ZZ"&amp;RIGHT($B923,4)),""),"")</f>
        <v/>
      </c>
      <c r="L923" s="396"/>
      <c r="O923" s="388"/>
      <c r="P923" s="388"/>
      <c r="AA923" s="421">
        <f t="shared" si="14"/>
        <v>0</v>
      </c>
    </row>
    <row r="924" spans="1:27" ht="16.5">
      <c r="A924" s="387">
        <f>'STAT 77 Table'!$I$923</f>
        <v>0</v>
      </c>
      <c r="B924"/>
      <c r="C924"/>
      <c r="D924" s="387" t="str">
        <f>IF($B924&lt;&gt;"",IFERROR(IF(LEFT($B924,3)=$Z$2,VLOOKUP($C924,Outbound!$B:$Z,4,FALSE),VLOOKUP($B924,Outbound!$B:$Z,4,FALSE)),"ON ROCS/NOT ON FILE"),"")</f>
        <v/>
      </c>
      <c r="E924" s="387" t="str">
        <f>IF($B924&lt;&gt;"",IFERROR(IF(LEFT($B924,4)=$Z$2,VLOOKUP($C924,Outbound!$B:$Z,5,FALSE),VLOOKUP($B924,Outbound!$B:$Z,5,FALSE)),"ON ROCS/NOT ON FILE"),"")</f>
        <v/>
      </c>
      <c r="F924" s="387" t="str">
        <f>IF(B924&lt;&gt;"",IFERROR(IF(LEFT($B924,3)=$Z$2,VLOOKUP($C924,Outbound!$B:$Z,11,FALSE),VLOOKUP($B924,Outbound!$B:$Z,11,FALSE)),"NON TROVATO"),"")</f>
        <v/>
      </c>
      <c r="G924" s="394" t="str">
        <f>IF(B924&lt;&gt;"",IFERROR(IF(LEFT($B924,3)=$Z$2,VLOOKUP($C924,Outbound!$B:$AAZ,16,FALSE),VLOOKUP($B924,Outbound!$B:$AAZ,16,FALSE)),"NON TROVATO"),"")</f>
        <v/>
      </c>
      <c r="H924" s="394" t="str">
        <f>IF(B924&lt;&gt;"",IFERROR(IF(LEFT($B924,3)=$Z$2,VLOOKUP($C924,Outbound!$B:$AAZ,6,FALSE),VLOOKUP($B924,Outbound!$B:$AAZ,6,FALSE)),"NON TROVATO"),"")</f>
        <v/>
      </c>
      <c r="I924" s="394" t="str">
        <f>IF(B924&lt;&gt;"",IFERROR(IF(LEFT($B924,3)=$Z$2,VLOOKUP($C924,Outbound!$B:$AAZ,52,FALSE),VLOOKUP($B924,Outbound!$B:$AAZ,52,FALSE)),"NON TROVATO"),"")</f>
        <v/>
      </c>
      <c r="J924" s="396"/>
      <c r="K924" s="387" t="str">
        <f>IF(B924&lt;&gt;"",IF($D924&lt;&gt;"ON ROCS/NOT ON FILE",IFERROR(_xlfn.XLOOKUP(LEFT($D924,3),'STAT 77 Table'!$B:$B,'STAT 77 Table'!$A:$A),"ZZ"&amp;RIGHT($B924,4)),""),"")</f>
        <v/>
      </c>
      <c r="L924" s="396"/>
      <c r="O924" s="388"/>
      <c r="P924" s="388"/>
      <c r="AA924" s="421">
        <f t="shared" si="14"/>
        <v>0</v>
      </c>
    </row>
    <row r="925" spans="1:27" ht="16.5">
      <c r="A925" s="387">
        <f>'STAT 77 Table'!$I$924</f>
        <v>0</v>
      </c>
      <c r="B925"/>
      <c r="C925"/>
      <c r="D925" s="387" t="str">
        <f>IF($B925&lt;&gt;"",IFERROR(IF(LEFT($B925,3)=$Z$2,VLOOKUP($C925,Outbound!$B:$Z,4,FALSE),VLOOKUP($B925,Outbound!$B:$Z,4,FALSE)),"ON ROCS/NOT ON FILE"),"")</f>
        <v/>
      </c>
      <c r="E925" s="387" t="str">
        <f>IF($B925&lt;&gt;"",IFERROR(IF(LEFT($B925,4)=$Z$2,VLOOKUP($C925,Outbound!$B:$Z,5,FALSE),VLOOKUP($B925,Outbound!$B:$Z,5,FALSE)),"ON ROCS/NOT ON FILE"),"")</f>
        <v/>
      </c>
      <c r="F925" s="387" t="str">
        <f>IF(B925&lt;&gt;"",IFERROR(IF(LEFT($B925,3)=$Z$2,VLOOKUP($C925,Outbound!$B:$Z,11,FALSE),VLOOKUP($B925,Outbound!$B:$Z,11,FALSE)),"NON TROVATO"),"")</f>
        <v/>
      </c>
      <c r="G925" s="394" t="str">
        <f>IF(B925&lt;&gt;"",IFERROR(IF(LEFT($B925,3)=$Z$2,VLOOKUP($C925,Outbound!$B:$AAZ,16,FALSE),VLOOKUP($B925,Outbound!$B:$AAZ,16,FALSE)),"NON TROVATO"),"")</f>
        <v/>
      </c>
      <c r="H925" s="394" t="str">
        <f>IF(B925&lt;&gt;"",IFERROR(IF(LEFT($B925,3)=$Z$2,VLOOKUP($C925,Outbound!$B:$AAZ,6,FALSE),VLOOKUP($B925,Outbound!$B:$AAZ,6,FALSE)),"NON TROVATO"),"")</f>
        <v/>
      </c>
      <c r="I925" s="394" t="str">
        <f>IF(B925&lt;&gt;"",IFERROR(IF(LEFT($B925,3)=$Z$2,VLOOKUP($C925,Outbound!$B:$AAZ,52,FALSE),VLOOKUP($B925,Outbound!$B:$AAZ,52,FALSE)),"NON TROVATO"),"")</f>
        <v/>
      </c>
      <c r="J925" s="396"/>
      <c r="K925" s="387" t="str">
        <f>IF(B925&lt;&gt;"",IF($D925&lt;&gt;"ON ROCS/NOT ON FILE",IFERROR(_xlfn.XLOOKUP(LEFT($D925,3),'STAT 77 Table'!$B:$B,'STAT 77 Table'!$A:$A),"ZZ"&amp;RIGHT($B925,4)),""),"")</f>
        <v/>
      </c>
      <c r="L925" s="396"/>
      <c r="O925" s="388"/>
      <c r="P925" s="388"/>
      <c r="AA925" s="421">
        <f t="shared" si="14"/>
        <v>0</v>
      </c>
    </row>
    <row r="926" spans="1:27" ht="16.5">
      <c r="A926" s="387">
        <f>'STAT 77 Table'!$I$925</f>
        <v>0</v>
      </c>
      <c r="B926"/>
      <c r="C926"/>
      <c r="D926" s="387" t="str">
        <f>IF($B926&lt;&gt;"",IFERROR(IF(LEFT($B926,3)=$Z$2,VLOOKUP($C926,Outbound!$B:$Z,4,FALSE),VLOOKUP($B926,Outbound!$B:$Z,4,FALSE)),"ON ROCS/NOT ON FILE"),"")</f>
        <v/>
      </c>
      <c r="E926" s="387" t="str">
        <f>IF($B926&lt;&gt;"",IFERROR(IF(LEFT($B926,4)=$Z$2,VLOOKUP($C926,Outbound!$B:$Z,5,FALSE),VLOOKUP($B926,Outbound!$B:$Z,5,FALSE)),"ON ROCS/NOT ON FILE"),"")</f>
        <v/>
      </c>
      <c r="F926" s="387" t="str">
        <f>IF(B926&lt;&gt;"",IFERROR(IF(LEFT($B926,3)=$Z$2,VLOOKUP($C926,Outbound!$B:$Z,11,FALSE),VLOOKUP($B926,Outbound!$B:$Z,11,FALSE)),"NON TROVATO"),"")</f>
        <v/>
      </c>
      <c r="G926" s="394" t="str">
        <f>IF(B926&lt;&gt;"",IFERROR(IF(LEFT($B926,3)=$Z$2,VLOOKUP($C926,Outbound!$B:$AAZ,16,FALSE),VLOOKUP($B926,Outbound!$B:$AAZ,16,FALSE)),"NON TROVATO"),"")</f>
        <v/>
      </c>
      <c r="H926" s="394" t="str">
        <f>IF(B926&lt;&gt;"",IFERROR(IF(LEFT($B926,3)=$Z$2,VLOOKUP($C926,Outbound!$B:$AAZ,6,FALSE),VLOOKUP($B926,Outbound!$B:$AAZ,6,FALSE)),"NON TROVATO"),"")</f>
        <v/>
      </c>
      <c r="I926" s="394" t="str">
        <f>IF(B926&lt;&gt;"",IFERROR(IF(LEFT($B926,3)=$Z$2,VLOOKUP($C926,Outbound!$B:$AAZ,52,FALSE),VLOOKUP($B926,Outbound!$B:$AAZ,52,FALSE)),"NON TROVATO"),"")</f>
        <v/>
      </c>
      <c r="J926" s="396"/>
      <c r="K926" s="387" t="str">
        <f>IF(B926&lt;&gt;"",IF($D926&lt;&gt;"ON ROCS/NOT ON FILE",IFERROR(_xlfn.XLOOKUP(LEFT($D926,3),'STAT 77 Table'!$B:$B,'STAT 77 Table'!$A:$A),"ZZ"&amp;RIGHT($B926,4)),""),"")</f>
        <v/>
      </c>
      <c r="L926" s="396"/>
      <c r="O926" s="388"/>
      <c r="P926" s="388"/>
      <c r="AA926" s="421">
        <f t="shared" si="14"/>
        <v>0</v>
      </c>
    </row>
    <row r="927" spans="1:27" ht="16.5">
      <c r="A927" s="387">
        <f>'STAT 77 Table'!$I$926</f>
        <v>0</v>
      </c>
      <c r="B927"/>
      <c r="C927"/>
      <c r="D927" s="387" t="str">
        <f>IF($B927&lt;&gt;"",IFERROR(IF(LEFT($B927,3)=$Z$2,VLOOKUP($C927,Outbound!$B:$Z,4,FALSE),VLOOKUP($B927,Outbound!$B:$Z,4,FALSE)),"ON ROCS/NOT ON FILE"),"")</f>
        <v/>
      </c>
      <c r="E927" s="387" t="str">
        <f>IF($B927&lt;&gt;"",IFERROR(IF(LEFT($B927,4)=$Z$2,VLOOKUP($C927,Outbound!$B:$Z,5,FALSE),VLOOKUP($B927,Outbound!$B:$Z,5,FALSE)),"ON ROCS/NOT ON FILE"),"")</f>
        <v/>
      </c>
      <c r="F927" s="387" t="str">
        <f>IF(B927&lt;&gt;"",IFERROR(IF(LEFT($B927,3)=$Z$2,VLOOKUP($C927,Outbound!$B:$Z,11,FALSE),VLOOKUP($B927,Outbound!$B:$Z,11,FALSE)),"NON TROVATO"),"")</f>
        <v/>
      </c>
      <c r="G927" s="394" t="str">
        <f>IF(B927&lt;&gt;"",IFERROR(IF(LEFT($B927,3)=$Z$2,VLOOKUP($C927,Outbound!$B:$AAZ,16,FALSE),VLOOKUP($B927,Outbound!$B:$AAZ,16,FALSE)),"NON TROVATO"),"")</f>
        <v/>
      </c>
      <c r="H927" s="394" t="str">
        <f>IF(B927&lt;&gt;"",IFERROR(IF(LEFT($B927,3)=$Z$2,VLOOKUP($C927,Outbound!$B:$AAZ,6,FALSE),VLOOKUP($B927,Outbound!$B:$AAZ,6,FALSE)),"NON TROVATO"),"")</f>
        <v/>
      </c>
      <c r="I927" s="394" t="str">
        <f>IF(B927&lt;&gt;"",IFERROR(IF(LEFT($B927,3)=$Z$2,VLOOKUP($C927,Outbound!$B:$AAZ,52,FALSE),VLOOKUP($B927,Outbound!$B:$AAZ,52,FALSE)),"NON TROVATO"),"")</f>
        <v/>
      </c>
      <c r="J927" s="396"/>
      <c r="K927" s="387" t="str">
        <f>IF(B927&lt;&gt;"",IF($D927&lt;&gt;"ON ROCS/NOT ON FILE",IFERROR(_xlfn.XLOOKUP(LEFT($D927,3),'STAT 77 Table'!$B:$B,'STAT 77 Table'!$A:$A),"ZZ"&amp;RIGHT($B927,4)),""),"")</f>
        <v/>
      </c>
      <c r="L927" s="396"/>
      <c r="O927" s="388"/>
      <c r="P927" s="388"/>
      <c r="AA927" s="421">
        <f t="shared" si="14"/>
        <v>0</v>
      </c>
    </row>
    <row r="928" spans="1:27" ht="16.5">
      <c r="A928" s="387">
        <f>'STAT 77 Table'!$I$927</f>
        <v>0</v>
      </c>
      <c r="B928"/>
      <c r="C928"/>
      <c r="D928" s="387" t="str">
        <f>IF($B928&lt;&gt;"",IFERROR(IF(LEFT($B928,3)=$Z$2,VLOOKUP($C928,Outbound!$B:$Z,4,FALSE),VLOOKUP($B928,Outbound!$B:$Z,4,FALSE)),"ON ROCS/NOT ON FILE"),"")</f>
        <v/>
      </c>
      <c r="E928" s="387" t="str">
        <f>IF($B928&lt;&gt;"",IFERROR(IF(LEFT($B928,4)=$Z$2,VLOOKUP($C928,Outbound!$B:$Z,5,FALSE),VLOOKUP($B928,Outbound!$B:$Z,5,FALSE)),"ON ROCS/NOT ON FILE"),"")</f>
        <v/>
      </c>
      <c r="F928" s="387" t="str">
        <f>IF(B928&lt;&gt;"",IFERROR(IF(LEFT($B928,3)=$Z$2,VLOOKUP($C928,Outbound!$B:$Z,11,FALSE),VLOOKUP($B928,Outbound!$B:$Z,11,FALSE)),"NON TROVATO"),"")</f>
        <v/>
      </c>
      <c r="G928" s="394" t="str">
        <f>IF(B928&lt;&gt;"",IFERROR(IF(LEFT($B928,3)=$Z$2,VLOOKUP($C928,Outbound!$B:$AAZ,16,FALSE),VLOOKUP($B928,Outbound!$B:$AAZ,16,FALSE)),"NON TROVATO"),"")</f>
        <v/>
      </c>
      <c r="H928" s="394" t="str">
        <f>IF(B928&lt;&gt;"",IFERROR(IF(LEFT($B928,3)=$Z$2,VLOOKUP($C928,Outbound!$B:$AAZ,6,FALSE),VLOOKUP($B928,Outbound!$B:$AAZ,6,FALSE)),"NON TROVATO"),"")</f>
        <v/>
      </c>
      <c r="I928" s="394" t="str">
        <f>IF(B928&lt;&gt;"",IFERROR(IF(LEFT($B928,3)=$Z$2,VLOOKUP($C928,Outbound!$B:$AAZ,52,FALSE),VLOOKUP($B928,Outbound!$B:$AAZ,52,FALSE)),"NON TROVATO"),"")</f>
        <v/>
      </c>
      <c r="J928" s="396"/>
      <c r="K928" s="387" t="str">
        <f>IF(B928&lt;&gt;"",IF($D928&lt;&gt;"ON ROCS/NOT ON FILE",IFERROR(_xlfn.XLOOKUP(LEFT($D928,3),'STAT 77 Table'!$B:$B,'STAT 77 Table'!$A:$A),"ZZ"&amp;RIGHT($B928,4)),""),"")</f>
        <v/>
      </c>
      <c r="L928" s="396"/>
      <c r="O928" s="388"/>
      <c r="P928" s="388"/>
      <c r="AA928" s="421">
        <f t="shared" si="14"/>
        <v>0</v>
      </c>
    </row>
    <row r="929" spans="1:27" ht="16.5">
      <c r="A929" s="387">
        <f>'STAT 77 Table'!$I$928</f>
        <v>0</v>
      </c>
      <c r="B929"/>
      <c r="C929"/>
      <c r="D929" s="387" t="str">
        <f>IF($B929&lt;&gt;"",IFERROR(IF(LEFT($B929,3)=$Z$2,VLOOKUP($C929,Outbound!$B:$Z,4,FALSE),VLOOKUP($B929,Outbound!$B:$Z,4,FALSE)),"ON ROCS/NOT ON FILE"),"")</f>
        <v/>
      </c>
      <c r="E929" s="387" t="str">
        <f>IF($B929&lt;&gt;"",IFERROR(IF(LEFT($B929,4)=$Z$2,VLOOKUP($C929,Outbound!$B:$Z,5,FALSE),VLOOKUP($B929,Outbound!$B:$Z,5,FALSE)),"ON ROCS/NOT ON FILE"),"")</f>
        <v/>
      </c>
      <c r="F929" s="387" t="str">
        <f>IF(B929&lt;&gt;"",IFERROR(IF(LEFT($B929,3)=$Z$2,VLOOKUP($C929,Outbound!$B:$Z,11,FALSE),VLOOKUP($B929,Outbound!$B:$Z,11,FALSE)),"NON TROVATO"),"")</f>
        <v/>
      </c>
      <c r="G929" s="394" t="str">
        <f>IF(B929&lt;&gt;"",IFERROR(IF(LEFT($B929,3)=$Z$2,VLOOKUP($C929,Outbound!$B:$AAZ,16,FALSE),VLOOKUP($B929,Outbound!$B:$AAZ,16,FALSE)),"NON TROVATO"),"")</f>
        <v/>
      </c>
      <c r="H929" s="394" t="str">
        <f>IF(B929&lt;&gt;"",IFERROR(IF(LEFT($B929,3)=$Z$2,VLOOKUP($C929,Outbound!$B:$AAZ,6,FALSE),VLOOKUP($B929,Outbound!$B:$AAZ,6,FALSE)),"NON TROVATO"),"")</f>
        <v/>
      </c>
      <c r="I929" s="394" t="str">
        <f>IF(B929&lt;&gt;"",IFERROR(IF(LEFT($B929,3)=$Z$2,VLOOKUP($C929,Outbound!$B:$AAZ,52,FALSE),VLOOKUP($B929,Outbound!$B:$AAZ,52,FALSE)),"NON TROVATO"),"")</f>
        <v/>
      </c>
      <c r="J929" s="396"/>
      <c r="K929" s="387" t="str">
        <f>IF(B929&lt;&gt;"",IF($D929&lt;&gt;"ON ROCS/NOT ON FILE",IFERROR(_xlfn.XLOOKUP(LEFT($D929,3),'STAT 77 Table'!$B:$B,'STAT 77 Table'!$A:$A),"ZZ"&amp;RIGHT($B929,4)),""),"")</f>
        <v/>
      </c>
      <c r="L929" s="396"/>
      <c r="O929" s="388"/>
      <c r="P929" s="388"/>
      <c r="AA929" s="421">
        <f t="shared" si="14"/>
        <v>0</v>
      </c>
    </row>
    <row r="930" spans="1:27" ht="16.5">
      <c r="A930" s="387">
        <f>'STAT 77 Table'!$I$929</f>
        <v>0</v>
      </c>
      <c r="B930"/>
      <c r="C930"/>
      <c r="D930" s="387" t="str">
        <f>IF($B930&lt;&gt;"",IFERROR(IF(LEFT($B930,3)=$Z$2,VLOOKUP($C930,Outbound!$B:$Z,4,FALSE),VLOOKUP($B930,Outbound!$B:$Z,4,FALSE)),"ON ROCS/NOT ON FILE"),"")</f>
        <v/>
      </c>
      <c r="E930" s="387" t="str">
        <f>IF($B930&lt;&gt;"",IFERROR(IF(LEFT($B930,4)=$Z$2,VLOOKUP($C930,Outbound!$B:$Z,5,FALSE),VLOOKUP($B930,Outbound!$B:$Z,5,FALSE)),"ON ROCS/NOT ON FILE"),"")</f>
        <v/>
      </c>
      <c r="F930" s="387" t="str">
        <f>IF(B930&lt;&gt;"",IFERROR(IF(LEFT($B930,3)=$Z$2,VLOOKUP($C930,Outbound!$B:$Z,11,FALSE),VLOOKUP($B930,Outbound!$B:$Z,11,FALSE)),"NON TROVATO"),"")</f>
        <v/>
      </c>
      <c r="G930" s="394" t="str">
        <f>IF(B930&lt;&gt;"",IFERROR(IF(LEFT($B930,3)=$Z$2,VLOOKUP($C930,Outbound!$B:$AAZ,16,FALSE),VLOOKUP($B930,Outbound!$B:$AAZ,16,FALSE)),"NON TROVATO"),"")</f>
        <v/>
      </c>
      <c r="H930" s="394" t="str">
        <f>IF(B930&lt;&gt;"",IFERROR(IF(LEFT($B930,3)=$Z$2,VLOOKUP($C930,Outbound!$B:$AAZ,6,FALSE),VLOOKUP($B930,Outbound!$B:$AAZ,6,FALSE)),"NON TROVATO"),"")</f>
        <v/>
      </c>
      <c r="I930" s="394" t="str">
        <f>IF(B930&lt;&gt;"",IFERROR(IF(LEFT($B930,3)=$Z$2,VLOOKUP($C930,Outbound!$B:$AAZ,52,FALSE),VLOOKUP($B930,Outbound!$B:$AAZ,52,FALSE)),"NON TROVATO"),"")</f>
        <v/>
      </c>
      <c r="J930" s="396"/>
      <c r="K930" s="387" t="str">
        <f>IF(B930&lt;&gt;"",IF($D930&lt;&gt;"ON ROCS/NOT ON FILE",IFERROR(_xlfn.XLOOKUP(LEFT($D930,3),'STAT 77 Table'!$B:$B,'STAT 77 Table'!$A:$A),"ZZ"&amp;RIGHT($B930,4)),""),"")</f>
        <v/>
      </c>
      <c r="L930" s="396"/>
      <c r="O930" s="388"/>
      <c r="P930" s="388"/>
      <c r="AA930" s="421">
        <f t="shared" si="14"/>
        <v>0</v>
      </c>
    </row>
    <row r="931" spans="1:27" ht="16.5">
      <c r="A931" s="387">
        <f>'STAT 77 Table'!$I$930</f>
        <v>0</v>
      </c>
      <c r="B931"/>
      <c r="C931"/>
      <c r="D931" s="387" t="str">
        <f>IF($B931&lt;&gt;"",IFERROR(IF(LEFT($B931,3)=$Z$2,VLOOKUP($C931,Outbound!$B:$Z,4,FALSE),VLOOKUP($B931,Outbound!$B:$Z,4,FALSE)),"ON ROCS/NOT ON FILE"),"")</f>
        <v/>
      </c>
      <c r="E931" s="387" t="str">
        <f>IF($B931&lt;&gt;"",IFERROR(IF(LEFT($B931,4)=$Z$2,VLOOKUP($C931,Outbound!$B:$Z,5,FALSE),VLOOKUP($B931,Outbound!$B:$Z,5,FALSE)),"ON ROCS/NOT ON FILE"),"")</f>
        <v/>
      </c>
      <c r="F931" s="387" t="str">
        <f>IF(B931&lt;&gt;"",IFERROR(IF(LEFT($B931,3)=$Z$2,VLOOKUP($C931,Outbound!$B:$Z,11,FALSE),VLOOKUP($B931,Outbound!$B:$Z,11,FALSE)),"NON TROVATO"),"")</f>
        <v/>
      </c>
      <c r="G931" s="394" t="str">
        <f>IF(B931&lt;&gt;"",IFERROR(IF(LEFT($B931,3)=$Z$2,VLOOKUP($C931,Outbound!$B:$AAZ,16,FALSE),VLOOKUP($B931,Outbound!$B:$AAZ,16,FALSE)),"NON TROVATO"),"")</f>
        <v/>
      </c>
      <c r="H931" s="394" t="str">
        <f>IF(B931&lt;&gt;"",IFERROR(IF(LEFT($B931,3)=$Z$2,VLOOKUP($C931,Outbound!$B:$AAZ,6,FALSE),VLOOKUP($B931,Outbound!$B:$AAZ,6,FALSE)),"NON TROVATO"),"")</f>
        <v/>
      </c>
      <c r="I931" s="394" t="str">
        <f>IF(B931&lt;&gt;"",IFERROR(IF(LEFT($B931,3)=$Z$2,VLOOKUP($C931,Outbound!$B:$AAZ,52,FALSE),VLOOKUP($B931,Outbound!$B:$AAZ,52,FALSE)),"NON TROVATO"),"")</f>
        <v/>
      </c>
      <c r="J931" s="396"/>
      <c r="K931" s="387" t="str">
        <f>IF(B931&lt;&gt;"",IF($D931&lt;&gt;"ON ROCS/NOT ON FILE",IFERROR(_xlfn.XLOOKUP(LEFT($D931,3),'STAT 77 Table'!$B:$B,'STAT 77 Table'!$A:$A),"ZZ"&amp;RIGHT($B931,4)),""),"")</f>
        <v/>
      </c>
      <c r="L931" s="396"/>
      <c r="O931" s="388"/>
      <c r="P931" s="388"/>
      <c r="AA931" s="421">
        <f t="shared" si="14"/>
        <v>0</v>
      </c>
    </row>
    <row r="932" spans="1:27" ht="16.5">
      <c r="A932" s="387">
        <f>'STAT 77 Table'!$I$931</f>
        <v>0</v>
      </c>
      <c r="B932"/>
      <c r="C932"/>
      <c r="D932" s="387" t="str">
        <f>IF($B932&lt;&gt;"",IFERROR(IF(LEFT($B932,3)=$Z$2,VLOOKUP($C932,Outbound!$B:$Z,4,FALSE),VLOOKUP($B932,Outbound!$B:$Z,4,FALSE)),"ON ROCS/NOT ON FILE"),"")</f>
        <v/>
      </c>
      <c r="E932" s="387" t="str">
        <f>IF($B932&lt;&gt;"",IFERROR(IF(LEFT($B932,4)=$Z$2,VLOOKUP($C932,Outbound!$B:$Z,5,FALSE),VLOOKUP($B932,Outbound!$B:$Z,5,FALSE)),"ON ROCS/NOT ON FILE"),"")</f>
        <v/>
      </c>
      <c r="F932" s="387" t="str">
        <f>IF(B932&lt;&gt;"",IFERROR(IF(LEFT($B932,3)=$Z$2,VLOOKUP($C932,Outbound!$B:$Z,11,FALSE),VLOOKUP($B932,Outbound!$B:$Z,11,FALSE)),"NON TROVATO"),"")</f>
        <v/>
      </c>
      <c r="G932" s="394" t="str">
        <f>IF(B932&lt;&gt;"",IFERROR(IF(LEFT($B932,3)=$Z$2,VLOOKUP($C932,Outbound!$B:$AAZ,16,FALSE),VLOOKUP($B932,Outbound!$B:$AAZ,16,FALSE)),"NON TROVATO"),"")</f>
        <v/>
      </c>
      <c r="H932" s="394" t="str">
        <f>IF(B932&lt;&gt;"",IFERROR(IF(LEFT($B932,3)=$Z$2,VLOOKUP($C932,Outbound!$B:$AAZ,6,FALSE),VLOOKUP($B932,Outbound!$B:$AAZ,6,FALSE)),"NON TROVATO"),"")</f>
        <v/>
      </c>
      <c r="I932" s="394" t="str">
        <f>IF(B932&lt;&gt;"",IFERROR(IF(LEFT($B932,3)=$Z$2,VLOOKUP($C932,Outbound!$B:$AAZ,52,FALSE),VLOOKUP($B932,Outbound!$B:$AAZ,52,FALSE)),"NON TROVATO"),"")</f>
        <v/>
      </c>
      <c r="J932" s="396"/>
      <c r="K932" s="387" t="str">
        <f>IF(B932&lt;&gt;"",IF($D932&lt;&gt;"ON ROCS/NOT ON FILE",IFERROR(_xlfn.XLOOKUP(LEFT($D932,3),'STAT 77 Table'!$B:$B,'STAT 77 Table'!$A:$A),"ZZ"&amp;RIGHT($B932,4)),""),"")</f>
        <v/>
      </c>
      <c r="L932" s="396"/>
      <c r="O932" s="388"/>
      <c r="P932" s="388"/>
      <c r="AA932" s="421">
        <f t="shared" si="14"/>
        <v>0</v>
      </c>
    </row>
    <row r="933" spans="1:27" ht="16.5">
      <c r="A933" s="387">
        <f>'STAT 77 Table'!$I$932</f>
        <v>0</v>
      </c>
      <c r="B933"/>
      <c r="C933"/>
      <c r="D933" s="387" t="str">
        <f>IF($B933&lt;&gt;"",IFERROR(IF(LEFT($B933,3)=$Z$2,VLOOKUP($C933,Outbound!$B:$Z,4,FALSE),VLOOKUP($B933,Outbound!$B:$Z,4,FALSE)),"ON ROCS/NOT ON FILE"),"")</f>
        <v/>
      </c>
      <c r="E933" s="387" t="str">
        <f>IF($B933&lt;&gt;"",IFERROR(IF(LEFT($B933,4)=$Z$2,VLOOKUP($C933,Outbound!$B:$Z,5,FALSE),VLOOKUP($B933,Outbound!$B:$Z,5,FALSE)),"ON ROCS/NOT ON FILE"),"")</f>
        <v/>
      </c>
      <c r="F933" s="387" t="str">
        <f>IF(B933&lt;&gt;"",IFERROR(IF(LEFT($B933,3)=$Z$2,VLOOKUP($C933,Outbound!$B:$Z,11,FALSE),VLOOKUP($B933,Outbound!$B:$Z,11,FALSE)),"NON TROVATO"),"")</f>
        <v/>
      </c>
      <c r="G933" s="394" t="str">
        <f>IF(B933&lt;&gt;"",IFERROR(IF(LEFT($B933,3)=$Z$2,VLOOKUP($C933,Outbound!$B:$AAZ,16,FALSE),VLOOKUP($B933,Outbound!$B:$AAZ,16,FALSE)),"NON TROVATO"),"")</f>
        <v/>
      </c>
      <c r="H933" s="394" t="str">
        <f>IF(B933&lt;&gt;"",IFERROR(IF(LEFT($B933,3)=$Z$2,VLOOKUP($C933,Outbound!$B:$AAZ,6,FALSE),VLOOKUP($B933,Outbound!$B:$AAZ,6,FALSE)),"NON TROVATO"),"")</f>
        <v/>
      </c>
      <c r="I933" s="394" t="str">
        <f>IF(B933&lt;&gt;"",IFERROR(IF(LEFT($B933,3)=$Z$2,VLOOKUP($C933,Outbound!$B:$AAZ,52,FALSE),VLOOKUP($B933,Outbound!$B:$AAZ,52,FALSE)),"NON TROVATO"),"")</f>
        <v/>
      </c>
      <c r="J933" s="396"/>
      <c r="K933" s="387" t="str">
        <f>IF(B933&lt;&gt;"",IF($D933&lt;&gt;"ON ROCS/NOT ON FILE",IFERROR(_xlfn.XLOOKUP(LEFT($D933,3),'STAT 77 Table'!$B:$B,'STAT 77 Table'!$A:$A),"ZZ"&amp;RIGHT($B933,4)),""),"")</f>
        <v/>
      </c>
      <c r="L933" s="396"/>
      <c r="O933" s="388"/>
      <c r="P933" s="388"/>
      <c r="AA933" s="421">
        <f t="shared" si="14"/>
        <v>0</v>
      </c>
    </row>
    <row r="934" spans="1:27" ht="16.5">
      <c r="A934" s="387">
        <f>'STAT 77 Table'!$I$933</f>
        <v>0</v>
      </c>
      <c r="B934"/>
      <c r="C934"/>
      <c r="D934" s="387" t="str">
        <f>IF($B934&lt;&gt;"",IFERROR(IF(LEFT($B934,3)=$Z$2,VLOOKUP($C934,Outbound!$B:$Z,4,FALSE),VLOOKUP($B934,Outbound!$B:$Z,4,FALSE)),"ON ROCS/NOT ON FILE"),"")</f>
        <v/>
      </c>
      <c r="E934" s="387" t="str">
        <f>IF($B934&lt;&gt;"",IFERROR(IF(LEFT($B934,4)=$Z$2,VLOOKUP($C934,Outbound!$B:$Z,5,FALSE),VLOOKUP($B934,Outbound!$B:$Z,5,FALSE)),"ON ROCS/NOT ON FILE"),"")</f>
        <v/>
      </c>
      <c r="F934" s="387" t="str">
        <f>IF(B934&lt;&gt;"",IFERROR(IF(LEFT($B934,3)=$Z$2,VLOOKUP($C934,Outbound!$B:$Z,11,FALSE),VLOOKUP($B934,Outbound!$B:$Z,11,FALSE)),"NON TROVATO"),"")</f>
        <v/>
      </c>
      <c r="G934" s="394" t="str">
        <f>IF(B934&lt;&gt;"",IFERROR(IF(LEFT($B934,3)=$Z$2,VLOOKUP($C934,Outbound!$B:$AAZ,16,FALSE),VLOOKUP($B934,Outbound!$B:$AAZ,16,FALSE)),"NON TROVATO"),"")</f>
        <v/>
      </c>
      <c r="H934" s="394" t="str">
        <f>IF(B934&lt;&gt;"",IFERROR(IF(LEFT($B934,3)=$Z$2,VLOOKUP($C934,Outbound!$B:$AAZ,6,FALSE),VLOOKUP($B934,Outbound!$B:$AAZ,6,FALSE)),"NON TROVATO"),"")</f>
        <v/>
      </c>
      <c r="I934" s="394" t="str">
        <f>IF(B934&lt;&gt;"",IFERROR(IF(LEFT($B934,3)=$Z$2,VLOOKUP($C934,Outbound!$B:$AAZ,52,FALSE),VLOOKUP($B934,Outbound!$B:$AAZ,52,FALSE)),"NON TROVATO"),"")</f>
        <v/>
      </c>
      <c r="J934" s="396"/>
      <c r="K934" s="387" t="str">
        <f>IF(B934&lt;&gt;"",IF($D934&lt;&gt;"ON ROCS/NOT ON FILE",IFERROR(_xlfn.XLOOKUP(LEFT($D934,3),'STAT 77 Table'!$B:$B,'STAT 77 Table'!$A:$A),"ZZ"&amp;RIGHT($B934,4)),""),"")</f>
        <v/>
      </c>
      <c r="L934" s="396"/>
      <c r="O934" s="388"/>
      <c r="P934" s="388"/>
      <c r="AA934" s="421">
        <f t="shared" si="14"/>
        <v>0</v>
      </c>
    </row>
    <row r="935" spans="1:27" ht="16.5">
      <c r="A935" s="387">
        <f>'STAT 77 Table'!$I$934</f>
        <v>0</v>
      </c>
      <c r="B935"/>
      <c r="C935"/>
      <c r="D935" s="387" t="str">
        <f>IF($B935&lt;&gt;"",IFERROR(IF(LEFT($B935,3)=$Z$2,VLOOKUP($C935,Outbound!$B:$Z,4,FALSE),VLOOKUP($B935,Outbound!$B:$Z,4,FALSE)),"ON ROCS/NOT ON FILE"),"")</f>
        <v/>
      </c>
      <c r="E935" s="387" t="str">
        <f>IF($B935&lt;&gt;"",IFERROR(IF(LEFT($B935,4)=$Z$2,VLOOKUP($C935,Outbound!$B:$Z,5,FALSE),VLOOKUP($B935,Outbound!$B:$Z,5,FALSE)),"ON ROCS/NOT ON FILE"),"")</f>
        <v/>
      </c>
      <c r="F935" s="387" t="str">
        <f>IF(B935&lt;&gt;"",IFERROR(IF(LEFT($B935,3)=$Z$2,VLOOKUP($C935,Outbound!$B:$Z,11,FALSE),VLOOKUP($B935,Outbound!$B:$Z,11,FALSE)),"NON TROVATO"),"")</f>
        <v/>
      </c>
      <c r="G935" s="394" t="str">
        <f>IF(B935&lt;&gt;"",IFERROR(IF(LEFT($B935,3)=$Z$2,VLOOKUP($C935,Outbound!$B:$AAZ,16,FALSE),VLOOKUP($B935,Outbound!$B:$AAZ,16,FALSE)),"NON TROVATO"),"")</f>
        <v/>
      </c>
      <c r="H935" s="394" t="str">
        <f>IF(B935&lt;&gt;"",IFERROR(IF(LEFT($B935,3)=$Z$2,VLOOKUP($C935,Outbound!$B:$AAZ,6,FALSE),VLOOKUP($B935,Outbound!$B:$AAZ,6,FALSE)),"NON TROVATO"),"")</f>
        <v/>
      </c>
      <c r="I935" s="394" t="str">
        <f>IF(B935&lt;&gt;"",IFERROR(IF(LEFT($B935,3)=$Z$2,VLOOKUP($C935,Outbound!$B:$AAZ,52,FALSE),VLOOKUP($B935,Outbound!$B:$AAZ,52,FALSE)),"NON TROVATO"),"")</f>
        <v/>
      </c>
      <c r="J935" s="396"/>
      <c r="K935" s="387" t="str">
        <f>IF(B935&lt;&gt;"",IF($D935&lt;&gt;"ON ROCS/NOT ON FILE",IFERROR(_xlfn.XLOOKUP(LEFT($D935,3),'STAT 77 Table'!$B:$B,'STAT 77 Table'!$A:$A),"ZZ"&amp;RIGHT($B935,4)),""),"")</f>
        <v/>
      </c>
      <c r="L935" s="396"/>
      <c r="O935" s="388"/>
      <c r="P935" s="388"/>
      <c r="AA935" s="421">
        <f t="shared" si="14"/>
        <v>0</v>
      </c>
    </row>
    <row r="936" spans="1:27" ht="16.5">
      <c r="A936" s="387">
        <f>'STAT 77 Table'!$I$935</f>
        <v>0</v>
      </c>
      <c r="B936"/>
      <c r="C936"/>
      <c r="D936" s="387" t="str">
        <f>IF($B936&lt;&gt;"",IFERROR(IF(LEFT($B936,3)=$Z$2,VLOOKUP($C936,Outbound!$B:$Z,4,FALSE),VLOOKUP($B936,Outbound!$B:$Z,4,FALSE)),"ON ROCS/NOT ON FILE"),"")</f>
        <v/>
      </c>
      <c r="E936" s="387" t="str">
        <f>IF($B936&lt;&gt;"",IFERROR(IF(LEFT($B936,4)=$Z$2,VLOOKUP($C936,Outbound!$B:$Z,5,FALSE),VLOOKUP($B936,Outbound!$B:$Z,5,FALSE)),"ON ROCS/NOT ON FILE"),"")</f>
        <v/>
      </c>
      <c r="F936" s="387" t="str">
        <f>IF(B936&lt;&gt;"",IFERROR(IF(LEFT($B936,3)=$Z$2,VLOOKUP($C936,Outbound!$B:$Z,11,FALSE),VLOOKUP($B936,Outbound!$B:$Z,11,FALSE)),"NON TROVATO"),"")</f>
        <v/>
      </c>
      <c r="G936" s="394" t="str">
        <f>IF(B936&lt;&gt;"",IFERROR(IF(LEFT($B936,3)=$Z$2,VLOOKUP($C936,Outbound!$B:$AAZ,16,FALSE),VLOOKUP($B936,Outbound!$B:$AAZ,16,FALSE)),"NON TROVATO"),"")</f>
        <v/>
      </c>
      <c r="H936" s="394" t="str">
        <f>IF(B936&lt;&gt;"",IFERROR(IF(LEFT($B936,3)=$Z$2,VLOOKUP($C936,Outbound!$B:$AAZ,6,FALSE),VLOOKUP($B936,Outbound!$B:$AAZ,6,FALSE)),"NON TROVATO"),"")</f>
        <v/>
      </c>
      <c r="I936" s="394" t="str">
        <f>IF(B936&lt;&gt;"",IFERROR(IF(LEFT($B936,3)=$Z$2,VLOOKUP($C936,Outbound!$B:$AAZ,52,FALSE),VLOOKUP($B936,Outbound!$B:$AAZ,52,FALSE)),"NON TROVATO"),"")</f>
        <v/>
      </c>
      <c r="J936" s="396"/>
      <c r="K936" s="387" t="str">
        <f>IF(B936&lt;&gt;"",IF($D936&lt;&gt;"ON ROCS/NOT ON FILE",IFERROR(_xlfn.XLOOKUP(LEFT($D936,3),'STAT 77 Table'!$B:$B,'STAT 77 Table'!$A:$A),"ZZ"&amp;RIGHT($B936,4)),""),"")</f>
        <v/>
      </c>
      <c r="L936" s="396"/>
      <c r="O936" s="388"/>
      <c r="P936" s="388"/>
      <c r="AA936" s="421">
        <f t="shared" si="14"/>
        <v>0</v>
      </c>
    </row>
    <row r="937" spans="1:27" ht="16.5">
      <c r="A937" s="387">
        <f>'STAT 77 Table'!$I$936</f>
        <v>0</v>
      </c>
      <c r="B937"/>
      <c r="C937"/>
      <c r="D937" s="387" t="str">
        <f>IF($B937&lt;&gt;"",IFERROR(IF(LEFT($B937,3)=$Z$2,VLOOKUP($C937,Outbound!$B:$Z,4,FALSE),VLOOKUP($B937,Outbound!$B:$Z,4,FALSE)),"ON ROCS/NOT ON FILE"),"")</f>
        <v/>
      </c>
      <c r="E937" s="387" t="str">
        <f>IF($B937&lt;&gt;"",IFERROR(IF(LEFT($B937,4)=$Z$2,VLOOKUP($C937,Outbound!$B:$Z,5,FALSE),VLOOKUP($B937,Outbound!$B:$Z,5,FALSE)),"ON ROCS/NOT ON FILE"),"")</f>
        <v/>
      </c>
      <c r="F937" s="387" t="str">
        <f>IF(B937&lt;&gt;"",IFERROR(IF(LEFT($B937,3)=$Z$2,VLOOKUP($C937,Outbound!$B:$Z,11,FALSE),VLOOKUP($B937,Outbound!$B:$Z,11,FALSE)),"NON TROVATO"),"")</f>
        <v/>
      </c>
      <c r="G937" s="394" t="str">
        <f>IF(B937&lt;&gt;"",IFERROR(IF(LEFT($B937,3)=$Z$2,VLOOKUP($C937,Outbound!$B:$AAZ,16,FALSE),VLOOKUP($B937,Outbound!$B:$AAZ,16,FALSE)),"NON TROVATO"),"")</f>
        <v/>
      </c>
      <c r="H937" s="394" t="str">
        <f>IF(B937&lt;&gt;"",IFERROR(IF(LEFT($B937,3)=$Z$2,VLOOKUP($C937,Outbound!$B:$AAZ,6,FALSE),VLOOKUP($B937,Outbound!$B:$AAZ,6,FALSE)),"NON TROVATO"),"")</f>
        <v/>
      </c>
      <c r="I937" s="394" t="str">
        <f>IF(B937&lt;&gt;"",IFERROR(IF(LEFT($B937,3)=$Z$2,VLOOKUP($C937,Outbound!$B:$AAZ,52,FALSE),VLOOKUP($B937,Outbound!$B:$AAZ,52,FALSE)),"NON TROVATO"),"")</f>
        <v/>
      </c>
      <c r="J937" s="396"/>
      <c r="K937" s="387" t="str">
        <f>IF(B937&lt;&gt;"",IF($D937&lt;&gt;"ON ROCS/NOT ON FILE",IFERROR(_xlfn.XLOOKUP(LEFT($D937,3),'STAT 77 Table'!$B:$B,'STAT 77 Table'!$A:$A),"ZZ"&amp;RIGHT($B937,4)),""),"")</f>
        <v/>
      </c>
      <c r="L937" s="396"/>
      <c r="O937" s="388"/>
      <c r="P937" s="388"/>
      <c r="AA937" s="421">
        <f t="shared" si="14"/>
        <v>0</v>
      </c>
    </row>
    <row r="938" spans="1:27" ht="16.5">
      <c r="A938" s="387">
        <f>'STAT 77 Table'!$I$937</f>
        <v>0</v>
      </c>
      <c r="B938"/>
      <c r="C938"/>
      <c r="D938" s="387" t="str">
        <f>IF($B938&lt;&gt;"",IFERROR(IF(LEFT($B938,3)=$Z$2,VLOOKUP($C938,Outbound!$B:$Z,4,FALSE),VLOOKUP($B938,Outbound!$B:$Z,4,FALSE)),"ON ROCS/NOT ON FILE"),"")</f>
        <v/>
      </c>
      <c r="E938" s="387" t="str">
        <f>IF($B938&lt;&gt;"",IFERROR(IF(LEFT($B938,4)=$Z$2,VLOOKUP($C938,Outbound!$B:$Z,5,FALSE),VLOOKUP($B938,Outbound!$B:$Z,5,FALSE)),"ON ROCS/NOT ON FILE"),"")</f>
        <v/>
      </c>
      <c r="F938" s="387" t="str">
        <f>IF(B938&lt;&gt;"",IFERROR(IF(LEFT($B938,3)=$Z$2,VLOOKUP($C938,Outbound!$B:$Z,11,FALSE),VLOOKUP($B938,Outbound!$B:$Z,11,FALSE)),"NON TROVATO"),"")</f>
        <v/>
      </c>
      <c r="G938" s="394" t="str">
        <f>IF(B938&lt;&gt;"",IFERROR(IF(LEFT($B938,3)=$Z$2,VLOOKUP($C938,Outbound!$B:$AAZ,16,FALSE),VLOOKUP($B938,Outbound!$B:$AAZ,16,FALSE)),"NON TROVATO"),"")</f>
        <v/>
      </c>
      <c r="H938" s="394" t="str">
        <f>IF(B938&lt;&gt;"",IFERROR(IF(LEFT($B938,3)=$Z$2,VLOOKUP($C938,Outbound!$B:$AAZ,6,FALSE),VLOOKUP($B938,Outbound!$B:$AAZ,6,FALSE)),"NON TROVATO"),"")</f>
        <v/>
      </c>
      <c r="I938" s="394" t="str">
        <f>IF(B938&lt;&gt;"",IFERROR(IF(LEFT($B938,3)=$Z$2,VLOOKUP($C938,Outbound!$B:$AAZ,52,FALSE),VLOOKUP($B938,Outbound!$B:$AAZ,52,FALSE)),"NON TROVATO"),"")</f>
        <v/>
      </c>
      <c r="J938" s="396"/>
      <c r="K938" s="387" t="str">
        <f>IF(B938&lt;&gt;"",IF($D938&lt;&gt;"ON ROCS/NOT ON FILE",IFERROR(_xlfn.XLOOKUP(LEFT($D938,3),'STAT 77 Table'!$B:$B,'STAT 77 Table'!$A:$A),"ZZ"&amp;RIGHT($B938,4)),""),"")</f>
        <v/>
      </c>
      <c r="L938" s="396"/>
      <c r="O938" s="388"/>
      <c r="P938" s="388"/>
      <c r="AA938" s="421">
        <f t="shared" si="14"/>
        <v>0</v>
      </c>
    </row>
    <row r="939" spans="1:27" ht="16.5">
      <c r="A939" s="387">
        <f>'STAT 77 Table'!$I$938</f>
        <v>0</v>
      </c>
      <c r="B939"/>
      <c r="C939"/>
      <c r="D939" s="387" t="str">
        <f>IF($B939&lt;&gt;"",IFERROR(IF(LEFT($B939,3)=$Z$2,VLOOKUP($C939,Outbound!$B:$Z,4,FALSE),VLOOKUP($B939,Outbound!$B:$Z,4,FALSE)),"ON ROCS/NOT ON FILE"),"")</f>
        <v/>
      </c>
      <c r="E939" s="387" t="str">
        <f>IF($B939&lt;&gt;"",IFERROR(IF(LEFT($B939,4)=$Z$2,VLOOKUP($C939,Outbound!$B:$Z,5,FALSE),VLOOKUP($B939,Outbound!$B:$Z,5,FALSE)),"ON ROCS/NOT ON FILE"),"")</f>
        <v/>
      </c>
      <c r="F939" s="387" t="str">
        <f>IF(B939&lt;&gt;"",IFERROR(IF(LEFT($B939,3)=$Z$2,VLOOKUP($C939,Outbound!$B:$Z,11,FALSE),VLOOKUP($B939,Outbound!$B:$Z,11,FALSE)),"NON TROVATO"),"")</f>
        <v/>
      </c>
      <c r="G939" s="394" t="str">
        <f>IF(B939&lt;&gt;"",IFERROR(IF(LEFT($B939,3)=$Z$2,VLOOKUP($C939,Outbound!$B:$AAZ,16,FALSE),VLOOKUP($B939,Outbound!$B:$AAZ,16,FALSE)),"NON TROVATO"),"")</f>
        <v/>
      </c>
      <c r="H939" s="394" t="str">
        <f>IF(B939&lt;&gt;"",IFERROR(IF(LEFT($B939,3)=$Z$2,VLOOKUP($C939,Outbound!$B:$AAZ,6,FALSE),VLOOKUP($B939,Outbound!$B:$AAZ,6,FALSE)),"NON TROVATO"),"")</f>
        <v/>
      </c>
      <c r="I939" s="394" t="str">
        <f>IF(B939&lt;&gt;"",IFERROR(IF(LEFT($B939,3)=$Z$2,VLOOKUP($C939,Outbound!$B:$AAZ,52,FALSE),VLOOKUP($B939,Outbound!$B:$AAZ,52,FALSE)),"NON TROVATO"),"")</f>
        <v/>
      </c>
      <c r="J939" s="396"/>
      <c r="K939" s="387" t="str">
        <f>IF(B939&lt;&gt;"",IF($D939&lt;&gt;"ON ROCS/NOT ON FILE",IFERROR(_xlfn.XLOOKUP(LEFT($D939,3),'STAT 77 Table'!$B:$B,'STAT 77 Table'!$A:$A),"ZZ"&amp;RIGHT($B939,4)),""),"")</f>
        <v/>
      </c>
      <c r="L939" s="396"/>
      <c r="O939" s="388"/>
      <c r="P939" s="388"/>
      <c r="AA939" s="421">
        <f t="shared" si="14"/>
        <v>0</v>
      </c>
    </row>
    <row r="940" spans="1:27" ht="16.5">
      <c r="A940" s="387">
        <f>'STAT 77 Table'!$I$939</f>
        <v>0</v>
      </c>
      <c r="B940"/>
      <c r="C940"/>
      <c r="D940" s="387" t="str">
        <f>IF($B940&lt;&gt;"",IFERROR(IF(LEFT($B940,3)=$Z$2,VLOOKUP($C940,Outbound!$B:$Z,4,FALSE),VLOOKUP($B940,Outbound!$B:$Z,4,FALSE)),"ON ROCS/NOT ON FILE"),"")</f>
        <v/>
      </c>
      <c r="E940" s="387" t="str">
        <f>IF($B940&lt;&gt;"",IFERROR(IF(LEFT($B940,4)=$Z$2,VLOOKUP($C940,Outbound!$B:$Z,5,FALSE),VLOOKUP($B940,Outbound!$B:$Z,5,FALSE)),"ON ROCS/NOT ON FILE"),"")</f>
        <v/>
      </c>
      <c r="F940" s="387" t="str">
        <f>IF(B940&lt;&gt;"",IFERROR(IF(LEFT($B940,3)=$Z$2,VLOOKUP($C940,Outbound!$B:$Z,11,FALSE),VLOOKUP($B940,Outbound!$B:$Z,11,FALSE)),"NON TROVATO"),"")</f>
        <v/>
      </c>
      <c r="G940" s="394" t="str">
        <f>IF(B940&lt;&gt;"",IFERROR(IF(LEFT($B940,3)=$Z$2,VLOOKUP($C940,Outbound!$B:$AAZ,16,FALSE),VLOOKUP($B940,Outbound!$B:$AAZ,16,FALSE)),"NON TROVATO"),"")</f>
        <v/>
      </c>
      <c r="H940" s="394" t="str">
        <f>IF(B940&lt;&gt;"",IFERROR(IF(LEFT($B940,3)=$Z$2,VLOOKUP($C940,Outbound!$B:$AAZ,6,FALSE),VLOOKUP($B940,Outbound!$B:$AAZ,6,FALSE)),"NON TROVATO"),"")</f>
        <v/>
      </c>
      <c r="I940" s="394" t="str">
        <f>IF(B940&lt;&gt;"",IFERROR(IF(LEFT($B940,3)=$Z$2,VLOOKUP($C940,Outbound!$B:$AAZ,52,FALSE),VLOOKUP($B940,Outbound!$B:$AAZ,52,FALSE)),"NON TROVATO"),"")</f>
        <v/>
      </c>
      <c r="J940" s="396"/>
      <c r="K940" s="387" t="str">
        <f>IF(B940&lt;&gt;"",IF($D940&lt;&gt;"ON ROCS/NOT ON FILE",IFERROR(_xlfn.XLOOKUP(LEFT($D940,3),'STAT 77 Table'!$B:$B,'STAT 77 Table'!$A:$A),"ZZ"&amp;RIGHT($B940,4)),""),"")</f>
        <v/>
      </c>
      <c r="L940" s="396"/>
      <c r="O940" s="388"/>
      <c r="P940" s="388"/>
      <c r="AA940" s="421">
        <f t="shared" si="14"/>
        <v>0</v>
      </c>
    </row>
    <row r="941" spans="1:27" ht="16.5">
      <c r="A941" s="387">
        <f>'STAT 77 Table'!$I$940</f>
        <v>0</v>
      </c>
      <c r="B941"/>
      <c r="C941"/>
      <c r="D941" s="387" t="str">
        <f>IF($B941&lt;&gt;"",IFERROR(IF(LEFT($B941,3)=$Z$2,VLOOKUP($C941,Outbound!$B:$Z,4,FALSE),VLOOKUP($B941,Outbound!$B:$Z,4,FALSE)),"ON ROCS/NOT ON FILE"),"")</f>
        <v/>
      </c>
      <c r="E941" s="387" t="str">
        <f>IF($B941&lt;&gt;"",IFERROR(IF(LEFT($B941,4)=$Z$2,VLOOKUP($C941,Outbound!$B:$Z,5,FALSE),VLOOKUP($B941,Outbound!$B:$Z,5,FALSE)),"ON ROCS/NOT ON FILE"),"")</f>
        <v/>
      </c>
      <c r="F941" s="387" t="str">
        <f>IF(B941&lt;&gt;"",IFERROR(IF(LEFT($B941,3)=$Z$2,VLOOKUP($C941,Outbound!$B:$Z,11,FALSE),VLOOKUP($B941,Outbound!$B:$Z,11,FALSE)),"NON TROVATO"),"")</f>
        <v/>
      </c>
      <c r="G941" s="394" t="str">
        <f>IF(B941&lt;&gt;"",IFERROR(IF(LEFT($B941,3)=$Z$2,VLOOKUP($C941,Outbound!$B:$AAZ,16,FALSE),VLOOKUP($B941,Outbound!$B:$AAZ,16,FALSE)),"NON TROVATO"),"")</f>
        <v/>
      </c>
      <c r="H941" s="394" t="str">
        <f>IF(B941&lt;&gt;"",IFERROR(IF(LEFT($B941,3)=$Z$2,VLOOKUP($C941,Outbound!$B:$AAZ,6,FALSE),VLOOKUP($B941,Outbound!$B:$AAZ,6,FALSE)),"NON TROVATO"),"")</f>
        <v/>
      </c>
      <c r="I941" s="394" t="str">
        <f>IF(B941&lt;&gt;"",IFERROR(IF(LEFT($B941,3)=$Z$2,VLOOKUP($C941,Outbound!$B:$AAZ,52,FALSE),VLOOKUP($B941,Outbound!$B:$AAZ,52,FALSE)),"NON TROVATO"),"")</f>
        <v/>
      </c>
      <c r="J941" s="396"/>
      <c r="K941" s="387" t="str">
        <f>IF(B941&lt;&gt;"",IF($D941&lt;&gt;"ON ROCS/NOT ON FILE",IFERROR(_xlfn.XLOOKUP(LEFT($D941,3),'STAT 77 Table'!$B:$B,'STAT 77 Table'!$A:$A),"ZZ"&amp;RIGHT($B941,4)),""),"")</f>
        <v/>
      </c>
      <c r="L941" s="396"/>
      <c r="O941" s="388"/>
      <c r="P941" s="388"/>
      <c r="AA941" s="421">
        <f t="shared" si="14"/>
        <v>0</v>
      </c>
    </row>
    <row r="942" spans="1:27" ht="16.5">
      <c r="A942" s="387">
        <f>'STAT 77 Table'!$I$941</f>
        <v>0</v>
      </c>
      <c r="B942"/>
      <c r="C942"/>
      <c r="D942" s="387" t="str">
        <f>IF($B942&lt;&gt;"",IFERROR(IF(LEFT($B942,3)=$Z$2,VLOOKUP($C942,Outbound!$B:$Z,4,FALSE),VLOOKUP($B942,Outbound!$B:$Z,4,FALSE)),"ON ROCS/NOT ON FILE"),"")</f>
        <v/>
      </c>
      <c r="E942" s="387" t="str">
        <f>IF($B942&lt;&gt;"",IFERROR(IF(LEFT($B942,4)=$Z$2,VLOOKUP($C942,Outbound!$B:$Z,5,FALSE),VLOOKUP($B942,Outbound!$B:$Z,5,FALSE)),"ON ROCS/NOT ON FILE"),"")</f>
        <v/>
      </c>
      <c r="F942" s="387" t="str">
        <f>IF(B942&lt;&gt;"",IFERROR(IF(LEFT($B942,3)=$Z$2,VLOOKUP($C942,Outbound!$B:$Z,11,FALSE),VLOOKUP($B942,Outbound!$B:$Z,11,FALSE)),"NON TROVATO"),"")</f>
        <v/>
      </c>
      <c r="G942" s="394" t="str">
        <f>IF(B942&lt;&gt;"",IFERROR(IF(LEFT($B942,3)=$Z$2,VLOOKUP($C942,Outbound!$B:$AAZ,16,FALSE),VLOOKUP($B942,Outbound!$B:$AAZ,16,FALSE)),"NON TROVATO"),"")</f>
        <v/>
      </c>
      <c r="H942" s="394" t="str">
        <f>IF(B942&lt;&gt;"",IFERROR(IF(LEFT($B942,3)=$Z$2,VLOOKUP($C942,Outbound!$B:$AAZ,6,FALSE),VLOOKUP($B942,Outbound!$B:$AAZ,6,FALSE)),"NON TROVATO"),"")</f>
        <v/>
      </c>
      <c r="I942" s="394" t="str">
        <f>IF(B942&lt;&gt;"",IFERROR(IF(LEFT($B942,3)=$Z$2,VLOOKUP($C942,Outbound!$B:$AAZ,52,FALSE),VLOOKUP($B942,Outbound!$B:$AAZ,52,FALSE)),"NON TROVATO"),"")</f>
        <v/>
      </c>
      <c r="J942" s="396"/>
      <c r="K942" s="387" t="str">
        <f>IF(B942&lt;&gt;"",IF($D942&lt;&gt;"ON ROCS/NOT ON FILE",IFERROR(_xlfn.XLOOKUP(LEFT($D942,3),'STAT 77 Table'!$B:$B,'STAT 77 Table'!$A:$A),"ZZ"&amp;RIGHT($B942,4)),""),"")</f>
        <v/>
      </c>
      <c r="L942" s="396"/>
      <c r="O942" s="388"/>
      <c r="P942" s="388"/>
      <c r="AA942" s="421">
        <f t="shared" si="14"/>
        <v>0</v>
      </c>
    </row>
    <row r="943" spans="1:27" ht="16.5">
      <c r="A943" s="387">
        <f>'STAT 77 Table'!$I$942</f>
        <v>0</v>
      </c>
      <c r="B943"/>
      <c r="C943"/>
      <c r="D943" s="387" t="str">
        <f>IF($B943&lt;&gt;"",IFERROR(IF(LEFT($B943,3)=$Z$2,VLOOKUP($C943,Outbound!$B:$Z,4,FALSE),VLOOKUP($B943,Outbound!$B:$Z,4,FALSE)),"ON ROCS/NOT ON FILE"),"")</f>
        <v/>
      </c>
      <c r="E943" s="387" t="str">
        <f>IF($B943&lt;&gt;"",IFERROR(IF(LEFT($B943,4)=$Z$2,VLOOKUP($C943,Outbound!$B:$Z,5,FALSE),VLOOKUP($B943,Outbound!$B:$Z,5,FALSE)),"ON ROCS/NOT ON FILE"),"")</f>
        <v/>
      </c>
      <c r="F943" s="387" t="str">
        <f>IF(B943&lt;&gt;"",IFERROR(IF(LEFT($B943,3)=$Z$2,VLOOKUP($C943,Outbound!$B:$Z,11,FALSE),VLOOKUP($B943,Outbound!$B:$Z,11,FALSE)),"NON TROVATO"),"")</f>
        <v/>
      </c>
      <c r="G943" s="394" t="str">
        <f>IF(B943&lt;&gt;"",IFERROR(IF(LEFT($B943,3)=$Z$2,VLOOKUP($C943,Outbound!$B:$AAZ,16,FALSE),VLOOKUP($B943,Outbound!$B:$AAZ,16,FALSE)),"NON TROVATO"),"")</f>
        <v/>
      </c>
      <c r="H943" s="394" t="str">
        <f>IF(B943&lt;&gt;"",IFERROR(IF(LEFT($B943,3)=$Z$2,VLOOKUP($C943,Outbound!$B:$AAZ,6,FALSE),VLOOKUP($B943,Outbound!$B:$AAZ,6,FALSE)),"NON TROVATO"),"")</f>
        <v/>
      </c>
      <c r="I943" s="394" t="str">
        <f>IF(B943&lt;&gt;"",IFERROR(IF(LEFT($B943,3)=$Z$2,VLOOKUP($C943,Outbound!$B:$AAZ,52,FALSE),VLOOKUP($B943,Outbound!$B:$AAZ,52,FALSE)),"NON TROVATO"),"")</f>
        <v/>
      </c>
      <c r="J943" s="396"/>
      <c r="K943" s="387" t="str">
        <f>IF(B943&lt;&gt;"",IF($D943&lt;&gt;"ON ROCS/NOT ON FILE",IFERROR(_xlfn.XLOOKUP(LEFT($D943,3),'STAT 77 Table'!$B:$B,'STAT 77 Table'!$A:$A),"ZZ"&amp;RIGHT($B943,4)),""),"")</f>
        <v/>
      </c>
      <c r="L943" s="396"/>
      <c r="O943" s="388"/>
      <c r="P943" s="388"/>
      <c r="AA943" s="421">
        <f t="shared" si="14"/>
        <v>0</v>
      </c>
    </row>
    <row r="944" spans="1:27" ht="16.5">
      <c r="A944" s="387">
        <f>'STAT 77 Table'!$I$943</f>
        <v>0</v>
      </c>
      <c r="B944"/>
      <c r="C944"/>
      <c r="D944" s="387" t="str">
        <f>IF($B944&lt;&gt;"",IFERROR(IF(LEFT($B944,3)=$Z$2,VLOOKUP($C944,Outbound!$B:$Z,4,FALSE),VLOOKUP($B944,Outbound!$B:$Z,4,FALSE)),"ON ROCS/NOT ON FILE"),"")</f>
        <v/>
      </c>
      <c r="E944" s="387" t="str">
        <f>IF($B944&lt;&gt;"",IFERROR(IF(LEFT($B944,4)=$Z$2,VLOOKUP($C944,Outbound!$B:$Z,5,FALSE),VLOOKUP($B944,Outbound!$B:$Z,5,FALSE)),"ON ROCS/NOT ON FILE"),"")</f>
        <v/>
      </c>
      <c r="F944" s="387" t="str">
        <f>IF(B944&lt;&gt;"",IFERROR(IF(LEFT($B944,3)=$Z$2,VLOOKUP($C944,Outbound!$B:$Z,11,FALSE),VLOOKUP($B944,Outbound!$B:$Z,11,FALSE)),"NON TROVATO"),"")</f>
        <v/>
      </c>
      <c r="G944" s="394" t="str">
        <f>IF(B944&lt;&gt;"",IFERROR(IF(LEFT($B944,3)=$Z$2,VLOOKUP($C944,Outbound!$B:$AAZ,16,FALSE),VLOOKUP($B944,Outbound!$B:$AAZ,16,FALSE)),"NON TROVATO"),"")</f>
        <v/>
      </c>
      <c r="H944" s="394" t="str">
        <f>IF(B944&lt;&gt;"",IFERROR(IF(LEFT($B944,3)=$Z$2,VLOOKUP($C944,Outbound!$B:$AAZ,6,FALSE),VLOOKUP($B944,Outbound!$B:$AAZ,6,FALSE)),"NON TROVATO"),"")</f>
        <v/>
      </c>
      <c r="I944" s="394" t="str">
        <f>IF(B944&lt;&gt;"",IFERROR(IF(LEFT($B944,3)=$Z$2,VLOOKUP($C944,Outbound!$B:$AAZ,52,FALSE),VLOOKUP($B944,Outbound!$B:$AAZ,52,FALSE)),"NON TROVATO"),"")</f>
        <v/>
      </c>
      <c r="J944" s="396"/>
      <c r="K944" s="387" t="str">
        <f>IF(B944&lt;&gt;"",IF($D944&lt;&gt;"ON ROCS/NOT ON FILE",IFERROR(_xlfn.XLOOKUP(LEFT($D944,3),'STAT 77 Table'!$B:$B,'STAT 77 Table'!$A:$A),"ZZ"&amp;RIGHT($B944,4)),""),"")</f>
        <v/>
      </c>
      <c r="L944" s="396"/>
      <c r="O944" s="388"/>
      <c r="P944" s="388"/>
      <c r="AA944" s="421">
        <f t="shared" si="14"/>
        <v>0</v>
      </c>
    </row>
    <row r="945" spans="1:27" ht="16.5">
      <c r="A945" s="387">
        <f>'STAT 77 Table'!$I$944</f>
        <v>0</v>
      </c>
      <c r="B945"/>
      <c r="C945"/>
      <c r="D945" s="387" t="str">
        <f>IF($B945&lt;&gt;"",IFERROR(IF(LEFT($B945,3)=$Z$2,VLOOKUP($C945,Outbound!$B:$Z,4,FALSE),VLOOKUP($B945,Outbound!$B:$Z,4,FALSE)),"ON ROCS/NOT ON FILE"),"")</f>
        <v/>
      </c>
      <c r="E945" s="387" t="str">
        <f>IF($B945&lt;&gt;"",IFERROR(IF(LEFT($B945,4)=$Z$2,VLOOKUP($C945,Outbound!$B:$Z,5,FALSE),VLOOKUP($B945,Outbound!$B:$Z,5,FALSE)),"ON ROCS/NOT ON FILE"),"")</f>
        <v/>
      </c>
      <c r="F945" s="387" t="str">
        <f>IF(B945&lt;&gt;"",IFERROR(IF(LEFT($B945,3)=$Z$2,VLOOKUP($C945,Outbound!$B:$Z,11,FALSE),VLOOKUP($B945,Outbound!$B:$Z,11,FALSE)),"NON TROVATO"),"")</f>
        <v/>
      </c>
      <c r="G945" s="394" t="str">
        <f>IF(B945&lt;&gt;"",IFERROR(IF(LEFT($B945,3)=$Z$2,VLOOKUP($C945,Outbound!$B:$AAZ,16,FALSE),VLOOKUP($B945,Outbound!$B:$AAZ,16,FALSE)),"NON TROVATO"),"")</f>
        <v/>
      </c>
      <c r="H945" s="394" t="str">
        <f>IF(B945&lt;&gt;"",IFERROR(IF(LEFT($B945,3)=$Z$2,VLOOKUP($C945,Outbound!$B:$AAZ,6,FALSE),VLOOKUP($B945,Outbound!$B:$AAZ,6,FALSE)),"NON TROVATO"),"")</f>
        <v/>
      </c>
      <c r="I945" s="394" t="str">
        <f>IF(B945&lt;&gt;"",IFERROR(IF(LEFT($B945,3)=$Z$2,VLOOKUP($C945,Outbound!$B:$AAZ,52,FALSE),VLOOKUP($B945,Outbound!$B:$AAZ,52,FALSE)),"NON TROVATO"),"")</f>
        <v/>
      </c>
      <c r="J945" s="396"/>
      <c r="K945" s="387" t="str">
        <f>IF(B945&lt;&gt;"",IF($D945&lt;&gt;"ON ROCS/NOT ON FILE",IFERROR(_xlfn.XLOOKUP(LEFT($D945,3),'STAT 77 Table'!$B:$B,'STAT 77 Table'!$A:$A),"ZZ"&amp;RIGHT($B945,4)),""),"")</f>
        <v/>
      </c>
      <c r="L945" s="396"/>
      <c r="O945" s="388"/>
      <c r="P945" s="388"/>
      <c r="AA945" s="421">
        <f t="shared" si="14"/>
        <v>0</v>
      </c>
    </row>
    <row r="946" spans="1:27" ht="16.5">
      <c r="A946" s="387">
        <f>'STAT 77 Table'!$I$945</f>
        <v>0</v>
      </c>
      <c r="B946"/>
      <c r="C946"/>
      <c r="D946" s="387" t="str">
        <f>IF($B946&lt;&gt;"",IFERROR(IF(LEFT($B946,3)=$Z$2,VLOOKUP($C946,Outbound!$B:$Z,4,FALSE),VLOOKUP($B946,Outbound!$B:$Z,4,FALSE)),"ON ROCS/NOT ON FILE"),"")</f>
        <v/>
      </c>
      <c r="E946" s="387" t="str">
        <f>IF($B946&lt;&gt;"",IFERROR(IF(LEFT($B946,4)=$Z$2,VLOOKUP($C946,Outbound!$B:$Z,5,FALSE),VLOOKUP($B946,Outbound!$B:$Z,5,FALSE)),"ON ROCS/NOT ON FILE"),"")</f>
        <v/>
      </c>
      <c r="F946" s="387" t="str">
        <f>IF(B946&lt;&gt;"",IFERROR(IF(LEFT($B946,3)=$Z$2,VLOOKUP($C946,Outbound!$B:$Z,11,FALSE),VLOOKUP($B946,Outbound!$B:$Z,11,FALSE)),"NON TROVATO"),"")</f>
        <v/>
      </c>
      <c r="G946" s="394" t="str">
        <f>IF(B946&lt;&gt;"",IFERROR(IF(LEFT($B946,3)=$Z$2,VLOOKUP($C946,Outbound!$B:$AAZ,16,FALSE),VLOOKUP($B946,Outbound!$B:$AAZ,16,FALSE)),"NON TROVATO"),"")</f>
        <v/>
      </c>
      <c r="H946" s="394" t="str">
        <f>IF(B946&lt;&gt;"",IFERROR(IF(LEFT($B946,3)=$Z$2,VLOOKUP($C946,Outbound!$B:$AAZ,6,FALSE),VLOOKUP($B946,Outbound!$B:$AAZ,6,FALSE)),"NON TROVATO"),"")</f>
        <v/>
      </c>
      <c r="I946" s="394" t="str">
        <f>IF(B946&lt;&gt;"",IFERROR(IF(LEFT($B946,3)=$Z$2,VLOOKUP($C946,Outbound!$B:$AAZ,52,FALSE),VLOOKUP($B946,Outbound!$B:$AAZ,52,FALSE)),"NON TROVATO"),"")</f>
        <v/>
      </c>
      <c r="J946" s="396"/>
      <c r="K946" s="387" t="str">
        <f>IF(B946&lt;&gt;"",IF($D946&lt;&gt;"ON ROCS/NOT ON FILE",IFERROR(_xlfn.XLOOKUP(LEFT($D946,3),'STAT 77 Table'!$B:$B,'STAT 77 Table'!$A:$A),"ZZ"&amp;RIGHT($B946,4)),""),"")</f>
        <v/>
      </c>
      <c r="L946" s="396"/>
      <c r="O946" s="388"/>
      <c r="P946" s="388"/>
      <c r="AA946" s="421">
        <f t="shared" si="14"/>
        <v>0</v>
      </c>
    </row>
    <row r="947" spans="1:27" ht="16.5">
      <c r="A947" s="387">
        <f>'STAT 77 Table'!$I$946</f>
        <v>0</v>
      </c>
      <c r="B947"/>
      <c r="C947"/>
      <c r="D947" s="387" t="str">
        <f>IF($B947&lt;&gt;"",IFERROR(IF(LEFT($B947,3)=$Z$2,VLOOKUP($C947,Outbound!$B:$Z,4,FALSE),VLOOKUP($B947,Outbound!$B:$Z,4,FALSE)),"ON ROCS/NOT ON FILE"),"")</f>
        <v/>
      </c>
      <c r="E947" s="387" t="str">
        <f>IF($B947&lt;&gt;"",IFERROR(IF(LEFT($B947,4)=$Z$2,VLOOKUP($C947,Outbound!$B:$Z,5,FALSE),VLOOKUP($B947,Outbound!$B:$Z,5,FALSE)),"ON ROCS/NOT ON FILE"),"")</f>
        <v/>
      </c>
      <c r="F947" s="387" t="str">
        <f>IF(B947&lt;&gt;"",IFERROR(IF(LEFT($B947,3)=$Z$2,VLOOKUP($C947,Outbound!$B:$Z,11,FALSE),VLOOKUP($B947,Outbound!$B:$Z,11,FALSE)),"NON TROVATO"),"")</f>
        <v/>
      </c>
      <c r="G947" s="394" t="str">
        <f>IF(B947&lt;&gt;"",IFERROR(IF(LEFT($B947,3)=$Z$2,VLOOKUP($C947,Outbound!$B:$AAZ,16,FALSE),VLOOKUP($B947,Outbound!$B:$AAZ,16,FALSE)),"NON TROVATO"),"")</f>
        <v/>
      </c>
      <c r="H947" s="394" t="str">
        <f>IF(B947&lt;&gt;"",IFERROR(IF(LEFT($B947,3)=$Z$2,VLOOKUP($C947,Outbound!$B:$AAZ,6,FALSE),VLOOKUP($B947,Outbound!$B:$AAZ,6,FALSE)),"NON TROVATO"),"")</f>
        <v/>
      </c>
      <c r="I947" s="394" t="str">
        <f>IF(B947&lt;&gt;"",IFERROR(IF(LEFT($B947,3)=$Z$2,VLOOKUP($C947,Outbound!$B:$AAZ,52,FALSE),VLOOKUP($B947,Outbound!$B:$AAZ,52,FALSE)),"NON TROVATO"),"")</f>
        <v/>
      </c>
      <c r="J947" s="396"/>
      <c r="K947" s="387" t="str">
        <f>IF(B947&lt;&gt;"",IF($D947&lt;&gt;"ON ROCS/NOT ON FILE",IFERROR(_xlfn.XLOOKUP(LEFT($D947,3),'STAT 77 Table'!$B:$B,'STAT 77 Table'!$A:$A),"ZZ"&amp;RIGHT($B947,4)),""),"")</f>
        <v/>
      </c>
      <c r="L947" s="396"/>
      <c r="O947" s="388"/>
      <c r="P947" s="388"/>
      <c r="AA947" s="421">
        <f t="shared" si="14"/>
        <v>0</v>
      </c>
    </row>
    <row r="948" spans="1:27" ht="16.5">
      <c r="A948" s="387">
        <f>'STAT 77 Table'!$I$947</f>
        <v>0</v>
      </c>
      <c r="B948"/>
      <c r="C948"/>
      <c r="D948" s="387" t="str">
        <f>IF($B948&lt;&gt;"",IFERROR(IF(LEFT($B948,3)=$Z$2,VLOOKUP($C948,Outbound!$B:$Z,4,FALSE),VLOOKUP($B948,Outbound!$B:$Z,4,FALSE)),"ON ROCS/NOT ON FILE"),"")</f>
        <v/>
      </c>
      <c r="E948" s="387" t="str">
        <f>IF($B948&lt;&gt;"",IFERROR(IF(LEFT($B948,4)=$Z$2,VLOOKUP($C948,Outbound!$B:$Z,5,FALSE),VLOOKUP($B948,Outbound!$B:$Z,5,FALSE)),"ON ROCS/NOT ON FILE"),"")</f>
        <v/>
      </c>
      <c r="F948" s="387" t="str">
        <f>IF(B948&lt;&gt;"",IFERROR(IF(LEFT($B948,3)=$Z$2,VLOOKUP($C948,Outbound!$B:$Z,11,FALSE),VLOOKUP($B948,Outbound!$B:$Z,11,FALSE)),"NON TROVATO"),"")</f>
        <v/>
      </c>
      <c r="G948" s="394" t="str">
        <f>IF(B948&lt;&gt;"",IFERROR(IF(LEFT($B948,3)=$Z$2,VLOOKUP($C948,Outbound!$B:$AAZ,16,FALSE),VLOOKUP($B948,Outbound!$B:$AAZ,16,FALSE)),"NON TROVATO"),"")</f>
        <v/>
      </c>
      <c r="H948" s="394" t="str">
        <f>IF(B948&lt;&gt;"",IFERROR(IF(LEFT($B948,3)=$Z$2,VLOOKUP($C948,Outbound!$B:$AAZ,6,FALSE),VLOOKUP($B948,Outbound!$B:$AAZ,6,FALSE)),"NON TROVATO"),"")</f>
        <v/>
      </c>
      <c r="I948" s="394" t="str">
        <f>IF(B948&lt;&gt;"",IFERROR(IF(LEFT($B948,3)=$Z$2,VLOOKUP($C948,Outbound!$B:$AAZ,52,FALSE),VLOOKUP($B948,Outbound!$B:$AAZ,52,FALSE)),"NON TROVATO"),"")</f>
        <v/>
      </c>
      <c r="J948" s="396"/>
      <c r="K948" s="387" t="str">
        <f>IF(B948&lt;&gt;"",IF($D948&lt;&gt;"ON ROCS/NOT ON FILE",IFERROR(_xlfn.XLOOKUP(LEFT($D948,3),'STAT 77 Table'!$B:$B,'STAT 77 Table'!$A:$A),"ZZ"&amp;RIGHT($B948,4)),""),"")</f>
        <v/>
      </c>
      <c r="L948" s="396"/>
      <c r="O948" s="388"/>
      <c r="P948" s="388"/>
      <c r="AA948" s="421">
        <f t="shared" si="14"/>
        <v>0</v>
      </c>
    </row>
    <row r="949" spans="1:27" ht="16.5">
      <c r="A949" s="387">
        <f>'STAT 77 Table'!$I$948</f>
        <v>0</v>
      </c>
      <c r="B949"/>
      <c r="C949"/>
      <c r="D949" s="387" t="str">
        <f>IF($B949&lt;&gt;"",IFERROR(IF(LEFT($B949,3)=$Z$2,VLOOKUP($C949,Outbound!$B:$Z,4,FALSE),VLOOKUP($B949,Outbound!$B:$Z,4,FALSE)),"ON ROCS/NOT ON FILE"),"")</f>
        <v/>
      </c>
      <c r="E949" s="387" t="str">
        <f>IF($B949&lt;&gt;"",IFERROR(IF(LEFT($B949,4)=$Z$2,VLOOKUP($C949,Outbound!$B:$Z,5,FALSE),VLOOKUP($B949,Outbound!$B:$Z,5,FALSE)),"ON ROCS/NOT ON FILE"),"")</f>
        <v/>
      </c>
      <c r="F949" s="387" t="str">
        <f>IF(B949&lt;&gt;"",IFERROR(IF(LEFT($B949,3)=$Z$2,VLOOKUP($C949,Outbound!$B:$Z,11,FALSE),VLOOKUP($B949,Outbound!$B:$Z,11,FALSE)),"NON TROVATO"),"")</f>
        <v/>
      </c>
      <c r="G949" s="394" t="str">
        <f>IF(B949&lt;&gt;"",IFERROR(IF(LEFT($B949,3)=$Z$2,VLOOKUP($C949,Outbound!$B:$AAZ,16,FALSE),VLOOKUP($B949,Outbound!$B:$AAZ,16,FALSE)),"NON TROVATO"),"")</f>
        <v/>
      </c>
      <c r="H949" s="394" t="str">
        <f>IF(B949&lt;&gt;"",IFERROR(IF(LEFT($B949,3)=$Z$2,VLOOKUP($C949,Outbound!$B:$AAZ,6,FALSE),VLOOKUP($B949,Outbound!$B:$AAZ,6,FALSE)),"NON TROVATO"),"")</f>
        <v/>
      </c>
      <c r="I949" s="394" t="str">
        <f>IF(B949&lt;&gt;"",IFERROR(IF(LEFT($B949,3)=$Z$2,VLOOKUP($C949,Outbound!$B:$AAZ,52,FALSE),VLOOKUP($B949,Outbound!$B:$AAZ,52,FALSE)),"NON TROVATO"),"")</f>
        <v/>
      </c>
      <c r="J949" s="396"/>
      <c r="K949" s="387" t="str">
        <f>IF(B949&lt;&gt;"",IF($D949&lt;&gt;"ON ROCS/NOT ON FILE",IFERROR(_xlfn.XLOOKUP(LEFT($D949,3),'STAT 77 Table'!$B:$B,'STAT 77 Table'!$A:$A),"ZZ"&amp;RIGHT($B949,4)),""),"")</f>
        <v/>
      </c>
      <c r="L949" s="396"/>
      <c r="O949" s="388"/>
      <c r="P949" s="388"/>
      <c r="AA949" s="421">
        <f t="shared" si="14"/>
        <v>0</v>
      </c>
    </row>
    <row r="950" spans="1:27" ht="16.5">
      <c r="A950" s="387">
        <f>'STAT 77 Table'!$I$949</f>
        <v>0</v>
      </c>
      <c r="B950"/>
      <c r="C950"/>
      <c r="D950" s="387" t="str">
        <f>IF($B950&lt;&gt;"",IFERROR(IF(LEFT($B950,3)=$Z$2,VLOOKUP($C950,Outbound!$B:$Z,4,FALSE),VLOOKUP($B950,Outbound!$B:$Z,4,FALSE)),"ON ROCS/NOT ON FILE"),"")</f>
        <v/>
      </c>
      <c r="E950" s="387" t="str">
        <f>IF($B950&lt;&gt;"",IFERROR(IF(LEFT($B950,4)=$Z$2,VLOOKUP($C950,Outbound!$B:$Z,5,FALSE),VLOOKUP($B950,Outbound!$B:$Z,5,FALSE)),"ON ROCS/NOT ON FILE"),"")</f>
        <v/>
      </c>
      <c r="F950" s="387" t="str">
        <f>IF(B950&lt;&gt;"",IFERROR(IF(LEFT($B950,3)=$Z$2,VLOOKUP($C950,Outbound!$B:$Z,11,FALSE),VLOOKUP($B950,Outbound!$B:$Z,11,FALSE)),"NON TROVATO"),"")</f>
        <v/>
      </c>
      <c r="G950" s="394" t="str">
        <f>IF(B950&lt;&gt;"",IFERROR(IF(LEFT($B950,3)=$Z$2,VLOOKUP($C950,Outbound!$B:$AAZ,16,FALSE),VLOOKUP($B950,Outbound!$B:$AAZ,16,FALSE)),"NON TROVATO"),"")</f>
        <v/>
      </c>
      <c r="H950" s="394" t="str">
        <f>IF(B950&lt;&gt;"",IFERROR(IF(LEFT($B950,3)=$Z$2,VLOOKUP($C950,Outbound!$B:$AAZ,6,FALSE),VLOOKUP($B950,Outbound!$B:$AAZ,6,FALSE)),"NON TROVATO"),"")</f>
        <v/>
      </c>
      <c r="I950" s="394" t="str">
        <f>IF(B950&lt;&gt;"",IFERROR(IF(LEFT($B950,3)=$Z$2,VLOOKUP($C950,Outbound!$B:$AAZ,52,FALSE),VLOOKUP($B950,Outbound!$B:$AAZ,52,FALSE)),"NON TROVATO"),"")</f>
        <v/>
      </c>
      <c r="J950" s="396"/>
      <c r="K950" s="387" t="str">
        <f>IF(B950&lt;&gt;"",IF($D950&lt;&gt;"ON ROCS/NOT ON FILE",IFERROR(_xlfn.XLOOKUP(LEFT($D950,3),'STAT 77 Table'!$B:$B,'STAT 77 Table'!$A:$A),"ZZ"&amp;RIGHT($B950,4)),""),"")</f>
        <v/>
      </c>
      <c r="L950" s="396"/>
      <c r="O950" s="388"/>
      <c r="P950" s="388"/>
      <c r="AA950" s="421">
        <f t="shared" si="14"/>
        <v>0</v>
      </c>
    </row>
    <row r="951" spans="1:27" ht="16.5">
      <c r="A951" s="387">
        <f>'STAT 77 Table'!$I$950</f>
        <v>0</v>
      </c>
      <c r="B951"/>
      <c r="C951"/>
      <c r="D951" s="387" t="str">
        <f>IF($B951&lt;&gt;"",IFERROR(IF(LEFT($B951,3)=$Z$2,VLOOKUP($C951,Outbound!$B:$Z,4,FALSE),VLOOKUP($B951,Outbound!$B:$Z,4,FALSE)),"ON ROCS/NOT ON FILE"),"")</f>
        <v/>
      </c>
      <c r="E951" s="387" t="str">
        <f>IF($B951&lt;&gt;"",IFERROR(IF(LEFT($B951,4)=$Z$2,VLOOKUP($C951,Outbound!$B:$Z,5,FALSE),VLOOKUP($B951,Outbound!$B:$Z,5,FALSE)),"ON ROCS/NOT ON FILE"),"")</f>
        <v/>
      </c>
      <c r="F951" s="387" t="str">
        <f>IF(B951&lt;&gt;"",IFERROR(IF(LEFT($B951,3)=$Z$2,VLOOKUP($C951,Outbound!$B:$Z,11,FALSE),VLOOKUP($B951,Outbound!$B:$Z,11,FALSE)),"NON TROVATO"),"")</f>
        <v/>
      </c>
      <c r="G951" s="394" t="str">
        <f>IF(B951&lt;&gt;"",IFERROR(IF(LEFT($B951,3)=$Z$2,VLOOKUP($C951,Outbound!$B:$AAZ,16,FALSE),VLOOKUP($B951,Outbound!$B:$AAZ,16,FALSE)),"NON TROVATO"),"")</f>
        <v/>
      </c>
      <c r="H951" s="394" t="str">
        <f>IF(B951&lt;&gt;"",IFERROR(IF(LEFT($B951,3)=$Z$2,VLOOKUP($C951,Outbound!$B:$AAZ,6,FALSE),VLOOKUP($B951,Outbound!$B:$AAZ,6,FALSE)),"NON TROVATO"),"")</f>
        <v/>
      </c>
      <c r="I951" s="394" t="str">
        <f>IF(B951&lt;&gt;"",IFERROR(IF(LEFT($B951,3)=$Z$2,VLOOKUP($C951,Outbound!$B:$AAZ,52,FALSE),VLOOKUP($B951,Outbound!$B:$AAZ,52,FALSE)),"NON TROVATO"),"")</f>
        <v/>
      </c>
      <c r="J951" s="396"/>
      <c r="K951" s="387" t="str">
        <f>IF(B951&lt;&gt;"",IF($D951&lt;&gt;"ON ROCS/NOT ON FILE",IFERROR(_xlfn.XLOOKUP(LEFT($D951,3),'STAT 77 Table'!$B:$B,'STAT 77 Table'!$A:$A),"ZZ"&amp;RIGHT($B951,4)),""),"")</f>
        <v/>
      </c>
      <c r="L951" s="396"/>
      <c r="O951" s="388"/>
      <c r="P951" s="388"/>
      <c r="AA951" s="421">
        <f t="shared" si="14"/>
        <v>0</v>
      </c>
    </row>
    <row r="952" spans="1:27" ht="16.5">
      <c r="A952" s="387">
        <f>'STAT 77 Table'!$I$951</f>
        <v>0</v>
      </c>
      <c r="B952"/>
      <c r="C952"/>
      <c r="D952" s="387" t="str">
        <f>IF($B952&lt;&gt;"",IFERROR(IF(LEFT($B952,3)=$Z$2,VLOOKUP($C952,Outbound!$B:$Z,4,FALSE),VLOOKUP($B952,Outbound!$B:$Z,4,FALSE)),"ON ROCS/NOT ON FILE"),"")</f>
        <v/>
      </c>
      <c r="E952" s="387" t="str">
        <f>IF($B952&lt;&gt;"",IFERROR(IF(LEFT($B952,4)=$Z$2,VLOOKUP($C952,Outbound!$B:$Z,5,FALSE),VLOOKUP($B952,Outbound!$B:$Z,5,FALSE)),"ON ROCS/NOT ON FILE"),"")</f>
        <v/>
      </c>
      <c r="F952" s="387" t="str">
        <f>IF(B952&lt;&gt;"",IFERROR(IF(LEFT($B952,3)=$Z$2,VLOOKUP($C952,Outbound!$B:$Z,11,FALSE),VLOOKUP($B952,Outbound!$B:$Z,11,FALSE)),"NON TROVATO"),"")</f>
        <v/>
      </c>
      <c r="G952" s="394" t="str">
        <f>IF(B952&lt;&gt;"",IFERROR(IF(LEFT($B952,3)=$Z$2,VLOOKUP($C952,Outbound!$B:$AAZ,16,FALSE),VLOOKUP($B952,Outbound!$B:$AAZ,16,FALSE)),"NON TROVATO"),"")</f>
        <v/>
      </c>
      <c r="H952" s="394" t="str">
        <f>IF(B952&lt;&gt;"",IFERROR(IF(LEFT($B952,3)=$Z$2,VLOOKUP($C952,Outbound!$B:$AAZ,6,FALSE),VLOOKUP($B952,Outbound!$B:$AAZ,6,FALSE)),"NON TROVATO"),"")</f>
        <v/>
      </c>
      <c r="I952" s="394" t="str">
        <f>IF(B952&lt;&gt;"",IFERROR(IF(LEFT($B952,3)=$Z$2,VLOOKUP($C952,Outbound!$B:$AAZ,52,FALSE),VLOOKUP($B952,Outbound!$B:$AAZ,52,FALSE)),"NON TROVATO"),"")</f>
        <v/>
      </c>
      <c r="J952" s="396"/>
      <c r="K952" s="387" t="str">
        <f>IF(B952&lt;&gt;"",IF($D952&lt;&gt;"ON ROCS/NOT ON FILE",IFERROR(_xlfn.XLOOKUP(LEFT($D952,3),'STAT 77 Table'!$B:$B,'STAT 77 Table'!$A:$A),"ZZ"&amp;RIGHT($B952,4)),""),"")</f>
        <v/>
      </c>
      <c r="L952" s="396"/>
      <c r="O952" s="388"/>
      <c r="P952" s="388"/>
      <c r="AA952" s="421">
        <f t="shared" si="14"/>
        <v>0</v>
      </c>
    </row>
    <row r="953" spans="1:27" ht="16.5">
      <c r="A953" s="387">
        <f>'STAT 77 Table'!$I$952</f>
        <v>0</v>
      </c>
      <c r="B953"/>
      <c r="C953"/>
      <c r="D953" s="387" t="str">
        <f>IF($B953&lt;&gt;"",IFERROR(IF(LEFT($B953,3)=$Z$2,VLOOKUP($C953,Outbound!$B:$Z,4,FALSE),VLOOKUP($B953,Outbound!$B:$Z,4,FALSE)),"ON ROCS/NOT ON FILE"),"")</f>
        <v/>
      </c>
      <c r="E953" s="387" t="str">
        <f>IF($B953&lt;&gt;"",IFERROR(IF(LEFT($B953,4)=$Z$2,VLOOKUP($C953,Outbound!$B:$Z,5,FALSE),VLOOKUP($B953,Outbound!$B:$Z,5,FALSE)),"ON ROCS/NOT ON FILE"),"")</f>
        <v/>
      </c>
      <c r="F953" s="387" t="str">
        <f>IF(B953&lt;&gt;"",IFERROR(IF(LEFT($B953,3)=$Z$2,VLOOKUP($C953,Outbound!$B:$Z,11,FALSE),VLOOKUP($B953,Outbound!$B:$Z,11,FALSE)),"NON TROVATO"),"")</f>
        <v/>
      </c>
      <c r="G953" s="394" t="str">
        <f>IF(B953&lt;&gt;"",IFERROR(IF(LEFT($B953,3)=$Z$2,VLOOKUP($C953,Outbound!$B:$AAZ,16,FALSE),VLOOKUP($B953,Outbound!$B:$AAZ,16,FALSE)),"NON TROVATO"),"")</f>
        <v/>
      </c>
      <c r="H953" s="394" t="str">
        <f>IF(B953&lt;&gt;"",IFERROR(IF(LEFT($B953,3)=$Z$2,VLOOKUP($C953,Outbound!$B:$AAZ,6,FALSE),VLOOKUP($B953,Outbound!$B:$AAZ,6,FALSE)),"NON TROVATO"),"")</f>
        <v/>
      </c>
      <c r="I953" s="394" t="str">
        <f>IF(B953&lt;&gt;"",IFERROR(IF(LEFT($B953,3)=$Z$2,VLOOKUP($C953,Outbound!$B:$AAZ,52,FALSE),VLOOKUP($B953,Outbound!$B:$AAZ,52,FALSE)),"NON TROVATO"),"")</f>
        <v/>
      </c>
      <c r="J953" s="396"/>
      <c r="K953" s="387" t="str">
        <f>IF(B953&lt;&gt;"",IF($D953&lt;&gt;"ON ROCS/NOT ON FILE",IFERROR(_xlfn.XLOOKUP(LEFT($D953,3),'STAT 77 Table'!$B:$B,'STAT 77 Table'!$A:$A),"ZZ"&amp;RIGHT($B953,4)),""),"")</f>
        <v/>
      </c>
      <c r="L953" s="396"/>
      <c r="O953" s="388"/>
      <c r="P953" s="388"/>
      <c r="AA953" s="421">
        <f t="shared" si="14"/>
        <v>0</v>
      </c>
    </row>
    <row r="954" spans="1:27" ht="16.5">
      <c r="A954" s="387">
        <f>'STAT 77 Table'!$I$953</f>
        <v>0</v>
      </c>
      <c r="B954"/>
      <c r="C954"/>
      <c r="D954" s="387" t="str">
        <f>IF($B954&lt;&gt;"",IFERROR(IF(LEFT($B954,3)=$Z$2,VLOOKUP($C954,Outbound!$B:$Z,4,FALSE),VLOOKUP($B954,Outbound!$B:$Z,4,FALSE)),"ON ROCS/NOT ON FILE"),"")</f>
        <v/>
      </c>
      <c r="E954" s="387" t="str">
        <f>IF($B954&lt;&gt;"",IFERROR(IF(LEFT($B954,4)=$Z$2,VLOOKUP($C954,Outbound!$B:$Z,5,FALSE),VLOOKUP($B954,Outbound!$B:$Z,5,FALSE)),"ON ROCS/NOT ON FILE"),"")</f>
        <v/>
      </c>
      <c r="F954" s="387" t="str">
        <f>IF(B954&lt;&gt;"",IFERROR(IF(LEFT($B954,3)=$Z$2,VLOOKUP($C954,Outbound!$B:$Z,11,FALSE),VLOOKUP($B954,Outbound!$B:$Z,11,FALSE)),"NON TROVATO"),"")</f>
        <v/>
      </c>
      <c r="G954" s="394" t="str">
        <f>IF(B954&lt;&gt;"",IFERROR(IF(LEFT($B954,3)=$Z$2,VLOOKUP($C954,Outbound!$B:$AAZ,16,FALSE),VLOOKUP($B954,Outbound!$B:$AAZ,16,FALSE)),"NON TROVATO"),"")</f>
        <v/>
      </c>
      <c r="H954" s="394" t="str">
        <f>IF(B954&lt;&gt;"",IFERROR(IF(LEFT($B954,3)=$Z$2,VLOOKUP($C954,Outbound!$B:$AAZ,6,FALSE),VLOOKUP($B954,Outbound!$B:$AAZ,6,FALSE)),"NON TROVATO"),"")</f>
        <v/>
      </c>
      <c r="I954" s="394" t="str">
        <f>IF(B954&lt;&gt;"",IFERROR(IF(LEFT($B954,3)=$Z$2,VLOOKUP($C954,Outbound!$B:$AAZ,52,FALSE),VLOOKUP($B954,Outbound!$B:$AAZ,52,FALSE)),"NON TROVATO"),"")</f>
        <v/>
      </c>
      <c r="J954" s="396"/>
      <c r="K954" s="387" t="str">
        <f>IF(B954&lt;&gt;"",IF($D954&lt;&gt;"ON ROCS/NOT ON FILE",IFERROR(_xlfn.XLOOKUP(LEFT($D954,3),'STAT 77 Table'!$B:$B,'STAT 77 Table'!$A:$A),"ZZ"&amp;RIGHT($B954,4)),""),"")</f>
        <v/>
      </c>
      <c r="L954" s="396"/>
      <c r="O954" s="388"/>
      <c r="P954" s="388"/>
      <c r="AA954" s="421">
        <f t="shared" si="14"/>
        <v>0</v>
      </c>
    </row>
    <row r="955" spans="1:27" ht="16.5">
      <c r="A955" s="387">
        <f>'STAT 77 Table'!$I$954</f>
        <v>0</v>
      </c>
      <c r="B955"/>
      <c r="C955"/>
      <c r="D955" s="387" t="str">
        <f>IF($B955&lt;&gt;"",IFERROR(IF(LEFT($B955,3)=$Z$2,VLOOKUP($C955,Outbound!$B:$Z,4,FALSE),VLOOKUP($B955,Outbound!$B:$Z,4,FALSE)),"ON ROCS/NOT ON FILE"),"")</f>
        <v/>
      </c>
      <c r="E955" s="387" t="str">
        <f>IF($B955&lt;&gt;"",IFERROR(IF(LEFT($B955,4)=$Z$2,VLOOKUP($C955,Outbound!$B:$Z,5,FALSE),VLOOKUP($B955,Outbound!$B:$Z,5,FALSE)),"ON ROCS/NOT ON FILE"),"")</f>
        <v/>
      </c>
      <c r="F955" s="387" t="str">
        <f>IF(B955&lt;&gt;"",IFERROR(IF(LEFT($B955,3)=$Z$2,VLOOKUP($C955,Outbound!$B:$Z,11,FALSE),VLOOKUP($B955,Outbound!$B:$Z,11,FALSE)),"NON TROVATO"),"")</f>
        <v/>
      </c>
      <c r="G955" s="394" t="str">
        <f>IF(B955&lt;&gt;"",IFERROR(IF(LEFT($B955,3)=$Z$2,VLOOKUP($C955,Outbound!$B:$AAZ,16,FALSE),VLOOKUP($B955,Outbound!$B:$AAZ,16,FALSE)),"NON TROVATO"),"")</f>
        <v/>
      </c>
      <c r="H955" s="394" t="str">
        <f>IF(B955&lt;&gt;"",IFERROR(IF(LEFT($B955,3)=$Z$2,VLOOKUP($C955,Outbound!$B:$AAZ,6,FALSE),VLOOKUP($B955,Outbound!$B:$AAZ,6,FALSE)),"NON TROVATO"),"")</f>
        <v/>
      </c>
      <c r="I955" s="394" t="str">
        <f>IF(B955&lt;&gt;"",IFERROR(IF(LEFT($B955,3)=$Z$2,VLOOKUP($C955,Outbound!$B:$AAZ,52,FALSE),VLOOKUP($B955,Outbound!$B:$AAZ,52,FALSE)),"NON TROVATO"),"")</f>
        <v/>
      </c>
      <c r="J955" s="396"/>
      <c r="K955" s="387" t="str">
        <f>IF(B955&lt;&gt;"",IF($D955&lt;&gt;"ON ROCS/NOT ON FILE",IFERROR(_xlfn.XLOOKUP(LEFT($D955,3),'STAT 77 Table'!$B:$B,'STAT 77 Table'!$A:$A),"ZZ"&amp;RIGHT($B955,4)),""),"")</f>
        <v/>
      </c>
      <c r="L955" s="396"/>
      <c r="O955" s="388"/>
      <c r="P955" s="388"/>
      <c r="AA955" s="421">
        <f t="shared" si="14"/>
        <v>0</v>
      </c>
    </row>
    <row r="956" spans="1:27" ht="16.5">
      <c r="A956" s="387">
        <f>'STAT 77 Table'!$I$955</f>
        <v>0</v>
      </c>
      <c r="B956"/>
      <c r="C956"/>
      <c r="D956" s="387" t="str">
        <f>IF($B956&lt;&gt;"",IFERROR(IF(LEFT($B956,3)=$Z$2,VLOOKUP($C956,Outbound!$B:$Z,4,FALSE),VLOOKUP($B956,Outbound!$B:$Z,4,FALSE)),"ON ROCS/NOT ON FILE"),"")</f>
        <v/>
      </c>
      <c r="E956" s="387" t="str">
        <f>IF($B956&lt;&gt;"",IFERROR(IF(LEFT($B956,4)=$Z$2,VLOOKUP($C956,Outbound!$B:$Z,5,FALSE),VLOOKUP($B956,Outbound!$B:$Z,5,FALSE)),"ON ROCS/NOT ON FILE"),"")</f>
        <v/>
      </c>
      <c r="F956" s="387" t="str">
        <f>IF(B956&lt;&gt;"",IFERROR(IF(LEFT($B956,3)=$Z$2,VLOOKUP($C956,Outbound!$B:$Z,11,FALSE),VLOOKUP($B956,Outbound!$B:$Z,11,FALSE)),"NON TROVATO"),"")</f>
        <v/>
      </c>
      <c r="G956" s="394" t="str">
        <f>IF(B956&lt;&gt;"",IFERROR(IF(LEFT($B956,3)=$Z$2,VLOOKUP($C956,Outbound!$B:$AAZ,16,FALSE),VLOOKUP($B956,Outbound!$B:$AAZ,16,FALSE)),"NON TROVATO"),"")</f>
        <v/>
      </c>
      <c r="H956" s="394" t="str">
        <f>IF(B956&lt;&gt;"",IFERROR(IF(LEFT($B956,3)=$Z$2,VLOOKUP($C956,Outbound!$B:$AAZ,6,FALSE),VLOOKUP($B956,Outbound!$B:$AAZ,6,FALSE)),"NON TROVATO"),"")</f>
        <v/>
      </c>
      <c r="I956" s="394" t="str">
        <f>IF(B956&lt;&gt;"",IFERROR(IF(LEFT($B956,3)=$Z$2,VLOOKUP($C956,Outbound!$B:$AAZ,52,FALSE),VLOOKUP($B956,Outbound!$B:$AAZ,52,FALSE)),"NON TROVATO"),"")</f>
        <v/>
      </c>
      <c r="J956" s="396"/>
      <c r="K956" s="387" t="str">
        <f>IF(B956&lt;&gt;"",IF($D956&lt;&gt;"ON ROCS/NOT ON FILE",IFERROR(_xlfn.XLOOKUP(LEFT($D956,3),'STAT 77 Table'!$B:$B,'STAT 77 Table'!$A:$A),"ZZ"&amp;RIGHT($B956,4)),""),"")</f>
        <v/>
      </c>
      <c r="L956" s="396"/>
      <c r="O956" s="388"/>
      <c r="P956" s="388"/>
      <c r="AA956" s="421">
        <f t="shared" si="14"/>
        <v>0</v>
      </c>
    </row>
    <row r="957" spans="1:27" ht="16.5">
      <c r="A957" s="387">
        <f>'STAT 77 Table'!$I$956</f>
        <v>0</v>
      </c>
      <c r="B957"/>
      <c r="C957"/>
      <c r="D957" s="387" t="str">
        <f>IF($B957&lt;&gt;"",IFERROR(IF(LEFT($B957,3)=$Z$2,VLOOKUP($C957,Outbound!$B:$Z,4,FALSE),VLOOKUP($B957,Outbound!$B:$Z,4,FALSE)),"ON ROCS/NOT ON FILE"),"")</f>
        <v/>
      </c>
      <c r="E957" s="387" t="str">
        <f>IF($B957&lt;&gt;"",IFERROR(IF(LEFT($B957,4)=$Z$2,VLOOKUP($C957,Outbound!$B:$Z,5,FALSE),VLOOKUP($B957,Outbound!$B:$Z,5,FALSE)),"ON ROCS/NOT ON FILE"),"")</f>
        <v/>
      </c>
      <c r="F957" s="387" t="str">
        <f>IF(B957&lt;&gt;"",IFERROR(IF(LEFT($B957,3)=$Z$2,VLOOKUP($C957,Outbound!$B:$Z,11,FALSE),VLOOKUP($B957,Outbound!$B:$Z,11,FALSE)),"NON TROVATO"),"")</f>
        <v/>
      </c>
      <c r="G957" s="394" t="str">
        <f>IF(B957&lt;&gt;"",IFERROR(IF(LEFT($B957,3)=$Z$2,VLOOKUP($C957,Outbound!$B:$AAZ,16,FALSE),VLOOKUP($B957,Outbound!$B:$AAZ,16,FALSE)),"NON TROVATO"),"")</f>
        <v/>
      </c>
      <c r="H957" s="394" t="str">
        <f>IF(B957&lt;&gt;"",IFERROR(IF(LEFT($B957,3)=$Z$2,VLOOKUP($C957,Outbound!$B:$AAZ,6,FALSE),VLOOKUP($B957,Outbound!$B:$AAZ,6,FALSE)),"NON TROVATO"),"")</f>
        <v/>
      </c>
      <c r="I957" s="394" t="str">
        <f>IF(B957&lt;&gt;"",IFERROR(IF(LEFT($B957,3)=$Z$2,VLOOKUP($C957,Outbound!$B:$AAZ,52,FALSE),VLOOKUP($B957,Outbound!$B:$AAZ,52,FALSE)),"NON TROVATO"),"")</f>
        <v/>
      </c>
      <c r="J957" s="396"/>
      <c r="K957" s="387" t="str">
        <f>IF(B957&lt;&gt;"",IF($D957&lt;&gt;"ON ROCS/NOT ON FILE",IFERROR(_xlfn.XLOOKUP(LEFT($D957,3),'STAT 77 Table'!$B:$B,'STAT 77 Table'!$A:$A),"ZZ"&amp;RIGHT($B957,4)),""),"")</f>
        <v/>
      </c>
      <c r="L957" s="396"/>
      <c r="O957" s="388"/>
      <c r="P957" s="388"/>
      <c r="AA957" s="421">
        <f t="shared" si="14"/>
        <v>0</v>
      </c>
    </row>
    <row r="958" spans="1:27" ht="16.5">
      <c r="A958" s="387">
        <f>'STAT 77 Table'!$I$957</f>
        <v>0</v>
      </c>
      <c r="B958"/>
      <c r="C958"/>
      <c r="D958" s="387" t="str">
        <f>IF($B958&lt;&gt;"",IFERROR(IF(LEFT($B958,3)=$Z$2,VLOOKUP($C958,Outbound!$B:$Z,4,FALSE),VLOOKUP($B958,Outbound!$B:$Z,4,FALSE)),"ON ROCS/NOT ON FILE"),"")</f>
        <v/>
      </c>
      <c r="E958" s="387" t="str">
        <f>IF($B958&lt;&gt;"",IFERROR(IF(LEFT($B958,4)=$Z$2,VLOOKUP($C958,Outbound!$B:$Z,5,FALSE),VLOOKUP($B958,Outbound!$B:$Z,5,FALSE)),"ON ROCS/NOT ON FILE"),"")</f>
        <v/>
      </c>
      <c r="F958" s="387" t="str">
        <f>IF(B958&lt;&gt;"",IFERROR(IF(LEFT($B958,3)=$Z$2,VLOOKUP($C958,Outbound!$B:$Z,11,FALSE),VLOOKUP($B958,Outbound!$B:$Z,11,FALSE)),"NON TROVATO"),"")</f>
        <v/>
      </c>
      <c r="G958" s="394" t="str">
        <f>IF(B958&lt;&gt;"",IFERROR(IF(LEFT($B958,3)=$Z$2,VLOOKUP($C958,Outbound!$B:$AAZ,16,FALSE),VLOOKUP($B958,Outbound!$B:$AAZ,16,FALSE)),"NON TROVATO"),"")</f>
        <v/>
      </c>
      <c r="H958" s="394" t="str">
        <f>IF(B958&lt;&gt;"",IFERROR(IF(LEFT($B958,3)=$Z$2,VLOOKUP($C958,Outbound!$B:$AAZ,6,FALSE),VLOOKUP($B958,Outbound!$B:$AAZ,6,FALSE)),"NON TROVATO"),"")</f>
        <v/>
      </c>
      <c r="I958" s="394" t="str">
        <f>IF(B958&lt;&gt;"",IFERROR(IF(LEFT($B958,3)=$Z$2,VLOOKUP($C958,Outbound!$B:$AAZ,52,FALSE),VLOOKUP($B958,Outbound!$B:$AAZ,52,FALSE)),"NON TROVATO"),"")</f>
        <v/>
      </c>
      <c r="J958" s="396"/>
      <c r="K958" s="387" t="str">
        <f>IF(B958&lt;&gt;"",IF($D958&lt;&gt;"ON ROCS/NOT ON FILE",IFERROR(_xlfn.XLOOKUP(LEFT($D958,3),'STAT 77 Table'!$B:$B,'STAT 77 Table'!$A:$A),"ZZ"&amp;RIGHT($B958,4)),""),"")</f>
        <v/>
      </c>
      <c r="L958" s="396"/>
      <c r="O958" s="388"/>
      <c r="P958" s="388"/>
      <c r="AA958" s="421">
        <f t="shared" si="14"/>
        <v>0</v>
      </c>
    </row>
    <row r="959" spans="1:27" ht="16.5">
      <c r="A959" s="387">
        <f>'STAT 77 Table'!$I$958</f>
        <v>0</v>
      </c>
      <c r="B959"/>
      <c r="C959"/>
      <c r="D959" s="387" t="str">
        <f>IF($B959&lt;&gt;"",IFERROR(IF(LEFT($B959,3)=$Z$2,VLOOKUP($C959,Outbound!$B:$Z,4,FALSE),VLOOKUP($B959,Outbound!$B:$Z,4,FALSE)),"ON ROCS/NOT ON FILE"),"")</f>
        <v/>
      </c>
      <c r="E959" s="387" t="str">
        <f>IF($B959&lt;&gt;"",IFERROR(IF(LEFT($B959,4)=$Z$2,VLOOKUP($C959,Outbound!$B:$Z,5,FALSE),VLOOKUP($B959,Outbound!$B:$Z,5,FALSE)),"ON ROCS/NOT ON FILE"),"")</f>
        <v/>
      </c>
      <c r="F959" s="387" t="str">
        <f>IF(B959&lt;&gt;"",IFERROR(IF(LEFT($B959,3)=$Z$2,VLOOKUP($C959,Outbound!$B:$Z,11,FALSE),VLOOKUP($B959,Outbound!$B:$Z,11,FALSE)),"NON TROVATO"),"")</f>
        <v/>
      </c>
      <c r="G959" s="394" t="str">
        <f>IF(B959&lt;&gt;"",IFERROR(IF(LEFT($B959,3)=$Z$2,VLOOKUP($C959,Outbound!$B:$AAZ,16,FALSE),VLOOKUP($B959,Outbound!$B:$AAZ,16,FALSE)),"NON TROVATO"),"")</f>
        <v/>
      </c>
      <c r="H959" s="394" t="str">
        <f>IF(B959&lt;&gt;"",IFERROR(IF(LEFT($B959,3)=$Z$2,VLOOKUP($C959,Outbound!$B:$AAZ,6,FALSE),VLOOKUP($B959,Outbound!$B:$AAZ,6,FALSE)),"NON TROVATO"),"")</f>
        <v/>
      </c>
      <c r="I959" s="394" t="str">
        <f>IF(B959&lt;&gt;"",IFERROR(IF(LEFT($B959,3)=$Z$2,VLOOKUP($C959,Outbound!$B:$AAZ,52,FALSE),VLOOKUP($B959,Outbound!$B:$AAZ,52,FALSE)),"NON TROVATO"),"")</f>
        <v/>
      </c>
      <c r="J959" s="396"/>
      <c r="K959" s="387" t="str">
        <f>IF(B959&lt;&gt;"",IF($D959&lt;&gt;"ON ROCS/NOT ON FILE",IFERROR(_xlfn.XLOOKUP(LEFT($D959,3),'STAT 77 Table'!$B:$B,'STAT 77 Table'!$A:$A),"ZZ"&amp;RIGHT($B959,4)),""),"")</f>
        <v/>
      </c>
      <c r="L959" s="396"/>
      <c r="O959" s="388"/>
      <c r="P959" s="388"/>
      <c r="AA959" s="421">
        <f t="shared" si="14"/>
        <v>0</v>
      </c>
    </row>
    <row r="960" spans="1:27" ht="16.5">
      <c r="A960" s="387">
        <f>'STAT 77 Table'!$I$959</f>
        <v>0</v>
      </c>
      <c r="B960"/>
      <c r="C960"/>
      <c r="D960" s="387" t="str">
        <f>IF($B960&lt;&gt;"",IFERROR(IF(LEFT($B960,3)=$Z$2,VLOOKUP($C960,Outbound!$B:$Z,4,FALSE),VLOOKUP($B960,Outbound!$B:$Z,4,FALSE)),"ON ROCS/NOT ON FILE"),"")</f>
        <v/>
      </c>
      <c r="E960" s="387" t="str">
        <f>IF($B960&lt;&gt;"",IFERROR(IF(LEFT($B960,4)=$Z$2,VLOOKUP($C960,Outbound!$B:$Z,5,FALSE),VLOOKUP($B960,Outbound!$B:$Z,5,FALSE)),"ON ROCS/NOT ON FILE"),"")</f>
        <v/>
      </c>
      <c r="F960" s="387" t="str">
        <f>IF(B960&lt;&gt;"",IFERROR(IF(LEFT($B960,3)=$Z$2,VLOOKUP($C960,Outbound!$B:$Z,11,FALSE),VLOOKUP($B960,Outbound!$B:$Z,11,FALSE)),"NON TROVATO"),"")</f>
        <v/>
      </c>
      <c r="G960" s="394" t="str">
        <f>IF(B960&lt;&gt;"",IFERROR(IF(LEFT($B960,3)=$Z$2,VLOOKUP($C960,Outbound!$B:$AAZ,16,FALSE),VLOOKUP($B960,Outbound!$B:$AAZ,16,FALSE)),"NON TROVATO"),"")</f>
        <v/>
      </c>
      <c r="H960" s="394" t="str">
        <f>IF(B960&lt;&gt;"",IFERROR(IF(LEFT($B960,3)=$Z$2,VLOOKUP($C960,Outbound!$B:$AAZ,6,FALSE),VLOOKUP($B960,Outbound!$B:$AAZ,6,FALSE)),"NON TROVATO"),"")</f>
        <v/>
      </c>
      <c r="I960" s="394" t="str">
        <f>IF(B960&lt;&gt;"",IFERROR(IF(LEFT($B960,3)=$Z$2,VLOOKUP($C960,Outbound!$B:$AAZ,52,FALSE),VLOOKUP($B960,Outbound!$B:$AAZ,52,FALSE)),"NON TROVATO"),"")</f>
        <v/>
      </c>
      <c r="J960" s="396"/>
      <c r="K960" s="387" t="str">
        <f>IF(B960&lt;&gt;"",IF($D960&lt;&gt;"ON ROCS/NOT ON FILE",IFERROR(_xlfn.XLOOKUP(LEFT($D960,3),'STAT 77 Table'!$B:$B,'STAT 77 Table'!$A:$A),"ZZ"&amp;RIGHT($B960,4)),""),"")</f>
        <v/>
      </c>
      <c r="L960" s="396"/>
      <c r="O960" s="388"/>
      <c r="P960" s="388"/>
      <c r="AA960" s="421">
        <f t="shared" si="14"/>
        <v>0</v>
      </c>
    </row>
    <row r="961" spans="1:27" ht="16.5">
      <c r="A961" s="387">
        <f>'STAT 77 Table'!$I$960</f>
        <v>0</v>
      </c>
      <c r="B961"/>
      <c r="C961"/>
      <c r="D961" s="387" t="str">
        <f>IF($B961&lt;&gt;"",IFERROR(IF(LEFT($B961,3)=$Z$2,VLOOKUP($C961,Outbound!$B:$Z,4,FALSE),VLOOKUP($B961,Outbound!$B:$Z,4,FALSE)),"ON ROCS/NOT ON FILE"),"")</f>
        <v/>
      </c>
      <c r="E961" s="387" t="str">
        <f>IF($B961&lt;&gt;"",IFERROR(IF(LEFT($B961,4)=$Z$2,VLOOKUP($C961,Outbound!$B:$Z,5,FALSE),VLOOKUP($B961,Outbound!$B:$Z,5,FALSE)),"ON ROCS/NOT ON FILE"),"")</f>
        <v/>
      </c>
      <c r="F961" s="387" t="str">
        <f>IF(B961&lt;&gt;"",IFERROR(IF(LEFT($B961,3)=$Z$2,VLOOKUP($C961,Outbound!$B:$Z,11,FALSE),VLOOKUP($B961,Outbound!$B:$Z,11,FALSE)),"NON TROVATO"),"")</f>
        <v/>
      </c>
      <c r="G961" s="394" t="str">
        <f>IF(B961&lt;&gt;"",IFERROR(IF(LEFT($B961,3)=$Z$2,VLOOKUP($C961,Outbound!$B:$AAZ,16,FALSE),VLOOKUP($B961,Outbound!$B:$AAZ,16,FALSE)),"NON TROVATO"),"")</f>
        <v/>
      </c>
      <c r="H961" s="394" t="str">
        <f>IF(B961&lt;&gt;"",IFERROR(IF(LEFT($B961,3)=$Z$2,VLOOKUP($C961,Outbound!$B:$AAZ,6,FALSE),VLOOKUP($B961,Outbound!$B:$AAZ,6,FALSE)),"NON TROVATO"),"")</f>
        <v/>
      </c>
      <c r="I961" s="394" t="str">
        <f>IF(B961&lt;&gt;"",IFERROR(IF(LEFT($B961,3)=$Z$2,VLOOKUP($C961,Outbound!$B:$AAZ,52,FALSE),VLOOKUP($B961,Outbound!$B:$AAZ,52,FALSE)),"NON TROVATO"),"")</f>
        <v/>
      </c>
      <c r="J961" s="396"/>
      <c r="K961" s="387" t="str">
        <f>IF(B961&lt;&gt;"",IF($D961&lt;&gt;"ON ROCS/NOT ON FILE",IFERROR(_xlfn.XLOOKUP(LEFT($D961,3),'STAT 77 Table'!$B:$B,'STAT 77 Table'!$A:$A),"ZZ"&amp;RIGHT($B961,4)),""),"")</f>
        <v/>
      </c>
      <c r="L961" s="396"/>
      <c r="O961" s="388"/>
      <c r="P961" s="388"/>
      <c r="AA961" s="421">
        <f t="shared" si="14"/>
        <v>0</v>
      </c>
    </row>
    <row r="962" spans="1:27" ht="16.5">
      <c r="A962" s="387">
        <f>'STAT 77 Table'!$I$961</f>
        <v>0</v>
      </c>
      <c r="B962"/>
      <c r="C962"/>
      <c r="D962" s="387" t="str">
        <f>IF($B962&lt;&gt;"",IFERROR(IF(LEFT($B962,3)=$Z$2,VLOOKUP($C962,Outbound!$B:$Z,4,FALSE),VLOOKUP($B962,Outbound!$B:$Z,4,FALSE)),"ON ROCS/NOT ON FILE"),"")</f>
        <v/>
      </c>
      <c r="E962" s="387" t="str">
        <f>IF($B962&lt;&gt;"",IFERROR(IF(LEFT($B962,4)=$Z$2,VLOOKUP($C962,Outbound!$B:$Z,5,FALSE),VLOOKUP($B962,Outbound!$B:$Z,5,FALSE)),"ON ROCS/NOT ON FILE"),"")</f>
        <v/>
      </c>
      <c r="F962" s="387" t="str">
        <f>IF(B962&lt;&gt;"",IFERROR(IF(LEFT($B962,3)=$Z$2,VLOOKUP($C962,Outbound!$B:$Z,11,FALSE),VLOOKUP($B962,Outbound!$B:$Z,11,FALSE)),"NON TROVATO"),"")</f>
        <v/>
      </c>
      <c r="G962" s="394" t="str">
        <f>IF(B962&lt;&gt;"",IFERROR(IF(LEFT($B962,3)=$Z$2,VLOOKUP($C962,Outbound!$B:$AAZ,16,FALSE),VLOOKUP($B962,Outbound!$B:$AAZ,16,FALSE)),"NON TROVATO"),"")</f>
        <v/>
      </c>
      <c r="H962" s="394" t="str">
        <f>IF(B962&lt;&gt;"",IFERROR(IF(LEFT($B962,3)=$Z$2,VLOOKUP($C962,Outbound!$B:$AAZ,6,FALSE),VLOOKUP($B962,Outbound!$B:$AAZ,6,FALSE)),"NON TROVATO"),"")</f>
        <v/>
      </c>
      <c r="I962" s="394" t="str">
        <f>IF(B962&lt;&gt;"",IFERROR(IF(LEFT($B962,3)=$Z$2,VLOOKUP($C962,Outbound!$B:$AAZ,52,FALSE),VLOOKUP($B962,Outbound!$B:$AAZ,52,FALSE)),"NON TROVATO"),"")</f>
        <v/>
      </c>
      <c r="J962" s="396"/>
      <c r="K962" s="387" t="str">
        <f>IF(B962&lt;&gt;"",IF($D962&lt;&gt;"ON ROCS/NOT ON FILE",IFERROR(_xlfn.XLOOKUP(LEFT($D962,3),'STAT 77 Table'!$B:$B,'STAT 77 Table'!$A:$A),"ZZ"&amp;RIGHT($B962,4)),""),"")</f>
        <v/>
      </c>
      <c r="L962" s="396"/>
      <c r="O962" s="388"/>
      <c r="P962" s="388"/>
      <c r="AA962" s="421">
        <f t="shared" si="14"/>
        <v>0</v>
      </c>
    </row>
    <row r="963" spans="1:27" ht="16.5">
      <c r="A963" s="387">
        <f>'STAT 77 Table'!$I$962</f>
        <v>0</v>
      </c>
      <c r="B963"/>
      <c r="C963"/>
      <c r="D963" s="387" t="str">
        <f>IF($B963&lt;&gt;"",IFERROR(IF(LEFT($B963,3)=$Z$2,VLOOKUP($C963,Outbound!$B:$Z,4,FALSE),VLOOKUP($B963,Outbound!$B:$Z,4,FALSE)),"ON ROCS/NOT ON FILE"),"")</f>
        <v/>
      </c>
      <c r="E963" s="387" t="str">
        <f>IF($B963&lt;&gt;"",IFERROR(IF(LEFT($B963,4)=$Z$2,VLOOKUP($C963,Outbound!$B:$Z,5,FALSE),VLOOKUP($B963,Outbound!$B:$Z,5,FALSE)),"ON ROCS/NOT ON FILE"),"")</f>
        <v/>
      </c>
      <c r="F963" s="387" t="str">
        <f>IF(B963&lt;&gt;"",IFERROR(IF(LEFT($B963,3)=$Z$2,VLOOKUP($C963,Outbound!$B:$Z,11,FALSE),VLOOKUP($B963,Outbound!$B:$Z,11,FALSE)),"NON TROVATO"),"")</f>
        <v/>
      </c>
      <c r="G963" s="394" t="str">
        <f>IF(B963&lt;&gt;"",IFERROR(IF(LEFT($B963,3)=$Z$2,VLOOKUP($C963,Outbound!$B:$AAZ,16,FALSE),VLOOKUP($B963,Outbound!$B:$AAZ,16,FALSE)),"NON TROVATO"),"")</f>
        <v/>
      </c>
      <c r="H963" s="394" t="str">
        <f>IF(B963&lt;&gt;"",IFERROR(IF(LEFT($B963,3)=$Z$2,VLOOKUP($C963,Outbound!$B:$AAZ,6,FALSE),VLOOKUP($B963,Outbound!$B:$AAZ,6,FALSE)),"NON TROVATO"),"")</f>
        <v/>
      </c>
      <c r="I963" s="394" t="str">
        <f>IF(B963&lt;&gt;"",IFERROR(IF(LEFT($B963,3)=$Z$2,VLOOKUP($C963,Outbound!$B:$AAZ,52,FALSE),VLOOKUP($B963,Outbound!$B:$AAZ,52,FALSE)),"NON TROVATO"),"")</f>
        <v/>
      </c>
      <c r="J963" s="396"/>
      <c r="K963" s="387" t="str">
        <f>IF(B963&lt;&gt;"",IF($D963&lt;&gt;"ON ROCS/NOT ON FILE",IFERROR(_xlfn.XLOOKUP(LEFT($D963,3),'STAT 77 Table'!$B:$B,'STAT 77 Table'!$A:$A),"ZZ"&amp;RIGHT($B963,4)),""),"")</f>
        <v/>
      </c>
      <c r="L963" s="396"/>
      <c r="O963" s="388"/>
      <c r="P963" s="388"/>
      <c r="AA963" s="421">
        <f t="shared" si="14"/>
        <v>0</v>
      </c>
    </row>
    <row r="964" spans="1:27" ht="16.5">
      <c r="A964" s="387">
        <f>'STAT 77 Table'!$I$963</f>
        <v>0</v>
      </c>
      <c r="B964"/>
      <c r="C964"/>
      <c r="D964" s="387" t="str">
        <f>IF($B964&lt;&gt;"",IFERROR(IF(LEFT($B964,3)=$Z$2,VLOOKUP($C964,Outbound!$B:$Z,4,FALSE),VLOOKUP($B964,Outbound!$B:$Z,4,FALSE)),"ON ROCS/NOT ON FILE"),"")</f>
        <v/>
      </c>
      <c r="E964" s="387" t="str">
        <f>IF($B964&lt;&gt;"",IFERROR(IF(LEFT($B964,4)=$Z$2,VLOOKUP($C964,Outbound!$B:$Z,5,FALSE),VLOOKUP($B964,Outbound!$B:$Z,5,FALSE)),"ON ROCS/NOT ON FILE"),"")</f>
        <v/>
      </c>
      <c r="F964" s="387" t="str">
        <f>IF(B964&lt;&gt;"",IFERROR(IF(LEFT($B964,3)=$Z$2,VLOOKUP($C964,Outbound!$B:$Z,11,FALSE),VLOOKUP($B964,Outbound!$B:$Z,11,FALSE)),"NON TROVATO"),"")</f>
        <v/>
      </c>
      <c r="G964" s="394" t="str">
        <f>IF(B964&lt;&gt;"",IFERROR(IF(LEFT($B964,3)=$Z$2,VLOOKUP($C964,Outbound!$B:$AAZ,16,FALSE),VLOOKUP($B964,Outbound!$B:$AAZ,16,FALSE)),"NON TROVATO"),"")</f>
        <v/>
      </c>
      <c r="H964" s="394" t="str">
        <f>IF(B964&lt;&gt;"",IFERROR(IF(LEFT($B964,3)=$Z$2,VLOOKUP($C964,Outbound!$B:$AAZ,6,FALSE),VLOOKUP($B964,Outbound!$B:$AAZ,6,FALSE)),"NON TROVATO"),"")</f>
        <v/>
      </c>
      <c r="I964" s="394" t="str">
        <f>IF(B964&lt;&gt;"",IFERROR(IF(LEFT($B964,3)=$Z$2,VLOOKUP($C964,Outbound!$B:$AAZ,52,FALSE),VLOOKUP($B964,Outbound!$B:$AAZ,52,FALSE)),"NON TROVATO"),"")</f>
        <v/>
      </c>
      <c r="J964" s="396"/>
      <c r="K964" s="387" t="str">
        <f>IF(B964&lt;&gt;"",IF($D964&lt;&gt;"ON ROCS/NOT ON FILE",IFERROR(_xlfn.XLOOKUP(LEFT($D964,3),'STAT 77 Table'!$B:$B,'STAT 77 Table'!$A:$A),"ZZ"&amp;RIGHT($B964,4)),""),"")</f>
        <v/>
      </c>
      <c r="L964" s="396"/>
      <c r="O964" s="388"/>
      <c r="P964" s="388"/>
      <c r="AA964" s="421">
        <f t="shared" ref="AA964:AA1027" si="15">IF(LEFT(A964,3)=$X$2,C964,B964)</f>
        <v>0</v>
      </c>
    </row>
    <row r="965" spans="1:27" ht="16.5">
      <c r="A965" s="387">
        <f>'STAT 77 Table'!$I$964</f>
        <v>0</v>
      </c>
      <c r="B965"/>
      <c r="C965"/>
      <c r="D965" s="387" t="str">
        <f>IF($B965&lt;&gt;"",IFERROR(IF(LEFT($B965,3)=$Z$2,VLOOKUP($C965,Outbound!$B:$Z,4,FALSE),VLOOKUP($B965,Outbound!$B:$Z,4,FALSE)),"ON ROCS/NOT ON FILE"),"")</f>
        <v/>
      </c>
      <c r="E965" s="387" t="str">
        <f>IF($B965&lt;&gt;"",IFERROR(IF(LEFT($B965,4)=$Z$2,VLOOKUP($C965,Outbound!$B:$Z,5,FALSE),VLOOKUP($B965,Outbound!$B:$Z,5,FALSE)),"ON ROCS/NOT ON FILE"),"")</f>
        <v/>
      </c>
      <c r="F965" s="387" t="str">
        <f>IF(B965&lt;&gt;"",IFERROR(IF(LEFT($B965,3)=$Z$2,VLOOKUP($C965,Outbound!$B:$Z,11,FALSE),VLOOKUP($B965,Outbound!$B:$Z,11,FALSE)),"NON TROVATO"),"")</f>
        <v/>
      </c>
      <c r="G965" s="394" t="str">
        <f>IF(B965&lt;&gt;"",IFERROR(IF(LEFT($B965,3)=$Z$2,VLOOKUP($C965,Outbound!$B:$AAZ,16,FALSE),VLOOKUP($B965,Outbound!$B:$AAZ,16,FALSE)),"NON TROVATO"),"")</f>
        <v/>
      </c>
      <c r="H965" s="394" t="str">
        <f>IF(B965&lt;&gt;"",IFERROR(IF(LEFT($B965,3)=$Z$2,VLOOKUP($C965,Outbound!$B:$AAZ,6,FALSE),VLOOKUP($B965,Outbound!$B:$AAZ,6,FALSE)),"NON TROVATO"),"")</f>
        <v/>
      </c>
      <c r="I965" s="394" t="str">
        <f>IF(B965&lt;&gt;"",IFERROR(IF(LEFT($B965,3)=$Z$2,VLOOKUP($C965,Outbound!$B:$AAZ,52,FALSE),VLOOKUP($B965,Outbound!$B:$AAZ,52,FALSE)),"NON TROVATO"),"")</f>
        <v/>
      </c>
      <c r="J965" s="396"/>
      <c r="K965" s="387" t="str">
        <f>IF(B965&lt;&gt;"",IF($D965&lt;&gt;"ON ROCS/NOT ON FILE",IFERROR(_xlfn.XLOOKUP(LEFT($D965,3),'STAT 77 Table'!$B:$B,'STAT 77 Table'!$A:$A),"ZZ"&amp;RIGHT($B965,4)),""),"")</f>
        <v/>
      </c>
      <c r="L965" s="396"/>
      <c r="O965" s="388"/>
      <c r="P965" s="388"/>
      <c r="AA965" s="421">
        <f t="shared" si="15"/>
        <v>0</v>
      </c>
    </row>
    <row r="966" spans="1:27" ht="16.5">
      <c r="A966" s="387">
        <f>'STAT 77 Table'!$I$965</f>
        <v>0</v>
      </c>
      <c r="B966"/>
      <c r="C966"/>
      <c r="D966" s="387" t="str">
        <f>IF($B966&lt;&gt;"",IFERROR(IF(LEFT($B966,3)=$Z$2,VLOOKUP($C966,Outbound!$B:$Z,4,FALSE),VLOOKUP($B966,Outbound!$B:$Z,4,FALSE)),"ON ROCS/NOT ON FILE"),"")</f>
        <v/>
      </c>
      <c r="E966" s="387" t="str">
        <f>IF($B966&lt;&gt;"",IFERROR(IF(LEFT($B966,4)=$Z$2,VLOOKUP($C966,Outbound!$B:$Z,5,FALSE),VLOOKUP($B966,Outbound!$B:$Z,5,FALSE)),"ON ROCS/NOT ON FILE"),"")</f>
        <v/>
      </c>
      <c r="F966" s="387" t="str">
        <f>IF(B966&lt;&gt;"",IFERROR(IF(LEFT($B966,3)=$Z$2,VLOOKUP($C966,Outbound!$B:$Z,11,FALSE),VLOOKUP($B966,Outbound!$B:$Z,11,FALSE)),"NON TROVATO"),"")</f>
        <v/>
      </c>
      <c r="G966" s="394" t="str">
        <f>IF(B966&lt;&gt;"",IFERROR(IF(LEFT($B966,3)=$Z$2,VLOOKUP($C966,Outbound!$B:$AAZ,16,FALSE),VLOOKUP($B966,Outbound!$B:$AAZ,16,FALSE)),"NON TROVATO"),"")</f>
        <v/>
      </c>
      <c r="H966" s="394" t="str">
        <f>IF(B966&lt;&gt;"",IFERROR(IF(LEFT($B966,3)=$Z$2,VLOOKUP($C966,Outbound!$B:$AAZ,6,FALSE),VLOOKUP($B966,Outbound!$B:$AAZ,6,FALSE)),"NON TROVATO"),"")</f>
        <v/>
      </c>
      <c r="I966" s="394" t="str">
        <f>IF(B966&lt;&gt;"",IFERROR(IF(LEFT($B966,3)=$Z$2,VLOOKUP($C966,Outbound!$B:$AAZ,52,FALSE),VLOOKUP($B966,Outbound!$B:$AAZ,52,FALSE)),"NON TROVATO"),"")</f>
        <v/>
      </c>
      <c r="J966" s="396"/>
      <c r="K966" s="387" t="str">
        <f>IF(B966&lt;&gt;"",IF($D966&lt;&gt;"ON ROCS/NOT ON FILE",IFERROR(_xlfn.XLOOKUP(LEFT($D966,3),'STAT 77 Table'!$B:$B,'STAT 77 Table'!$A:$A),"ZZ"&amp;RIGHT($B966,4)),""),"")</f>
        <v/>
      </c>
      <c r="L966" s="396"/>
      <c r="O966" s="388"/>
      <c r="P966" s="388"/>
      <c r="AA966" s="421">
        <f t="shared" si="15"/>
        <v>0</v>
      </c>
    </row>
    <row r="967" spans="1:27" ht="16.5">
      <c r="A967" s="387">
        <f>'STAT 77 Table'!$I$966</f>
        <v>0</v>
      </c>
      <c r="B967"/>
      <c r="C967"/>
      <c r="D967" s="387" t="str">
        <f>IF($B967&lt;&gt;"",IFERROR(IF(LEFT($B967,3)=$Z$2,VLOOKUP($C967,Outbound!$B:$Z,4,FALSE),VLOOKUP($B967,Outbound!$B:$Z,4,FALSE)),"ON ROCS/NOT ON FILE"),"")</f>
        <v/>
      </c>
      <c r="E967" s="387" t="str">
        <f>IF($B967&lt;&gt;"",IFERROR(IF(LEFT($B967,4)=$Z$2,VLOOKUP($C967,Outbound!$B:$Z,5,FALSE),VLOOKUP($B967,Outbound!$B:$Z,5,FALSE)),"ON ROCS/NOT ON FILE"),"")</f>
        <v/>
      </c>
      <c r="F967" s="387" t="str">
        <f>IF(B967&lt;&gt;"",IFERROR(IF(LEFT($B967,3)=$Z$2,VLOOKUP($C967,Outbound!$B:$Z,11,FALSE),VLOOKUP($B967,Outbound!$B:$Z,11,FALSE)),"NON TROVATO"),"")</f>
        <v/>
      </c>
      <c r="G967" s="394" t="str">
        <f>IF(B967&lt;&gt;"",IFERROR(IF(LEFT($B967,3)=$Z$2,VLOOKUP($C967,Outbound!$B:$AAZ,16,FALSE),VLOOKUP($B967,Outbound!$B:$AAZ,16,FALSE)),"NON TROVATO"),"")</f>
        <v/>
      </c>
      <c r="H967" s="394" t="str">
        <f>IF(B967&lt;&gt;"",IFERROR(IF(LEFT($B967,3)=$Z$2,VLOOKUP($C967,Outbound!$B:$AAZ,6,FALSE),VLOOKUP($B967,Outbound!$B:$AAZ,6,FALSE)),"NON TROVATO"),"")</f>
        <v/>
      </c>
      <c r="I967" s="394" t="str">
        <f>IF(B967&lt;&gt;"",IFERROR(IF(LEFT($B967,3)=$Z$2,VLOOKUP($C967,Outbound!$B:$AAZ,52,FALSE),VLOOKUP($B967,Outbound!$B:$AAZ,52,FALSE)),"NON TROVATO"),"")</f>
        <v/>
      </c>
      <c r="J967" s="396"/>
      <c r="K967" s="387" t="str">
        <f>IF(B967&lt;&gt;"",IF($D967&lt;&gt;"ON ROCS/NOT ON FILE",IFERROR(_xlfn.XLOOKUP(LEFT($D967,3),'STAT 77 Table'!$B:$B,'STAT 77 Table'!$A:$A),"ZZ"&amp;RIGHT($B967,4)),""),"")</f>
        <v/>
      </c>
      <c r="L967" s="396"/>
      <c r="O967" s="388"/>
      <c r="P967" s="388"/>
      <c r="AA967" s="421">
        <f t="shared" si="15"/>
        <v>0</v>
      </c>
    </row>
    <row r="968" spans="1:27" ht="16.5">
      <c r="A968" s="387">
        <f>'STAT 77 Table'!$I$967</f>
        <v>0</v>
      </c>
      <c r="B968"/>
      <c r="C968"/>
      <c r="D968" s="387" t="str">
        <f>IF($B968&lt;&gt;"",IFERROR(IF(LEFT($B968,3)=$Z$2,VLOOKUP($C968,Outbound!$B:$Z,4,FALSE),VLOOKUP($B968,Outbound!$B:$Z,4,FALSE)),"ON ROCS/NOT ON FILE"),"")</f>
        <v/>
      </c>
      <c r="E968" s="387" t="str">
        <f>IF($B968&lt;&gt;"",IFERROR(IF(LEFT($B968,4)=$Z$2,VLOOKUP($C968,Outbound!$B:$Z,5,FALSE),VLOOKUP($B968,Outbound!$B:$Z,5,FALSE)),"ON ROCS/NOT ON FILE"),"")</f>
        <v/>
      </c>
      <c r="F968" s="387" t="str">
        <f>IF(B968&lt;&gt;"",IFERROR(IF(LEFT($B968,3)=$Z$2,VLOOKUP($C968,Outbound!$B:$Z,11,FALSE),VLOOKUP($B968,Outbound!$B:$Z,11,FALSE)),"NON TROVATO"),"")</f>
        <v/>
      </c>
      <c r="G968" s="394" t="str">
        <f>IF(B968&lt;&gt;"",IFERROR(IF(LEFT($B968,3)=$Z$2,VLOOKUP($C968,Outbound!$B:$AAZ,16,FALSE),VLOOKUP($B968,Outbound!$B:$AAZ,16,FALSE)),"NON TROVATO"),"")</f>
        <v/>
      </c>
      <c r="H968" s="394" t="str">
        <f>IF(B968&lt;&gt;"",IFERROR(IF(LEFT($B968,3)=$Z$2,VLOOKUP($C968,Outbound!$B:$AAZ,6,FALSE),VLOOKUP($B968,Outbound!$B:$AAZ,6,FALSE)),"NON TROVATO"),"")</f>
        <v/>
      </c>
      <c r="I968" s="394" t="str">
        <f>IF(B968&lt;&gt;"",IFERROR(IF(LEFT($B968,3)=$Z$2,VLOOKUP($C968,Outbound!$B:$AAZ,52,FALSE),VLOOKUP($B968,Outbound!$B:$AAZ,52,FALSE)),"NON TROVATO"),"")</f>
        <v/>
      </c>
      <c r="J968" s="396"/>
      <c r="K968" s="387" t="str">
        <f>IF(B968&lt;&gt;"",IF($D968&lt;&gt;"ON ROCS/NOT ON FILE",IFERROR(_xlfn.XLOOKUP(LEFT($D968,3),'STAT 77 Table'!$B:$B,'STAT 77 Table'!$A:$A),"ZZ"&amp;RIGHT($B968,4)),""),"")</f>
        <v/>
      </c>
      <c r="L968" s="396"/>
      <c r="O968" s="388"/>
      <c r="P968" s="388"/>
      <c r="AA968" s="421">
        <f t="shared" si="15"/>
        <v>0</v>
      </c>
    </row>
    <row r="969" spans="1:27" ht="16.5">
      <c r="A969" s="387">
        <f>'STAT 77 Table'!$I$968</f>
        <v>0</v>
      </c>
      <c r="B969"/>
      <c r="C969"/>
      <c r="D969" s="387" t="str">
        <f>IF($B969&lt;&gt;"",IFERROR(IF(LEFT($B969,3)=$Z$2,VLOOKUP($C969,Outbound!$B:$Z,4,FALSE),VLOOKUP($B969,Outbound!$B:$Z,4,FALSE)),"ON ROCS/NOT ON FILE"),"")</f>
        <v/>
      </c>
      <c r="E969" s="387" t="str">
        <f>IF($B969&lt;&gt;"",IFERROR(IF(LEFT($B969,4)=$Z$2,VLOOKUP($C969,Outbound!$B:$Z,5,FALSE),VLOOKUP($B969,Outbound!$B:$Z,5,FALSE)),"ON ROCS/NOT ON FILE"),"")</f>
        <v/>
      </c>
      <c r="F969" s="387" t="str">
        <f>IF(B969&lt;&gt;"",IFERROR(IF(LEFT($B969,3)=$Z$2,VLOOKUP($C969,Outbound!$B:$Z,11,FALSE),VLOOKUP($B969,Outbound!$B:$Z,11,FALSE)),"NON TROVATO"),"")</f>
        <v/>
      </c>
      <c r="G969" s="394" t="str">
        <f>IF(B969&lt;&gt;"",IFERROR(IF(LEFT($B969,3)=$Z$2,VLOOKUP($C969,Outbound!$B:$AAZ,16,FALSE),VLOOKUP($B969,Outbound!$B:$AAZ,16,FALSE)),"NON TROVATO"),"")</f>
        <v/>
      </c>
      <c r="H969" s="394" t="str">
        <f>IF(B969&lt;&gt;"",IFERROR(IF(LEFT($B969,3)=$Z$2,VLOOKUP($C969,Outbound!$B:$AAZ,6,FALSE),VLOOKUP($B969,Outbound!$B:$AAZ,6,FALSE)),"NON TROVATO"),"")</f>
        <v/>
      </c>
      <c r="I969" s="394" t="str">
        <f>IF(B969&lt;&gt;"",IFERROR(IF(LEFT($B969,3)=$Z$2,VLOOKUP($C969,Outbound!$B:$AAZ,52,FALSE),VLOOKUP($B969,Outbound!$B:$AAZ,52,FALSE)),"NON TROVATO"),"")</f>
        <v/>
      </c>
      <c r="J969" s="396"/>
      <c r="K969" s="387" t="str">
        <f>IF(B969&lt;&gt;"",IF($D969&lt;&gt;"ON ROCS/NOT ON FILE",IFERROR(_xlfn.XLOOKUP(LEFT($D969,3),'STAT 77 Table'!$B:$B,'STAT 77 Table'!$A:$A),"ZZ"&amp;RIGHT($B969,4)),""),"")</f>
        <v/>
      </c>
      <c r="L969" s="396"/>
      <c r="O969" s="388"/>
      <c r="P969" s="388"/>
      <c r="AA969" s="421">
        <f t="shared" si="15"/>
        <v>0</v>
      </c>
    </row>
    <row r="970" spans="1:27" ht="16.5">
      <c r="A970" s="387">
        <f>'STAT 77 Table'!$I$969</f>
        <v>0</v>
      </c>
      <c r="B970"/>
      <c r="C970"/>
      <c r="D970" s="387" t="str">
        <f>IF($B970&lt;&gt;"",IFERROR(IF(LEFT($B970,3)=$Z$2,VLOOKUP($C970,Outbound!$B:$Z,4,FALSE),VLOOKUP($B970,Outbound!$B:$Z,4,FALSE)),"ON ROCS/NOT ON FILE"),"")</f>
        <v/>
      </c>
      <c r="E970" s="387" t="str">
        <f>IF($B970&lt;&gt;"",IFERROR(IF(LEFT($B970,4)=$Z$2,VLOOKUP($C970,Outbound!$B:$Z,5,FALSE),VLOOKUP($B970,Outbound!$B:$Z,5,FALSE)),"ON ROCS/NOT ON FILE"),"")</f>
        <v/>
      </c>
      <c r="F970" s="387" t="str">
        <f>IF(B970&lt;&gt;"",IFERROR(IF(LEFT($B970,3)=$Z$2,VLOOKUP($C970,Outbound!$B:$Z,11,FALSE),VLOOKUP($B970,Outbound!$B:$Z,11,FALSE)),"NON TROVATO"),"")</f>
        <v/>
      </c>
      <c r="G970" s="394" t="str">
        <f>IF(B970&lt;&gt;"",IFERROR(IF(LEFT($B970,3)=$Z$2,VLOOKUP($C970,Outbound!$B:$AAZ,16,FALSE),VLOOKUP($B970,Outbound!$B:$AAZ,16,FALSE)),"NON TROVATO"),"")</f>
        <v/>
      </c>
      <c r="H970" s="394" t="str">
        <f>IF(B970&lt;&gt;"",IFERROR(IF(LEFT($B970,3)=$Z$2,VLOOKUP($C970,Outbound!$B:$AAZ,6,FALSE),VLOOKUP($B970,Outbound!$B:$AAZ,6,FALSE)),"NON TROVATO"),"")</f>
        <v/>
      </c>
      <c r="I970" s="394" t="str">
        <f>IF(B970&lt;&gt;"",IFERROR(IF(LEFT($B970,3)=$Z$2,VLOOKUP($C970,Outbound!$B:$AAZ,52,FALSE),VLOOKUP($B970,Outbound!$B:$AAZ,52,FALSE)),"NON TROVATO"),"")</f>
        <v/>
      </c>
      <c r="J970" s="396"/>
      <c r="K970" s="387" t="str">
        <f>IF(B970&lt;&gt;"",IF($D970&lt;&gt;"ON ROCS/NOT ON FILE",IFERROR(_xlfn.XLOOKUP(LEFT($D970,3),'STAT 77 Table'!$B:$B,'STAT 77 Table'!$A:$A),"ZZ"&amp;RIGHT($B970,4)),""),"")</f>
        <v/>
      </c>
      <c r="L970" s="396"/>
      <c r="O970" s="388"/>
      <c r="P970" s="388"/>
      <c r="AA970" s="421">
        <f t="shared" si="15"/>
        <v>0</v>
      </c>
    </row>
    <row r="971" spans="1:27" ht="16.5">
      <c r="A971" s="387">
        <f>'STAT 77 Table'!$I$970</f>
        <v>0</v>
      </c>
      <c r="B971"/>
      <c r="C971"/>
      <c r="D971" s="387" t="str">
        <f>IF($B971&lt;&gt;"",IFERROR(IF(LEFT($B971,3)=$Z$2,VLOOKUP($C971,Outbound!$B:$Z,4,FALSE),VLOOKUP($B971,Outbound!$B:$Z,4,FALSE)),"ON ROCS/NOT ON FILE"),"")</f>
        <v/>
      </c>
      <c r="E971" s="387" t="str">
        <f>IF($B971&lt;&gt;"",IFERROR(IF(LEFT($B971,4)=$Z$2,VLOOKUP($C971,Outbound!$B:$Z,5,FALSE),VLOOKUP($B971,Outbound!$B:$Z,5,FALSE)),"ON ROCS/NOT ON FILE"),"")</f>
        <v/>
      </c>
      <c r="F971" s="387" t="str">
        <f>IF(B971&lt;&gt;"",IFERROR(IF(LEFT($B971,3)=$Z$2,VLOOKUP($C971,Outbound!$B:$Z,11,FALSE),VLOOKUP($B971,Outbound!$B:$Z,11,FALSE)),"NON TROVATO"),"")</f>
        <v/>
      </c>
      <c r="G971" s="394" t="str">
        <f>IF(B971&lt;&gt;"",IFERROR(IF(LEFT($B971,3)=$Z$2,VLOOKUP($C971,Outbound!$B:$AAZ,16,FALSE),VLOOKUP($B971,Outbound!$B:$AAZ,16,FALSE)),"NON TROVATO"),"")</f>
        <v/>
      </c>
      <c r="H971" s="394" t="str">
        <f>IF(B971&lt;&gt;"",IFERROR(IF(LEFT($B971,3)=$Z$2,VLOOKUP($C971,Outbound!$B:$AAZ,6,FALSE),VLOOKUP($B971,Outbound!$B:$AAZ,6,FALSE)),"NON TROVATO"),"")</f>
        <v/>
      </c>
      <c r="I971" s="394" t="str">
        <f>IF(B971&lt;&gt;"",IFERROR(IF(LEFT($B971,3)=$Z$2,VLOOKUP($C971,Outbound!$B:$AAZ,52,FALSE),VLOOKUP($B971,Outbound!$B:$AAZ,52,FALSE)),"NON TROVATO"),"")</f>
        <v/>
      </c>
      <c r="J971" s="396"/>
      <c r="K971" s="387" t="str">
        <f>IF(B971&lt;&gt;"",IF($D971&lt;&gt;"ON ROCS/NOT ON FILE",IFERROR(_xlfn.XLOOKUP(LEFT($D971,3),'STAT 77 Table'!$B:$B,'STAT 77 Table'!$A:$A),"ZZ"&amp;RIGHT($B971,4)),""),"")</f>
        <v/>
      </c>
      <c r="L971" s="396"/>
      <c r="O971" s="388"/>
      <c r="P971" s="388"/>
      <c r="AA971" s="421">
        <f t="shared" si="15"/>
        <v>0</v>
      </c>
    </row>
    <row r="972" spans="1:27" ht="16.5">
      <c r="A972" s="387">
        <f>'STAT 77 Table'!$I$971</f>
        <v>0</v>
      </c>
      <c r="B972"/>
      <c r="C972"/>
      <c r="D972" s="387" t="str">
        <f>IF($B972&lt;&gt;"",IFERROR(IF(LEFT($B972,3)=$Z$2,VLOOKUP($C972,Outbound!$B:$Z,4,FALSE),VLOOKUP($B972,Outbound!$B:$Z,4,FALSE)),"ON ROCS/NOT ON FILE"),"")</f>
        <v/>
      </c>
      <c r="E972" s="387" t="str">
        <f>IF($B972&lt;&gt;"",IFERROR(IF(LEFT($B972,4)=$Z$2,VLOOKUP($C972,Outbound!$B:$Z,5,FALSE),VLOOKUP($B972,Outbound!$B:$Z,5,FALSE)),"ON ROCS/NOT ON FILE"),"")</f>
        <v/>
      </c>
      <c r="F972" s="387" t="str">
        <f>IF(B972&lt;&gt;"",IFERROR(IF(LEFT($B972,3)=$Z$2,VLOOKUP($C972,Outbound!$B:$Z,11,FALSE),VLOOKUP($B972,Outbound!$B:$Z,11,FALSE)),"NON TROVATO"),"")</f>
        <v/>
      </c>
      <c r="G972" s="394" t="str">
        <f>IF(B972&lt;&gt;"",IFERROR(IF(LEFT($B972,3)=$Z$2,VLOOKUP($C972,Outbound!$B:$AAZ,16,FALSE),VLOOKUP($B972,Outbound!$B:$AAZ,16,FALSE)),"NON TROVATO"),"")</f>
        <v/>
      </c>
      <c r="H972" s="394" t="str">
        <f>IF(B972&lt;&gt;"",IFERROR(IF(LEFT($B972,3)=$Z$2,VLOOKUP($C972,Outbound!$B:$AAZ,6,FALSE),VLOOKUP($B972,Outbound!$B:$AAZ,6,FALSE)),"NON TROVATO"),"")</f>
        <v/>
      </c>
      <c r="I972" s="394" t="str">
        <f>IF(B972&lt;&gt;"",IFERROR(IF(LEFT($B972,3)=$Z$2,VLOOKUP($C972,Outbound!$B:$AAZ,52,FALSE),VLOOKUP($B972,Outbound!$B:$AAZ,52,FALSE)),"NON TROVATO"),"")</f>
        <v/>
      </c>
      <c r="J972" s="396"/>
      <c r="K972" s="387" t="str">
        <f>IF(B972&lt;&gt;"",IF($D972&lt;&gt;"ON ROCS/NOT ON FILE",IFERROR(_xlfn.XLOOKUP(LEFT($D972,3),'STAT 77 Table'!$B:$B,'STAT 77 Table'!$A:$A),"ZZ"&amp;RIGHT($B972,4)),""),"")</f>
        <v/>
      </c>
      <c r="L972" s="396"/>
      <c r="O972" s="388"/>
      <c r="P972" s="388"/>
      <c r="AA972" s="421">
        <f t="shared" si="15"/>
        <v>0</v>
      </c>
    </row>
    <row r="973" spans="1:27" ht="16.5">
      <c r="A973" s="387">
        <f>'STAT 77 Table'!$I$972</f>
        <v>0</v>
      </c>
      <c r="B973"/>
      <c r="C973"/>
      <c r="D973" s="387" t="str">
        <f>IF($B973&lt;&gt;"",IFERROR(IF(LEFT($B973,3)=$Z$2,VLOOKUP($C973,Outbound!$B:$Z,4,FALSE),VLOOKUP($B973,Outbound!$B:$Z,4,FALSE)),"ON ROCS/NOT ON FILE"),"")</f>
        <v/>
      </c>
      <c r="E973" s="387" t="str">
        <f>IF($B973&lt;&gt;"",IFERROR(IF(LEFT($B973,4)=$Z$2,VLOOKUP($C973,Outbound!$B:$Z,5,FALSE),VLOOKUP($B973,Outbound!$B:$Z,5,FALSE)),"ON ROCS/NOT ON FILE"),"")</f>
        <v/>
      </c>
      <c r="F973" s="387" t="str">
        <f>IF(B973&lt;&gt;"",IFERROR(IF(LEFT($B973,3)=$Z$2,VLOOKUP($C973,Outbound!$B:$Z,11,FALSE),VLOOKUP($B973,Outbound!$B:$Z,11,FALSE)),"NON TROVATO"),"")</f>
        <v/>
      </c>
      <c r="G973" s="394" t="str">
        <f>IF(B973&lt;&gt;"",IFERROR(IF(LEFT($B973,3)=$Z$2,VLOOKUP($C973,Outbound!$B:$AAZ,16,FALSE),VLOOKUP($B973,Outbound!$B:$AAZ,16,FALSE)),"NON TROVATO"),"")</f>
        <v/>
      </c>
      <c r="H973" s="394" t="str">
        <f>IF(B973&lt;&gt;"",IFERROR(IF(LEFT($B973,3)=$Z$2,VLOOKUP($C973,Outbound!$B:$AAZ,6,FALSE),VLOOKUP($B973,Outbound!$B:$AAZ,6,FALSE)),"NON TROVATO"),"")</f>
        <v/>
      </c>
      <c r="I973" s="394" t="str">
        <f>IF(B973&lt;&gt;"",IFERROR(IF(LEFT($B973,3)=$Z$2,VLOOKUP($C973,Outbound!$B:$AAZ,52,FALSE),VLOOKUP($B973,Outbound!$B:$AAZ,52,FALSE)),"NON TROVATO"),"")</f>
        <v/>
      </c>
      <c r="J973" s="396"/>
      <c r="K973" s="387" t="str">
        <f>IF(B973&lt;&gt;"",IF($D973&lt;&gt;"ON ROCS/NOT ON FILE",IFERROR(_xlfn.XLOOKUP(LEFT($D973,3),'STAT 77 Table'!$B:$B,'STAT 77 Table'!$A:$A),"ZZ"&amp;RIGHT($B973,4)),""),"")</f>
        <v/>
      </c>
      <c r="L973" s="396"/>
      <c r="O973" s="388"/>
      <c r="P973" s="388"/>
      <c r="AA973" s="421">
        <f t="shared" si="15"/>
        <v>0</v>
      </c>
    </row>
    <row r="974" spans="1:27" ht="16.5">
      <c r="A974" s="387">
        <f>'STAT 77 Table'!$I$973</f>
        <v>0</v>
      </c>
      <c r="B974"/>
      <c r="C974"/>
      <c r="D974" s="387" t="str">
        <f>IF($B974&lt;&gt;"",IFERROR(IF(LEFT($B974,3)=$Z$2,VLOOKUP($C974,Outbound!$B:$Z,4,FALSE),VLOOKUP($B974,Outbound!$B:$Z,4,FALSE)),"ON ROCS/NOT ON FILE"),"")</f>
        <v/>
      </c>
      <c r="E974" s="387" t="str">
        <f>IF($B974&lt;&gt;"",IFERROR(IF(LEFT($B974,4)=$Z$2,VLOOKUP($C974,Outbound!$B:$Z,5,FALSE),VLOOKUP($B974,Outbound!$B:$Z,5,FALSE)),"ON ROCS/NOT ON FILE"),"")</f>
        <v/>
      </c>
      <c r="F974" s="387" t="str">
        <f>IF(B974&lt;&gt;"",IFERROR(IF(LEFT($B974,3)=$Z$2,VLOOKUP($C974,Outbound!$B:$Z,11,FALSE),VLOOKUP($B974,Outbound!$B:$Z,11,FALSE)),"NON TROVATO"),"")</f>
        <v/>
      </c>
      <c r="G974" s="394" t="str">
        <f>IF(B974&lt;&gt;"",IFERROR(IF(LEFT($B974,3)=$Z$2,VLOOKUP($C974,Outbound!$B:$AAZ,16,FALSE),VLOOKUP($B974,Outbound!$B:$AAZ,16,FALSE)),"NON TROVATO"),"")</f>
        <v/>
      </c>
      <c r="H974" s="394" t="str">
        <f>IF(B974&lt;&gt;"",IFERROR(IF(LEFT($B974,3)=$Z$2,VLOOKUP($C974,Outbound!$B:$AAZ,6,FALSE),VLOOKUP($B974,Outbound!$B:$AAZ,6,FALSE)),"NON TROVATO"),"")</f>
        <v/>
      </c>
      <c r="I974" s="394" t="str">
        <f>IF(B974&lt;&gt;"",IFERROR(IF(LEFT($B974,3)=$Z$2,VLOOKUP($C974,Outbound!$B:$AAZ,52,FALSE),VLOOKUP($B974,Outbound!$B:$AAZ,52,FALSE)),"NON TROVATO"),"")</f>
        <v/>
      </c>
      <c r="J974" s="396"/>
      <c r="K974" s="387" t="str">
        <f>IF(B974&lt;&gt;"",IF($D974&lt;&gt;"ON ROCS/NOT ON FILE",IFERROR(_xlfn.XLOOKUP(LEFT($D974,3),'STAT 77 Table'!$B:$B,'STAT 77 Table'!$A:$A),"ZZ"&amp;RIGHT($B974,4)),""),"")</f>
        <v/>
      </c>
      <c r="L974" s="396"/>
      <c r="O974" s="388"/>
      <c r="P974" s="388"/>
      <c r="AA974" s="421">
        <f t="shared" si="15"/>
        <v>0</v>
      </c>
    </row>
    <row r="975" spans="1:27" ht="16.5">
      <c r="A975" s="387">
        <f>'STAT 77 Table'!$I$974</f>
        <v>0</v>
      </c>
      <c r="B975"/>
      <c r="C975"/>
      <c r="D975" s="387" t="str">
        <f>IF($B975&lt;&gt;"",IFERROR(IF(LEFT($B975,3)=$Z$2,VLOOKUP($C975,Outbound!$B:$Z,4,FALSE),VLOOKUP($B975,Outbound!$B:$Z,4,FALSE)),"ON ROCS/NOT ON FILE"),"")</f>
        <v/>
      </c>
      <c r="E975" s="387" t="str">
        <f>IF($B975&lt;&gt;"",IFERROR(IF(LEFT($B975,4)=$Z$2,VLOOKUP($C975,Outbound!$B:$Z,5,FALSE),VLOOKUP($B975,Outbound!$B:$Z,5,FALSE)),"ON ROCS/NOT ON FILE"),"")</f>
        <v/>
      </c>
      <c r="F975" s="387" t="str">
        <f>IF(B975&lt;&gt;"",IFERROR(IF(LEFT($B975,3)=$Z$2,VLOOKUP($C975,Outbound!$B:$Z,11,FALSE),VLOOKUP($B975,Outbound!$B:$Z,11,FALSE)),"NON TROVATO"),"")</f>
        <v/>
      </c>
      <c r="G975" s="394" t="str">
        <f>IF(B975&lt;&gt;"",IFERROR(IF(LEFT($B975,3)=$Z$2,VLOOKUP($C975,Outbound!$B:$AAZ,16,FALSE),VLOOKUP($B975,Outbound!$B:$AAZ,16,FALSE)),"NON TROVATO"),"")</f>
        <v/>
      </c>
      <c r="H975" s="394" t="str">
        <f>IF(B975&lt;&gt;"",IFERROR(IF(LEFT($B975,3)=$Z$2,VLOOKUP($C975,Outbound!$B:$AAZ,6,FALSE),VLOOKUP($B975,Outbound!$B:$AAZ,6,FALSE)),"NON TROVATO"),"")</f>
        <v/>
      </c>
      <c r="I975" s="394" t="str">
        <f>IF(B975&lt;&gt;"",IFERROR(IF(LEFT($B975,3)=$Z$2,VLOOKUP($C975,Outbound!$B:$AAZ,52,FALSE),VLOOKUP($B975,Outbound!$B:$AAZ,52,FALSE)),"NON TROVATO"),"")</f>
        <v/>
      </c>
      <c r="J975" s="396"/>
      <c r="K975" s="387" t="str">
        <f>IF(B975&lt;&gt;"",IF($D975&lt;&gt;"ON ROCS/NOT ON FILE",IFERROR(_xlfn.XLOOKUP(LEFT($D975,3),'STAT 77 Table'!$B:$B,'STAT 77 Table'!$A:$A),"ZZ"&amp;RIGHT($B975,4)),""),"")</f>
        <v/>
      </c>
      <c r="L975" s="396"/>
      <c r="O975" s="388"/>
      <c r="P975" s="388"/>
      <c r="AA975" s="421">
        <f t="shared" si="15"/>
        <v>0</v>
      </c>
    </row>
    <row r="976" spans="1:27" ht="16.5">
      <c r="A976" s="387">
        <f>'STAT 77 Table'!$I$975</f>
        <v>0</v>
      </c>
      <c r="B976"/>
      <c r="C976"/>
      <c r="D976" s="387" t="str">
        <f>IF($B976&lt;&gt;"",IFERROR(IF(LEFT($B976,3)=$Z$2,VLOOKUP($C976,Outbound!$B:$Z,4,FALSE),VLOOKUP($B976,Outbound!$B:$Z,4,FALSE)),"ON ROCS/NOT ON FILE"),"")</f>
        <v/>
      </c>
      <c r="E976" s="387" t="str">
        <f>IF($B976&lt;&gt;"",IFERROR(IF(LEFT($B976,4)=$Z$2,VLOOKUP($C976,Outbound!$B:$Z,5,FALSE),VLOOKUP($B976,Outbound!$B:$Z,5,FALSE)),"ON ROCS/NOT ON FILE"),"")</f>
        <v/>
      </c>
      <c r="F976" s="387" t="str">
        <f>IF(B976&lt;&gt;"",IFERROR(IF(LEFT($B976,3)=$Z$2,VLOOKUP($C976,Outbound!$B:$Z,11,FALSE),VLOOKUP($B976,Outbound!$B:$Z,11,FALSE)),"NON TROVATO"),"")</f>
        <v/>
      </c>
      <c r="G976" s="394" t="str">
        <f>IF(B976&lt;&gt;"",IFERROR(IF(LEFT($B976,3)=$Z$2,VLOOKUP($C976,Outbound!$B:$AAZ,16,FALSE),VLOOKUP($B976,Outbound!$B:$AAZ,16,FALSE)),"NON TROVATO"),"")</f>
        <v/>
      </c>
      <c r="H976" s="394" t="str">
        <f>IF(B976&lt;&gt;"",IFERROR(IF(LEFT($B976,3)=$Z$2,VLOOKUP($C976,Outbound!$B:$AAZ,6,FALSE),VLOOKUP($B976,Outbound!$B:$AAZ,6,FALSE)),"NON TROVATO"),"")</f>
        <v/>
      </c>
      <c r="I976" s="394" t="str">
        <f>IF(B976&lt;&gt;"",IFERROR(IF(LEFT($B976,3)=$Z$2,VLOOKUP($C976,Outbound!$B:$AAZ,52,FALSE),VLOOKUP($B976,Outbound!$B:$AAZ,52,FALSE)),"NON TROVATO"),"")</f>
        <v/>
      </c>
      <c r="J976" s="396"/>
      <c r="K976" s="387" t="str">
        <f>IF(B976&lt;&gt;"",IF($D976&lt;&gt;"ON ROCS/NOT ON FILE",IFERROR(_xlfn.XLOOKUP(LEFT($D976,3),'STAT 77 Table'!$B:$B,'STAT 77 Table'!$A:$A),"ZZ"&amp;RIGHT($B976,4)),""),"")</f>
        <v/>
      </c>
      <c r="L976" s="396"/>
      <c r="O976" s="388"/>
      <c r="P976" s="388"/>
      <c r="AA976" s="421">
        <f t="shared" si="15"/>
        <v>0</v>
      </c>
    </row>
    <row r="977" spans="1:27" ht="16.5">
      <c r="A977" s="387">
        <f>'STAT 77 Table'!$I$976</f>
        <v>0</v>
      </c>
      <c r="B977"/>
      <c r="C977"/>
      <c r="D977" s="387" t="str">
        <f>IF($B977&lt;&gt;"",IFERROR(IF(LEFT($B977,3)=$Z$2,VLOOKUP($C977,Outbound!$B:$Z,4,FALSE),VLOOKUP($B977,Outbound!$B:$Z,4,FALSE)),"ON ROCS/NOT ON FILE"),"")</f>
        <v/>
      </c>
      <c r="E977" s="387" t="str">
        <f>IF($B977&lt;&gt;"",IFERROR(IF(LEFT($B977,4)=$Z$2,VLOOKUP($C977,Outbound!$B:$Z,5,FALSE),VLOOKUP($B977,Outbound!$B:$Z,5,FALSE)),"ON ROCS/NOT ON FILE"),"")</f>
        <v/>
      </c>
      <c r="F977" s="387" t="str">
        <f>IF(B977&lt;&gt;"",IFERROR(IF(LEFT($B977,3)=$Z$2,VLOOKUP($C977,Outbound!$B:$Z,11,FALSE),VLOOKUP($B977,Outbound!$B:$Z,11,FALSE)),"NON TROVATO"),"")</f>
        <v/>
      </c>
      <c r="G977" s="394" t="str">
        <f>IF(B977&lt;&gt;"",IFERROR(IF(LEFT($B977,3)=$Z$2,VLOOKUP($C977,Outbound!$B:$AAZ,16,FALSE),VLOOKUP($B977,Outbound!$B:$AAZ,16,FALSE)),"NON TROVATO"),"")</f>
        <v/>
      </c>
      <c r="H977" s="394" t="str">
        <f>IF(B977&lt;&gt;"",IFERROR(IF(LEFT($B977,3)=$Z$2,VLOOKUP($C977,Outbound!$B:$AAZ,6,FALSE),VLOOKUP($B977,Outbound!$B:$AAZ,6,FALSE)),"NON TROVATO"),"")</f>
        <v/>
      </c>
      <c r="I977" s="394" t="str">
        <f>IF(B977&lt;&gt;"",IFERROR(IF(LEFT($B977,3)=$Z$2,VLOOKUP($C977,Outbound!$B:$AAZ,52,FALSE),VLOOKUP($B977,Outbound!$B:$AAZ,52,FALSE)),"NON TROVATO"),"")</f>
        <v/>
      </c>
      <c r="J977" s="396"/>
      <c r="K977" s="387" t="str">
        <f>IF(B977&lt;&gt;"",IF($D977&lt;&gt;"ON ROCS/NOT ON FILE",IFERROR(_xlfn.XLOOKUP(LEFT($D977,3),'STAT 77 Table'!$B:$B,'STAT 77 Table'!$A:$A),"ZZ"&amp;RIGHT($B977,4)),""),"")</f>
        <v/>
      </c>
      <c r="L977" s="396"/>
      <c r="O977" s="388"/>
      <c r="P977" s="388"/>
      <c r="AA977" s="421">
        <f t="shared" si="15"/>
        <v>0</v>
      </c>
    </row>
    <row r="978" spans="1:27" ht="16.5">
      <c r="A978" s="387">
        <f>'STAT 77 Table'!$I$977</f>
        <v>0</v>
      </c>
      <c r="B978"/>
      <c r="C978"/>
      <c r="D978" s="387" t="str">
        <f>IF($B978&lt;&gt;"",IFERROR(IF(LEFT($B978,3)=$Z$2,VLOOKUP($C978,Outbound!$B:$Z,4,FALSE),VLOOKUP($B978,Outbound!$B:$Z,4,FALSE)),"ON ROCS/NOT ON FILE"),"")</f>
        <v/>
      </c>
      <c r="E978" s="387" t="str">
        <f>IF($B978&lt;&gt;"",IFERROR(IF(LEFT($B978,4)=$Z$2,VLOOKUP($C978,Outbound!$B:$Z,5,FALSE),VLOOKUP($B978,Outbound!$B:$Z,5,FALSE)),"ON ROCS/NOT ON FILE"),"")</f>
        <v/>
      </c>
      <c r="F978" s="387" t="str">
        <f>IF(B978&lt;&gt;"",IFERROR(IF(LEFT($B978,3)=$Z$2,VLOOKUP($C978,Outbound!$B:$Z,11,FALSE),VLOOKUP($B978,Outbound!$B:$Z,11,FALSE)),"NON TROVATO"),"")</f>
        <v/>
      </c>
      <c r="G978" s="394" t="str">
        <f>IF(B978&lt;&gt;"",IFERROR(IF(LEFT($B978,3)=$Z$2,VLOOKUP($C978,Outbound!$B:$AAZ,16,FALSE),VLOOKUP($B978,Outbound!$B:$AAZ,16,FALSE)),"NON TROVATO"),"")</f>
        <v/>
      </c>
      <c r="H978" s="394" t="str">
        <f>IF(B978&lt;&gt;"",IFERROR(IF(LEFT($B978,3)=$Z$2,VLOOKUP($C978,Outbound!$B:$AAZ,6,FALSE),VLOOKUP($B978,Outbound!$B:$AAZ,6,FALSE)),"NON TROVATO"),"")</f>
        <v/>
      </c>
      <c r="I978" s="394" t="str">
        <f>IF(B978&lt;&gt;"",IFERROR(IF(LEFT($B978,3)=$Z$2,VLOOKUP($C978,Outbound!$B:$AAZ,52,FALSE),VLOOKUP($B978,Outbound!$B:$AAZ,52,FALSE)),"NON TROVATO"),"")</f>
        <v/>
      </c>
      <c r="J978" s="396"/>
      <c r="K978" s="387" t="str">
        <f>IF(B978&lt;&gt;"",IF($D978&lt;&gt;"ON ROCS/NOT ON FILE",IFERROR(_xlfn.XLOOKUP(LEFT($D978,3),'STAT 77 Table'!$B:$B,'STAT 77 Table'!$A:$A),"ZZ"&amp;RIGHT($B978,4)),""),"")</f>
        <v/>
      </c>
      <c r="L978" s="396"/>
      <c r="O978" s="388"/>
      <c r="P978" s="388"/>
      <c r="AA978" s="421">
        <f t="shared" si="15"/>
        <v>0</v>
      </c>
    </row>
    <row r="979" spans="1:27" ht="16.5">
      <c r="A979" s="387">
        <f>'STAT 77 Table'!$I$978</f>
        <v>0</v>
      </c>
      <c r="B979"/>
      <c r="C979"/>
      <c r="D979" s="387" t="str">
        <f>IF($B979&lt;&gt;"",IFERROR(IF(LEFT($B979,3)=$Z$2,VLOOKUP($C979,Outbound!$B:$Z,4,FALSE),VLOOKUP($B979,Outbound!$B:$Z,4,FALSE)),"ON ROCS/NOT ON FILE"),"")</f>
        <v/>
      </c>
      <c r="E979" s="387" t="str">
        <f>IF($B979&lt;&gt;"",IFERROR(IF(LEFT($B979,4)=$Z$2,VLOOKUP($C979,Outbound!$B:$Z,5,FALSE),VLOOKUP($B979,Outbound!$B:$Z,5,FALSE)),"ON ROCS/NOT ON FILE"),"")</f>
        <v/>
      </c>
      <c r="F979" s="387" t="str">
        <f>IF(B979&lt;&gt;"",IFERROR(IF(LEFT($B979,3)=$Z$2,VLOOKUP($C979,Outbound!$B:$Z,11,FALSE),VLOOKUP($B979,Outbound!$B:$Z,11,FALSE)),"NON TROVATO"),"")</f>
        <v/>
      </c>
      <c r="G979" s="394" t="str">
        <f>IF(B979&lt;&gt;"",IFERROR(IF(LEFT($B979,3)=$Z$2,VLOOKUP($C979,Outbound!$B:$AAZ,16,FALSE),VLOOKUP($B979,Outbound!$B:$AAZ,16,FALSE)),"NON TROVATO"),"")</f>
        <v/>
      </c>
      <c r="H979" s="394" t="str">
        <f>IF(B979&lt;&gt;"",IFERROR(IF(LEFT($B979,3)=$Z$2,VLOOKUP($C979,Outbound!$B:$AAZ,6,FALSE),VLOOKUP($B979,Outbound!$B:$AAZ,6,FALSE)),"NON TROVATO"),"")</f>
        <v/>
      </c>
      <c r="I979" s="394" t="str">
        <f>IF(B979&lt;&gt;"",IFERROR(IF(LEFT($B979,3)=$Z$2,VLOOKUP($C979,Outbound!$B:$AAZ,52,FALSE),VLOOKUP($B979,Outbound!$B:$AAZ,52,FALSE)),"NON TROVATO"),"")</f>
        <v/>
      </c>
      <c r="J979" s="396"/>
      <c r="K979" s="387" t="str">
        <f>IF(B979&lt;&gt;"",IF($D979&lt;&gt;"ON ROCS/NOT ON FILE",IFERROR(_xlfn.XLOOKUP(LEFT($D979,3),'STAT 77 Table'!$B:$B,'STAT 77 Table'!$A:$A),"ZZ"&amp;RIGHT($B979,4)),""),"")</f>
        <v/>
      </c>
      <c r="L979" s="396"/>
      <c r="O979" s="388"/>
      <c r="P979" s="388"/>
      <c r="AA979" s="421">
        <f t="shared" si="15"/>
        <v>0</v>
      </c>
    </row>
    <row r="980" spans="1:27" ht="16.5">
      <c r="A980" s="387">
        <f>'STAT 77 Table'!$I$979</f>
        <v>0</v>
      </c>
      <c r="B980"/>
      <c r="C980"/>
      <c r="D980" s="387" t="str">
        <f>IF($B980&lt;&gt;"",IFERROR(IF(LEFT($B980,3)=$Z$2,VLOOKUP($C980,Outbound!$B:$Z,4,FALSE),VLOOKUP($B980,Outbound!$B:$Z,4,FALSE)),"ON ROCS/NOT ON FILE"),"")</f>
        <v/>
      </c>
      <c r="E980" s="387" t="str">
        <f>IF($B980&lt;&gt;"",IFERROR(IF(LEFT($B980,4)=$Z$2,VLOOKUP($C980,Outbound!$B:$Z,5,FALSE),VLOOKUP($B980,Outbound!$B:$Z,5,FALSE)),"ON ROCS/NOT ON FILE"),"")</f>
        <v/>
      </c>
      <c r="F980" s="387" t="str">
        <f>IF(B980&lt;&gt;"",IFERROR(IF(LEFT($B980,3)=$Z$2,VLOOKUP($C980,Outbound!$B:$Z,11,FALSE),VLOOKUP($B980,Outbound!$B:$Z,11,FALSE)),"NON TROVATO"),"")</f>
        <v/>
      </c>
      <c r="G980" s="394" t="str">
        <f>IF(B980&lt;&gt;"",IFERROR(IF(LEFT($B980,3)=$Z$2,VLOOKUP($C980,Outbound!$B:$AAZ,16,FALSE),VLOOKUP($B980,Outbound!$B:$AAZ,16,FALSE)),"NON TROVATO"),"")</f>
        <v/>
      </c>
      <c r="H980" s="394" t="str">
        <f>IF(B980&lt;&gt;"",IFERROR(IF(LEFT($B980,3)=$Z$2,VLOOKUP($C980,Outbound!$B:$AAZ,6,FALSE),VLOOKUP($B980,Outbound!$B:$AAZ,6,FALSE)),"NON TROVATO"),"")</f>
        <v/>
      </c>
      <c r="I980" s="394" t="str">
        <f>IF(B980&lt;&gt;"",IFERROR(IF(LEFT($B980,3)=$Z$2,VLOOKUP($C980,Outbound!$B:$AAZ,52,FALSE),VLOOKUP($B980,Outbound!$B:$AAZ,52,FALSE)),"NON TROVATO"),"")</f>
        <v/>
      </c>
      <c r="J980" s="396"/>
      <c r="K980" s="387" t="str">
        <f>IF(B980&lt;&gt;"",IF($D980&lt;&gt;"ON ROCS/NOT ON FILE",IFERROR(_xlfn.XLOOKUP(LEFT($D980,3),'STAT 77 Table'!$B:$B,'STAT 77 Table'!$A:$A),"ZZ"&amp;RIGHT($B980,4)),""),"")</f>
        <v/>
      </c>
      <c r="L980" s="396"/>
      <c r="O980" s="388"/>
      <c r="P980" s="388"/>
      <c r="AA980" s="421">
        <f t="shared" si="15"/>
        <v>0</v>
      </c>
    </row>
    <row r="981" spans="1:27" ht="16.5">
      <c r="A981" s="387">
        <f>'STAT 77 Table'!$I$980</f>
        <v>0</v>
      </c>
      <c r="B981"/>
      <c r="C981"/>
      <c r="D981" s="387" t="str">
        <f>IF($B981&lt;&gt;"",IFERROR(IF(LEFT($B981,3)=$Z$2,VLOOKUP($C981,Outbound!$B:$Z,4,FALSE),VLOOKUP($B981,Outbound!$B:$Z,4,FALSE)),"ON ROCS/NOT ON FILE"),"")</f>
        <v/>
      </c>
      <c r="E981" s="387" t="str">
        <f>IF($B981&lt;&gt;"",IFERROR(IF(LEFT($B981,4)=$Z$2,VLOOKUP($C981,Outbound!$B:$Z,5,FALSE),VLOOKUP($B981,Outbound!$B:$Z,5,FALSE)),"ON ROCS/NOT ON FILE"),"")</f>
        <v/>
      </c>
      <c r="F981" s="387" t="str">
        <f>IF(B981&lt;&gt;"",IFERROR(IF(LEFT($B981,3)=$Z$2,VLOOKUP($C981,Outbound!$B:$Z,11,FALSE),VLOOKUP($B981,Outbound!$B:$Z,11,FALSE)),"NON TROVATO"),"")</f>
        <v/>
      </c>
      <c r="G981" s="394" t="str">
        <f>IF(B981&lt;&gt;"",IFERROR(IF(LEFT($B981,3)=$Z$2,VLOOKUP($C981,Outbound!$B:$AAZ,16,FALSE),VLOOKUP($B981,Outbound!$B:$AAZ,16,FALSE)),"NON TROVATO"),"")</f>
        <v/>
      </c>
      <c r="H981" s="394" t="str">
        <f>IF(B981&lt;&gt;"",IFERROR(IF(LEFT($B981,3)=$Z$2,VLOOKUP($C981,Outbound!$B:$AAZ,6,FALSE),VLOOKUP($B981,Outbound!$B:$AAZ,6,FALSE)),"NON TROVATO"),"")</f>
        <v/>
      </c>
      <c r="I981" s="394" t="str">
        <f>IF(B981&lt;&gt;"",IFERROR(IF(LEFT($B981,3)=$Z$2,VLOOKUP($C981,Outbound!$B:$AAZ,52,FALSE),VLOOKUP($B981,Outbound!$B:$AAZ,52,FALSE)),"NON TROVATO"),"")</f>
        <v/>
      </c>
      <c r="J981" s="396"/>
      <c r="K981" s="387" t="str">
        <f>IF(B981&lt;&gt;"",IF($D981&lt;&gt;"ON ROCS/NOT ON FILE",IFERROR(_xlfn.XLOOKUP(LEFT($D981,3),'STAT 77 Table'!$B:$B,'STAT 77 Table'!$A:$A),"ZZ"&amp;RIGHT($B981,4)),""),"")</f>
        <v/>
      </c>
      <c r="L981" s="396"/>
      <c r="O981" s="388"/>
      <c r="P981" s="388"/>
      <c r="AA981" s="421">
        <f t="shared" si="15"/>
        <v>0</v>
      </c>
    </row>
    <row r="982" spans="1:27" ht="16.5">
      <c r="A982" s="387">
        <f>'STAT 77 Table'!$I$981</f>
        <v>0</v>
      </c>
      <c r="B982"/>
      <c r="C982"/>
      <c r="D982" s="387" t="str">
        <f>IF($B982&lt;&gt;"",IFERROR(IF(LEFT($B982,3)=$Z$2,VLOOKUP($C982,Outbound!$B:$Z,4,FALSE),VLOOKUP($B982,Outbound!$B:$Z,4,FALSE)),"ON ROCS/NOT ON FILE"),"")</f>
        <v/>
      </c>
      <c r="E982" s="387" t="str">
        <f>IF($B982&lt;&gt;"",IFERROR(IF(LEFT($B982,4)=$Z$2,VLOOKUP($C982,Outbound!$B:$Z,5,FALSE),VLOOKUP($B982,Outbound!$B:$Z,5,FALSE)),"ON ROCS/NOT ON FILE"),"")</f>
        <v/>
      </c>
      <c r="F982" s="387" t="str">
        <f>IF(B982&lt;&gt;"",IFERROR(IF(LEFT($B982,3)=$Z$2,VLOOKUP($C982,Outbound!$B:$Z,11,FALSE),VLOOKUP($B982,Outbound!$B:$Z,11,FALSE)),"NON TROVATO"),"")</f>
        <v/>
      </c>
      <c r="G982" s="394" t="str">
        <f>IF(B982&lt;&gt;"",IFERROR(IF(LEFT($B982,3)=$Z$2,VLOOKUP($C982,Outbound!$B:$AAZ,16,FALSE),VLOOKUP($B982,Outbound!$B:$AAZ,16,FALSE)),"NON TROVATO"),"")</f>
        <v/>
      </c>
      <c r="H982" s="394" t="str">
        <f>IF(B982&lt;&gt;"",IFERROR(IF(LEFT($B982,3)=$Z$2,VLOOKUP($C982,Outbound!$B:$AAZ,6,FALSE),VLOOKUP($B982,Outbound!$B:$AAZ,6,FALSE)),"NON TROVATO"),"")</f>
        <v/>
      </c>
      <c r="I982" s="394" t="str">
        <f>IF(B982&lt;&gt;"",IFERROR(IF(LEFT($B982,3)=$Z$2,VLOOKUP($C982,Outbound!$B:$AAZ,52,FALSE),VLOOKUP($B982,Outbound!$B:$AAZ,52,FALSE)),"NON TROVATO"),"")</f>
        <v/>
      </c>
      <c r="J982" s="396"/>
      <c r="K982" s="387" t="str">
        <f>IF(B982&lt;&gt;"",IF($D982&lt;&gt;"ON ROCS/NOT ON FILE",IFERROR(_xlfn.XLOOKUP(LEFT($D982,3),'STAT 77 Table'!$B:$B,'STAT 77 Table'!$A:$A),"ZZ"&amp;RIGHT($B982,4)),""),"")</f>
        <v/>
      </c>
      <c r="L982" s="396"/>
      <c r="O982" s="388"/>
      <c r="P982" s="388"/>
      <c r="AA982" s="421">
        <f t="shared" si="15"/>
        <v>0</v>
      </c>
    </row>
    <row r="983" spans="1:27" ht="16.5">
      <c r="A983" s="387">
        <f>'STAT 77 Table'!$I$982</f>
        <v>0</v>
      </c>
      <c r="B983"/>
      <c r="C983"/>
      <c r="D983" s="387" t="str">
        <f>IF($B983&lt;&gt;"",IFERROR(IF(LEFT($B983,3)=$Z$2,VLOOKUP($C983,Outbound!$B:$Z,4,FALSE),VLOOKUP($B983,Outbound!$B:$Z,4,FALSE)),"ON ROCS/NOT ON FILE"),"")</f>
        <v/>
      </c>
      <c r="E983" s="387" t="str">
        <f>IF($B983&lt;&gt;"",IFERROR(IF(LEFT($B983,4)=$Z$2,VLOOKUP($C983,Outbound!$B:$Z,5,FALSE),VLOOKUP($B983,Outbound!$B:$Z,5,FALSE)),"ON ROCS/NOT ON FILE"),"")</f>
        <v/>
      </c>
      <c r="F983" s="387" t="str">
        <f>IF(B983&lt;&gt;"",IFERROR(IF(LEFT($B983,3)=$Z$2,VLOOKUP($C983,Outbound!$B:$Z,11,FALSE),VLOOKUP($B983,Outbound!$B:$Z,11,FALSE)),"NON TROVATO"),"")</f>
        <v/>
      </c>
      <c r="G983" s="394" t="str">
        <f>IF(B983&lt;&gt;"",IFERROR(IF(LEFT($B983,3)=$Z$2,VLOOKUP($C983,Outbound!$B:$AAZ,16,FALSE),VLOOKUP($B983,Outbound!$B:$AAZ,16,FALSE)),"NON TROVATO"),"")</f>
        <v/>
      </c>
      <c r="H983" s="394" t="str">
        <f>IF(B983&lt;&gt;"",IFERROR(IF(LEFT($B983,3)=$Z$2,VLOOKUP($C983,Outbound!$B:$AAZ,6,FALSE),VLOOKUP($B983,Outbound!$B:$AAZ,6,FALSE)),"NON TROVATO"),"")</f>
        <v/>
      </c>
      <c r="I983" s="394" t="str">
        <f>IF(B983&lt;&gt;"",IFERROR(IF(LEFT($B983,3)=$Z$2,VLOOKUP($C983,Outbound!$B:$AAZ,52,FALSE),VLOOKUP($B983,Outbound!$B:$AAZ,52,FALSE)),"NON TROVATO"),"")</f>
        <v/>
      </c>
      <c r="J983" s="396"/>
      <c r="K983" s="387" t="str">
        <f>IF(B983&lt;&gt;"",IF($D983&lt;&gt;"ON ROCS/NOT ON FILE",IFERROR(_xlfn.XLOOKUP(LEFT($D983,3),'STAT 77 Table'!$B:$B,'STAT 77 Table'!$A:$A),"ZZ"&amp;RIGHT($B983,4)),""),"")</f>
        <v/>
      </c>
      <c r="L983" s="396"/>
      <c r="O983" s="388"/>
      <c r="P983" s="388"/>
      <c r="AA983" s="421">
        <f t="shared" si="15"/>
        <v>0</v>
      </c>
    </row>
    <row r="984" spans="1:27" ht="16.5">
      <c r="A984" s="387">
        <f>'STAT 77 Table'!$I$983</f>
        <v>0</v>
      </c>
      <c r="B984"/>
      <c r="C984"/>
      <c r="D984" s="387" t="str">
        <f>IF($B984&lt;&gt;"",IFERROR(IF(LEFT($B984,3)=$Z$2,VLOOKUP($C984,Outbound!$B:$Z,4,FALSE),VLOOKUP($B984,Outbound!$B:$Z,4,FALSE)),"ON ROCS/NOT ON FILE"),"")</f>
        <v/>
      </c>
      <c r="E984" s="387" t="str">
        <f>IF($B984&lt;&gt;"",IFERROR(IF(LEFT($B984,4)=$Z$2,VLOOKUP($C984,Outbound!$B:$Z,5,FALSE),VLOOKUP($B984,Outbound!$B:$Z,5,FALSE)),"ON ROCS/NOT ON FILE"),"")</f>
        <v/>
      </c>
      <c r="F984" s="387" t="str">
        <f>IF(B984&lt;&gt;"",IFERROR(IF(LEFT($B984,3)=$Z$2,VLOOKUP($C984,Outbound!$B:$Z,11,FALSE),VLOOKUP($B984,Outbound!$B:$Z,11,FALSE)),"NON TROVATO"),"")</f>
        <v/>
      </c>
      <c r="G984" s="394" t="str">
        <f>IF(B984&lt;&gt;"",IFERROR(IF(LEFT($B984,3)=$Z$2,VLOOKUP($C984,Outbound!$B:$AAZ,16,FALSE),VLOOKUP($B984,Outbound!$B:$AAZ,16,FALSE)),"NON TROVATO"),"")</f>
        <v/>
      </c>
      <c r="H984" s="394" t="str">
        <f>IF(B984&lt;&gt;"",IFERROR(IF(LEFT($B984,3)=$Z$2,VLOOKUP($C984,Outbound!$B:$AAZ,6,FALSE),VLOOKUP($B984,Outbound!$B:$AAZ,6,FALSE)),"NON TROVATO"),"")</f>
        <v/>
      </c>
      <c r="I984" s="394" t="str">
        <f>IF(B984&lt;&gt;"",IFERROR(IF(LEFT($B984,3)=$Z$2,VLOOKUP($C984,Outbound!$B:$AAZ,52,FALSE),VLOOKUP($B984,Outbound!$B:$AAZ,52,FALSE)),"NON TROVATO"),"")</f>
        <v/>
      </c>
      <c r="J984" s="396"/>
      <c r="K984" s="387" t="str">
        <f>IF(B984&lt;&gt;"",IF($D984&lt;&gt;"ON ROCS/NOT ON FILE",IFERROR(_xlfn.XLOOKUP(LEFT($D984,3),'STAT 77 Table'!$B:$B,'STAT 77 Table'!$A:$A),"ZZ"&amp;RIGHT($B984,4)),""),"")</f>
        <v/>
      </c>
      <c r="L984" s="396"/>
      <c r="O984" s="388"/>
      <c r="P984" s="388"/>
      <c r="AA984" s="421">
        <f t="shared" si="15"/>
        <v>0</v>
      </c>
    </row>
    <row r="985" spans="1:27" ht="16.5">
      <c r="A985" s="387">
        <f>'STAT 77 Table'!$I$984</f>
        <v>0</v>
      </c>
      <c r="B985"/>
      <c r="C985"/>
      <c r="D985" s="387" t="str">
        <f>IF($B985&lt;&gt;"",IFERROR(IF(LEFT($B985,3)=$Z$2,VLOOKUP($C985,Outbound!$B:$Z,4,FALSE),VLOOKUP($B985,Outbound!$B:$Z,4,FALSE)),"ON ROCS/NOT ON FILE"),"")</f>
        <v/>
      </c>
      <c r="E985" s="387" t="str">
        <f>IF($B985&lt;&gt;"",IFERROR(IF(LEFT($B985,4)=$Z$2,VLOOKUP($C985,Outbound!$B:$Z,5,FALSE),VLOOKUP($B985,Outbound!$B:$Z,5,FALSE)),"ON ROCS/NOT ON FILE"),"")</f>
        <v/>
      </c>
      <c r="F985" s="387" t="str">
        <f>IF(B985&lt;&gt;"",IFERROR(IF(LEFT($B985,3)=$Z$2,VLOOKUP($C985,Outbound!$B:$Z,11,FALSE),VLOOKUP($B985,Outbound!$B:$Z,11,FALSE)),"NON TROVATO"),"")</f>
        <v/>
      </c>
      <c r="G985" s="394" t="str">
        <f>IF(B985&lt;&gt;"",IFERROR(IF(LEFT($B985,3)=$Z$2,VLOOKUP($C985,Outbound!$B:$AAZ,16,FALSE),VLOOKUP($B985,Outbound!$B:$AAZ,16,FALSE)),"NON TROVATO"),"")</f>
        <v/>
      </c>
      <c r="H985" s="394" t="str">
        <f>IF(B985&lt;&gt;"",IFERROR(IF(LEFT($B985,3)=$Z$2,VLOOKUP($C985,Outbound!$B:$AAZ,6,FALSE),VLOOKUP($B985,Outbound!$B:$AAZ,6,FALSE)),"NON TROVATO"),"")</f>
        <v/>
      </c>
      <c r="I985" s="394" t="str">
        <f>IF(B985&lt;&gt;"",IFERROR(IF(LEFT($B985,3)=$Z$2,VLOOKUP($C985,Outbound!$B:$AAZ,52,FALSE),VLOOKUP($B985,Outbound!$B:$AAZ,52,FALSE)),"NON TROVATO"),"")</f>
        <v/>
      </c>
      <c r="J985" s="396"/>
      <c r="K985" s="387" t="str">
        <f>IF(B985&lt;&gt;"",IF($D985&lt;&gt;"ON ROCS/NOT ON FILE",IFERROR(_xlfn.XLOOKUP(LEFT($D985,3),'STAT 77 Table'!$B:$B,'STAT 77 Table'!$A:$A),"ZZ"&amp;RIGHT($B985,4)),""),"")</f>
        <v/>
      </c>
      <c r="L985" s="396"/>
      <c r="O985" s="388"/>
      <c r="P985" s="388"/>
      <c r="AA985" s="421">
        <f t="shared" si="15"/>
        <v>0</v>
      </c>
    </row>
    <row r="986" spans="1:27" ht="16.5">
      <c r="A986" s="387">
        <f>'STAT 77 Table'!$I$985</f>
        <v>0</v>
      </c>
      <c r="B986"/>
      <c r="C986"/>
      <c r="D986" s="387" t="str">
        <f>IF($B986&lt;&gt;"",IFERROR(IF(LEFT($B986,3)=$Z$2,VLOOKUP($C986,Outbound!$B:$Z,4,FALSE),VLOOKUP($B986,Outbound!$B:$Z,4,FALSE)),"ON ROCS/NOT ON FILE"),"")</f>
        <v/>
      </c>
      <c r="E986" s="387" t="str">
        <f>IF($B986&lt;&gt;"",IFERROR(IF(LEFT($B986,4)=$Z$2,VLOOKUP($C986,Outbound!$B:$Z,5,FALSE),VLOOKUP($B986,Outbound!$B:$Z,5,FALSE)),"ON ROCS/NOT ON FILE"),"")</f>
        <v/>
      </c>
      <c r="F986" s="387" t="str">
        <f>IF(B986&lt;&gt;"",IFERROR(IF(LEFT($B986,3)=$Z$2,VLOOKUP($C986,Outbound!$B:$Z,11,FALSE),VLOOKUP($B986,Outbound!$B:$Z,11,FALSE)),"NON TROVATO"),"")</f>
        <v/>
      </c>
      <c r="G986" s="394" t="str">
        <f>IF(B986&lt;&gt;"",IFERROR(IF(LEFT($B986,3)=$Z$2,VLOOKUP($C986,Outbound!$B:$AAZ,16,FALSE),VLOOKUP($B986,Outbound!$B:$AAZ,16,FALSE)),"NON TROVATO"),"")</f>
        <v/>
      </c>
      <c r="H986" s="394" t="str">
        <f>IF(B986&lt;&gt;"",IFERROR(IF(LEFT($B986,3)=$Z$2,VLOOKUP($C986,Outbound!$B:$AAZ,6,FALSE),VLOOKUP($B986,Outbound!$B:$AAZ,6,FALSE)),"NON TROVATO"),"")</f>
        <v/>
      </c>
      <c r="I986" s="394" t="str">
        <f>IF(B986&lt;&gt;"",IFERROR(IF(LEFT($B986,3)=$Z$2,VLOOKUP($C986,Outbound!$B:$AAZ,52,FALSE),VLOOKUP($B986,Outbound!$B:$AAZ,52,FALSE)),"NON TROVATO"),"")</f>
        <v/>
      </c>
      <c r="J986" s="396"/>
      <c r="K986" s="387" t="str">
        <f>IF(B986&lt;&gt;"",IF($D986&lt;&gt;"ON ROCS/NOT ON FILE",IFERROR(_xlfn.XLOOKUP(LEFT($D986,3),'STAT 77 Table'!$B:$B,'STAT 77 Table'!$A:$A),"ZZ"&amp;RIGHT($B986,4)),""),"")</f>
        <v/>
      </c>
      <c r="L986" s="396"/>
      <c r="O986" s="388"/>
      <c r="P986" s="388"/>
      <c r="AA986" s="421">
        <f t="shared" si="15"/>
        <v>0</v>
      </c>
    </row>
    <row r="987" spans="1:27" ht="16.5">
      <c r="A987" s="387">
        <f>'STAT 77 Table'!$I$986</f>
        <v>0</v>
      </c>
      <c r="B987"/>
      <c r="C987"/>
      <c r="D987" s="387" t="str">
        <f>IF($B987&lt;&gt;"",IFERROR(IF(LEFT($B987,3)=$Z$2,VLOOKUP($C987,Outbound!$B:$Z,4,FALSE),VLOOKUP($B987,Outbound!$B:$Z,4,FALSE)),"ON ROCS/NOT ON FILE"),"")</f>
        <v/>
      </c>
      <c r="E987" s="387" t="str">
        <f>IF($B987&lt;&gt;"",IFERROR(IF(LEFT($B987,4)=$Z$2,VLOOKUP($C987,Outbound!$B:$Z,5,FALSE),VLOOKUP($B987,Outbound!$B:$Z,5,FALSE)),"ON ROCS/NOT ON FILE"),"")</f>
        <v/>
      </c>
      <c r="F987" s="387" t="str">
        <f>IF(B987&lt;&gt;"",IFERROR(IF(LEFT($B987,3)=$Z$2,VLOOKUP($C987,Outbound!$B:$Z,11,FALSE),VLOOKUP($B987,Outbound!$B:$Z,11,FALSE)),"NON TROVATO"),"")</f>
        <v/>
      </c>
      <c r="G987" s="394" t="str">
        <f>IF(B987&lt;&gt;"",IFERROR(IF(LEFT($B987,3)=$Z$2,VLOOKUP($C987,Outbound!$B:$AAZ,16,FALSE),VLOOKUP($B987,Outbound!$B:$AAZ,16,FALSE)),"NON TROVATO"),"")</f>
        <v/>
      </c>
      <c r="H987" s="394" t="str">
        <f>IF(B987&lt;&gt;"",IFERROR(IF(LEFT($B987,3)=$Z$2,VLOOKUP($C987,Outbound!$B:$AAZ,6,FALSE),VLOOKUP($B987,Outbound!$B:$AAZ,6,FALSE)),"NON TROVATO"),"")</f>
        <v/>
      </c>
      <c r="I987" s="394" t="str">
        <f>IF(B987&lt;&gt;"",IFERROR(IF(LEFT($B987,3)=$Z$2,VLOOKUP($C987,Outbound!$B:$AAZ,52,FALSE),VLOOKUP($B987,Outbound!$B:$AAZ,52,FALSE)),"NON TROVATO"),"")</f>
        <v/>
      </c>
      <c r="J987" s="396"/>
      <c r="K987" s="387" t="str">
        <f>IF(B987&lt;&gt;"",IF($D987&lt;&gt;"ON ROCS/NOT ON FILE",IFERROR(_xlfn.XLOOKUP(LEFT($D987,3),'STAT 77 Table'!$B:$B,'STAT 77 Table'!$A:$A),"ZZ"&amp;RIGHT($B987,4)),""),"")</f>
        <v/>
      </c>
      <c r="L987" s="396"/>
      <c r="O987" s="388"/>
      <c r="P987" s="388"/>
      <c r="AA987" s="421">
        <f t="shared" si="15"/>
        <v>0</v>
      </c>
    </row>
    <row r="988" spans="1:27" ht="16.5">
      <c r="A988" s="387">
        <f>'STAT 77 Table'!$I$987</f>
        <v>0</v>
      </c>
      <c r="B988"/>
      <c r="C988"/>
      <c r="D988" s="387" t="str">
        <f>IF($B988&lt;&gt;"",IFERROR(IF(LEFT($B988,3)=$Z$2,VLOOKUP($C988,Outbound!$B:$Z,4,FALSE),VLOOKUP($B988,Outbound!$B:$Z,4,FALSE)),"ON ROCS/NOT ON FILE"),"")</f>
        <v/>
      </c>
      <c r="E988" s="387" t="str">
        <f>IF($B988&lt;&gt;"",IFERROR(IF(LEFT($B988,4)=$Z$2,VLOOKUP($C988,Outbound!$B:$Z,5,FALSE),VLOOKUP($B988,Outbound!$B:$Z,5,FALSE)),"ON ROCS/NOT ON FILE"),"")</f>
        <v/>
      </c>
      <c r="F988" s="387" t="str">
        <f>IF(B988&lt;&gt;"",IFERROR(IF(LEFT($B988,3)=$Z$2,VLOOKUP($C988,Outbound!$B:$Z,11,FALSE),VLOOKUP($B988,Outbound!$B:$Z,11,FALSE)),"NON TROVATO"),"")</f>
        <v/>
      </c>
      <c r="G988" s="394" t="str">
        <f>IF(B988&lt;&gt;"",IFERROR(IF(LEFT($B988,3)=$Z$2,VLOOKUP($C988,Outbound!$B:$AAZ,16,FALSE),VLOOKUP($B988,Outbound!$B:$AAZ,16,FALSE)),"NON TROVATO"),"")</f>
        <v/>
      </c>
      <c r="H988" s="394" t="str">
        <f>IF(B988&lt;&gt;"",IFERROR(IF(LEFT($B988,3)=$Z$2,VLOOKUP($C988,Outbound!$B:$AAZ,6,FALSE),VLOOKUP($B988,Outbound!$B:$AAZ,6,FALSE)),"NON TROVATO"),"")</f>
        <v/>
      </c>
      <c r="I988" s="394" t="str">
        <f>IF(B988&lt;&gt;"",IFERROR(IF(LEFT($B988,3)=$Z$2,VLOOKUP($C988,Outbound!$B:$AAZ,52,FALSE),VLOOKUP($B988,Outbound!$B:$AAZ,52,FALSE)),"NON TROVATO"),"")</f>
        <v/>
      </c>
      <c r="J988" s="396"/>
      <c r="K988" s="387" t="str">
        <f>IF(B988&lt;&gt;"",IF($D988&lt;&gt;"ON ROCS/NOT ON FILE",IFERROR(_xlfn.XLOOKUP(LEFT($D988,3),'STAT 77 Table'!$B:$B,'STAT 77 Table'!$A:$A),"ZZ"&amp;RIGHT($B988,4)),""),"")</f>
        <v/>
      </c>
      <c r="L988" s="396"/>
      <c r="O988" s="388"/>
      <c r="P988" s="388"/>
      <c r="AA988" s="421">
        <f t="shared" si="15"/>
        <v>0</v>
      </c>
    </row>
    <row r="989" spans="1:27" ht="16.5">
      <c r="A989" s="387">
        <f>'STAT 77 Table'!$I$988</f>
        <v>0</v>
      </c>
      <c r="B989"/>
      <c r="C989"/>
      <c r="D989" s="387" t="str">
        <f>IF($B989&lt;&gt;"",IFERROR(IF(LEFT($B989,3)=$Z$2,VLOOKUP($C989,Outbound!$B:$Z,4,FALSE),VLOOKUP($B989,Outbound!$B:$Z,4,FALSE)),"ON ROCS/NOT ON FILE"),"")</f>
        <v/>
      </c>
      <c r="E989" s="387" t="str">
        <f>IF($B989&lt;&gt;"",IFERROR(IF(LEFT($B989,4)=$Z$2,VLOOKUP($C989,Outbound!$B:$Z,5,FALSE),VLOOKUP($B989,Outbound!$B:$Z,5,FALSE)),"ON ROCS/NOT ON FILE"),"")</f>
        <v/>
      </c>
      <c r="F989" s="387" t="str">
        <f>IF(B989&lt;&gt;"",IFERROR(IF(LEFT($B989,3)=$Z$2,VLOOKUP($C989,Outbound!$B:$Z,11,FALSE),VLOOKUP($B989,Outbound!$B:$Z,11,FALSE)),"NON TROVATO"),"")</f>
        <v/>
      </c>
      <c r="G989" s="394" t="str">
        <f>IF(B989&lt;&gt;"",IFERROR(IF(LEFT($B989,3)=$Z$2,VLOOKUP($C989,Outbound!$B:$AAZ,16,FALSE),VLOOKUP($B989,Outbound!$B:$AAZ,16,FALSE)),"NON TROVATO"),"")</f>
        <v/>
      </c>
      <c r="H989" s="394" t="str">
        <f>IF(B989&lt;&gt;"",IFERROR(IF(LEFT($B989,3)=$Z$2,VLOOKUP($C989,Outbound!$B:$AAZ,6,FALSE),VLOOKUP($B989,Outbound!$B:$AAZ,6,FALSE)),"NON TROVATO"),"")</f>
        <v/>
      </c>
      <c r="I989" s="394" t="str">
        <f>IF(B989&lt;&gt;"",IFERROR(IF(LEFT($B989,3)=$Z$2,VLOOKUP($C989,Outbound!$B:$AAZ,52,FALSE),VLOOKUP($B989,Outbound!$B:$AAZ,52,FALSE)),"NON TROVATO"),"")</f>
        <v/>
      </c>
      <c r="J989" s="396"/>
      <c r="K989" s="387" t="str">
        <f>IF(B989&lt;&gt;"",IF($D989&lt;&gt;"ON ROCS/NOT ON FILE",IFERROR(_xlfn.XLOOKUP(LEFT($D989,3),'STAT 77 Table'!$B:$B,'STAT 77 Table'!$A:$A),"ZZ"&amp;RIGHT($B989,4)),""),"")</f>
        <v/>
      </c>
      <c r="L989" s="396"/>
      <c r="O989" s="388"/>
      <c r="P989" s="388"/>
      <c r="AA989" s="421">
        <f t="shared" si="15"/>
        <v>0</v>
      </c>
    </row>
    <row r="990" spans="1:27" ht="16.5">
      <c r="A990" s="387">
        <f>'STAT 77 Table'!$I$989</f>
        <v>0</v>
      </c>
      <c r="B990"/>
      <c r="C990"/>
      <c r="D990" s="387" t="str">
        <f>IF($B990&lt;&gt;"",IFERROR(IF(LEFT($B990,3)=$Z$2,VLOOKUP($C990,Outbound!$B:$Z,4,FALSE),VLOOKUP($B990,Outbound!$B:$Z,4,FALSE)),"ON ROCS/NOT ON FILE"),"")</f>
        <v/>
      </c>
      <c r="E990" s="387" t="str">
        <f>IF($B990&lt;&gt;"",IFERROR(IF(LEFT($B990,4)=$Z$2,VLOOKUP($C990,Outbound!$B:$Z,5,FALSE),VLOOKUP($B990,Outbound!$B:$Z,5,FALSE)),"ON ROCS/NOT ON FILE"),"")</f>
        <v/>
      </c>
      <c r="F990" s="387" t="str">
        <f>IF(B990&lt;&gt;"",IFERROR(IF(LEFT($B990,3)=$Z$2,VLOOKUP($C990,Outbound!$B:$Z,11,FALSE),VLOOKUP($B990,Outbound!$B:$Z,11,FALSE)),"NON TROVATO"),"")</f>
        <v/>
      </c>
      <c r="G990" s="394" t="str">
        <f>IF(B990&lt;&gt;"",IFERROR(IF(LEFT($B990,3)=$Z$2,VLOOKUP($C990,Outbound!$B:$AAZ,16,FALSE),VLOOKUP($B990,Outbound!$B:$AAZ,16,FALSE)),"NON TROVATO"),"")</f>
        <v/>
      </c>
      <c r="H990" s="394" t="str">
        <f>IF(B990&lt;&gt;"",IFERROR(IF(LEFT($B990,3)=$Z$2,VLOOKUP($C990,Outbound!$B:$AAZ,6,FALSE),VLOOKUP($B990,Outbound!$B:$AAZ,6,FALSE)),"NON TROVATO"),"")</f>
        <v/>
      </c>
      <c r="I990" s="394" t="str">
        <f>IF(B990&lt;&gt;"",IFERROR(IF(LEFT($B990,3)=$Z$2,VLOOKUP($C990,Outbound!$B:$AAZ,52,FALSE),VLOOKUP($B990,Outbound!$B:$AAZ,52,FALSE)),"NON TROVATO"),"")</f>
        <v/>
      </c>
      <c r="J990" s="396"/>
      <c r="K990" s="387" t="str">
        <f>IF(B990&lt;&gt;"",IF($D990&lt;&gt;"ON ROCS/NOT ON FILE",IFERROR(_xlfn.XLOOKUP(LEFT($D990,3),'STAT 77 Table'!$B:$B,'STAT 77 Table'!$A:$A),"ZZ"&amp;RIGHT($B990,4)),""),"")</f>
        <v/>
      </c>
      <c r="L990" s="396"/>
      <c r="O990" s="388"/>
      <c r="P990" s="388"/>
      <c r="AA990" s="421">
        <f t="shared" si="15"/>
        <v>0</v>
      </c>
    </row>
    <row r="991" spans="1:27" ht="16.5">
      <c r="A991" s="387">
        <f>'STAT 77 Table'!$I$990</f>
        <v>0</v>
      </c>
      <c r="B991"/>
      <c r="C991"/>
      <c r="D991" s="387" t="str">
        <f>IF($B991&lt;&gt;"",IFERROR(IF(LEFT($B991,3)=$Z$2,VLOOKUP($C991,Outbound!$B:$Z,4,FALSE),VLOOKUP($B991,Outbound!$B:$Z,4,FALSE)),"ON ROCS/NOT ON FILE"),"")</f>
        <v/>
      </c>
      <c r="E991" s="387" t="str">
        <f>IF($B991&lt;&gt;"",IFERROR(IF(LEFT($B991,4)=$Z$2,VLOOKUP($C991,Outbound!$B:$Z,5,FALSE),VLOOKUP($B991,Outbound!$B:$Z,5,FALSE)),"ON ROCS/NOT ON FILE"),"")</f>
        <v/>
      </c>
      <c r="F991" s="387" t="str">
        <f>IF(B991&lt;&gt;"",IFERROR(IF(LEFT($B991,3)=$Z$2,VLOOKUP($C991,Outbound!$B:$Z,11,FALSE),VLOOKUP($B991,Outbound!$B:$Z,11,FALSE)),"NON TROVATO"),"")</f>
        <v/>
      </c>
      <c r="G991" s="394" t="str">
        <f>IF(B991&lt;&gt;"",IFERROR(IF(LEFT($B991,3)=$Z$2,VLOOKUP($C991,Outbound!$B:$AAZ,16,FALSE),VLOOKUP($B991,Outbound!$B:$AAZ,16,FALSE)),"NON TROVATO"),"")</f>
        <v/>
      </c>
      <c r="H991" s="394" t="str">
        <f>IF(B991&lt;&gt;"",IFERROR(IF(LEFT($B991,3)=$Z$2,VLOOKUP($C991,Outbound!$B:$AAZ,6,FALSE),VLOOKUP($B991,Outbound!$B:$AAZ,6,FALSE)),"NON TROVATO"),"")</f>
        <v/>
      </c>
      <c r="I991" s="394" t="str">
        <f>IF(B991&lt;&gt;"",IFERROR(IF(LEFT($B991,3)=$Z$2,VLOOKUP($C991,Outbound!$B:$AAZ,52,FALSE),VLOOKUP($B991,Outbound!$B:$AAZ,52,FALSE)),"NON TROVATO"),"")</f>
        <v/>
      </c>
      <c r="J991" s="396"/>
      <c r="K991" s="387" t="str">
        <f>IF(B991&lt;&gt;"",IF($D991&lt;&gt;"ON ROCS/NOT ON FILE",IFERROR(_xlfn.XLOOKUP(LEFT($D991,3),'STAT 77 Table'!$B:$B,'STAT 77 Table'!$A:$A),"ZZ"&amp;RIGHT($B991,4)),""),"")</f>
        <v/>
      </c>
      <c r="L991" s="396"/>
      <c r="O991" s="388"/>
      <c r="P991" s="388"/>
      <c r="AA991" s="421">
        <f t="shared" si="15"/>
        <v>0</v>
      </c>
    </row>
    <row r="992" spans="1:27" ht="16.5">
      <c r="A992" s="387">
        <f>'STAT 77 Table'!$I$991</f>
        <v>0</v>
      </c>
      <c r="B992"/>
      <c r="C992"/>
      <c r="D992" s="387" t="str">
        <f>IF($B992&lt;&gt;"",IFERROR(IF(LEFT($B992,3)=$Z$2,VLOOKUP($C992,Outbound!$B:$Z,4,FALSE),VLOOKUP($B992,Outbound!$B:$Z,4,FALSE)),"ON ROCS/NOT ON FILE"),"")</f>
        <v/>
      </c>
      <c r="E992" s="387" t="str">
        <f>IF($B992&lt;&gt;"",IFERROR(IF(LEFT($B992,4)=$Z$2,VLOOKUP($C992,Outbound!$B:$Z,5,FALSE),VLOOKUP($B992,Outbound!$B:$Z,5,FALSE)),"ON ROCS/NOT ON FILE"),"")</f>
        <v/>
      </c>
      <c r="F992" s="387" t="str">
        <f>IF(B992&lt;&gt;"",IFERROR(IF(LEFT($B992,3)=$Z$2,VLOOKUP($C992,Outbound!$B:$Z,11,FALSE),VLOOKUP($B992,Outbound!$B:$Z,11,FALSE)),"NON TROVATO"),"")</f>
        <v/>
      </c>
      <c r="G992" s="394" t="str">
        <f>IF(B992&lt;&gt;"",IFERROR(IF(LEFT($B992,3)=$Z$2,VLOOKUP($C992,Outbound!$B:$AAZ,16,FALSE),VLOOKUP($B992,Outbound!$B:$AAZ,16,FALSE)),"NON TROVATO"),"")</f>
        <v/>
      </c>
      <c r="H992" s="394" t="str">
        <f>IF(B992&lt;&gt;"",IFERROR(IF(LEFT($B992,3)=$Z$2,VLOOKUP($C992,Outbound!$B:$AAZ,6,FALSE),VLOOKUP($B992,Outbound!$B:$AAZ,6,FALSE)),"NON TROVATO"),"")</f>
        <v/>
      </c>
      <c r="I992" s="394" t="str">
        <f>IF(B992&lt;&gt;"",IFERROR(IF(LEFT($B992,3)=$Z$2,VLOOKUP($C992,Outbound!$B:$AAZ,52,FALSE),VLOOKUP($B992,Outbound!$B:$AAZ,52,FALSE)),"NON TROVATO"),"")</f>
        <v/>
      </c>
      <c r="J992" s="396"/>
      <c r="K992" s="387" t="str">
        <f>IF(B992&lt;&gt;"",IF($D992&lt;&gt;"ON ROCS/NOT ON FILE",IFERROR(_xlfn.XLOOKUP(LEFT($D992,3),'STAT 77 Table'!$B:$B,'STAT 77 Table'!$A:$A),"ZZ"&amp;RIGHT($B992,4)),""),"")</f>
        <v/>
      </c>
      <c r="L992" s="396"/>
      <c r="O992" s="388"/>
      <c r="P992" s="388"/>
      <c r="AA992" s="421">
        <f t="shared" si="15"/>
        <v>0</v>
      </c>
    </row>
    <row r="993" spans="1:27" ht="16.5">
      <c r="A993" s="387">
        <f>'STAT 77 Table'!$I$992</f>
        <v>0</v>
      </c>
      <c r="B993"/>
      <c r="C993"/>
      <c r="D993" s="387" t="str">
        <f>IF($B993&lt;&gt;"",IFERROR(IF(LEFT($B993,3)=$Z$2,VLOOKUP($C993,Outbound!$B:$Z,4,FALSE),VLOOKUP($B993,Outbound!$B:$Z,4,FALSE)),"ON ROCS/NOT ON FILE"),"")</f>
        <v/>
      </c>
      <c r="E993" s="387" t="str">
        <f>IF($B993&lt;&gt;"",IFERROR(IF(LEFT($B993,4)=$Z$2,VLOOKUP($C993,Outbound!$B:$Z,5,FALSE),VLOOKUP($B993,Outbound!$B:$Z,5,FALSE)),"ON ROCS/NOT ON FILE"),"")</f>
        <v/>
      </c>
      <c r="F993" s="387" t="str">
        <f>IF(B993&lt;&gt;"",IFERROR(IF(LEFT($B993,3)=$Z$2,VLOOKUP($C993,Outbound!$B:$Z,11,FALSE),VLOOKUP($B993,Outbound!$B:$Z,11,FALSE)),"NON TROVATO"),"")</f>
        <v/>
      </c>
      <c r="G993" s="394" t="str">
        <f>IF(B993&lt;&gt;"",IFERROR(IF(LEFT($B993,3)=$Z$2,VLOOKUP($C993,Outbound!$B:$AAZ,16,FALSE),VLOOKUP($B993,Outbound!$B:$AAZ,16,FALSE)),"NON TROVATO"),"")</f>
        <v/>
      </c>
      <c r="H993" s="394" t="str">
        <f>IF(B993&lt;&gt;"",IFERROR(IF(LEFT($B993,3)=$Z$2,VLOOKUP($C993,Outbound!$B:$AAZ,6,FALSE),VLOOKUP($B993,Outbound!$B:$AAZ,6,FALSE)),"NON TROVATO"),"")</f>
        <v/>
      </c>
      <c r="I993" s="394" t="str">
        <f>IF(B993&lt;&gt;"",IFERROR(IF(LEFT($B993,3)=$Z$2,VLOOKUP($C993,Outbound!$B:$AAZ,52,FALSE),VLOOKUP($B993,Outbound!$B:$AAZ,52,FALSE)),"NON TROVATO"),"")</f>
        <v/>
      </c>
      <c r="J993" s="396"/>
      <c r="K993" s="387" t="str">
        <f>IF(B993&lt;&gt;"",IF($D993&lt;&gt;"ON ROCS/NOT ON FILE",IFERROR(_xlfn.XLOOKUP(LEFT($D993,3),'STAT 77 Table'!$B:$B,'STAT 77 Table'!$A:$A),"ZZ"&amp;RIGHT($B993,4)),""),"")</f>
        <v/>
      </c>
      <c r="L993" s="396"/>
      <c r="O993" s="388"/>
      <c r="P993" s="388"/>
      <c r="AA993" s="421">
        <f t="shared" si="15"/>
        <v>0</v>
      </c>
    </row>
    <row r="994" spans="1:27" ht="16.5">
      <c r="A994" s="387">
        <f>'STAT 77 Table'!$I$993</f>
        <v>0</v>
      </c>
      <c r="B994"/>
      <c r="C994"/>
      <c r="D994" s="387" t="str">
        <f>IF($B994&lt;&gt;"",IFERROR(IF(LEFT($B994,3)=$Z$2,VLOOKUP($C994,Outbound!$B:$Z,4,FALSE),VLOOKUP($B994,Outbound!$B:$Z,4,FALSE)),"ON ROCS/NOT ON FILE"),"")</f>
        <v/>
      </c>
      <c r="E994" s="387" t="str">
        <f>IF($B994&lt;&gt;"",IFERROR(IF(LEFT($B994,4)=$Z$2,VLOOKUP($C994,Outbound!$B:$Z,5,FALSE),VLOOKUP($B994,Outbound!$B:$Z,5,FALSE)),"ON ROCS/NOT ON FILE"),"")</f>
        <v/>
      </c>
      <c r="F994" s="387" t="str">
        <f>IF(B994&lt;&gt;"",IFERROR(IF(LEFT($B994,3)=$Z$2,VLOOKUP($C994,Outbound!$B:$Z,11,FALSE),VLOOKUP($B994,Outbound!$B:$Z,11,FALSE)),"NON TROVATO"),"")</f>
        <v/>
      </c>
      <c r="G994" s="394" t="str">
        <f>IF(B994&lt;&gt;"",IFERROR(IF(LEFT($B994,3)=$Z$2,VLOOKUP($C994,Outbound!$B:$AAZ,16,FALSE),VLOOKUP($B994,Outbound!$B:$AAZ,16,FALSE)),"NON TROVATO"),"")</f>
        <v/>
      </c>
      <c r="H994" s="394" t="str">
        <f>IF(B994&lt;&gt;"",IFERROR(IF(LEFT($B994,3)=$Z$2,VLOOKUP($C994,Outbound!$B:$AAZ,6,FALSE),VLOOKUP($B994,Outbound!$B:$AAZ,6,FALSE)),"NON TROVATO"),"")</f>
        <v/>
      </c>
      <c r="I994" s="394" t="str">
        <f>IF(B994&lt;&gt;"",IFERROR(IF(LEFT($B994,3)=$Z$2,VLOOKUP($C994,Outbound!$B:$AAZ,52,FALSE),VLOOKUP($B994,Outbound!$B:$AAZ,52,FALSE)),"NON TROVATO"),"")</f>
        <v/>
      </c>
      <c r="J994" s="396"/>
      <c r="K994" s="387" t="str">
        <f>IF(B994&lt;&gt;"",IF($D994&lt;&gt;"ON ROCS/NOT ON FILE",IFERROR(_xlfn.XLOOKUP(LEFT($D994,3),'STAT 77 Table'!$B:$B,'STAT 77 Table'!$A:$A),"ZZ"&amp;RIGHT($B994,4)),""),"")</f>
        <v/>
      </c>
      <c r="L994" s="396"/>
      <c r="O994" s="388"/>
      <c r="P994" s="388"/>
      <c r="AA994" s="421">
        <f t="shared" si="15"/>
        <v>0</v>
      </c>
    </row>
    <row r="995" spans="1:27" ht="16.5">
      <c r="A995" s="387">
        <f>'STAT 77 Table'!$I$994</f>
        <v>0</v>
      </c>
      <c r="B995"/>
      <c r="C995"/>
      <c r="D995" s="387" t="str">
        <f>IF($B995&lt;&gt;"",IFERROR(IF(LEFT($B995,3)=$Z$2,VLOOKUP($C995,Outbound!$B:$Z,4,FALSE),VLOOKUP($B995,Outbound!$B:$Z,4,FALSE)),"ON ROCS/NOT ON FILE"),"")</f>
        <v/>
      </c>
      <c r="E995" s="387" t="str">
        <f>IF($B995&lt;&gt;"",IFERROR(IF(LEFT($B995,4)=$Z$2,VLOOKUP($C995,Outbound!$B:$Z,5,FALSE),VLOOKUP($B995,Outbound!$B:$Z,5,FALSE)),"ON ROCS/NOT ON FILE"),"")</f>
        <v/>
      </c>
      <c r="F995" s="387" t="str">
        <f>IF(B995&lt;&gt;"",IFERROR(IF(LEFT($B995,3)=$Z$2,VLOOKUP($C995,Outbound!$B:$Z,11,FALSE),VLOOKUP($B995,Outbound!$B:$Z,11,FALSE)),"NON TROVATO"),"")</f>
        <v/>
      </c>
      <c r="G995" s="394" t="str">
        <f>IF(B995&lt;&gt;"",IFERROR(IF(LEFT($B995,3)=$Z$2,VLOOKUP($C995,Outbound!$B:$AAZ,16,FALSE),VLOOKUP($B995,Outbound!$B:$AAZ,16,FALSE)),"NON TROVATO"),"")</f>
        <v/>
      </c>
      <c r="H995" s="394" t="str">
        <f>IF(B995&lt;&gt;"",IFERROR(IF(LEFT($B995,3)=$Z$2,VLOOKUP($C995,Outbound!$B:$AAZ,6,FALSE),VLOOKUP($B995,Outbound!$B:$AAZ,6,FALSE)),"NON TROVATO"),"")</f>
        <v/>
      </c>
      <c r="I995" s="394" t="str">
        <f>IF(B995&lt;&gt;"",IFERROR(IF(LEFT($B995,3)=$Z$2,VLOOKUP($C995,Outbound!$B:$AAZ,52,FALSE),VLOOKUP($B995,Outbound!$B:$AAZ,52,FALSE)),"NON TROVATO"),"")</f>
        <v/>
      </c>
      <c r="J995" s="396"/>
      <c r="K995" s="387" t="str">
        <f>IF(B995&lt;&gt;"",IF($D995&lt;&gt;"ON ROCS/NOT ON FILE",IFERROR(_xlfn.XLOOKUP(LEFT($D995,3),'STAT 77 Table'!$B:$B,'STAT 77 Table'!$A:$A),"ZZ"&amp;RIGHT($B995,4)),""),"")</f>
        <v/>
      </c>
      <c r="L995" s="396"/>
      <c r="O995" s="388"/>
      <c r="P995" s="388"/>
      <c r="AA995" s="421">
        <f t="shared" si="15"/>
        <v>0</v>
      </c>
    </row>
    <row r="996" spans="1:27" ht="16.5">
      <c r="A996" s="387">
        <f>'STAT 77 Table'!$I$995</f>
        <v>0</v>
      </c>
      <c r="B996"/>
      <c r="C996"/>
      <c r="D996" s="387" t="str">
        <f>IF($B996&lt;&gt;"",IFERROR(IF(LEFT($B996,3)=$Z$2,VLOOKUP($C996,Outbound!$B:$Z,4,FALSE),VLOOKUP($B996,Outbound!$B:$Z,4,FALSE)),"ON ROCS/NOT ON FILE"),"")</f>
        <v/>
      </c>
      <c r="E996" s="387" t="str">
        <f>IF($B996&lt;&gt;"",IFERROR(IF(LEFT($B996,4)=$Z$2,VLOOKUP($C996,Outbound!$B:$Z,5,FALSE),VLOOKUP($B996,Outbound!$B:$Z,5,FALSE)),"ON ROCS/NOT ON FILE"),"")</f>
        <v/>
      </c>
      <c r="F996" s="387" t="str">
        <f>IF(B996&lt;&gt;"",IFERROR(IF(LEFT($B996,3)=$Z$2,VLOOKUP($C996,Outbound!$B:$Z,11,FALSE),VLOOKUP($B996,Outbound!$B:$Z,11,FALSE)),"NON TROVATO"),"")</f>
        <v/>
      </c>
      <c r="G996" s="394" t="str">
        <f>IF(B996&lt;&gt;"",IFERROR(IF(LEFT($B996,3)=$Z$2,VLOOKUP($C996,Outbound!$B:$AAZ,16,FALSE),VLOOKUP($B996,Outbound!$B:$AAZ,16,FALSE)),"NON TROVATO"),"")</f>
        <v/>
      </c>
      <c r="H996" s="394" t="str">
        <f>IF(B996&lt;&gt;"",IFERROR(IF(LEFT($B996,3)=$Z$2,VLOOKUP($C996,Outbound!$B:$AAZ,6,FALSE),VLOOKUP($B996,Outbound!$B:$AAZ,6,FALSE)),"NON TROVATO"),"")</f>
        <v/>
      </c>
      <c r="I996" s="394" t="str">
        <f>IF(B996&lt;&gt;"",IFERROR(IF(LEFT($B996,3)=$Z$2,VLOOKUP($C996,Outbound!$B:$AAZ,52,FALSE),VLOOKUP($B996,Outbound!$B:$AAZ,52,FALSE)),"NON TROVATO"),"")</f>
        <v/>
      </c>
      <c r="J996" s="396"/>
      <c r="K996" s="387" t="str">
        <f>IF(B996&lt;&gt;"",IF($D996&lt;&gt;"ON ROCS/NOT ON FILE",IFERROR(_xlfn.XLOOKUP(LEFT($D996,3),'STAT 77 Table'!$B:$B,'STAT 77 Table'!$A:$A),"ZZ"&amp;RIGHT($B996,4)),""),"")</f>
        <v/>
      </c>
      <c r="L996" s="396"/>
      <c r="O996" s="388"/>
      <c r="P996" s="388"/>
      <c r="AA996" s="421">
        <f t="shared" si="15"/>
        <v>0</v>
      </c>
    </row>
    <row r="997" spans="1:27" ht="16.5">
      <c r="A997" s="387">
        <f>'STAT 77 Table'!$I$996</f>
        <v>0</v>
      </c>
      <c r="B997"/>
      <c r="C997"/>
      <c r="D997" s="387" t="str">
        <f>IF($B997&lt;&gt;"",IFERROR(IF(LEFT($B997,3)=$Z$2,VLOOKUP($C997,Outbound!$B:$Z,4,FALSE),VLOOKUP($B997,Outbound!$B:$Z,4,FALSE)),"ON ROCS/NOT ON FILE"),"")</f>
        <v/>
      </c>
      <c r="E997" s="387" t="str">
        <f>IF($B997&lt;&gt;"",IFERROR(IF(LEFT($B997,4)=$Z$2,VLOOKUP($C997,Outbound!$B:$Z,5,FALSE),VLOOKUP($B997,Outbound!$B:$Z,5,FALSE)),"ON ROCS/NOT ON FILE"),"")</f>
        <v/>
      </c>
      <c r="F997" s="387" t="str">
        <f>IF(B997&lt;&gt;"",IFERROR(IF(LEFT($B997,3)=$Z$2,VLOOKUP($C997,Outbound!$B:$Z,11,FALSE),VLOOKUP($B997,Outbound!$B:$Z,11,FALSE)),"NON TROVATO"),"")</f>
        <v/>
      </c>
      <c r="G997" s="394" t="str">
        <f>IF(B997&lt;&gt;"",IFERROR(IF(LEFT($B997,3)=$Z$2,VLOOKUP($C997,Outbound!$B:$AAZ,16,FALSE),VLOOKUP($B997,Outbound!$B:$AAZ,16,FALSE)),"NON TROVATO"),"")</f>
        <v/>
      </c>
      <c r="H997" s="394" t="str">
        <f>IF(B997&lt;&gt;"",IFERROR(IF(LEFT($B997,3)=$Z$2,VLOOKUP($C997,Outbound!$B:$AAZ,6,FALSE),VLOOKUP($B997,Outbound!$B:$AAZ,6,FALSE)),"NON TROVATO"),"")</f>
        <v/>
      </c>
      <c r="I997" s="394" t="str">
        <f>IF(B997&lt;&gt;"",IFERROR(IF(LEFT($B997,3)=$Z$2,VLOOKUP($C997,Outbound!$B:$AAZ,52,FALSE),VLOOKUP($B997,Outbound!$B:$AAZ,52,FALSE)),"NON TROVATO"),"")</f>
        <v/>
      </c>
      <c r="J997" s="396"/>
      <c r="K997" s="387" t="str">
        <f>IF(B997&lt;&gt;"",IF($D997&lt;&gt;"ON ROCS/NOT ON FILE",IFERROR(_xlfn.XLOOKUP(LEFT($D997,3),'STAT 77 Table'!$B:$B,'STAT 77 Table'!$A:$A),"ZZ"&amp;RIGHT($B997,4)),""),"")</f>
        <v/>
      </c>
      <c r="L997" s="396"/>
      <c r="O997" s="388"/>
      <c r="P997" s="388"/>
      <c r="AA997" s="421">
        <f t="shared" si="15"/>
        <v>0</v>
      </c>
    </row>
    <row r="998" spans="1:27" ht="16.5">
      <c r="A998" s="387">
        <f>'STAT 77 Table'!$I$997</f>
        <v>0</v>
      </c>
      <c r="B998"/>
      <c r="C998"/>
      <c r="D998" s="387" t="str">
        <f>IF($B998&lt;&gt;"",IFERROR(IF(LEFT($B998,3)=$Z$2,VLOOKUP($C998,Outbound!$B:$Z,4,FALSE),VLOOKUP($B998,Outbound!$B:$Z,4,FALSE)),"ON ROCS/NOT ON FILE"),"")</f>
        <v/>
      </c>
      <c r="E998" s="387" t="str">
        <f>IF($B998&lt;&gt;"",IFERROR(IF(LEFT($B998,4)=$Z$2,VLOOKUP($C998,Outbound!$B:$Z,5,FALSE),VLOOKUP($B998,Outbound!$B:$Z,5,FALSE)),"ON ROCS/NOT ON FILE"),"")</f>
        <v/>
      </c>
      <c r="F998" s="387" t="str">
        <f>IF(B998&lt;&gt;"",IFERROR(IF(LEFT($B998,3)=$Z$2,VLOOKUP($C998,Outbound!$B:$Z,11,FALSE),VLOOKUP($B998,Outbound!$B:$Z,11,FALSE)),"NON TROVATO"),"")</f>
        <v/>
      </c>
      <c r="G998" s="394" t="str">
        <f>IF(B998&lt;&gt;"",IFERROR(IF(LEFT($B998,3)=$Z$2,VLOOKUP($C998,Outbound!$B:$AAZ,16,FALSE),VLOOKUP($B998,Outbound!$B:$AAZ,16,FALSE)),"NON TROVATO"),"")</f>
        <v/>
      </c>
      <c r="H998" s="394" t="str">
        <f>IF(B998&lt;&gt;"",IFERROR(IF(LEFT($B998,3)=$Z$2,VLOOKUP($C998,Outbound!$B:$AAZ,6,FALSE),VLOOKUP($B998,Outbound!$B:$AAZ,6,FALSE)),"NON TROVATO"),"")</f>
        <v/>
      </c>
      <c r="I998" s="394" t="str">
        <f>IF(B998&lt;&gt;"",IFERROR(IF(LEFT($B998,3)=$Z$2,VLOOKUP($C998,Outbound!$B:$AAZ,52,FALSE),VLOOKUP($B998,Outbound!$B:$AAZ,52,FALSE)),"NON TROVATO"),"")</f>
        <v/>
      </c>
      <c r="J998" s="396"/>
      <c r="K998" s="387" t="str">
        <f>IF(B998&lt;&gt;"",IF($D998&lt;&gt;"ON ROCS/NOT ON FILE",IFERROR(_xlfn.XLOOKUP(LEFT($D998,3),'STAT 77 Table'!$B:$B,'STAT 77 Table'!$A:$A),"ZZ"&amp;RIGHT($B998,4)),""),"")</f>
        <v/>
      </c>
      <c r="L998" s="396"/>
      <c r="O998" s="388"/>
      <c r="P998" s="388"/>
      <c r="AA998" s="421">
        <f t="shared" si="15"/>
        <v>0</v>
      </c>
    </row>
    <row r="999" spans="1:27" ht="16.5">
      <c r="A999" s="387">
        <f>'STAT 77 Table'!$I$998</f>
        <v>0</v>
      </c>
      <c r="B999"/>
      <c r="C999"/>
      <c r="D999" s="387" t="str">
        <f>IF($B999&lt;&gt;"",IFERROR(IF(LEFT($B999,3)=$Z$2,VLOOKUP($C999,Outbound!$B:$Z,4,FALSE),VLOOKUP($B999,Outbound!$B:$Z,4,FALSE)),"ON ROCS/NOT ON FILE"),"")</f>
        <v/>
      </c>
      <c r="E999" s="387" t="str">
        <f>IF($B999&lt;&gt;"",IFERROR(IF(LEFT($B999,4)=$Z$2,VLOOKUP($C999,Outbound!$B:$Z,5,FALSE),VLOOKUP($B999,Outbound!$B:$Z,5,FALSE)),"ON ROCS/NOT ON FILE"),"")</f>
        <v/>
      </c>
      <c r="F999" s="387" t="str">
        <f>IF(B999&lt;&gt;"",IFERROR(IF(LEFT($B999,3)=$Z$2,VLOOKUP($C999,Outbound!$B:$Z,11,FALSE),VLOOKUP($B999,Outbound!$B:$Z,11,FALSE)),"NON TROVATO"),"")</f>
        <v/>
      </c>
      <c r="G999" s="394" t="str">
        <f>IF(B999&lt;&gt;"",IFERROR(IF(LEFT($B999,3)=$Z$2,VLOOKUP($C999,Outbound!$B:$AAZ,16,FALSE),VLOOKUP($B999,Outbound!$B:$AAZ,16,FALSE)),"NON TROVATO"),"")</f>
        <v/>
      </c>
      <c r="H999" s="394" t="str">
        <f>IF(B999&lt;&gt;"",IFERROR(IF(LEFT($B999,3)=$Z$2,VLOOKUP($C999,Outbound!$B:$AAZ,6,FALSE),VLOOKUP($B999,Outbound!$B:$AAZ,6,FALSE)),"NON TROVATO"),"")</f>
        <v/>
      </c>
      <c r="I999" s="394" t="str">
        <f>IF(B999&lt;&gt;"",IFERROR(IF(LEFT($B999,3)=$Z$2,VLOOKUP($C999,Outbound!$B:$AAZ,52,FALSE),VLOOKUP($B999,Outbound!$B:$AAZ,52,FALSE)),"NON TROVATO"),"")</f>
        <v/>
      </c>
      <c r="J999" s="396"/>
      <c r="K999" s="387" t="str">
        <f>IF(B999&lt;&gt;"",IF($D999&lt;&gt;"ON ROCS/NOT ON FILE",IFERROR(_xlfn.XLOOKUP(LEFT($D999,3),'STAT 77 Table'!$B:$B,'STAT 77 Table'!$A:$A),"ZZ"&amp;RIGHT($B999,4)),""),"")</f>
        <v/>
      </c>
      <c r="L999" s="396"/>
      <c r="O999" s="388"/>
      <c r="P999" s="388"/>
      <c r="AA999" s="421">
        <f t="shared" si="15"/>
        <v>0</v>
      </c>
    </row>
    <row r="1000" spans="1:27" ht="16.5">
      <c r="A1000" s="387">
        <f>'STAT 77 Table'!$I$999</f>
        <v>0</v>
      </c>
      <c r="B1000"/>
      <c r="C1000"/>
      <c r="D1000" s="387" t="str">
        <f>IF($B1000&lt;&gt;"",IFERROR(IF(LEFT($B1000,3)=$Z$2,VLOOKUP($C1000,Outbound!$B:$Z,4,FALSE),VLOOKUP($B1000,Outbound!$B:$Z,4,FALSE)),"ON ROCS/NOT ON FILE"),"")</f>
        <v/>
      </c>
      <c r="E1000" s="387" t="str">
        <f>IF($B1000&lt;&gt;"",IFERROR(IF(LEFT($B1000,4)=$Z$2,VLOOKUP($C1000,Outbound!$B:$Z,5,FALSE),VLOOKUP($B1000,Outbound!$B:$Z,5,FALSE)),"ON ROCS/NOT ON FILE"),"")</f>
        <v/>
      </c>
      <c r="F1000" s="387" t="str">
        <f>IF(B1000&lt;&gt;"",IFERROR(IF(LEFT($B1000,3)=$Z$2,VLOOKUP($C1000,Outbound!$B:$Z,11,FALSE),VLOOKUP($B1000,Outbound!$B:$Z,11,FALSE)),"NON TROVATO"),"")</f>
        <v/>
      </c>
      <c r="G1000" s="394" t="str">
        <f>IF(B1000&lt;&gt;"",IFERROR(IF(LEFT($B1000,3)=$Z$2,VLOOKUP($C1000,Outbound!$B:$AAZ,16,FALSE),VLOOKUP($B1000,Outbound!$B:$AAZ,16,FALSE)),"NON TROVATO"),"")</f>
        <v/>
      </c>
      <c r="H1000" s="394" t="str">
        <f>IF(B1000&lt;&gt;"",IFERROR(IF(LEFT($B1000,3)=$Z$2,VLOOKUP($C1000,Outbound!$B:$AAZ,6,FALSE),VLOOKUP($B1000,Outbound!$B:$AAZ,6,FALSE)),"NON TROVATO"),"")</f>
        <v/>
      </c>
      <c r="I1000" s="394" t="str">
        <f>IF(B1000&lt;&gt;"",IFERROR(IF(LEFT($B1000,3)=$Z$2,VLOOKUP($C1000,Outbound!$B:$AAZ,52,FALSE),VLOOKUP($B1000,Outbound!$B:$AAZ,52,FALSE)),"NON TROVATO"),"")</f>
        <v/>
      </c>
      <c r="J1000" s="396"/>
      <c r="K1000" s="387" t="str">
        <f>IF(B1000&lt;&gt;"",IF($D1000&lt;&gt;"ON ROCS/NOT ON FILE",IFERROR(_xlfn.XLOOKUP(LEFT($D1000,3),'STAT 77 Table'!$B:$B,'STAT 77 Table'!$A:$A),"ZZ"&amp;RIGHT($B1000,4)),""),"")</f>
        <v/>
      </c>
      <c r="L1000" s="396"/>
      <c r="O1000" s="388"/>
      <c r="P1000" s="388"/>
      <c r="AA1000" s="421">
        <f t="shared" si="15"/>
        <v>0</v>
      </c>
    </row>
    <row r="1001" spans="1:27" ht="16.5">
      <c r="A1001" s="387">
        <f>'STAT 77 Table'!$I$1000</f>
        <v>0</v>
      </c>
      <c r="B1001"/>
      <c r="C1001"/>
      <c r="D1001" s="387" t="str">
        <f>IF($B1001&lt;&gt;"",IFERROR(IF(LEFT($B1001,3)=$Z$2,VLOOKUP($C1001,Outbound!$B:$Z,4,FALSE),VLOOKUP($B1001,Outbound!$B:$Z,4,FALSE)),"ON ROCS/NOT ON FILE"),"")</f>
        <v/>
      </c>
      <c r="E1001" s="387" t="str">
        <f>IF($B1001&lt;&gt;"",IFERROR(IF(LEFT($B1001,4)=$Z$2,VLOOKUP($C1001,Outbound!$B:$Z,5,FALSE),VLOOKUP($B1001,Outbound!$B:$Z,5,FALSE)),"ON ROCS/NOT ON FILE"),"")</f>
        <v/>
      </c>
      <c r="F1001" s="387" t="str">
        <f>IF(B1001&lt;&gt;"",IFERROR(IF(LEFT($B1001,3)=$Z$2,VLOOKUP($C1001,Outbound!$B:$Z,11,FALSE),VLOOKUP($B1001,Outbound!$B:$Z,11,FALSE)),"NON TROVATO"),"")</f>
        <v/>
      </c>
      <c r="G1001" s="394" t="str">
        <f>IF(B1001&lt;&gt;"",IFERROR(IF(LEFT($B1001,3)=$Z$2,VLOOKUP($C1001,Outbound!$B:$AAZ,16,FALSE),VLOOKUP($B1001,Outbound!$B:$AAZ,16,FALSE)),"NON TROVATO"),"")</f>
        <v/>
      </c>
      <c r="H1001" s="394" t="str">
        <f>IF(B1001&lt;&gt;"",IFERROR(IF(LEFT($B1001,3)=$Z$2,VLOOKUP($C1001,Outbound!$B:$AAZ,6,FALSE),VLOOKUP($B1001,Outbound!$B:$AAZ,6,FALSE)),"NON TROVATO"),"")</f>
        <v/>
      </c>
      <c r="I1001" s="394" t="str">
        <f>IF(B1001&lt;&gt;"",IFERROR(IF(LEFT($B1001,3)=$Z$2,VLOOKUP($C1001,Outbound!$B:$AAZ,52,FALSE),VLOOKUP($B1001,Outbound!$B:$AAZ,52,FALSE)),"NON TROVATO"),"")</f>
        <v/>
      </c>
      <c r="J1001" s="396"/>
      <c r="K1001" s="387" t="str">
        <f>IF(B1001&lt;&gt;"",IF($D1001&lt;&gt;"ON ROCS/NOT ON FILE",IFERROR(_xlfn.XLOOKUP(LEFT($D1001,3),'STAT 77 Table'!$B:$B,'STAT 77 Table'!$A:$A),"ZZ"&amp;RIGHT($B1001,4)),""),"")</f>
        <v/>
      </c>
      <c r="L1001" s="396"/>
      <c r="O1001" s="388"/>
      <c r="P1001" s="388"/>
      <c r="AA1001" s="421">
        <f t="shared" si="15"/>
        <v>0</v>
      </c>
    </row>
    <row r="1002" spans="1:27" ht="16.5">
      <c r="A1002" s="387">
        <f>'STAT 77 Table'!$I$1001</f>
        <v>0</v>
      </c>
      <c r="B1002"/>
      <c r="C1002"/>
      <c r="D1002" s="387" t="str">
        <f>IF($B1002&lt;&gt;"",IFERROR(IF(LEFT($B1002,3)=$Z$2,VLOOKUP($C1002,Outbound!$B:$Z,4,FALSE),VLOOKUP($B1002,Outbound!$B:$Z,4,FALSE)),"ON ROCS/NOT ON FILE"),"")</f>
        <v/>
      </c>
      <c r="E1002" s="387" t="str">
        <f>IF($B1002&lt;&gt;"",IFERROR(IF(LEFT($B1002,4)=$Z$2,VLOOKUP($C1002,Outbound!$B:$Z,5,FALSE),VLOOKUP($B1002,Outbound!$B:$Z,5,FALSE)),"ON ROCS/NOT ON FILE"),"")</f>
        <v/>
      </c>
      <c r="F1002" s="387" t="str">
        <f>IF(B1002&lt;&gt;"",IFERROR(IF(LEFT($B1002,3)=$Z$2,VLOOKUP($C1002,Outbound!$B:$Z,11,FALSE),VLOOKUP($B1002,Outbound!$B:$Z,11,FALSE)),"NON TROVATO"),"")</f>
        <v/>
      </c>
      <c r="G1002" s="394" t="str">
        <f>IF(B1002&lt;&gt;"",IFERROR(IF(LEFT($B1002,3)=$Z$2,VLOOKUP($C1002,Outbound!$B:$AAZ,16,FALSE),VLOOKUP($B1002,Outbound!$B:$AAZ,16,FALSE)),"NON TROVATO"),"")</f>
        <v/>
      </c>
      <c r="H1002" s="394" t="str">
        <f>IF(B1002&lt;&gt;"",IFERROR(IF(LEFT($B1002,3)=$Z$2,VLOOKUP($C1002,Outbound!$B:$AAZ,6,FALSE),VLOOKUP($B1002,Outbound!$B:$AAZ,6,FALSE)),"NON TROVATO"),"")</f>
        <v/>
      </c>
      <c r="I1002" s="394" t="str">
        <f>IF(B1002&lt;&gt;"",IFERROR(IF(LEFT($B1002,3)=$Z$2,VLOOKUP($C1002,Outbound!$B:$AAZ,52,FALSE),VLOOKUP($B1002,Outbound!$B:$AAZ,52,FALSE)),"NON TROVATO"),"")</f>
        <v/>
      </c>
      <c r="J1002" s="396"/>
      <c r="K1002" s="387" t="str">
        <f>IF(B1002&lt;&gt;"",IF($D1002&lt;&gt;"ON ROCS/NOT ON FILE",IFERROR(_xlfn.XLOOKUP(LEFT($D1002,3),'STAT 77 Table'!$B:$B,'STAT 77 Table'!$A:$A),"ZZ"&amp;RIGHT($B1002,4)),""),"")</f>
        <v/>
      </c>
      <c r="L1002" s="396"/>
      <c r="O1002" s="388"/>
      <c r="P1002" s="388"/>
      <c r="AA1002" s="421">
        <f t="shared" si="15"/>
        <v>0</v>
      </c>
    </row>
    <row r="1003" spans="1:27" ht="16.5">
      <c r="A1003" s="387">
        <f>'STAT 77 Table'!$I$1002</f>
        <v>0</v>
      </c>
      <c r="B1003"/>
      <c r="C1003"/>
      <c r="D1003" s="387" t="str">
        <f>IF($B1003&lt;&gt;"",IFERROR(IF(LEFT($B1003,3)=$Z$2,VLOOKUP($C1003,Outbound!$B:$Z,4,FALSE),VLOOKUP($B1003,Outbound!$B:$Z,4,FALSE)),"ON ROCS/NOT ON FILE"),"")</f>
        <v/>
      </c>
      <c r="E1003" s="387" t="str">
        <f>IF($B1003&lt;&gt;"",IFERROR(IF(LEFT($B1003,4)=$Z$2,VLOOKUP($C1003,Outbound!$B:$Z,5,FALSE),VLOOKUP($B1003,Outbound!$B:$Z,5,FALSE)),"ON ROCS/NOT ON FILE"),"")</f>
        <v/>
      </c>
      <c r="F1003" s="387" t="str">
        <f>IF(B1003&lt;&gt;"",IFERROR(IF(LEFT($B1003,3)=$Z$2,VLOOKUP($C1003,Outbound!$B:$Z,11,FALSE),VLOOKUP($B1003,Outbound!$B:$Z,11,FALSE)),"NON TROVATO"),"")</f>
        <v/>
      </c>
      <c r="G1003" s="394" t="str">
        <f>IF(B1003&lt;&gt;"",IFERROR(IF(LEFT($B1003,3)=$Z$2,VLOOKUP($C1003,Outbound!$B:$AAZ,16,FALSE),VLOOKUP($B1003,Outbound!$B:$AAZ,16,FALSE)),"NON TROVATO"),"")</f>
        <v/>
      </c>
      <c r="H1003" s="394" t="str">
        <f>IF(B1003&lt;&gt;"",IFERROR(IF(LEFT($B1003,3)=$Z$2,VLOOKUP($C1003,Outbound!$B:$AAZ,6,FALSE),VLOOKUP($B1003,Outbound!$B:$AAZ,6,FALSE)),"NON TROVATO"),"")</f>
        <v/>
      </c>
      <c r="I1003" s="394" t="str">
        <f>IF(B1003&lt;&gt;"",IFERROR(IF(LEFT($B1003,3)=$Z$2,VLOOKUP($C1003,Outbound!$B:$AAZ,52,FALSE),VLOOKUP($B1003,Outbound!$B:$AAZ,52,FALSE)),"NON TROVATO"),"")</f>
        <v/>
      </c>
      <c r="J1003" s="396"/>
      <c r="K1003" s="387" t="str">
        <f>IF(B1003&lt;&gt;"",IF($D1003&lt;&gt;"ON ROCS/NOT ON FILE",IFERROR(_xlfn.XLOOKUP(LEFT($D1003,3),'STAT 77 Table'!$B:$B,'STAT 77 Table'!$A:$A),"ZZ"&amp;RIGHT($B1003,4)),""),"")</f>
        <v/>
      </c>
      <c r="L1003" s="396"/>
      <c r="O1003" s="388"/>
      <c r="P1003" s="388"/>
      <c r="AA1003" s="421">
        <f t="shared" si="15"/>
        <v>0</v>
      </c>
    </row>
    <row r="1004" spans="1:27" ht="16.5">
      <c r="A1004" s="387">
        <f>'STAT 77 Table'!$I$1003</f>
        <v>0</v>
      </c>
      <c r="B1004"/>
      <c r="C1004"/>
      <c r="D1004" s="387" t="str">
        <f>IF($B1004&lt;&gt;"",IFERROR(IF(LEFT($B1004,3)=$Z$2,VLOOKUP($C1004,Outbound!$B:$Z,4,FALSE),VLOOKUP($B1004,Outbound!$B:$Z,4,FALSE)),"ON ROCS/NOT ON FILE"),"")</f>
        <v/>
      </c>
      <c r="E1004" s="387" t="str">
        <f>IF($B1004&lt;&gt;"",IFERROR(IF(LEFT($B1004,4)=$Z$2,VLOOKUP($C1004,Outbound!$B:$Z,5,FALSE),VLOOKUP($B1004,Outbound!$B:$Z,5,FALSE)),"ON ROCS/NOT ON FILE"),"")</f>
        <v/>
      </c>
      <c r="F1004" s="387" t="str">
        <f>IF(B1004&lt;&gt;"",IFERROR(IF(LEFT($B1004,3)=$Z$2,VLOOKUP($C1004,Outbound!$B:$Z,11,FALSE),VLOOKUP($B1004,Outbound!$B:$Z,11,FALSE)),"NON TROVATO"),"")</f>
        <v/>
      </c>
      <c r="G1004" s="394" t="str">
        <f>IF(B1004&lt;&gt;"",IFERROR(IF(LEFT($B1004,3)=$Z$2,VLOOKUP($C1004,Outbound!$B:$AAZ,16,FALSE),VLOOKUP($B1004,Outbound!$B:$AAZ,16,FALSE)),"NON TROVATO"),"")</f>
        <v/>
      </c>
      <c r="H1004" s="394" t="str">
        <f>IF(B1004&lt;&gt;"",IFERROR(IF(LEFT($B1004,3)=$Z$2,VLOOKUP($C1004,Outbound!$B:$AAZ,6,FALSE),VLOOKUP($B1004,Outbound!$B:$AAZ,6,FALSE)),"NON TROVATO"),"")</f>
        <v/>
      </c>
      <c r="I1004" s="394" t="str">
        <f>IF(B1004&lt;&gt;"",IFERROR(IF(LEFT($B1004,3)=$Z$2,VLOOKUP($C1004,Outbound!$B:$AAZ,52,FALSE),VLOOKUP($B1004,Outbound!$B:$AAZ,52,FALSE)),"NON TROVATO"),"")</f>
        <v/>
      </c>
      <c r="J1004" s="396"/>
      <c r="K1004" s="387" t="str">
        <f>IF(B1004&lt;&gt;"",IF($D1004&lt;&gt;"ON ROCS/NOT ON FILE",IFERROR(_xlfn.XLOOKUP(LEFT($D1004,3),'STAT 77 Table'!$B:$B,'STAT 77 Table'!$A:$A),"ZZ"&amp;RIGHT($B1004,4)),""),"")</f>
        <v/>
      </c>
      <c r="L1004" s="396"/>
      <c r="O1004" s="388"/>
      <c r="P1004" s="388"/>
      <c r="AA1004" s="421">
        <f t="shared" si="15"/>
        <v>0</v>
      </c>
    </row>
    <row r="1005" spans="1:27" ht="16.5">
      <c r="A1005" s="387">
        <f>'STAT 77 Table'!$I$1004</f>
        <v>0</v>
      </c>
      <c r="B1005"/>
      <c r="C1005"/>
      <c r="D1005" s="387" t="str">
        <f>IF($B1005&lt;&gt;"",IFERROR(IF(LEFT($B1005,3)=$Z$2,VLOOKUP($C1005,Outbound!$B:$Z,4,FALSE),VLOOKUP($B1005,Outbound!$B:$Z,4,FALSE)),"ON ROCS/NOT ON FILE"),"")</f>
        <v/>
      </c>
      <c r="E1005" s="387" t="str">
        <f>IF($B1005&lt;&gt;"",IFERROR(IF(LEFT($B1005,4)=$Z$2,VLOOKUP($C1005,Outbound!$B:$Z,5,FALSE),VLOOKUP($B1005,Outbound!$B:$Z,5,FALSE)),"ON ROCS/NOT ON FILE"),"")</f>
        <v/>
      </c>
      <c r="F1005" s="387" t="str">
        <f>IF(B1005&lt;&gt;"",IFERROR(IF(LEFT($B1005,3)=$Z$2,VLOOKUP($C1005,Outbound!$B:$Z,11,FALSE),VLOOKUP($B1005,Outbound!$B:$Z,11,FALSE)),"NON TROVATO"),"")</f>
        <v/>
      </c>
      <c r="G1005" s="394" t="str">
        <f>IF(B1005&lt;&gt;"",IFERROR(IF(LEFT($B1005,3)=$Z$2,VLOOKUP($C1005,Outbound!$B:$AAZ,16,FALSE),VLOOKUP($B1005,Outbound!$B:$AAZ,16,FALSE)),"NON TROVATO"),"")</f>
        <v/>
      </c>
      <c r="H1005" s="394" t="str">
        <f>IF(B1005&lt;&gt;"",IFERROR(IF(LEFT($B1005,3)=$Z$2,VLOOKUP($C1005,Outbound!$B:$AAZ,6,FALSE),VLOOKUP($B1005,Outbound!$B:$AAZ,6,FALSE)),"NON TROVATO"),"")</f>
        <v/>
      </c>
      <c r="I1005" s="394" t="str">
        <f>IF(B1005&lt;&gt;"",IFERROR(IF(LEFT($B1005,3)=$Z$2,VLOOKUP($C1005,Outbound!$B:$AAZ,52,FALSE),VLOOKUP($B1005,Outbound!$B:$AAZ,52,FALSE)),"NON TROVATO"),"")</f>
        <v/>
      </c>
      <c r="J1005" s="396"/>
      <c r="K1005" s="387" t="str">
        <f>IF(B1005&lt;&gt;"",IF($D1005&lt;&gt;"ON ROCS/NOT ON FILE",IFERROR(_xlfn.XLOOKUP(LEFT($D1005,3),'STAT 77 Table'!$B:$B,'STAT 77 Table'!$A:$A),"ZZ"&amp;RIGHT($B1005,4)),""),"")</f>
        <v/>
      </c>
      <c r="L1005" s="396"/>
      <c r="O1005" s="388"/>
      <c r="P1005" s="388"/>
      <c r="AA1005" s="421">
        <f t="shared" si="15"/>
        <v>0</v>
      </c>
    </row>
    <row r="1006" spans="1:27" ht="16.5">
      <c r="A1006" s="387">
        <f>'STAT 77 Table'!$I$1005</f>
        <v>0</v>
      </c>
      <c r="B1006"/>
      <c r="C1006"/>
      <c r="D1006" s="387" t="str">
        <f>IF($B1006&lt;&gt;"",IFERROR(IF(LEFT($B1006,3)=$Z$2,VLOOKUP($C1006,Outbound!$B:$Z,4,FALSE),VLOOKUP($B1006,Outbound!$B:$Z,4,FALSE)),"ON ROCS/NOT ON FILE"),"")</f>
        <v/>
      </c>
      <c r="E1006" s="387" t="str">
        <f>IF($B1006&lt;&gt;"",IFERROR(IF(LEFT($B1006,4)=$Z$2,VLOOKUP($C1006,Outbound!$B:$Z,5,FALSE),VLOOKUP($B1006,Outbound!$B:$Z,5,FALSE)),"ON ROCS/NOT ON FILE"),"")</f>
        <v/>
      </c>
      <c r="F1006" s="387" t="str">
        <f>IF(B1006&lt;&gt;"",IFERROR(IF(LEFT($B1006,3)=$Z$2,VLOOKUP($C1006,Outbound!$B:$Z,11,FALSE),VLOOKUP($B1006,Outbound!$B:$Z,11,FALSE)),"NON TROVATO"),"")</f>
        <v/>
      </c>
      <c r="G1006" s="394" t="str">
        <f>IF(B1006&lt;&gt;"",IFERROR(IF(LEFT($B1006,3)=$Z$2,VLOOKUP($C1006,Outbound!$B:$AAZ,16,FALSE),VLOOKUP($B1006,Outbound!$B:$AAZ,16,FALSE)),"NON TROVATO"),"")</f>
        <v/>
      </c>
      <c r="H1006" s="394" t="str">
        <f>IF(B1006&lt;&gt;"",IFERROR(IF(LEFT($B1006,3)=$Z$2,VLOOKUP($C1006,Outbound!$B:$AAZ,6,FALSE),VLOOKUP($B1006,Outbound!$B:$AAZ,6,FALSE)),"NON TROVATO"),"")</f>
        <v/>
      </c>
      <c r="I1006" s="394" t="str">
        <f>IF(B1006&lt;&gt;"",IFERROR(IF(LEFT($B1006,3)=$Z$2,VLOOKUP($C1006,Outbound!$B:$AAZ,52,FALSE),VLOOKUP($B1006,Outbound!$B:$AAZ,52,FALSE)),"NON TROVATO"),"")</f>
        <v/>
      </c>
      <c r="J1006" s="396"/>
      <c r="K1006" s="387" t="str">
        <f>IF(B1006&lt;&gt;"",IF($D1006&lt;&gt;"ON ROCS/NOT ON FILE",IFERROR(_xlfn.XLOOKUP(LEFT($D1006,3),'STAT 77 Table'!$B:$B,'STAT 77 Table'!$A:$A),"ZZ"&amp;RIGHT($B1006,4)),""),"")</f>
        <v/>
      </c>
      <c r="L1006" s="396"/>
      <c r="O1006" s="388"/>
      <c r="P1006" s="388"/>
      <c r="AA1006" s="421">
        <f t="shared" si="15"/>
        <v>0</v>
      </c>
    </row>
    <row r="1007" spans="1:27" ht="16.5">
      <c r="A1007" s="387">
        <f>'STAT 77 Table'!$I$1006</f>
        <v>0</v>
      </c>
      <c r="B1007"/>
      <c r="C1007"/>
      <c r="D1007" s="387" t="str">
        <f>IF($B1007&lt;&gt;"",IFERROR(IF(LEFT($B1007,3)=$Z$2,VLOOKUP($C1007,Outbound!$B:$Z,4,FALSE),VLOOKUP($B1007,Outbound!$B:$Z,4,FALSE)),"ON ROCS/NOT ON FILE"),"")</f>
        <v/>
      </c>
      <c r="E1007" s="387" t="str">
        <f>IF($B1007&lt;&gt;"",IFERROR(IF(LEFT($B1007,4)=$Z$2,VLOOKUP($C1007,Outbound!$B:$Z,5,FALSE),VLOOKUP($B1007,Outbound!$B:$Z,5,FALSE)),"ON ROCS/NOT ON FILE"),"")</f>
        <v/>
      </c>
      <c r="F1007" s="387" t="str">
        <f>IF(B1007&lt;&gt;"",IFERROR(IF(LEFT($B1007,3)=$Z$2,VLOOKUP($C1007,Outbound!$B:$Z,11,FALSE),VLOOKUP($B1007,Outbound!$B:$Z,11,FALSE)),"NON TROVATO"),"")</f>
        <v/>
      </c>
      <c r="G1007" s="394" t="str">
        <f>IF(B1007&lt;&gt;"",IFERROR(IF(LEFT($B1007,3)=$Z$2,VLOOKUP($C1007,Outbound!$B:$AAZ,16,FALSE),VLOOKUP($B1007,Outbound!$B:$AAZ,16,FALSE)),"NON TROVATO"),"")</f>
        <v/>
      </c>
      <c r="H1007" s="394" t="str">
        <f>IF(B1007&lt;&gt;"",IFERROR(IF(LEFT($B1007,3)=$Z$2,VLOOKUP($C1007,Outbound!$B:$AAZ,6,FALSE),VLOOKUP($B1007,Outbound!$B:$AAZ,6,FALSE)),"NON TROVATO"),"")</f>
        <v/>
      </c>
      <c r="I1007" s="394" t="str">
        <f>IF(B1007&lt;&gt;"",IFERROR(IF(LEFT($B1007,3)=$Z$2,VLOOKUP($C1007,Outbound!$B:$AAZ,52,FALSE),VLOOKUP($B1007,Outbound!$B:$AAZ,52,FALSE)),"NON TROVATO"),"")</f>
        <v/>
      </c>
      <c r="J1007" s="396"/>
      <c r="K1007" s="387" t="str">
        <f>IF(B1007&lt;&gt;"",IF($D1007&lt;&gt;"ON ROCS/NOT ON FILE",IFERROR(_xlfn.XLOOKUP(LEFT($D1007,3),'STAT 77 Table'!$B:$B,'STAT 77 Table'!$A:$A),"ZZ"&amp;RIGHT($B1007,4)),""),"")</f>
        <v/>
      </c>
      <c r="L1007" s="396"/>
      <c r="O1007" s="388"/>
      <c r="P1007" s="388"/>
      <c r="AA1007" s="421">
        <f t="shared" si="15"/>
        <v>0</v>
      </c>
    </row>
    <row r="1008" spans="1:27" ht="16.5">
      <c r="A1008" s="387">
        <f>'STAT 77 Table'!$I$1007</f>
        <v>0</v>
      </c>
      <c r="B1008"/>
      <c r="C1008"/>
      <c r="D1008" s="387" t="str">
        <f>IF($B1008&lt;&gt;"",IFERROR(IF(LEFT($B1008,3)=$Z$2,VLOOKUP($C1008,Outbound!$B:$Z,4,FALSE),VLOOKUP($B1008,Outbound!$B:$Z,4,FALSE)),"ON ROCS/NOT ON FILE"),"")</f>
        <v/>
      </c>
      <c r="E1008" s="387" t="str">
        <f>IF($B1008&lt;&gt;"",IFERROR(IF(LEFT($B1008,4)=$Z$2,VLOOKUP($C1008,Outbound!$B:$Z,5,FALSE),VLOOKUP($B1008,Outbound!$B:$Z,5,FALSE)),"ON ROCS/NOT ON FILE"),"")</f>
        <v/>
      </c>
      <c r="F1008" s="387" t="str">
        <f>IF(B1008&lt;&gt;"",IFERROR(IF(LEFT($B1008,3)=$Z$2,VLOOKUP($C1008,Outbound!$B:$Z,11,FALSE),VLOOKUP($B1008,Outbound!$B:$Z,11,FALSE)),"NON TROVATO"),"")</f>
        <v/>
      </c>
      <c r="G1008" s="394" t="str">
        <f>IF(B1008&lt;&gt;"",IFERROR(IF(LEFT($B1008,3)=$Z$2,VLOOKUP($C1008,Outbound!$B:$AAZ,16,FALSE),VLOOKUP($B1008,Outbound!$B:$AAZ,16,FALSE)),"NON TROVATO"),"")</f>
        <v/>
      </c>
      <c r="H1008" s="394" t="str">
        <f>IF(B1008&lt;&gt;"",IFERROR(IF(LEFT($B1008,3)=$Z$2,VLOOKUP($C1008,Outbound!$B:$AAZ,6,FALSE),VLOOKUP($B1008,Outbound!$B:$AAZ,6,FALSE)),"NON TROVATO"),"")</f>
        <v/>
      </c>
      <c r="I1008" s="394" t="str">
        <f>IF(B1008&lt;&gt;"",IFERROR(IF(LEFT($B1008,3)=$Z$2,VLOOKUP($C1008,Outbound!$B:$AAZ,52,FALSE),VLOOKUP($B1008,Outbound!$B:$AAZ,52,FALSE)),"NON TROVATO"),"")</f>
        <v/>
      </c>
      <c r="J1008" s="396"/>
      <c r="K1008" s="387" t="str">
        <f>IF(B1008&lt;&gt;"",IF($D1008&lt;&gt;"ON ROCS/NOT ON FILE",IFERROR(_xlfn.XLOOKUP(LEFT($D1008,3),'STAT 77 Table'!$B:$B,'STAT 77 Table'!$A:$A),"ZZ"&amp;RIGHT($B1008,4)),""),"")</f>
        <v/>
      </c>
      <c r="L1008" s="396"/>
      <c r="O1008" s="388"/>
      <c r="P1008" s="388"/>
      <c r="AA1008" s="421">
        <f t="shared" si="15"/>
        <v>0</v>
      </c>
    </row>
    <row r="1009" spans="1:27" ht="16.5">
      <c r="A1009" s="387">
        <f>'STAT 77 Table'!$I$1008</f>
        <v>0</v>
      </c>
      <c r="B1009"/>
      <c r="C1009"/>
      <c r="D1009" s="387" t="str">
        <f>IF($B1009&lt;&gt;"",IFERROR(IF(LEFT($B1009,3)=$Z$2,VLOOKUP($C1009,Outbound!$B:$Z,4,FALSE),VLOOKUP($B1009,Outbound!$B:$Z,4,FALSE)),"ON ROCS/NOT ON FILE"),"")</f>
        <v/>
      </c>
      <c r="E1009" s="387" t="str">
        <f>IF($B1009&lt;&gt;"",IFERROR(IF(LEFT($B1009,4)=$Z$2,VLOOKUP($C1009,Outbound!$B:$Z,5,FALSE),VLOOKUP($B1009,Outbound!$B:$Z,5,FALSE)),"ON ROCS/NOT ON FILE"),"")</f>
        <v/>
      </c>
      <c r="F1009" s="387" t="str">
        <f>IF(B1009&lt;&gt;"",IFERROR(IF(LEFT($B1009,3)=$Z$2,VLOOKUP($C1009,Outbound!$B:$Z,11,FALSE),VLOOKUP($B1009,Outbound!$B:$Z,11,FALSE)),"NON TROVATO"),"")</f>
        <v/>
      </c>
      <c r="G1009" s="394" t="str">
        <f>IF(B1009&lt;&gt;"",IFERROR(IF(LEFT($B1009,3)=$Z$2,VLOOKUP($C1009,Outbound!$B:$AAZ,16,FALSE),VLOOKUP($B1009,Outbound!$B:$AAZ,16,FALSE)),"NON TROVATO"),"")</f>
        <v/>
      </c>
      <c r="H1009" s="394" t="str">
        <f>IF(B1009&lt;&gt;"",IFERROR(IF(LEFT($B1009,3)=$Z$2,VLOOKUP($C1009,Outbound!$B:$AAZ,6,FALSE),VLOOKUP($B1009,Outbound!$B:$AAZ,6,FALSE)),"NON TROVATO"),"")</f>
        <v/>
      </c>
      <c r="I1009" s="394" t="str">
        <f>IF(B1009&lt;&gt;"",IFERROR(IF(LEFT($B1009,3)=$Z$2,VLOOKUP($C1009,Outbound!$B:$AAZ,52,FALSE),VLOOKUP($B1009,Outbound!$B:$AAZ,52,FALSE)),"NON TROVATO"),"")</f>
        <v/>
      </c>
      <c r="J1009" s="396"/>
      <c r="K1009" s="387" t="str">
        <f>IF(B1009&lt;&gt;"",IF($D1009&lt;&gt;"ON ROCS/NOT ON FILE",IFERROR(_xlfn.XLOOKUP(LEFT($D1009,3),'STAT 77 Table'!$B:$B,'STAT 77 Table'!$A:$A),"ZZ"&amp;RIGHT($B1009,4)),""),"")</f>
        <v/>
      </c>
      <c r="L1009" s="396"/>
      <c r="O1009" s="388"/>
      <c r="P1009" s="388"/>
      <c r="AA1009" s="421">
        <f t="shared" si="15"/>
        <v>0</v>
      </c>
    </row>
    <row r="1010" spans="1:27" ht="16.5">
      <c r="A1010" s="387">
        <f>'STAT 77 Table'!$I$1009</f>
        <v>0</v>
      </c>
      <c r="B1010"/>
      <c r="C1010"/>
      <c r="D1010" s="387" t="str">
        <f>IF($B1010&lt;&gt;"",IFERROR(IF(LEFT($B1010,3)=$Z$2,VLOOKUP($C1010,Outbound!$B:$Z,4,FALSE),VLOOKUP($B1010,Outbound!$B:$Z,4,FALSE)),"ON ROCS/NOT ON FILE"),"")</f>
        <v/>
      </c>
      <c r="E1010" s="387" t="str">
        <f>IF($B1010&lt;&gt;"",IFERROR(IF(LEFT($B1010,4)=$Z$2,VLOOKUP($C1010,Outbound!$B:$Z,5,FALSE),VLOOKUP($B1010,Outbound!$B:$Z,5,FALSE)),"ON ROCS/NOT ON FILE"),"")</f>
        <v/>
      </c>
      <c r="F1010" s="387" t="str">
        <f>IF(B1010&lt;&gt;"",IFERROR(IF(LEFT($B1010,3)=$Z$2,VLOOKUP($C1010,Outbound!$B:$Z,11,FALSE),VLOOKUP($B1010,Outbound!$B:$Z,11,FALSE)),"NON TROVATO"),"")</f>
        <v/>
      </c>
      <c r="G1010" s="394" t="str">
        <f>IF(B1010&lt;&gt;"",IFERROR(IF(LEFT($B1010,3)=$Z$2,VLOOKUP($C1010,Outbound!$B:$AAZ,16,FALSE),VLOOKUP($B1010,Outbound!$B:$AAZ,16,FALSE)),"NON TROVATO"),"")</f>
        <v/>
      </c>
      <c r="H1010" s="394" t="str">
        <f>IF(B1010&lt;&gt;"",IFERROR(IF(LEFT($B1010,3)=$Z$2,VLOOKUP($C1010,Outbound!$B:$AAZ,6,FALSE),VLOOKUP($B1010,Outbound!$B:$AAZ,6,FALSE)),"NON TROVATO"),"")</f>
        <v/>
      </c>
      <c r="I1010" s="394" t="str">
        <f>IF(B1010&lt;&gt;"",IFERROR(IF(LEFT($B1010,3)=$Z$2,VLOOKUP($C1010,Outbound!$B:$AAZ,52,FALSE),VLOOKUP($B1010,Outbound!$B:$AAZ,52,FALSE)),"NON TROVATO"),"")</f>
        <v/>
      </c>
      <c r="J1010" s="396"/>
      <c r="K1010" s="387" t="str">
        <f>IF(B1010&lt;&gt;"",IF($D1010&lt;&gt;"ON ROCS/NOT ON FILE",IFERROR(_xlfn.XLOOKUP(LEFT($D1010,3),'STAT 77 Table'!$B:$B,'STAT 77 Table'!$A:$A),"ZZ"&amp;RIGHT($B1010,4)),""),"")</f>
        <v/>
      </c>
      <c r="L1010" s="396"/>
      <c r="O1010" s="388"/>
      <c r="P1010" s="388"/>
      <c r="AA1010" s="421">
        <f t="shared" si="15"/>
        <v>0</v>
      </c>
    </row>
    <row r="1011" spans="1:27" ht="16.5">
      <c r="A1011" s="387">
        <f>'STAT 77 Table'!$I$1010</f>
        <v>0</v>
      </c>
      <c r="B1011"/>
      <c r="C1011"/>
      <c r="D1011" s="387" t="str">
        <f>IF($B1011&lt;&gt;"",IFERROR(IF(LEFT($B1011,3)=$Z$2,VLOOKUP($C1011,Outbound!$B:$Z,4,FALSE),VLOOKUP($B1011,Outbound!$B:$Z,4,FALSE)),"ON ROCS/NOT ON FILE"),"")</f>
        <v/>
      </c>
      <c r="E1011" s="387" t="str">
        <f>IF($B1011&lt;&gt;"",IFERROR(IF(LEFT($B1011,4)=$Z$2,VLOOKUP($C1011,Outbound!$B:$Z,5,FALSE),VLOOKUP($B1011,Outbound!$B:$Z,5,FALSE)),"ON ROCS/NOT ON FILE"),"")</f>
        <v/>
      </c>
      <c r="F1011" s="387" t="str">
        <f>IF(B1011&lt;&gt;"",IFERROR(IF(LEFT($B1011,3)=$Z$2,VLOOKUP($C1011,Outbound!$B:$Z,11,FALSE),VLOOKUP($B1011,Outbound!$B:$Z,11,FALSE)),"NON TROVATO"),"")</f>
        <v/>
      </c>
      <c r="G1011" s="394" t="str">
        <f>IF(B1011&lt;&gt;"",IFERROR(IF(LEFT($B1011,3)=$Z$2,VLOOKUP($C1011,Outbound!$B:$AAZ,16,FALSE),VLOOKUP($B1011,Outbound!$B:$AAZ,16,FALSE)),"NON TROVATO"),"")</f>
        <v/>
      </c>
      <c r="H1011" s="394" t="str">
        <f>IF(B1011&lt;&gt;"",IFERROR(IF(LEFT($B1011,3)=$Z$2,VLOOKUP($C1011,Outbound!$B:$AAZ,6,FALSE),VLOOKUP($B1011,Outbound!$B:$AAZ,6,FALSE)),"NON TROVATO"),"")</f>
        <v/>
      </c>
      <c r="I1011" s="394" t="str">
        <f>IF(B1011&lt;&gt;"",IFERROR(IF(LEFT($B1011,3)=$Z$2,VLOOKUP($C1011,Outbound!$B:$AAZ,52,FALSE),VLOOKUP($B1011,Outbound!$B:$AAZ,52,FALSE)),"NON TROVATO"),"")</f>
        <v/>
      </c>
      <c r="J1011" s="396"/>
      <c r="K1011" s="387" t="str">
        <f>IF(B1011&lt;&gt;"",IF($D1011&lt;&gt;"ON ROCS/NOT ON FILE",IFERROR(_xlfn.XLOOKUP(LEFT($D1011,3),'STAT 77 Table'!$B:$B,'STAT 77 Table'!$A:$A),"ZZ"&amp;RIGHT($B1011,4)),""),"")</f>
        <v/>
      </c>
      <c r="L1011" s="396"/>
      <c r="O1011" s="388"/>
      <c r="P1011" s="388"/>
      <c r="AA1011" s="421">
        <f t="shared" si="15"/>
        <v>0</v>
      </c>
    </row>
    <row r="1012" spans="1:27" ht="16.5">
      <c r="A1012" s="387">
        <f>'STAT 77 Table'!$I$1011</f>
        <v>0</v>
      </c>
      <c r="B1012"/>
      <c r="C1012"/>
      <c r="D1012" s="387" t="str">
        <f>IF($B1012&lt;&gt;"",IFERROR(IF(LEFT($B1012,3)=$Z$2,VLOOKUP($C1012,Outbound!$B:$Z,4,FALSE),VLOOKUP($B1012,Outbound!$B:$Z,4,FALSE)),"ON ROCS/NOT ON FILE"),"")</f>
        <v/>
      </c>
      <c r="E1012" s="387" t="str">
        <f>IF($B1012&lt;&gt;"",IFERROR(IF(LEFT($B1012,4)=$Z$2,VLOOKUP($C1012,Outbound!$B:$Z,5,FALSE),VLOOKUP($B1012,Outbound!$B:$Z,5,FALSE)),"ON ROCS/NOT ON FILE"),"")</f>
        <v/>
      </c>
      <c r="F1012" s="387" t="str">
        <f>IF(B1012&lt;&gt;"",IFERROR(IF(LEFT($B1012,3)=$Z$2,VLOOKUP($C1012,Outbound!$B:$Z,11,FALSE),VLOOKUP($B1012,Outbound!$B:$Z,11,FALSE)),"NON TROVATO"),"")</f>
        <v/>
      </c>
      <c r="G1012" s="394" t="str">
        <f>IF(B1012&lt;&gt;"",IFERROR(IF(LEFT($B1012,3)=$Z$2,VLOOKUP($C1012,Outbound!$B:$AAZ,16,FALSE),VLOOKUP($B1012,Outbound!$B:$AAZ,16,FALSE)),"NON TROVATO"),"")</f>
        <v/>
      </c>
      <c r="H1012" s="394" t="str">
        <f>IF(B1012&lt;&gt;"",IFERROR(IF(LEFT($B1012,3)=$Z$2,VLOOKUP($C1012,Outbound!$B:$AAZ,6,FALSE),VLOOKUP($B1012,Outbound!$B:$AAZ,6,FALSE)),"NON TROVATO"),"")</f>
        <v/>
      </c>
      <c r="I1012" s="394" t="str">
        <f>IF(B1012&lt;&gt;"",IFERROR(IF(LEFT($B1012,3)=$Z$2,VLOOKUP($C1012,Outbound!$B:$AAZ,52,FALSE),VLOOKUP($B1012,Outbound!$B:$AAZ,52,FALSE)),"NON TROVATO"),"")</f>
        <v/>
      </c>
      <c r="J1012" s="396"/>
      <c r="K1012" s="387" t="str">
        <f>IF(B1012&lt;&gt;"",IF($D1012&lt;&gt;"ON ROCS/NOT ON FILE",IFERROR(_xlfn.XLOOKUP(LEFT($D1012,3),'STAT 77 Table'!$B:$B,'STAT 77 Table'!$A:$A),"ZZ"&amp;RIGHT($B1012,4)),""),"")</f>
        <v/>
      </c>
      <c r="L1012" s="396"/>
      <c r="O1012" s="388"/>
      <c r="P1012" s="388"/>
      <c r="AA1012" s="421">
        <f t="shared" si="15"/>
        <v>0</v>
      </c>
    </row>
    <row r="1013" spans="1:27" ht="16.5">
      <c r="A1013" s="387">
        <f>'STAT 77 Table'!$I$1012</f>
        <v>0</v>
      </c>
      <c r="B1013"/>
      <c r="C1013"/>
      <c r="D1013" s="387" t="str">
        <f>IF($B1013&lt;&gt;"",IFERROR(IF(LEFT($B1013,3)=$Z$2,VLOOKUP($C1013,Outbound!$B:$Z,4,FALSE),VLOOKUP($B1013,Outbound!$B:$Z,4,FALSE)),"ON ROCS/NOT ON FILE"),"")</f>
        <v/>
      </c>
      <c r="E1013" s="387" t="str">
        <f>IF($B1013&lt;&gt;"",IFERROR(IF(LEFT($B1013,4)=$Z$2,VLOOKUP($C1013,Outbound!$B:$Z,5,FALSE),VLOOKUP($B1013,Outbound!$B:$Z,5,FALSE)),"ON ROCS/NOT ON FILE"),"")</f>
        <v/>
      </c>
      <c r="F1013" s="387" t="str">
        <f>IF(B1013&lt;&gt;"",IFERROR(IF(LEFT($B1013,3)=$Z$2,VLOOKUP($C1013,Outbound!$B:$Z,11,FALSE),VLOOKUP($B1013,Outbound!$B:$Z,11,FALSE)),"NON TROVATO"),"")</f>
        <v/>
      </c>
      <c r="G1013" s="394" t="str">
        <f>IF(B1013&lt;&gt;"",IFERROR(IF(LEFT($B1013,3)=$Z$2,VLOOKUP($C1013,Outbound!$B:$AAZ,16,FALSE),VLOOKUP($B1013,Outbound!$B:$AAZ,16,FALSE)),"NON TROVATO"),"")</f>
        <v/>
      </c>
      <c r="H1013" s="394" t="str">
        <f>IF(B1013&lt;&gt;"",IFERROR(IF(LEFT($B1013,3)=$Z$2,VLOOKUP($C1013,Outbound!$B:$AAZ,6,FALSE),VLOOKUP($B1013,Outbound!$B:$AAZ,6,FALSE)),"NON TROVATO"),"")</f>
        <v/>
      </c>
      <c r="I1013" s="394" t="str">
        <f>IF(B1013&lt;&gt;"",IFERROR(IF(LEFT($B1013,3)=$Z$2,VLOOKUP($C1013,Outbound!$B:$AAZ,52,FALSE),VLOOKUP($B1013,Outbound!$B:$AAZ,52,FALSE)),"NON TROVATO"),"")</f>
        <v/>
      </c>
      <c r="J1013" s="396"/>
      <c r="K1013" s="387" t="str">
        <f>IF(B1013&lt;&gt;"",IF($D1013&lt;&gt;"ON ROCS/NOT ON FILE",IFERROR(_xlfn.XLOOKUP(LEFT($D1013,3),'STAT 77 Table'!$B:$B,'STAT 77 Table'!$A:$A),"ZZ"&amp;RIGHT($B1013,4)),""),"")</f>
        <v/>
      </c>
      <c r="L1013" s="396"/>
      <c r="O1013" s="388"/>
      <c r="P1013" s="388"/>
      <c r="AA1013" s="421">
        <f t="shared" si="15"/>
        <v>0</v>
      </c>
    </row>
    <row r="1014" spans="1:27" ht="16.5">
      <c r="A1014" s="387">
        <f>'STAT 77 Table'!$I$1013</f>
        <v>0</v>
      </c>
      <c r="B1014"/>
      <c r="C1014"/>
      <c r="D1014" s="387" t="str">
        <f>IF($B1014&lt;&gt;"",IFERROR(IF(LEFT($B1014,3)=$Z$2,VLOOKUP($C1014,Outbound!$B:$Z,4,FALSE),VLOOKUP($B1014,Outbound!$B:$Z,4,FALSE)),"ON ROCS/NOT ON FILE"),"")</f>
        <v/>
      </c>
      <c r="E1014" s="387" t="str">
        <f>IF($B1014&lt;&gt;"",IFERROR(IF(LEFT($B1014,4)=$Z$2,VLOOKUP($C1014,Outbound!$B:$Z,5,FALSE),VLOOKUP($B1014,Outbound!$B:$Z,5,FALSE)),"ON ROCS/NOT ON FILE"),"")</f>
        <v/>
      </c>
      <c r="F1014" s="387" t="str">
        <f>IF(B1014&lt;&gt;"",IFERROR(IF(LEFT($B1014,3)=$Z$2,VLOOKUP($C1014,Outbound!$B:$Z,11,FALSE),VLOOKUP($B1014,Outbound!$B:$Z,11,FALSE)),"NON TROVATO"),"")</f>
        <v/>
      </c>
      <c r="G1014" s="394" t="str">
        <f>IF(B1014&lt;&gt;"",IFERROR(IF(LEFT($B1014,3)=$Z$2,VLOOKUP($C1014,Outbound!$B:$AAZ,16,FALSE),VLOOKUP($B1014,Outbound!$B:$AAZ,16,FALSE)),"NON TROVATO"),"")</f>
        <v/>
      </c>
      <c r="H1014" s="394" t="str">
        <f>IF(B1014&lt;&gt;"",IFERROR(IF(LEFT($B1014,3)=$Z$2,VLOOKUP($C1014,Outbound!$B:$AAZ,6,FALSE),VLOOKUP($B1014,Outbound!$B:$AAZ,6,FALSE)),"NON TROVATO"),"")</f>
        <v/>
      </c>
      <c r="I1014" s="394" t="str">
        <f>IF(B1014&lt;&gt;"",IFERROR(IF(LEFT($B1014,3)=$Z$2,VLOOKUP($C1014,Outbound!$B:$AAZ,52,FALSE),VLOOKUP($B1014,Outbound!$B:$AAZ,52,FALSE)),"NON TROVATO"),"")</f>
        <v/>
      </c>
      <c r="J1014" s="396"/>
      <c r="K1014" s="387" t="str">
        <f>IF(B1014&lt;&gt;"",IF($D1014&lt;&gt;"ON ROCS/NOT ON FILE",IFERROR(_xlfn.XLOOKUP(LEFT($D1014,3),'STAT 77 Table'!$B:$B,'STAT 77 Table'!$A:$A),"ZZ"&amp;RIGHT($B1014,4)),""),"")</f>
        <v/>
      </c>
      <c r="L1014" s="396"/>
      <c r="O1014" s="388"/>
      <c r="P1014" s="388"/>
      <c r="AA1014" s="421">
        <f t="shared" si="15"/>
        <v>0</v>
      </c>
    </row>
    <row r="1015" spans="1:27" ht="16.5">
      <c r="A1015" s="387">
        <f>'STAT 77 Table'!$I$1014</f>
        <v>0</v>
      </c>
      <c r="B1015"/>
      <c r="C1015"/>
      <c r="D1015" s="387" t="str">
        <f>IF($B1015&lt;&gt;"",IFERROR(IF(LEFT($B1015,3)=$Z$2,VLOOKUP($C1015,Outbound!$B:$Z,4,FALSE),VLOOKUP($B1015,Outbound!$B:$Z,4,FALSE)),"ON ROCS/NOT ON FILE"),"")</f>
        <v/>
      </c>
      <c r="E1015" s="387" t="str">
        <f>IF($B1015&lt;&gt;"",IFERROR(IF(LEFT($B1015,4)=$Z$2,VLOOKUP($C1015,Outbound!$B:$Z,5,FALSE),VLOOKUP($B1015,Outbound!$B:$Z,5,FALSE)),"ON ROCS/NOT ON FILE"),"")</f>
        <v/>
      </c>
      <c r="F1015" s="387" t="str">
        <f>IF(B1015&lt;&gt;"",IFERROR(IF(LEFT($B1015,3)=$Z$2,VLOOKUP($C1015,Outbound!$B:$Z,11,FALSE),VLOOKUP($B1015,Outbound!$B:$Z,11,FALSE)),"NON TROVATO"),"")</f>
        <v/>
      </c>
      <c r="G1015" s="394" t="str">
        <f>IF(B1015&lt;&gt;"",IFERROR(IF(LEFT($B1015,3)=$Z$2,VLOOKUP($C1015,Outbound!$B:$AAZ,16,FALSE),VLOOKUP($B1015,Outbound!$B:$AAZ,16,FALSE)),"NON TROVATO"),"")</f>
        <v/>
      </c>
      <c r="H1015" s="394" t="str">
        <f>IF(B1015&lt;&gt;"",IFERROR(IF(LEFT($B1015,3)=$Z$2,VLOOKUP($C1015,Outbound!$B:$AAZ,6,FALSE),VLOOKUP($B1015,Outbound!$B:$AAZ,6,FALSE)),"NON TROVATO"),"")</f>
        <v/>
      </c>
      <c r="I1015" s="394" t="str">
        <f>IF(B1015&lt;&gt;"",IFERROR(IF(LEFT($B1015,3)=$Z$2,VLOOKUP($C1015,Outbound!$B:$AAZ,52,FALSE),VLOOKUP($B1015,Outbound!$B:$AAZ,52,FALSE)),"NON TROVATO"),"")</f>
        <v/>
      </c>
      <c r="J1015" s="396"/>
      <c r="K1015" s="387" t="str">
        <f>IF(B1015&lt;&gt;"",IF($D1015&lt;&gt;"ON ROCS/NOT ON FILE",IFERROR(_xlfn.XLOOKUP(LEFT($D1015,3),'STAT 77 Table'!$B:$B,'STAT 77 Table'!$A:$A),"ZZ"&amp;RIGHT($B1015,4)),""),"")</f>
        <v/>
      </c>
      <c r="L1015" s="396"/>
      <c r="O1015" s="388"/>
      <c r="P1015" s="388"/>
      <c r="AA1015" s="421">
        <f t="shared" si="15"/>
        <v>0</v>
      </c>
    </row>
    <row r="1016" spans="1:27" ht="16.5">
      <c r="A1016" s="387">
        <f>'STAT 77 Table'!$I$1015</f>
        <v>0</v>
      </c>
      <c r="B1016"/>
      <c r="C1016"/>
      <c r="D1016" s="387" t="str">
        <f>IF($B1016&lt;&gt;"",IFERROR(IF(LEFT($B1016,3)=$Z$2,VLOOKUP($C1016,Outbound!$B:$Z,4,FALSE),VLOOKUP($B1016,Outbound!$B:$Z,4,FALSE)),"ON ROCS/NOT ON FILE"),"")</f>
        <v/>
      </c>
      <c r="E1016" s="387" t="str">
        <f>IF($B1016&lt;&gt;"",IFERROR(IF(LEFT($B1016,4)=$Z$2,VLOOKUP($C1016,Outbound!$B:$Z,5,FALSE),VLOOKUP($B1016,Outbound!$B:$Z,5,FALSE)),"ON ROCS/NOT ON FILE"),"")</f>
        <v/>
      </c>
      <c r="F1016" s="387" t="str">
        <f>IF(B1016&lt;&gt;"",IFERROR(IF(LEFT($B1016,3)=$Z$2,VLOOKUP($C1016,Outbound!$B:$Z,11,FALSE),VLOOKUP($B1016,Outbound!$B:$Z,11,FALSE)),"NON TROVATO"),"")</f>
        <v/>
      </c>
      <c r="G1016" s="394" t="str">
        <f>IF(B1016&lt;&gt;"",IFERROR(IF(LEFT($B1016,3)=$Z$2,VLOOKUP($C1016,Outbound!$B:$AAZ,16,FALSE),VLOOKUP($B1016,Outbound!$B:$AAZ,16,FALSE)),"NON TROVATO"),"")</f>
        <v/>
      </c>
      <c r="H1016" s="394" t="str">
        <f>IF(B1016&lt;&gt;"",IFERROR(IF(LEFT($B1016,3)=$Z$2,VLOOKUP($C1016,Outbound!$B:$AAZ,6,FALSE),VLOOKUP($B1016,Outbound!$B:$AAZ,6,FALSE)),"NON TROVATO"),"")</f>
        <v/>
      </c>
      <c r="I1016" s="394" t="str">
        <f>IF(B1016&lt;&gt;"",IFERROR(IF(LEFT($B1016,3)=$Z$2,VLOOKUP($C1016,Outbound!$B:$AAZ,52,FALSE),VLOOKUP($B1016,Outbound!$B:$AAZ,52,FALSE)),"NON TROVATO"),"")</f>
        <v/>
      </c>
      <c r="J1016" s="396"/>
      <c r="K1016" s="387" t="str">
        <f>IF(B1016&lt;&gt;"",IF($D1016&lt;&gt;"ON ROCS/NOT ON FILE",IFERROR(_xlfn.XLOOKUP(LEFT($D1016,3),'STAT 77 Table'!$B:$B,'STAT 77 Table'!$A:$A),"ZZ"&amp;RIGHT($B1016,4)),""),"")</f>
        <v/>
      </c>
      <c r="L1016" s="396"/>
      <c r="O1016" s="388"/>
      <c r="P1016" s="388"/>
      <c r="AA1016" s="421">
        <f t="shared" si="15"/>
        <v>0</v>
      </c>
    </row>
    <row r="1017" spans="1:27" ht="16.5">
      <c r="A1017" s="387">
        <f>'STAT 77 Table'!$I$1016</f>
        <v>0</v>
      </c>
      <c r="B1017"/>
      <c r="C1017"/>
      <c r="D1017" s="387" t="str">
        <f>IF($B1017&lt;&gt;"",IFERROR(IF(LEFT($B1017,3)=$Z$2,VLOOKUP($C1017,Outbound!$B:$Z,4,FALSE),VLOOKUP($B1017,Outbound!$B:$Z,4,FALSE)),"ON ROCS/NOT ON FILE"),"")</f>
        <v/>
      </c>
      <c r="E1017" s="387" t="str">
        <f>IF($B1017&lt;&gt;"",IFERROR(IF(LEFT($B1017,4)=$Z$2,VLOOKUP($C1017,Outbound!$B:$Z,5,FALSE),VLOOKUP($B1017,Outbound!$B:$Z,5,FALSE)),"ON ROCS/NOT ON FILE"),"")</f>
        <v/>
      </c>
      <c r="F1017" s="387" t="str">
        <f>IF(B1017&lt;&gt;"",IFERROR(IF(LEFT($B1017,3)=$Z$2,VLOOKUP($C1017,Outbound!$B:$Z,11,FALSE),VLOOKUP($B1017,Outbound!$B:$Z,11,FALSE)),"NON TROVATO"),"")</f>
        <v/>
      </c>
      <c r="G1017" s="394" t="str">
        <f>IF(B1017&lt;&gt;"",IFERROR(IF(LEFT($B1017,3)=$Z$2,VLOOKUP($C1017,Outbound!$B:$AAZ,16,FALSE),VLOOKUP($B1017,Outbound!$B:$AAZ,16,FALSE)),"NON TROVATO"),"")</f>
        <v/>
      </c>
      <c r="H1017" s="394" t="str">
        <f>IF(B1017&lt;&gt;"",IFERROR(IF(LEFT($B1017,3)=$Z$2,VLOOKUP($C1017,Outbound!$B:$AAZ,6,FALSE),VLOOKUP($B1017,Outbound!$B:$AAZ,6,FALSE)),"NON TROVATO"),"")</f>
        <v/>
      </c>
      <c r="I1017" s="394" t="str">
        <f>IF(B1017&lt;&gt;"",IFERROR(IF(LEFT($B1017,3)=$Z$2,VLOOKUP($C1017,Outbound!$B:$AAZ,52,FALSE),VLOOKUP($B1017,Outbound!$B:$AAZ,52,FALSE)),"NON TROVATO"),"")</f>
        <v/>
      </c>
      <c r="J1017" s="396"/>
      <c r="K1017" s="387" t="str">
        <f>IF(B1017&lt;&gt;"",IF($D1017&lt;&gt;"ON ROCS/NOT ON FILE",IFERROR(_xlfn.XLOOKUP(LEFT($D1017,3),'STAT 77 Table'!$B:$B,'STAT 77 Table'!$A:$A),"ZZ"&amp;RIGHT($B1017,4)),""),"")</f>
        <v/>
      </c>
      <c r="L1017" s="396"/>
      <c r="O1017" s="388"/>
      <c r="P1017" s="388"/>
      <c r="AA1017" s="421">
        <f t="shared" si="15"/>
        <v>0</v>
      </c>
    </row>
    <row r="1018" spans="1:27" ht="16.5">
      <c r="A1018" s="387">
        <f>'STAT 77 Table'!$I$1017</f>
        <v>0</v>
      </c>
      <c r="B1018"/>
      <c r="C1018"/>
      <c r="D1018" s="387" t="str">
        <f>IF($B1018&lt;&gt;"",IFERROR(IF(LEFT($B1018,3)=$Z$2,VLOOKUP($C1018,Outbound!$B:$Z,4,FALSE),VLOOKUP($B1018,Outbound!$B:$Z,4,FALSE)),"ON ROCS/NOT ON FILE"),"")</f>
        <v/>
      </c>
      <c r="E1018" s="387" t="str">
        <f>IF($B1018&lt;&gt;"",IFERROR(IF(LEFT($B1018,4)=$Z$2,VLOOKUP($C1018,Outbound!$B:$Z,5,FALSE),VLOOKUP($B1018,Outbound!$B:$Z,5,FALSE)),"ON ROCS/NOT ON FILE"),"")</f>
        <v/>
      </c>
      <c r="F1018" s="387" t="str">
        <f>IF(B1018&lt;&gt;"",IFERROR(IF(LEFT($B1018,3)=$Z$2,VLOOKUP($C1018,Outbound!$B:$Z,11,FALSE),VLOOKUP($B1018,Outbound!$B:$Z,11,FALSE)),"NON TROVATO"),"")</f>
        <v/>
      </c>
      <c r="G1018" s="394" t="str">
        <f>IF(B1018&lt;&gt;"",IFERROR(IF(LEFT($B1018,3)=$Z$2,VLOOKUP($C1018,Outbound!$B:$AAZ,16,FALSE),VLOOKUP($B1018,Outbound!$B:$AAZ,16,FALSE)),"NON TROVATO"),"")</f>
        <v/>
      </c>
      <c r="H1018" s="394" t="str">
        <f>IF(B1018&lt;&gt;"",IFERROR(IF(LEFT($B1018,3)=$Z$2,VLOOKUP($C1018,Outbound!$B:$AAZ,6,FALSE),VLOOKUP($B1018,Outbound!$B:$AAZ,6,FALSE)),"NON TROVATO"),"")</f>
        <v/>
      </c>
      <c r="I1018" s="394" t="str">
        <f>IF(B1018&lt;&gt;"",IFERROR(IF(LEFT($B1018,3)=$Z$2,VLOOKUP($C1018,Outbound!$B:$AAZ,52,FALSE),VLOOKUP($B1018,Outbound!$B:$AAZ,52,FALSE)),"NON TROVATO"),"")</f>
        <v/>
      </c>
      <c r="J1018" s="396"/>
      <c r="K1018" s="387" t="str">
        <f>IF(B1018&lt;&gt;"",IF($D1018&lt;&gt;"ON ROCS/NOT ON FILE",IFERROR(_xlfn.XLOOKUP(LEFT($D1018,3),'STAT 77 Table'!$B:$B,'STAT 77 Table'!$A:$A),"ZZ"&amp;RIGHT($B1018,4)),""),"")</f>
        <v/>
      </c>
      <c r="L1018" s="396"/>
      <c r="O1018" s="388"/>
      <c r="P1018" s="388"/>
      <c r="AA1018" s="421">
        <f t="shared" si="15"/>
        <v>0</v>
      </c>
    </row>
    <row r="1019" spans="1:27" ht="16.5">
      <c r="A1019" s="387">
        <f>'STAT 77 Table'!$I$1018</f>
        <v>0</v>
      </c>
      <c r="B1019"/>
      <c r="C1019"/>
      <c r="D1019" s="387" t="str">
        <f>IF($B1019&lt;&gt;"",IFERROR(IF(LEFT($B1019,3)=$Z$2,VLOOKUP($C1019,Outbound!$B:$Z,4,FALSE),VLOOKUP($B1019,Outbound!$B:$Z,4,FALSE)),"ON ROCS/NOT ON FILE"),"")</f>
        <v/>
      </c>
      <c r="E1019" s="387" t="str">
        <f>IF($B1019&lt;&gt;"",IFERROR(IF(LEFT($B1019,4)=$Z$2,VLOOKUP($C1019,Outbound!$B:$Z,5,FALSE),VLOOKUP($B1019,Outbound!$B:$Z,5,FALSE)),"ON ROCS/NOT ON FILE"),"")</f>
        <v/>
      </c>
      <c r="F1019" s="387" t="str">
        <f>IF(B1019&lt;&gt;"",IFERROR(IF(LEFT($B1019,3)=$Z$2,VLOOKUP($C1019,Outbound!$B:$Z,11,FALSE),VLOOKUP($B1019,Outbound!$B:$Z,11,FALSE)),"NON TROVATO"),"")</f>
        <v/>
      </c>
      <c r="G1019" s="394" t="str">
        <f>IF(B1019&lt;&gt;"",IFERROR(IF(LEFT($B1019,3)=$Z$2,VLOOKUP($C1019,Outbound!$B:$AAZ,16,FALSE),VLOOKUP($B1019,Outbound!$B:$AAZ,16,FALSE)),"NON TROVATO"),"")</f>
        <v/>
      </c>
      <c r="H1019" s="394" t="str">
        <f>IF(B1019&lt;&gt;"",IFERROR(IF(LEFT($B1019,3)=$Z$2,VLOOKUP($C1019,Outbound!$B:$AAZ,6,FALSE),VLOOKUP($B1019,Outbound!$B:$AAZ,6,FALSE)),"NON TROVATO"),"")</f>
        <v/>
      </c>
      <c r="I1019" s="394" t="str">
        <f>IF(B1019&lt;&gt;"",IFERROR(IF(LEFT($B1019,3)=$Z$2,VLOOKUP($C1019,Outbound!$B:$AAZ,52,FALSE),VLOOKUP($B1019,Outbound!$B:$AAZ,52,FALSE)),"NON TROVATO"),"")</f>
        <v/>
      </c>
      <c r="J1019" s="396"/>
      <c r="K1019" s="387" t="str">
        <f>IF(B1019&lt;&gt;"",IF($D1019&lt;&gt;"ON ROCS/NOT ON FILE",IFERROR(_xlfn.XLOOKUP(LEFT($D1019,3),'STAT 77 Table'!$B:$B,'STAT 77 Table'!$A:$A),"ZZ"&amp;RIGHT($B1019,4)),""),"")</f>
        <v/>
      </c>
      <c r="L1019" s="396"/>
      <c r="O1019" s="388"/>
      <c r="P1019" s="388"/>
      <c r="AA1019" s="421">
        <f t="shared" si="15"/>
        <v>0</v>
      </c>
    </row>
    <row r="1020" spans="1:27" ht="16.5">
      <c r="A1020" s="387">
        <f>'STAT 77 Table'!$I$1019</f>
        <v>0</v>
      </c>
      <c r="B1020"/>
      <c r="C1020"/>
      <c r="D1020" s="387" t="str">
        <f>IF($B1020&lt;&gt;"",IFERROR(IF(LEFT($B1020,3)=$Z$2,VLOOKUP($C1020,Outbound!$B:$Z,4,FALSE),VLOOKUP($B1020,Outbound!$B:$Z,4,FALSE)),"ON ROCS/NOT ON FILE"),"")</f>
        <v/>
      </c>
      <c r="E1020" s="387" t="str">
        <f>IF($B1020&lt;&gt;"",IFERROR(IF(LEFT($B1020,4)=$Z$2,VLOOKUP($C1020,Outbound!$B:$Z,5,FALSE),VLOOKUP($B1020,Outbound!$B:$Z,5,FALSE)),"ON ROCS/NOT ON FILE"),"")</f>
        <v/>
      </c>
      <c r="F1020" s="387" t="str">
        <f>IF(B1020&lt;&gt;"",IFERROR(IF(LEFT($B1020,3)=$Z$2,VLOOKUP($C1020,Outbound!$B:$Z,11,FALSE),VLOOKUP($B1020,Outbound!$B:$Z,11,FALSE)),"NON TROVATO"),"")</f>
        <v/>
      </c>
      <c r="G1020" s="394" t="str">
        <f>IF(B1020&lt;&gt;"",IFERROR(IF(LEFT($B1020,3)=$Z$2,VLOOKUP($C1020,Outbound!$B:$AAZ,16,FALSE),VLOOKUP($B1020,Outbound!$B:$AAZ,16,FALSE)),"NON TROVATO"),"")</f>
        <v/>
      </c>
      <c r="H1020" s="394" t="str">
        <f>IF(B1020&lt;&gt;"",IFERROR(IF(LEFT($B1020,3)=$Z$2,VLOOKUP($C1020,Outbound!$B:$AAZ,6,FALSE),VLOOKUP($B1020,Outbound!$B:$AAZ,6,FALSE)),"NON TROVATO"),"")</f>
        <v/>
      </c>
      <c r="I1020" s="394" t="str">
        <f>IF(B1020&lt;&gt;"",IFERROR(IF(LEFT($B1020,3)=$Z$2,VLOOKUP($C1020,Outbound!$B:$AAZ,52,FALSE),VLOOKUP($B1020,Outbound!$B:$AAZ,52,FALSE)),"NON TROVATO"),"")</f>
        <v/>
      </c>
      <c r="J1020" s="396"/>
      <c r="K1020" s="387" t="str">
        <f>IF(B1020&lt;&gt;"",IF($D1020&lt;&gt;"ON ROCS/NOT ON FILE",IFERROR(_xlfn.XLOOKUP(LEFT($D1020,3),'STAT 77 Table'!$B:$B,'STAT 77 Table'!$A:$A),"ZZ"&amp;RIGHT($B1020,4)),""),"")</f>
        <v/>
      </c>
      <c r="L1020" s="396"/>
      <c r="O1020" s="388"/>
      <c r="P1020" s="388"/>
      <c r="AA1020" s="421">
        <f t="shared" si="15"/>
        <v>0</v>
      </c>
    </row>
    <row r="1021" spans="1:27" ht="16.5">
      <c r="A1021" s="387">
        <f>'STAT 77 Table'!$I$1020</f>
        <v>0</v>
      </c>
      <c r="B1021"/>
      <c r="C1021"/>
      <c r="D1021" s="387" t="str">
        <f>IF($B1021&lt;&gt;"",IFERROR(IF(LEFT($B1021,3)=$Z$2,VLOOKUP($C1021,Outbound!$B:$Z,4,FALSE),VLOOKUP($B1021,Outbound!$B:$Z,4,FALSE)),"ON ROCS/NOT ON FILE"),"")</f>
        <v/>
      </c>
      <c r="E1021" s="387" t="str">
        <f>IF($B1021&lt;&gt;"",IFERROR(IF(LEFT($B1021,4)=$Z$2,VLOOKUP($C1021,Outbound!$B:$Z,5,FALSE),VLOOKUP($B1021,Outbound!$B:$Z,5,FALSE)),"ON ROCS/NOT ON FILE"),"")</f>
        <v/>
      </c>
      <c r="F1021" s="387" t="str">
        <f>IF(B1021&lt;&gt;"",IFERROR(IF(LEFT($B1021,3)=$Z$2,VLOOKUP($C1021,Outbound!$B:$Z,11,FALSE),VLOOKUP($B1021,Outbound!$B:$Z,11,FALSE)),"NON TROVATO"),"")</f>
        <v/>
      </c>
      <c r="G1021" s="394" t="str">
        <f>IF(B1021&lt;&gt;"",IFERROR(IF(LEFT($B1021,3)=$Z$2,VLOOKUP($C1021,Outbound!$B:$AAZ,16,FALSE),VLOOKUP($B1021,Outbound!$B:$AAZ,16,FALSE)),"NON TROVATO"),"")</f>
        <v/>
      </c>
      <c r="H1021" s="394" t="str">
        <f>IF(B1021&lt;&gt;"",IFERROR(IF(LEFT($B1021,3)=$Z$2,VLOOKUP($C1021,Outbound!$B:$AAZ,6,FALSE),VLOOKUP($B1021,Outbound!$B:$AAZ,6,FALSE)),"NON TROVATO"),"")</f>
        <v/>
      </c>
      <c r="I1021" s="394" t="str">
        <f>IF(B1021&lt;&gt;"",IFERROR(IF(LEFT($B1021,3)=$Z$2,VLOOKUP($C1021,Outbound!$B:$AAZ,52,FALSE),VLOOKUP($B1021,Outbound!$B:$AAZ,52,FALSE)),"NON TROVATO"),"")</f>
        <v/>
      </c>
      <c r="J1021" s="396"/>
      <c r="K1021" s="387" t="str">
        <f>IF(B1021&lt;&gt;"",IF($D1021&lt;&gt;"ON ROCS/NOT ON FILE",IFERROR(_xlfn.XLOOKUP(LEFT($D1021,3),'STAT 77 Table'!$B:$B,'STAT 77 Table'!$A:$A),"ZZ"&amp;RIGHT($B1021,4)),""),"")</f>
        <v/>
      </c>
      <c r="L1021" s="396"/>
      <c r="O1021" s="388"/>
      <c r="P1021" s="388"/>
      <c r="AA1021" s="421">
        <f t="shared" si="15"/>
        <v>0</v>
      </c>
    </row>
    <row r="1022" spans="1:27" ht="16.5">
      <c r="A1022" s="387">
        <f>'STAT 77 Table'!$I$1021</f>
        <v>0</v>
      </c>
      <c r="B1022"/>
      <c r="C1022"/>
      <c r="D1022" s="387" t="str">
        <f>IF($B1022&lt;&gt;"",IFERROR(IF(LEFT($B1022,3)=$Z$2,VLOOKUP($C1022,Outbound!$B:$Z,4,FALSE),VLOOKUP($B1022,Outbound!$B:$Z,4,FALSE)),"ON ROCS/NOT ON FILE"),"")</f>
        <v/>
      </c>
      <c r="E1022" s="387" t="str">
        <f>IF($B1022&lt;&gt;"",IFERROR(IF(LEFT($B1022,4)=$Z$2,VLOOKUP($C1022,Outbound!$B:$Z,5,FALSE),VLOOKUP($B1022,Outbound!$B:$Z,5,FALSE)),"ON ROCS/NOT ON FILE"),"")</f>
        <v/>
      </c>
      <c r="F1022" s="387" t="str">
        <f>IF(B1022&lt;&gt;"",IFERROR(IF(LEFT($B1022,3)=$Z$2,VLOOKUP($C1022,Outbound!$B:$Z,11,FALSE),VLOOKUP($B1022,Outbound!$B:$Z,11,FALSE)),"NON TROVATO"),"")</f>
        <v/>
      </c>
      <c r="G1022" s="394" t="str">
        <f>IF(B1022&lt;&gt;"",IFERROR(IF(LEFT($B1022,3)=$Z$2,VLOOKUP($C1022,Outbound!$B:$AAZ,16,FALSE),VLOOKUP($B1022,Outbound!$B:$AAZ,16,FALSE)),"NON TROVATO"),"")</f>
        <v/>
      </c>
      <c r="H1022" s="394" t="str">
        <f>IF(B1022&lt;&gt;"",IFERROR(IF(LEFT($B1022,3)=$Z$2,VLOOKUP($C1022,Outbound!$B:$AAZ,6,FALSE),VLOOKUP($B1022,Outbound!$B:$AAZ,6,FALSE)),"NON TROVATO"),"")</f>
        <v/>
      </c>
      <c r="I1022" s="394" t="str">
        <f>IF(B1022&lt;&gt;"",IFERROR(IF(LEFT($B1022,3)=$Z$2,VLOOKUP($C1022,Outbound!$B:$AAZ,52,FALSE),VLOOKUP($B1022,Outbound!$B:$AAZ,52,FALSE)),"NON TROVATO"),"")</f>
        <v/>
      </c>
      <c r="J1022" s="396"/>
      <c r="K1022" s="387" t="str">
        <f>IF(B1022&lt;&gt;"",IF($D1022&lt;&gt;"ON ROCS/NOT ON FILE",IFERROR(_xlfn.XLOOKUP(LEFT($D1022,3),'STAT 77 Table'!$B:$B,'STAT 77 Table'!$A:$A),"ZZ"&amp;RIGHT($B1022,4)),""),"")</f>
        <v/>
      </c>
      <c r="L1022" s="396"/>
      <c r="O1022" s="388"/>
      <c r="P1022" s="388"/>
      <c r="AA1022" s="421">
        <f t="shared" si="15"/>
        <v>0</v>
      </c>
    </row>
    <row r="1023" spans="1:27" ht="16.5">
      <c r="A1023" s="387">
        <f>'STAT 77 Table'!$I$1022</f>
        <v>0</v>
      </c>
      <c r="B1023"/>
      <c r="C1023"/>
      <c r="D1023" s="387" t="str">
        <f>IF($B1023&lt;&gt;"",IFERROR(IF(LEFT($B1023,3)=$Z$2,VLOOKUP($C1023,Outbound!$B:$Z,4,FALSE),VLOOKUP($B1023,Outbound!$B:$Z,4,FALSE)),"ON ROCS/NOT ON FILE"),"")</f>
        <v/>
      </c>
      <c r="E1023" s="387" t="str">
        <f>IF($B1023&lt;&gt;"",IFERROR(IF(LEFT($B1023,4)=$Z$2,VLOOKUP($C1023,Outbound!$B:$Z,5,FALSE),VLOOKUP($B1023,Outbound!$B:$Z,5,FALSE)),"ON ROCS/NOT ON FILE"),"")</f>
        <v/>
      </c>
      <c r="F1023" s="387" t="str">
        <f>IF(B1023&lt;&gt;"",IFERROR(IF(LEFT($B1023,3)=$Z$2,VLOOKUP($C1023,Outbound!$B:$Z,11,FALSE),VLOOKUP($B1023,Outbound!$B:$Z,11,FALSE)),"NON TROVATO"),"")</f>
        <v/>
      </c>
      <c r="G1023" s="394" t="str">
        <f>IF(B1023&lt;&gt;"",IFERROR(IF(LEFT($B1023,3)=$Z$2,VLOOKUP($C1023,Outbound!$B:$AAZ,16,FALSE),VLOOKUP($B1023,Outbound!$B:$AAZ,16,FALSE)),"NON TROVATO"),"")</f>
        <v/>
      </c>
      <c r="H1023" s="394" t="str">
        <f>IF(B1023&lt;&gt;"",IFERROR(IF(LEFT($B1023,3)=$Z$2,VLOOKUP($C1023,Outbound!$B:$AAZ,6,FALSE),VLOOKUP($B1023,Outbound!$B:$AAZ,6,FALSE)),"NON TROVATO"),"")</f>
        <v/>
      </c>
      <c r="I1023" s="394" t="str">
        <f>IF(B1023&lt;&gt;"",IFERROR(IF(LEFT($B1023,3)=$Z$2,VLOOKUP($C1023,Outbound!$B:$AAZ,52,FALSE),VLOOKUP($B1023,Outbound!$B:$AAZ,52,FALSE)),"NON TROVATO"),"")</f>
        <v/>
      </c>
      <c r="J1023" s="396"/>
      <c r="K1023" s="387" t="str">
        <f>IF(B1023&lt;&gt;"",IF($D1023&lt;&gt;"ON ROCS/NOT ON FILE",IFERROR(_xlfn.XLOOKUP(LEFT($D1023,3),'STAT 77 Table'!$B:$B,'STAT 77 Table'!$A:$A),"ZZ"&amp;RIGHT($B1023,4)),""),"")</f>
        <v/>
      </c>
      <c r="L1023" s="396"/>
      <c r="O1023" s="388"/>
      <c r="P1023" s="388"/>
      <c r="AA1023" s="421">
        <f t="shared" si="15"/>
        <v>0</v>
      </c>
    </row>
    <row r="1024" spans="1:27" ht="16.5">
      <c r="A1024" s="387">
        <f>'STAT 77 Table'!$I$1023</f>
        <v>0</v>
      </c>
      <c r="B1024"/>
      <c r="C1024"/>
      <c r="D1024" s="387" t="str">
        <f>IF($B1024&lt;&gt;"",IFERROR(IF(LEFT($B1024,3)=$Z$2,VLOOKUP($C1024,Outbound!$B:$Z,4,FALSE),VLOOKUP($B1024,Outbound!$B:$Z,4,FALSE)),"ON ROCS/NOT ON FILE"),"")</f>
        <v/>
      </c>
      <c r="E1024" s="387" t="str">
        <f>IF($B1024&lt;&gt;"",IFERROR(IF(LEFT($B1024,4)=$Z$2,VLOOKUP($C1024,Outbound!$B:$Z,5,FALSE),VLOOKUP($B1024,Outbound!$B:$Z,5,FALSE)),"ON ROCS/NOT ON FILE"),"")</f>
        <v/>
      </c>
      <c r="F1024" s="387" t="str">
        <f>IF(B1024&lt;&gt;"",IFERROR(IF(LEFT($B1024,3)=$Z$2,VLOOKUP($C1024,Outbound!$B:$Z,11,FALSE),VLOOKUP($B1024,Outbound!$B:$Z,11,FALSE)),"NON TROVATO"),"")</f>
        <v/>
      </c>
      <c r="G1024" s="394" t="str">
        <f>IF(B1024&lt;&gt;"",IFERROR(IF(LEFT($B1024,3)=$Z$2,VLOOKUP($C1024,Outbound!$B:$AAZ,16,FALSE),VLOOKUP($B1024,Outbound!$B:$AAZ,16,FALSE)),"NON TROVATO"),"")</f>
        <v/>
      </c>
      <c r="H1024" s="394" t="str">
        <f>IF(B1024&lt;&gt;"",IFERROR(IF(LEFT($B1024,3)=$Z$2,VLOOKUP($C1024,Outbound!$B:$AAZ,6,FALSE),VLOOKUP($B1024,Outbound!$B:$AAZ,6,FALSE)),"NON TROVATO"),"")</f>
        <v/>
      </c>
      <c r="I1024" s="394" t="str">
        <f>IF(B1024&lt;&gt;"",IFERROR(IF(LEFT($B1024,3)=$Z$2,VLOOKUP($C1024,Outbound!$B:$AAZ,52,FALSE),VLOOKUP($B1024,Outbound!$B:$AAZ,52,FALSE)),"NON TROVATO"),"")</f>
        <v/>
      </c>
      <c r="J1024" s="396"/>
      <c r="K1024" s="387" t="str">
        <f>IF(B1024&lt;&gt;"",IF($D1024&lt;&gt;"ON ROCS/NOT ON FILE",IFERROR(_xlfn.XLOOKUP(LEFT($D1024,3),'STAT 77 Table'!$B:$B,'STAT 77 Table'!$A:$A),"ZZ"&amp;RIGHT($B1024,4)),""),"")</f>
        <v/>
      </c>
      <c r="L1024" s="396"/>
      <c r="O1024" s="388"/>
      <c r="P1024" s="388"/>
      <c r="AA1024" s="421">
        <f t="shared" si="15"/>
        <v>0</v>
      </c>
    </row>
    <row r="1025" spans="1:27" ht="16.5">
      <c r="A1025" s="387">
        <f>'STAT 77 Table'!$I$1024</f>
        <v>0</v>
      </c>
      <c r="B1025"/>
      <c r="C1025"/>
      <c r="D1025" s="387" t="str">
        <f>IF($B1025&lt;&gt;"",IFERROR(IF(LEFT($B1025,3)=$Z$2,VLOOKUP($C1025,Outbound!$B:$Z,4,FALSE),VLOOKUP($B1025,Outbound!$B:$Z,4,FALSE)),"ON ROCS/NOT ON FILE"),"")</f>
        <v/>
      </c>
      <c r="E1025" s="387" t="str">
        <f>IF($B1025&lt;&gt;"",IFERROR(IF(LEFT($B1025,4)=$Z$2,VLOOKUP($C1025,Outbound!$B:$Z,5,FALSE),VLOOKUP($B1025,Outbound!$B:$Z,5,FALSE)),"ON ROCS/NOT ON FILE"),"")</f>
        <v/>
      </c>
      <c r="F1025" s="387" t="str">
        <f>IF(B1025&lt;&gt;"",IFERROR(IF(LEFT($B1025,3)=$Z$2,VLOOKUP($C1025,Outbound!$B:$Z,11,FALSE),VLOOKUP($B1025,Outbound!$B:$Z,11,FALSE)),"NON TROVATO"),"")</f>
        <v/>
      </c>
      <c r="G1025" s="394" t="str">
        <f>IF(B1025&lt;&gt;"",IFERROR(IF(LEFT($B1025,3)=$Z$2,VLOOKUP($C1025,Outbound!$B:$AAZ,16,FALSE),VLOOKUP($B1025,Outbound!$B:$AAZ,16,FALSE)),"NON TROVATO"),"")</f>
        <v/>
      </c>
      <c r="H1025" s="394" t="str">
        <f>IF(B1025&lt;&gt;"",IFERROR(IF(LEFT($B1025,3)=$Z$2,VLOOKUP($C1025,Outbound!$B:$AAZ,6,FALSE),VLOOKUP($B1025,Outbound!$B:$AAZ,6,FALSE)),"NON TROVATO"),"")</f>
        <v/>
      </c>
      <c r="I1025" s="394" t="str">
        <f>IF(B1025&lt;&gt;"",IFERROR(IF(LEFT($B1025,3)=$Z$2,VLOOKUP($C1025,Outbound!$B:$AAZ,52,FALSE),VLOOKUP($B1025,Outbound!$B:$AAZ,52,FALSE)),"NON TROVATO"),"")</f>
        <v/>
      </c>
      <c r="J1025" s="396"/>
      <c r="K1025" s="387" t="str">
        <f>IF(B1025&lt;&gt;"",IF($D1025&lt;&gt;"ON ROCS/NOT ON FILE",IFERROR(_xlfn.XLOOKUP(LEFT($D1025,3),'STAT 77 Table'!$B:$B,'STAT 77 Table'!$A:$A),"ZZ"&amp;RIGHT($B1025,4)),""),"")</f>
        <v/>
      </c>
      <c r="L1025" s="396"/>
      <c r="O1025" s="388"/>
      <c r="P1025" s="388"/>
      <c r="AA1025" s="421">
        <f t="shared" si="15"/>
        <v>0</v>
      </c>
    </row>
    <row r="1026" spans="1:27" ht="16.5">
      <c r="A1026" s="387">
        <f>'STAT 77 Table'!$I$1025</f>
        <v>0</v>
      </c>
      <c r="B1026"/>
      <c r="C1026"/>
      <c r="D1026" s="387" t="str">
        <f>IF($B1026&lt;&gt;"",IFERROR(IF(LEFT($B1026,3)=$Z$2,VLOOKUP($C1026,Outbound!$B:$Z,4,FALSE),VLOOKUP($B1026,Outbound!$B:$Z,4,FALSE)),"ON ROCS/NOT ON FILE"),"")</f>
        <v/>
      </c>
      <c r="E1026" s="387" t="str">
        <f>IF($B1026&lt;&gt;"",IFERROR(IF(LEFT($B1026,4)=$Z$2,VLOOKUP($C1026,Outbound!$B:$Z,5,FALSE),VLOOKUP($B1026,Outbound!$B:$Z,5,FALSE)),"ON ROCS/NOT ON FILE"),"")</f>
        <v/>
      </c>
      <c r="F1026" s="387" t="str">
        <f>IF(B1026&lt;&gt;"",IFERROR(IF(LEFT($B1026,3)=$Z$2,VLOOKUP($C1026,Outbound!$B:$Z,11,FALSE),VLOOKUP($B1026,Outbound!$B:$Z,11,FALSE)),"NON TROVATO"),"")</f>
        <v/>
      </c>
      <c r="G1026" s="394" t="str">
        <f>IF(B1026&lt;&gt;"",IFERROR(IF(LEFT($B1026,3)=$Z$2,VLOOKUP($C1026,Outbound!$B:$AAZ,16,FALSE),VLOOKUP($B1026,Outbound!$B:$AAZ,16,FALSE)),"NON TROVATO"),"")</f>
        <v/>
      </c>
      <c r="H1026" s="394" t="str">
        <f>IF(B1026&lt;&gt;"",IFERROR(IF(LEFT($B1026,3)=$Z$2,VLOOKUP($C1026,Outbound!$B:$AAZ,6,FALSE),VLOOKUP($B1026,Outbound!$B:$AAZ,6,FALSE)),"NON TROVATO"),"")</f>
        <v/>
      </c>
      <c r="I1026" s="394" t="str">
        <f>IF(B1026&lt;&gt;"",IFERROR(IF(LEFT($B1026,3)=$Z$2,VLOOKUP($C1026,Outbound!$B:$AAZ,52,FALSE),VLOOKUP($B1026,Outbound!$B:$AAZ,52,FALSE)),"NON TROVATO"),"")</f>
        <v/>
      </c>
      <c r="J1026" s="396"/>
      <c r="K1026" s="387" t="str">
        <f>IF(B1026&lt;&gt;"",IF($D1026&lt;&gt;"ON ROCS/NOT ON FILE",IFERROR(_xlfn.XLOOKUP(LEFT($D1026,3),'STAT 77 Table'!$B:$B,'STAT 77 Table'!$A:$A),"ZZ"&amp;RIGHT($B1026,4)),""),"")</f>
        <v/>
      </c>
      <c r="L1026" s="396"/>
      <c r="O1026" s="388"/>
      <c r="P1026" s="388"/>
      <c r="AA1026" s="421">
        <f t="shared" si="15"/>
        <v>0</v>
      </c>
    </row>
    <row r="1027" spans="1:27" ht="16.5">
      <c r="A1027" s="387">
        <f>'STAT 77 Table'!$I$1026</f>
        <v>0</v>
      </c>
      <c r="B1027"/>
      <c r="C1027"/>
      <c r="D1027" s="387" t="str">
        <f>IF($B1027&lt;&gt;"",IFERROR(IF(LEFT($B1027,3)=$Z$2,VLOOKUP($C1027,Outbound!$B:$Z,4,FALSE),VLOOKUP($B1027,Outbound!$B:$Z,4,FALSE)),"ON ROCS/NOT ON FILE"),"")</f>
        <v/>
      </c>
      <c r="E1027" s="387" t="str">
        <f>IF($B1027&lt;&gt;"",IFERROR(IF(LEFT($B1027,4)=$Z$2,VLOOKUP($C1027,Outbound!$B:$Z,5,FALSE),VLOOKUP($B1027,Outbound!$B:$Z,5,FALSE)),"ON ROCS/NOT ON FILE"),"")</f>
        <v/>
      </c>
      <c r="F1027" s="387" t="str">
        <f>IF(B1027&lt;&gt;"",IFERROR(IF(LEFT($B1027,3)=$Z$2,VLOOKUP($C1027,Outbound!$B:$Z,11,FALSE),VLOOKUP($B1027,Outbound!$B:$Z,11,FALSE)),"NON TROVATO"),"")</f>
        <v/>
      </c>
      <c r="G1027" s="394" t="str">
        <f>IF(B1027&lt;&gt;"",IFERROR(IF(LEFT($B1027,3)=$Z$2,VLOOKUP($C1027,Outbound!$B:$AAZ,16,FALSE),VLOOKUP($B1027,Outbound!$B:$AAZ,16,FALSE)),"NON TROVATO"),"")</f>
        <v/>
      </c>
      <c r="H1027" s="394" t="str">
        <f>IF(B1027&lt;&gt;"",IFERROR(IF(LEFT($B1027,3)=$Z$2,VLOOKUP($C1027,Outbound!$B:$AAZ,6,FALSE),VLOOKUP($B1027,Outbound!$B:$AAZ,6,FALSE)),"NON TROVATO"),"")</f>
        <v/>
      </c>
      <c r="I1027" s="394" t="str">
        <f>IF(B1027&lt;&gt;"",IFERROR(IF(LEFT($B1027,3)=$Z$2,VLOOKUP($C1027,Outbound!$B:$AAZ,52,FALSE),VLOOKUP($B1027,Outbound!$B:$AAZ,52,FALSE)),"NON TROVATO"),"")</f>
        <v/>
      </c>
      <c r="J1027" s="396"/>
      <c r="K1027" s="387" t="str">
        <f>IF(B1027&lt;&gt;"",IF($D1027&lt;&gt;"ON ROCS/NOT ON FILE",IFERROR(_xlfn.XLOOKUP(LEFT($D1027,3),'STAT 77 Table'!$B:$B,'STAT 77 Table'!$A:$A),"ZZ"&amp;RIGHT($B1027,4)),""),"")</f>
        <v/>
      </c>
      <c r="L1027" s="396"/>
      <c r="O1027" s="388"/>
      <c r="P1027" s="388"/>
      <c r="AA1027" s="421">
        <f t="shared" si="15"/>
        <v>0</v>
      </c>
    </row>
    <row r="1028" spans="1:27" ht="16.5">
      <c r="A1028" s="387">
        <f>'STAT 77 Table'!$I$1027</f>
        <v>0</v>
      </c>
      <c r="B1028"/>
      <c r="C1028"/>
      <c r="D1028" s="387" t="str">
        <f>IF($B1028&lt;&gt;"",IFERROR(IF(LEFT($B1028,3)=$Z$2,VLOOKUP($C1028,Outbound!$B:$Z,4,FALSE),VLOOKUP($B1028,Outbound!$B:$Z,4,FALSE)),"ON ROCS/NOT ON FILE"),"")</f>
        <v/>
      </c>
      <c r="E1028" s="387" t="str">
        <f>IF($B1028&lt;&gt;"",IFERROR(IF(LEFT($B1028,4)=$Z$2,VLOOKUP($C1028,Outbound!$B:$Z,5,FALSE),VLOOKUP($B1028,Outbound!$B:$Z,5,FALSE)),"ON ROCS/NOT ON FILE"),"")</f>
        <v/>
      </c>
      <c r="F1028" s="387" t="str">
        <f>IF(B1028&lt;&gt;"",IFERROR(IF(LEFT($B1028,3)=$Z$2,VLOOKUP($C1028,Outbound!$B:$Z,11,FALSE),VLOOKUP($B1028,Outbound!$B:$Z,11,FALSE)),"NON TROVATO"),"")</f>
        <v/>
      </c>
      <c r="G1028" s="394" t="str">
        <f>IF(B1028&lt;&gt;"",IFERROR(IF(LEFT($B1028,3)=$Z$2,VLOOKUP($C1028,Outbound!$B:$AAZ,16,FALSE),VLOOKUP($B1028,Outbound!$B:$AAZ,16,FALSE)),"NON TROVATO"),"")</f>
        <v/>
      </c>
      <c r="H1028" s="394" t="str">
        <f>IF(B1028&lt;&gt;"",IFERROR(IF(LEFT($B1028,3)=$Z$2,VLOOKUP($C1028,Outbound!$B:$AAZ,6,FALSE),VLOOKUP($B1028,Outbound!$B:$AAZ,6,FALSE)),"NON TROVATO"),"")</f>
        <v/>
      </c>
      <c r="I1028" s="394" t="str">
        <f>IF(B1028&lt;&gt;"",IFERROR(IF(LEFT($B1028,3)=$Z$2,VLOOKUP($C1028,Outbound!$B:$AAZ,52,FALSE),VLOOKUP($B1028,Outbound!$B:$AAZ,52,FALSE)),"NON TROVATO"),"")</f>
        <v/>
      </c>
      <c r="J1028" s="396"/>
      <c r="K1028" s="387" t="str">
        <f>IF(B1028&lt;&gt;"",IF($D1028&lt;&gt;"ON ROCS/NOT ON FILE",IFERROR(_xlfn.XLOOKUP(LEFT($D1028,3),'STAT 77 Table'!$B:$B,'STAT 77 Table'!$A:$A),"ZZ"&amp;RIGHT($B1028,4)),""),"")</f>
        <v/>
      </c>
      <c r="L1028" s="396"/>
      <c r="O1028" s="388"/>
      <c r="P1028" s="388"/>
      <c r="AA1028" s="421">
        <f t="shared" ref="AA1028:AA1091" si="16">IF(LEFT(A1028,3)=$X$2,C1028,B1028)</f>
        <v>0</v>
      </c>
    </row>
    <row r="1029" spans="1:27" ht="16.5">
      <c r="A1029" s="387">
        <f>'STAT 77 Table'!$I$1028</f>
        <v>0</v>
      </c>
      <c r="B1029"/>
      <c r="C1029"/>
      <c r="D1029" s="387" t="str">
        <f>IF($B1029&lt;&gt;"",IFERROR(IF(LEFT($B1029,3)=$Z$2,VLOOKUP($C1029,Outbound!$B:$Z,4,FALSE),VLOOKUP($B1029,Outbound!$B:$Z,4,FALSE)),"ON ROCS/NOT ON FILE"),"")</f>
        <v/>
      </c>
      <c r="E1029" s="387" t="str">
        <f>IF($B1029&lt;&gt;"",IFERROR(IF(LEFT($B1029,4)=$Z$2,VLOOKUP($C1029,Outbound!$B:$Z,5,FALSE),VLOOKUP($B1029,Outbound!$B:$Z,5,FALSE)),"ON ROCS/NOT ON FILE"),"")</f>
        <v/>
      </c>
      <c r="F1029" s="387" t="str">
        <f>IF(B1029&lt;&gt;"",IFERROR(IF(LEFT($B1029,3)=$Z$2,VLOOKUP($C1029,Outbound!$B:$Z,11,FALSE),VLOOKUP($B1029,Outbound!$B:$Z,11,FALSE)),"NON TROVATO"),"")</f>
        <v/>
      </c>
      <c r="G1029" s="394" t="str">
        <f>IF(B1029&lt;&gt;"",IFERROR(IF(LEFT($B1029,3)=$Z$2,VLOOKUP($C1029,Outbound!$B:$AAZ,16,FALSE),VLOOKUP($B1029,Outbound!$B:$AAZ,16,FALSE)),"NON TROVATO"),"")</f>
        <v/>
      </c>
      <c r="H1029" s="394" t="str">
        <f>IF(B1029&lt;&gt;"",IFERROR(IF(LEFT($B1029,3)=$Z$2,VLOOKUP($C1029,Outbound!$B:$AAZ,6,FALSE),VLOOKUP($B1029,Outbound!$B:$AAZ,6,FALSE)),"NON TROVATO"),"")</f>
        <v/>
      </c>
      <c r="I1029" s="394" t="str">
        <f>IF(B1029&lt;&gt;"",IFERROR(IF(LEFT($B1029,3)=$Z$2,VLOOKUP($C1029,Outbound!$B:$AAZ,52,FALSE),VLOOKUP($B1029,Outbound!$B:$AAZ,52,FALSE)),"NON TROVATO"),"")</f>
        <v/>
      </c>
      <c r="J1029" s="396"/>
      <c r="K1029" s="387" t="str">
        <f>IF(B1029&lt;&gt;"",IF($D1029&lt;&gt;"ON ROCS/NOT ON FILE",IFERROR(_xlfn.XLOOKUP(LEFT($D1029,3),'STAT 77 Table'!$B:$B,'STAT 77 Table'!$A:$A),"ZZ"&amp;RIGHT($B1029,4)),""),"")</f>
        <v/>
      </c>
      <c r="L1029" s="396"/>
      <c r="O1029" s="388"/>
      <c r="P1029" s="388"/>
      <c r="AA1029" s="421">
        <f t="shared" si="16"/>
        <v>0</v>
      </c>
    </row>
    <row r="1030" spans="1:27" ht="16.5">
      <c r="A1030" s="387">
        <f>'STAT 77 Table'!$I$1029</f>
        <v>0</v>
      </c>
      <c r="B1030"/>
      <c r="C1030"/>
      <c r="D1030" s="387" t="str">
        <f>IF($B1030&lt;&gt;"",IFERROR(IF(LEFT($B1030,3)=$Z$2,VLOOKUP($C1030,Outbound!$B:$Z,4,FALSE),VLOOKUP($B1030,Outbound!$B:$Z,4,FALSE)),"ON ROCS/NOT ON FILE"),"")</f>
        <v/>
      </c>
      <c r="E1030" s="387" t="str">
        <f>IF($B1030&lt;&gt;"",IFERROR(IF(LEFT($B1030,4)=$Z$2,VLOOKUP($C1030,Outbound!$B:$Z,5,FALSE),VLOOKUP($B1030,Outbound!$B:$Z,5,FALSE)),"ON ROCS/NOT ON FILE"),"")</f>
        <v/>
      </c>
      <c r="F1030" s="387" t="str">
        <f>IF(B1030&lt;&gt;"",IFERROR(IF(LEFT($B1030,3)=$Z$2,VLOOKUP($C1030,Outbound!$B:$Z,11,FALSE),VLOOKUP($B1030,Outbound!$B:$Z,11,FALSE)),"NON TROVATO"),"")</f>
        <v/>
      </c>
      <c r="G1030" s="394" t="str">
        <f>IF(B1030&lt;&gt;"",IFERROR(IF(LEFT($B1030,3)=$Z$2,VLOOKUP($C1030,Outbound!$B:$AAZ,16,FALSE),VLOOKUP($B1030,Outbound!$B:$AAZ,16,FALSE)),"NON TROVATO"),"")</f>
        <v/>
      </c>
      <c r="H1030" s="394" t="str">
        <f>IF(B1030&lt;&gt;"",IFERROR(IF(LEFT($B1030,3)=$Z$2,VLOOKUP($C1030,Outbound!$B:$AAZ,6,FALSE),VLOOKUP($B1030,Outbound!$B:$AAZ,6,FALSE)),"NON TROVATO"),"")</f>
        <v/>
      </c>
      <c r="I1030" s="394" t="str">
        <f>IF(B1030&lt;&gt;"",IFERROR(IF(LEFT($B1030,3)=$Z$2,VLOOKUP($C1030,Outbound!$B:$AAZ,52,FALSE),VLOOKUP($B1030,Outbound!$B:$AAZ,52,FALSE)),"NON TROVATO"),"")</f>
        <v/>
      </c>
      <c r="J1030" s="396"/>
      <c r="K1030" s="387" t="str">
        <f>IF(B1030&lt;&gt;"",IF($D1030&lt;&gt;"ON ROCS/NOT ON FILE",IFERROR(_xlfn.XLOOKUP(LEFT($D1030,3),'STAT 77 Table'!$B:$B,'STAT 77 Table'!$A:$A),"ZZ"&amp;RIGHT($B1030,4)),""),"")</f>
        <v/>
      </c>
      <c r="L1030" s="396"/>
      <c r="O1030" s="388"/>
      <c r="P1030" s="388"/>
      <c r="AA1030" s="421">
        <f t="shared" si="16"/>
        <v>0</v>
      </c>
    </row>
    <row r="1031" spans="1:27" ht="16.5">
      <c r="A1031" s="387">
        <f>'STAT 77 Table'!$I$1030</f>
        <v>0</v>
      </c>
      <c r="B1031"/>
      <c r="C1031"/>
      <c r="D1031" s="387" t="str">
        <f>IF($B1031&lt;&gt;"",IFERROR(IF(LEFT($B1031,3)=$Z$2,VLOOKUP($C1031,Outbound!$B:$Z,4,FALSE),VLOOKUP($B1031,Outbound!$B:$Z,4,FALSE)),"ON ROCS/NOT ON FILE"),"")</f>
        <v/>
      </c>
      <c r="E1031" s="387" t="str">
        <f>IF($B1031&lt;&gt;"",IFERROR(IF(LEFT($B1031,4)=$Z$2,VLOOKUP($C1031,Outbound!$B:$Z,5,FALSE),VLOOKUP($B1031,Outbound!$B:$Z,5,FALSE)),"ON ROCS/NOT ON FILE"),"")</f>
        <v/>
      </c>
      <c r="F1031" s="387" t="str">
        <f>IF(B1031&lt;&gt;"",IFERROR(IF(LEFT($B1031,3)=$Z$2,VLOOKUP($C1031,Outbound!$B:$Z,11,FALSE),VLOOKUP($B1031,Outbound!$B:$Z,11,FALSE)),"NON TROVATO"),"")</f>
        <v/>
      </c>
      <c r="G1031" s="394" t="str">
        <f>IF(B1031&lt;&gt;"",IFERROR(IF(LEFT($B1031,3)=$Z$2,VLOOKUP($C1031,Outbound!$B:$AAZ,16,FALSE),VLOOKUP($B1031,Outbound!$B:$AAZ,16,FALSE)),"NON TROVATO"),"")</f>
        <v/>
      </c>
      <c r="H1031" s="394" t="str">
        <f>IF(B1031&lt;&gt;"",IFERROR(IF(LEFT($B1031,3)=$Z$2,VLOOKUP($C1031,Outbound!$B:$AAZ,6,FALSE),VLOOKUP($B1031,Outbound!$B:$AAZ,6,FALSE)),"NON TROVATO"),"")</f>
        <v/>
      </c>
      <c r="I1031" s="394" t="str">
        <f>IF(B1031&lt;&gt;"",IFERROR(IF(LEFT($B1031,3)=$Z$2,VLOOKUP($C1031,Outbound!$B:$AAZ,52,FALSE),VLOOKUP($B1031,Outbound!$B:$AAZ,52,FALSE)),"NON TROVATO"),"")</f>
        <v/>
      </c>
      <c r="J1031" s="396"/>
      <c r="K1031" s="387" t="str">
        <f>IF(B1031&lt;&gt;"",IF($D1031&lt;&gt;"ON ROCS/NOT ON FILE",IFERROR(_xlfn.XLOOKUP(LEFT($D1031,3),'STAT 77 Table'!$B:$B,'STAT 77 Table'!$A:$A),"ZZ"&amp;RIGHT($B1031,4)),""),"")</f>
        <v/>
      </c>
      <c r="L1031" s="396"/>
      <c r="O1031" s="388"/>
      <c r="P1031" s="388"/>
      <c r="AA1031" s="421">
        <f t="shared" si="16"/>
        <v>0</v>
      </c>
    </row>
    <row r="1032" spans="1:27" ht="16.5">
      <c r="A1032" s="387">
        <f>'STAT 77 Table'!$I$1031</f>
        <v>0</v>
      </c>
      <c r="B1032"/>
      <c r="C1032"/>
      <c r="D1032" s="387" t="str">
        <f>IF($B1032&lt;&gt;"",IFERROR(IF(LEFT($B1032,3)=$Z$2,VLOOKUP($C1032,Outbound!$B:$Z,4,FALSE),VLOOKUP($B1032,Outbound!$B:$Z,4,FALSE)),"ON ROCS/NOT ON FILE"),"")</f>
        <v/>
      </c>
      <c r="E1032" s="387" t="str">
        <f>IF($B1032&lt;&gt;"",IFERROR(IF(LEFT($B1032,4)=$Z$2,VLOOKUP($C1032,Outbound!$B:$Z,5,FALSE),VLOOKUP($B1032,Outbound!$B:$Z,5,FALSE)),"ON ROCS/NOT ON FILE"),"")</f>
        <v/>
      </c>
      <c r="F1032" s="387" t="str">
        <f>IF(B1032&lt;&gt;"",IFERROR(IF(LEFT($B1032,3)=$Z$2,VLOOKUP($C1032,Outbound!$B:$Z,11,FALSE),VLOOKUP($B1032,Outbound!$B:$Z,11,FALSE)),"NON TROVATO"),"")</f>
        <v/>
      </c>
      <c r="G1032" s="394" t="str">
        <f>IF(B1032&lt;&gt;"",IFERROR(IF(LEFT($B1032,3)=$Z$2,VLOOKUP($C1032,Outbound!$B:$AAZ,16,FALSE),VLOOKUP($B1032,Outbound!$B:$AAZ,16,FALSE)),"NON TROVATO"),"")</f>
        <v/>
      </c>
      <c r="H1032" s="394" t="str">
        <f>IF(B1032&lt;&gt;"",IFERROR(IF(LEFT($B1032,3)=$Z$2,VLOOKUP($C1032,Outbound!$B:$AAZ,6,FALSE),VLOOKUP($B1032,Outbound!$B:$AAZ,6,FALSE)),"NON TROVATO"),"")</f>
        <v/>
      </c>
      <c r="I1032" s="394" t="str">
        <f>IF(B1032&lt;&gt;"",IFERROR(IF(LEFT($B1032,3)=$Z$2,VLOOKUP($C1032,Outbound!$B:$AAZ,52,FALSE),VLOOKUP($B1032,Outbound!$B:$AAZ,52,FALSE)),"NON TROVATO"),"")</f>
        <v/>
      </c>
      <c r="J1032" s="396"/>
      <c r="K1032" s="387" t="str">
        <f>IF(B1032&lt;&gt;"",IF($D1032&lt;&gt;"ON ROCS/NOT ON FILE",IFERROR(_xlfn.XLOOKUP(LEFT($D1032,3),'STAT 77 Table'!$B:$B,'STAT 77 Table'!$A:$A),"ZZ"&amp;RIGHT($B1032,4)),""),"")</f>
        <v/>
      </c>
      <c r="L1032" s="396"/>
      <c r="O1032" s="388"/>
      <c r="P1032" s="388"/>
      <c r="AA1032" s="421">
        <f t="shared" si="16"/>
        <v>0</v>
      </c>
    </row>
    <row r="1033" spans="1:27" ht="16.5">
      <c r="A1033" s="387">
        <f>'STAT 77 Table'!$I$1032</f>
        <v>0</v>
      </c>
      <c r="B1033"/>
      <c r="C1033"/>
      <c r="D1033" s="387" t="str">
        <f>IF($B1033&lt;&gt;"",IFERROR(IF(LEFT($B1033,3)=$Z$2,VLOOKUP($C1033,Outbound!$B:$Z,4,FALSE),VLOOKUP($B1033,Outbound!$B:$Z,4,FALSE)),"ON ROCS/NOT ON FILE"),"")</f>
        <v/>
      </c>
      <c r="E1033" s="387" t="str">
        <f>IF($B1033&lt;&gt;"",IFERROR(IF(LEFT($B1033,4)=$Z$2,VLOOKUP($C1033,Outbound!$B:$Z,5,FALSE),VLOOKUP($B1033,Outbound!$B:$Z,5,FALSE)),"ON ROCS/NOT ON FILE"),"")</f>
        <v/>
      </c>
      <c r="F1033" s="387" t="str">
        <f>IF(B1033&lt;&gt;"",IFERROR(IF(LEFT($B1033,3)=$Z$2,VLOOKUP($C1033,Outbound!$B:$Z,11,FALSE),VLOOKUP($B1033,Outbound!$B:$Z,11,FALSE)),"NON TROVATO"),"")</f>
        <v/>
      </c>
      <c r="G1033" s="394" t="str">
        <f>IF(B1033&lt;&gt;"",IFERROR(IF(LEFT($B1033,3)=$Z$2,VLOOKUP($C1033,Outbound!$B:$AAZ,16,FALSE),VLOOKUP($B1033,Outbound!$B:$AAZ,16,FALSE)),"NON TROVATO"),"")</f>
        <v/>
      </c>
      <c r="H1033" s="394" t="str">
        <f>IF(B1033&lt;&gt;"",IFERROR(IF(LEFT($B1033,3)=$Z$2,VLOOKUP($C1033,Outbound!$B:$AAZ,6,FALSE),VLOOKUP($B1033,Outbound!$B:$AAZ,6,FALSE)),"NON TROVATO"),"")</f>
        <v/>
      </c>
      <c r="I1033" s="394" t="str">
        <f>IF(B1033&lt;&gt;"",IFERROR(IF(LEFT($B1033,3)=$Z$2,VLOOKUP($C1033,Outbound!$B:$AAZ,52,FALSE),VLOOKUP($B1033,Outbound!$B:$AAZ,52,FALSE)),"NON TROVATO"),"")</f>
        <v/>
      </c>
      <c r="J1033" s="396"/>
      <c r="K1033" s="387" t="str">
        <f>IF(B1033&lt;&gt;"",IF($D1033&lt;&gt;"ON ROCS/NOT ON FILE",IFERROR(_xlfn.XLOOKUP(LEFT($D1033,3),'STAT 77 Table'!$B:$B,'STAT 77 Table'!$A:$A),"ZZ"&amp;RIGHT($B1033,4)),""),"")</f>
        <v/>
      </c>
      <c r="L1033" s="396"/>
      <c r="O1033" s="388"/>
      <c r="P1033" s="388"/>
      <c r="AA1033" s="421">
        <f t="shared" si="16"/>
        <v>0</v>
      </c>
    </row>
    <row r="1034" spans="1:27" ht="16.5">
      <c r="A1034" s="387">
        <f>'STAT 77 Table'!$I$1033</f>
        <v>0</v>
      </c>
      <c r="B1034"/>
      <c r="C1034"/>
      <c r="D1034" s="387" t="str">
        <f>IF($B1034&lt;&gt;"",IFERROR(IF(LEFT($B1034,3)=$Z$2,VLOOKUP($C1034,Outbound!$B:$Z,4,FALSE),VLOOKUP($B1034,Outbound!$B:$Z,4,FALSE)),"ON ROCS/NOT ON FILE"),"")</f>
        <v/>
      </c>
      <c r="E1034" s="387" t="str">
        <f>IF($B1034&lt;&gt;"",IFERROR(IF(LEFT($B1034,4)=$Z$2,VLOOKUP($C1034,Outbound!$B:$Z,5,FALSE),VLOOKUP($B1034,Outbound!$B:$Z,5,FALSE)),"ON ROCS/NOT ON FILE"),"")</f>
        <v/>
      </c>
      <c r="F1034" s="387" t="str">
        <f>IF(B1034&lt;&gt;"",IFERROR(IF(LEFT($B1034,3)=$Z$2,VLOOKUP($C1034,Outbound!$B:$Z,11,FALSE),VLOOKUP($B1034,Outbound!$B:$Z,11,FALSE)),"NON TROVATO"),"")</f>
        <v/>
      </c>
      <c r="G1034" s="394" t="str">
        <f>IF(B1034&lt;&gt;"",IFERROR(IF(LEFT($B1034,3)=$Z$2,VLOOKUP($C1034,Outbound!$B:$AAZ,16,FALSE),VLOOKUP($B1034,Outbound!$B:$AAZ,16,FALSE)),"NON TROVATO"),"")</f>
        <v/>
      </c>
      <c r="H1034" s="394" t="str">
        <f>IF(B1034&lt;&gt;"",IFERROR(IF(LEFT($B1034,3)=$Z$2,VLOOKUP($C1034,Outbound!$B:$AAZ,6,FALSE),VLOOKUP($B1034,Outbound!$B:$AAZ,6,FALSE)),"NON TROVATO"),"")</f>
        <v/>
      </c>
      <c r="I1034" s="394" t="str">
        <f>IF(B1034&lt;&gt;"",IFERROR(IF(LEFT($B1034,3)=$Z$2,VLOOKUP($C1034,Outbound!$B:$AAZ,52,FALSE),VLOOKUP($B1034,Outbound!$B:$AAZ,52,FALSE)),"NON TROVATO"),"")</f>
        <v/>
      </c>
      <c r="J1034" s="396"/>
      <c r="K1034" s="387" t="str">
        <f>IF(B1034&lt;&gt;"",IF($D1034&lt;&gt;"ON ROCS/NOT ON FILE",IFERROR(_xlfn.XLOOKUP(LEFT($D1034,3),'STAT 77 Table'!$B:$B,'STAT 77 Table'!$A:$A),"ZZ"&amp;RIGHT($B1034,4)),""),"")</f>
        <v/>
      </c>
      <c r="L1034" s="396"/>
      <c r="O1034" s="388"/>
      <c r="P1034" s="388"/>
      <c r="AA1034" s="421">
        <f t="shared" si="16"/>
        <v>0</v>
      </c>
    </row>
    <row r="1035" spans="1:27" ht="16.5">
      <c r="A1035" s="387">
        <f>'STAT 77 Table'!$I$1034</f>
        <v>0</v>
      </c>
      <c r="B1035"/>
      <c r="C1035"/>
      <c r="D1035" s="387" t="str">
        <f>IF($B1035&lt;&gt;"",IFERROR(IF(LEFT($B1035,3)=$Z$2,VLOOKUP($C1035,Outbound!$B:$Z,4,FALSE),VLOOKUP($B1035,Outbound!$B:$Z,4,FALSE)),"ON ROCS/NOT ON FILE"),"")</f>
        <v/>
      </c>
      <c r="E1035" s="387" t="str">
        <f>IF($B1035&lt;&gt;"",IFERROR(IF(LEFT($B1035,4)=$Z$2,VLOOKUP($C1035,Outbound!$B:$Z,5,FALSE),VLOOKUP($B1035,Outbound!$B:$Z,5,FALSE)),"ON ROCS/NOT ON FILE"),"")</f>
        <v/>
      </c>
      <c r="F1035" s="387" t="str">
        <f>IF(B1035&lt;&gt;"",IFERROR(IF(LEFT($B1035,3)=$Z$2,VLOOKUP($C1035,Outbound!$B:$Z,11,FALSE),VLOOKUP($B1035,Outbound!$B:$Z,11,FALSE)),"NON TROVATO"),"")</f>
        <v/>
      </c>
      <c r="G1035" s="394" t="str">
        <f>IF(B1035&lt;&gt;"",IFERROR(IF(LEFT($B1035,3)=$Z$2,VLOOKUP($C1035,Outbound!$B:$AAZ,16,FALSE),VLOOKUP($B1035,Outbound!$B:$AAZ,16,FALSE)),"NON TROVATO"),"")</f>
        <v/>
      </c>
      <c r="H1035" s="394" t="str">
        <f>IF(B1035&lt;&gt;"",IFERROR(IF(LEFT($B1035,3)=$Z$2,VLOOKUP($C1035,Outbound!$B:$AAZ,6,FALSE),VLOOKUP($B1035,Outbound!$B:$AAZ,6,FALSE)),"NON TROVATO"),"")</f>
        <v/>
      </c>
      <c r="I1035" s="394" t="str">
        <f>IF(B1035&lt;&gt;"",IFERROR(IF(LEFT($B1035,3)=$Z$2,VLOOKUP($C1035,Outbound!$B:$AAZ,52,FALSE),VLOOKUP($B1035,Outbound!$B:$AAZ,52,FALSE)),"NON TROVATO"),"")</f>
        <v/>
      </c>
      <c r="J1035" s="396"/>
      <c r="K1035" s="387" t="str">
        <f>IF(B1035&lt;&gt;"",IF($D1035&lt;&gt;"ON ROCS/NOT ON FILE",IFERROR(_xlfn.XLOOKUP(LEFT($D1035,3),'STAT 77 Table'!$B:$B,'STAT 77 Table'!$A:$A),"ZZ"&amp;RIGHT($B1035,4)),""),"")</f>
        <v/>
      </c>
      <c r="L1035" s="396"/>
      <c r="O1035" s="388"/>
      <c r="P1035" s="388"/>
      <c r="AA1035" s="421">
        <f t="shared" si="16"/>
        <v>0</v>
      </c>
    </row>
    <row r="1036" spans="1:27" ht="16.5">
      <c r="A1036" s="387">
        <f>'STAT 77 Table'!$I$1035</f>
        <v>0</v>
      </c>
      <c r="B1036"/>
      <c r="C1036"/>
      <c r="D1036" s="387" t="str">
        <f>IF($B1036&lt;&gt;"",IFERROR(IF(LEFT($B1036,3)=$Z$2,VLOOKUP($C1036,Outbound!$B:$Z,4,FALSE),VLOOKUP($B1036,Outbound!$B:$Z,4,FALSE)),"ON ROCS/NOT ON FILE"),"")</f>
        <v/>
      </c>
      <c r="E1036" s="387" t="str">
        <f>IF($B1036&lt;&gt;"",IFERROR(IF(LEFT($B1036,4)=$Z$2,VLOOKUP($C1036,Outbound!$B:$Z,5,FALSE),VLOOKUP($B1036,Outbound!$B:$Z,5,FALSE)),"ON ROCS/NOT ON FILE"),"")</f>
        <v/>
      </c>
      <c r="F1036" s="387" t="str">
        <f>IF(B1036&lt;&gt;"",IFERROR(IF(LEFT($B1036,3)=$Z$2,VLOOKUP($C1036,Outbound!$B:$Z,11,FALSE),VLOOKUP($B1036,Outbound!$B:$Z,11,FALSE)),"NON TROVATO"),"")</f>
        <v/>
      </c>
      <c r="G1036" s="394" t="str">
        <f>IF(B1036&lt;&gt;"",IFERROR(IF(LEFT($B1036,3)=$Z$2,VLOOKUP($C1036,Outbound!$B:$AAZ,16,FALSE),VLOOKUP($B1036,Outbound!$B:$AAZ,16,FALSE)),"NON TROVATO"),"")</f>
        <v/>
      </c>
      <c r="H1036" s="394" t="str">
        <f>IF(B1036&lt;&gt;"",IFERROR(IF(LEFT($B1036,3)=$Z$2,VLOOKUP($C1036,Outbound!$B:$AAZ,6,FALSE),VLOOKUP($B1036,Outbound!$B:$AAZ,6,FALSE)),"NON TROVATO"),"")</f>
        <v/>
      </c>
      <c r="I1036" s="394" t="str">
        <f>IF(B1036&lt;&gt;"",IFERROR(IF(LEFT($B1036,3)=$Z$2,VLOOKUP($C1036,Outbound!$B:$AAZ,52,FALSE),VLOOKUP($B1036,Outbound!$B:$AAZ,52,FALSE)),"NON TROVATO"),"")</f>
        <v/>
      </c>
      <c r="J1036" s="396"/>
      <c r="K1036" s="387" t="str">
        <f>IF(B1036&lt;&gt;"",IF($D1036&lt;&gt;"ON ROCS/NOT ON FILE",IFERROR(_xlfn.XLOOKUP(LEFT($D1036,3),'STAT 77 Table'!$B:$B,'STAT 77 Table'!$A:$A),"ZZ"&amp;RIGHT($B1036,4)),""),"")</f>
        <v/>
      </c>
      <c r="L1036" s="396"/>
      <c r="O1036" s="388"/>
      <c r="P1036" s="388"/>
      <c r="AA1036" s="421">
        <f t="shared" si="16"/>
        <v>0</v>
      </c>
    </row>
    <row r="1037" spans="1:27" ht="16.5">
      <c r="A1037" s="387">
        <f>'STAT 77 Table'!$I$1036</f>
        <v>0</v>
      </c>
      <c r="B1037"/>
      <c r="C1037"/>
      <c r="D1037" s="387" t="str">
        <f>IF($B1037&lt;&gt;"",IFERROR(IF(LEFT($B1037,3)=$Z$2,VLOOKUP($C1037,Outbound!$B:$Z,4,FALSE),VLOOKUP($B1037,Outbound!$B:$Z,4,FALSE)),"ON ROCS/NOT ON FILE"),"")</f>
        <v/>
      </c>
      <c r="E1037" s="387" t="str">
        <f>IF($B1037&lt;&gt;"",IFERROR(IF(LEFT($B1037,4)=$Z$2,VLOOKUP($C1037,Outbound!$B:$Z,5,FALSE),VLOOKUP($B1037,Outbound!$B:$Z,5,FALSE)),"ON ROCS/NOT ON FILE"),"")</f>
        <v/>
      </c>
      <c r="F1037" s="387" t="str">
        <f>IF(B1037&lt;&gt;"",IFERROR(IF(LEFT($B1037,3)=$Z$2,VLOOKUP($C1037,Outbound!$B:$Z,11,FALSE),VLOOKUP($B1037,Outbound!$B:$Z,11,FALSE)),"NON TROVATO"),"")</f>
        <v/>
      </c>
      <c r="G1037" s="394" t="str">
        <f>IF(B1037&lt;&gt;"",IFERROR(IF(LEFT($B1037,3)=$Z$2,VLOOKUP($C1037,Outbound!$B:$AAZ,16,FALSE),VLOOKUP($B1037,Outbound!$B:$AAZ,16,FALSE)),"NON TROVATO"),"")</f>
        <v/>
      </c>
      <c r="H1037" s="394" t="str">
        <f>IF(B1037&lt;&gt;"",IFERROR(IF(LEFT($B1037,3)=$Z$2,VLOOKUP($C1037,Outbound!$B:$AAZ,6,FALSE),VLOOKUP($B1037,Outbound!$B:$AAZ,6,FALSE)),"NON TROVATO"),"")</f>
        <v/>
      </c>
      <c r="I1037" s="394" t="str">
        <f>IF(B1037&lt;&gt;"",IFERROR(IF(LEFT($B1037,3)=$Z$2,VLOOKUP($C1037,Outbound!$B:$AAZ,52,FALSE),VLOOKUP($B1037,Outbound!$B:$AAZ,52,FALSE)),"NON TROVATO"),"")</f>
        <v/>
      </c>
      <c r="J1037" s="396"/>
      <c r="K1037" s="387" t="str">
        <f>IF(B1037&lt;&gt;"",IF($D1037&lt;&gt;"ON ROCS/NOT ON FILE",IFERROR(_xlfn.XLOOKUP(LEFT($D1037,3),'STAT 77 Table'!$B:$B,'STAT 77 Table'!$A:$A),"ZZ"&amp;RIGHT($B1037,4)),""),"")</f>
        <v/>
      </c>
      <c r="L1037" s="396"/>
      <c r="O1037" s="388"/>
      <c r="P1037" s="388"/>
      <c r="AA1037" s="421">
        <f t="shared" si="16"/>
        <v>0</v>
      </c>
    </row>
    <row r="1038" spans="1:27" ht="16.5">
      <c r="A1038" s="387">
        <f>'STAT 77 Table'!$I$1037</f>
        <v>0</v>
      </c>
      <c r="B1038"/>
      <c r="C1038"/>
      <c r="D1038" s="387" t="str">
        <f>IF($B1038&lt;&gt;"",IFERROR(IF(LEFT($B1038,3)=$Z$2,VLOOKUP($C1038,Outbound!$B:$Z,4,FALSE),VLOOKUP($B1038,Outbound!$B:$Z,4,FALSE)),"ON ROCS/NOT ON FILE"),"")</f>
        <v/>
      </c>
      <c r="E1038" s="387" t="str">
        <f>IF($B1038&lt;&gt;"",IFERROR(IF(LEFT($B1038,4)=$Z$2,VLOOKUP($C1038,Outbound!$B:$Z,5,FALSE),VLOOKUP($B1038,Outbound!$B:$Z,5,FALSE)),"ON ROCS/NOT ON FILE"),"")</f>
        <v/>
      </c>
      <c r="F1038" s="387" t="str">
        <f>IF(B1038&lt;&gt;"",IFERROR(IF(LEFT($B1038,3)=$Z$2,VLOOKUP($C1038,Outbound!$B:$Z,11,FALSE),VLOOKUP($B1038,Outbound!$B:$Z,11,FALSE)),"NON TROVATO"),"")</f>
        <v/>
      </c>
      <c r="G1038" s="394" t="str">
        <f>IF(B1038&lt;&gt;"",IFERROR(IF(LEFT($B1038,3)=$Z$2,VLOOKUP($C1038,Outbound!$B:$AAZ,16,FALSE),VLOOKUP($B1038,Outbound!$B:$AAZ,16,FALSE)),"NON TROVATO"),"")</f>
        <v/>
      </c>
      <c r="H1038" s="394" t="str">
        <f>IF(B1038&lt;&gt;"",IFERROR(IF(LEFT($B1038,3)=$Z$2,VLOOKUP($C1038,Outbound!$B:$AAZ,6,FALSE),VLOOKUP($B1038,Outbound!$B:$AAZ,6,FALSE)),"NON TROVATO"),"")</f>
        <v/>
      </c>
      <c r="I1038" s="394" t="str">
        <f>IF(B1038&lt;&gt;"",IFERROR(IF(LEFT($B1038,3)=$Z$2,VLOOKUP($C1038,Outbound!$B:$AAZ,52,FALSE),VLOOKUP($B1038,Outbound!$B:$AAZ,52,FALSE)),"NON TROVATO"),"")</f>
        <v/>
      </c>
      <c r="J1038" s="396"/>
      <c r="K1038" s="387" t="str">
        <f>IF(B1038&lt;&gt;"",IF($D1038&lt;&gt;"ON ROCS/NOT ON FILE",IFERROR(_xlfn.XLOOKUP(LEFT($D1038,3),'STAT 77 Table'!$B:$B,'STAT 77 Table'!$A:$A),"ZZ"&amp;RIGHT($B1038,4)),""),"")</f>
        <v/>
      </c>
      <c r="L1038" s="396"/>
      <c r="O1038" s="388"/>
      <c r="P1038" s="388"/>
      <c r="AA1038" s="421">
        <f t="shared" si="16"/>
        <v>0</v>
      </c>
    </row>
    <row r="1039" spans="1:27" ht="16.5">
      <c r="A1039" s="387">
        <f>'STAT 77 Table'!$I$1038</f>
        <v>0</v>
      </c>
      <c r="B1039"/>
      <c r="C1039"/>
      <c r="D1039" s="387" t="str">
        <f>IF($B1039&lt;&gt;"",IFERROR(IF(LEFT($B1039,3)=$Z$2,VLOOKUP($C1039,Outbound!$B:$Z,4,FALSE),VLOOKUP($B1039,Outbound!$B:$Z,4,FALSE)),"ON ROCS/NOT ON FILE"),"")</f>
        <v/>
      </c>
      <c r="E1039" s="387" t="str">
        <f>IF($B1039&lt;&gt;"",IFERROR(IF(LEFT($B1039,4)=$Z$2,VLOOKUP($C1039,Outbound!$B:$Z,5,FALSE),VLOOKUP($B1039,Outbound!$B:$Z,5,FALSE)),"ON ROCS/NOT ON FILE"),"")</f>
        <v/>
      </c>
      <c r="F1039" s="387" t="str">
        <f>IF(B1039&lt;&gt;"",IFERROR(IF(LEFT($B1039,3)=$Z$2,VLOOKUP($C1039,Outbound!$B:$Z,11,FALSE),VLOOKUP($B1039,Outbound!$B:$Z,11,FALSE)),"NON TROVATO"),"")</f>
        <v/>
      </c>
      <c r="G1039" s="394" t="str">
        <f>IF(B1039&lt;&gt;"",IFERROR(IF(LEFT($B1039,3)=$Z$2,VLOOKUP($C1039,Outbound!$B:$AAZ,16,FALSE),VLOOKUP($B1039,Outbound!$B:$AAZ,16,FALSE)),"NON TROVATO"),"")</f>
        <v/>
      </c>
      <c r="H1039" s="394" t="str">
        <f>IF(B1039&lt;&gt;"",IFERROR(IF(LEFT($B1039,3)=$Z$2,VLOOKUP($C1039,Outbound!$B:$AAZ,6,FALSE),VLOOKUP($B1039,Outbound!$B:$AAZ,6,FALSE)),"NON TROVATO"),"")</f>
        <v/>
      </c>
      <c r="I1039" s="394" t="str">
        <f>IF(B1039&lt;&gt;"",IFERROR(IF(LEFT($B1039,3)=$Z$2,VLOOKUP($C1039,Outbound!$B:$AAZ,52,FALSE),VLOOKUP($B1039,Outbound!$B:$AAZ,52,FALSE)),"NON TROVATO"),"")</f>
        <v/>
      </c>
      <c r="J1039" s="396"/>
      <c r="K1039" s="387" t="str">
        <f>IF(B1039&lt;&gt;"",IF($D1039&lt;&gt;"ON ROCS/NOT ON FILE",IFERROR(_xlfn.XLOOKUP(LEFT($D1039,3),'STAT 77 Table'!$B:$B,'STAT 77 Table'!$A:$A),"ZZ"&amp;RIGHT($B1039,4)),""),"")</f>
        <v/>
      </c>
      <c r="L1039" s="396"/>
      <c r="O1039" s="388"/>
      <c r="P1039" s="388"/>
      <c r="AA1039" s="421">
        <f t="shared" si="16"/>
        <v>0</v>
      </c>
    </row>
    <row r="1040" spans="1:27" ht="16.5">
      <c r="A1040" s="387">
        <f>'STAT 77 Table'!$I$1039</f>
        <v>0</v>
      </c>
      <c r="B1040"/>
      <c r="C1040"/>
      <c r="D1040" s="387" t="str">
        <f>IF($B1040&lt;&gt;"",IFERROR(IF(LEFT($B1040,3)=$Z$2,VLOOKUP($C1040,Outbound!$B:$Z,4,FALSE),VLOOKUP($B1040,Outbound!$B:$Z,4,FALSE)),"ON ROCS/NOT ON FILE"),"")</f>
        <v/>
      </c>
      <c r="E1040" s="387" t="str">
        <f>IF($B1040&lt;&gt;"",IFERROR(IF(LEFT($B1040,4)=$Z$2,VLOOKUP($C1040,Outbound!$B:$Z,5,FALSE),VLOOKUP($B1040,Outbound!$B:$Z,5,FALSE)),"ON ROCS/NOT ON FILE"),"")</f>
        <v/>
      </c>
      <c r="F1040" s="387" t="str">
        <f>IF(B1040&lt;&gt;"",IFERROR(IF(LEFT($B1040,3)=$Z$2,VLOOKUP($C1040,Outbound!$B:$Z,11,FALSE),VLOOKUP($B1040,Outbound!$B:$Z,11,FALSE)),"NON TROVATO"),"")</f>
        <v/>
      </c>
      <c r="G1040" s="394" t="str">
        <f>IF(B1040&lt;&gt;"",IFERROR(IF(LEFT($B1040,3)=$Z$2,VLOOKUP($C1040,Outbound!$B:$AAZ,16,FALSE),VLOOKUP($B1040,Outbound!$B:$AAZ,16,FALSE)),"NON TROVATO"),"")</f>
        <v/>
      </c>
      <c r="H1040" s="394" t="str">
        <f>IF(B1040&lt;&gt;"",IFERROR(IF(LEFT($B1040,3)=$Z$2,VLOOKUP($C1040,Outbound!$B:$AAZ,6,FALSE),VLOOKUP($B1040,Outbound!$B:$AAZ,6,FALSE)),"NON TROVATO"),"")</f>
        <v/>
      </c>
      <c r="I1040" s="394" t="str">
        <f>IF(B1040&lt;&gt;"",IFERROR(IF(LEFT($B1040,3)=$Z$2,VLOOKUP($C1040,Outbound!$B:$AAZ,52,FALSE),VLOOKUP($B1040,Outbound!$B:$AAZ,52,FALSE)),"NON TROVATO"),"")</f>
        <v/>
      </c>
      <c r="J1040" s="396"/>
      <c r="K1040" s="387" t="str">
        <f>IF(B1040&lt;&gt;"",IF($D1040&lt;&gt;"ON ROCS/NOT ON FILE",IFERROR(_xlfn.XLOOKUP(LEFT($D1040,3),'STAT 77 Table'!$B:$B,'STAT 77 Table'!$A:$A),"ZZ"&amp;RIGHT($B1040,4)),""),"")</f>
        <v/>
      </c>
      <c r="L1040" s="396"/>
      <c r="O1040" s="388"/>
      <c r="P1040" s="388"/>
      <c r="AA1040" s="421">
        <f t="shared" si="16"/>
        <v>0</v>
      </c>
    </row>
    <row r="1041" spans="1:27" ht="16.5">
      <c r="A1041" s="387">
        <f>'STAT 77 Table'!$I$1040</f>
        <v>0</v>
      </c>
      <c r="B1041"/>
      <c r="C1041"/>
      <c r="D1041" s="387" t="str">
        <f>IF($B1041&lt;&gt;"",IFERROR(IF(LEFT($B1041,3)=$Z$2,VLOOKUP($C1041,Outbound!$B:$Z,4,FALSE),VLOOKUP($B1041,Outbound!$B:$Z,4,FALSE)),"ON ROCS/NOT ON FILE"),"")</f>
        <v/>
      </c>
      <c r="E1041" s="387" t="str">
        <f>IF($B1041&lt;&gt;"",IFERROR(IF(LEFT($B1041,4)=$Z$2,VLOOKUP($C1041,Outbound!$B:$Z,5,FALSE),VLOOKUP($B1041,Outbound!$B:$Z,5,FALSE)),"ON ROCS/NOT ON FILE"),"")</f>
        <v/>
      </c>
      <c r="F1041" s="387" t="str">
        <f>IF(B1041&lt;&gt;"",IFERROR(IF(LEFT($B1041,3)=$Z$2,VLOOKUP($C1041,Outbound!$B:$Z,11,FALSE),VLOOKUP($B1041,Outbound!$B:$Z,11,FALSE)),"NON TROVATO"),"")</f>
        <v/>
      </c>
      <c r="G1041" s="394" t="str">
        <f>IF(B1041&lt;&gt;"",IFERROR(IF(LEFT($B1041,3)=$Z$2,VLOOKUP($C1041,Outbound!$B:$AAZ,16,FALSE),VLOOKUP($B1041,Outbound!$B:$AAZ,16,FALSE)),"NON TROVATO"),"")</f>
        <v/>
      </c>
      <c r="H1041" s="394" t="str">
        <f>IF(B1041&lt;&gt;"",IFERROR(IF(LEFT($B1041,3)=$Z$2,VLOOKUP($C1041,Outbound!$B:$AAZ,6,FALSE),VLOOKUP($B1041,Outbound!$B:$AAZ,6,FALSE)),"NON TROVATO"),"")</f>
        <v/>
      </c>
      <c r="I1041" s="394" t="str">
        <f>IF(B1041&lt;&gt;"",IFERROR(IF(LEFT($B1041,3)=$Z$2,VLOOKUP($C1041,Outbound!$B:$AAZ,52,FALSE),VLOOKUP($B1041,Outbound!$B:$AAZ,52,FALSE)),"NON TROVATO"),"")</f>
        <v/>
      </c>
      <c r="J1041" s="396"/>
      <c r="K1041" s="387" t="str">
        <f>IF(B1041&lt;&gt;"",IF($D1041&lt;&gt;"ON ROCS/NOT ON FILE",IFERROR(_xlfn.XLOOKUP(LEFT($D1041,3),'STAT 77 Table'!$B:$B,'STAT 77 Table'!$A:$A),"ZZ"&amp;RIGHT($B1041,4)),""),"")</f>
        <v/>
      </c>
      <c r="L1041" s="396"/>
      <c r="O1041" s="388"/>
      <c r="P1041" s="388"/>
      <c r="AA1041" s="421">
        <f t="shared" si="16"/>
        <v>0</v>
      </c>
    </row>
    <row r="1042" spans="1:27" ht="16.5">
      <c r="A1042" s="387">
        <f>'STAT 77 Table'!$I$1041</f>
        <v>0</v>
      </c>
      <c r="B1042"/>
      <c r="C1042"/>
      <c r="D1042" s="387" t="str">
        <f>IF($B1042&lt;&gt;"",IFERROR(IF(LEFT($B1042,3)=$Z$2,VLOOKUP($C1042,Outbound!$B:$Z,4,FALSE),VLOOKUP($B1042,Outbound!$B:$Z,4,FALSE)),"ON ROCS/NOT ON FILE"),"")</f>
        <v/>
      </c>
      <c r="E1042" s="387" t="str">
        <f>IF($B1042&lt;&gt;"",IFERROR(IF(LEFT($B1042,4)=$Z$2,VLOOKUP($C1042,Outbound!$B:$Z,5,FALSE),VLOOKUP($B1042,Outbound!$B:$Z,5,FALSE)),"ON ROCS/NOT ON FILE"),"")</f>
        <v/>
      </c>
      <c r="F1042" s="387" t="str">
        <f>IF(B1042&lt;&gt;"",IFERROR(IF(LEFT($B1042,3)=$Z$2,VLOOKUP($C1042,Outbound!$B:$Z,11,FALSE),VLOOKUP($B1042,Outbound!$B:$Z,11,FALSE)),"NON TROVATO"),"")</f>
        <v/>
      </c>
      <c r="G1042" s="394" t="str">
        <f>IF(B1042&lt;&gt;"",IFERROR(IF(LEFT($B1042,3)=$Z$2,VLOOKUP($C1042,Outbound!$B:$AAZ,16,FALSE),VLOOKUP($B1042,Outbound!$B:$AAZ,16,FALSE)),"NON TROVATO"),"")</f>
        <v/>
      </c>
      <c r="H1042" s="394" t="str">
        <f>IF(B1042&lt;&gt;"",IFERROR(IF(LEFT($B1042,3)=$Z$2,VLOOKUP($C1042,Outbound!$B:$AAZ,6,FALSE),VLOOKUP($B1042,Outbound!$B:$AAZ,6,FALSE)),"NON TROVATO"),"")</f>
        <v/>
      </c>
      <c r="I1042" s="394" t="str">
        <f>IF(B1042&lt;&gt;"",IFERROR(IF(LEFT($B1042,3)=$Z$2,VLOOKUP($C1042,Outbound!$B:$AAZ,52,FALSE),VLOOKUP($B1042,Outbound!$B:$AAZ,52,FALSE)),"NON TROVATO"),"")</f>
        <v/>
      </c>
      <c r="J1042" s="396"/>
      <c r="K1042" s="387" t="str">
        <f>IF(B1042&lt;&gt;"",IF($D1042&lt;&gt;"ON ROCS/NOT ON FILE",IFERROR(_xlfn.XLOOKUP(LEFT($D1042,3),'STAT 77 Table'!$B:$B,'STAT 77 Table'!$A:$A),"ZZ"&amp;RIGHT($B1042,4)),""),"")</f>
        <v/>
      </c>
      <c r="L1042" s="396"/>
      <c r="O1042" s="388"/>
      <c r="P1042" s="388"/>
      <c r="AA1042" s="421">
        <f t="shared" si="16"/>
        <v>0</v>
      </c>
    </row>
    <row r="1043" spans="1:27" ht="16.5">
      <c r="A1043" s="387">
        <f>'STAT 77 Table'!$I$1042</f>
        <v>0</v>
      </c>
      <c r="B1043"/>
      <c r="C1043"/>
      <c r="D1043" s="387" t="str">
        <f>IF($B1043&lt;&gt;"",IFERROR(IF(LEFT($B1043,3)=$Z$2,VLOOKUP($C1043,Outbound!$B:$Z,4,FALSE),VLOOKUP($B1043,Outbound!$B:$Z,4,FALSE)),"ON ROCS/NOT ON FILE"),"")</f>
        <v/>
      </c>
      <c r="E1043" s="387" t="str">
        <f>IF($B1043&lt;&gt;"",IFERROR(IF(LEFT($B1043,4)=$Z$2,VLOOKUP($C1043,Outbound!$B:$Z,5,FALSE),VLOOKUP($B1043,Outbound!$B:$Z,5,FALSE)),"ON ROCS/NOT ON FILE"),"")</f>
        <v/>
      </c>
      <c r="F1043" s="387" t="str">
        <f>IF(B1043&lt;&gt;"",IFERROR(IF(LEFT($B1043,3)=$Z$2,VLOOKUP($C1043,Outbound!$B:$Z,11,FALSE),VLOOKUP($B1043,Outbound!$B:$Z,11,FALSE)),"NON TROVATO"),"")</f>
        <v/>
      </c>
      <c r="G1043" s="394" t="str">
        <f>IF(B1043&lt;&gt;"",IFERROR(IF(LEFT($B1043,3)=$Z$2,VLOOKUP($C1043,Outbound!$B:$AAZ,16,FALSE),VLOOKUP($B1043,Outbound!$B:$AAZ,16,FALSE)),"NON TROVATO"),"")</f>
        <v/>
      </c>
      <c r="H1043" s="394" t="str">
        <f>IF(B1043&lt;&gt;"",IFERROR(IF(LEFT($B1043,3)=$Z$2,VLOOKUP($C1043,Outbound!$B:$AAZ,6,FALSE),VLOOKUP($B1043,Outbound!$B:$AAZ,6,FALSE)),"NON TROVATO"),"")</f>
        <v/>
      </c>
      <c r="I1043" s="394" t="str">
        <f>IF(B1043&lt;&gt;"",IFERROR(IF(LEFT($B1043,3)=$Z$2,VLOOKUP($C1043,Outbound!$B:$AAZ,52,FALSE),VLOOKUP($B1043,Outbound!$B:$AAZ,52,FALSE)),"NON TROVATO"),"")</f>
        <v/>
      </c>
      <c r="J1043" s="396"/>
      <c r="K1043" s="387" t="str">
        <f>IF(B1043&lt;&gt;"",IF($D1043&lt;&gt;"ON ROCS/NOT ON FILE",IFERROR(_xlfn.XLOOKUP(LEFT($D1043,3),'STAT 77 Table'!$B:$B,'STAT 77 Table'!$A:$A),"ZZ"&amp;RIGHT($B1043,4)),""),"")</f>
        <v/>
      </c>
      <c r="L1043" s="396"/>
      <c r="O1043" s="388"/>
      <c r="P1043" s="388"/>
      <c r="AA1043" s="421">
        <f t="shared" si="16"/>
        <v>0</v>
      </c>
    </row>
    <row r="1044" spans="1:27" ht="16.5">
      <c r="A1044" s="387">
        <f>'STAT 77 Table'!$I$1043</f>
        <v>0</v>
      </c>
      <c r="B1044"/>
      <c r="C1044"/>
      <c r="D1044" s="387" t="str">
        <f>IF($B1044&lt;&gt;"",IFERROR(IF(LEFT($B1044,3)=$Z$2,VLOOKUP($C1044,Outbound!$B:$Z,4,FALSE),VLOOKUP($B1044,Outbound!$B:$Z,4,FALSE)),"ON ROCS/NOT ON FILE"),"")</f>
        <v/>
      </c>
      <c r="E1044" s="387" t="str">
        <f>IF($B1044&lt;&gt;"",IFERROR(IF(LEFT($B1044,4)=$Z$2,VLOOKUP($C1044,Outbound!$B:$Z,5,FALSE),VLOOKUP($B1044,Outbound!$B:$Z,5,FALSE)),"ON ROCS/NOT ON FILE"),"")</f>
        <v/>
      </c>
      <c r="F1044" s="387" t="str">
        <f>IF(B1044&lt;&gt;"",IFERROR(IF(LEFT($B1044,3)=$Z$2,VLOOKUP($C1044,Outbound!$B:$Z,11,FALSE),VLOOKUP($B1044,Outbound!$B:$Z,11,FALSE)),"NON TROVATO"),"")</f>
        <v/>
      </c>
      <c r="G1044" s="394" t="str">
        <f>IF(B1044&lt;&gt;"",IFERROR(IF(LEFT($B1044,3)=$Z$2,VLOOKUP($C1044,Outbound!$B:$AAZ,16,FALSE),VLOOKUP($B1044,Outbound!$B:$AAZ,16,FALSE)),"NON TROVATO"),"")</f>
        <v/>
      </c>
      <c r="H1044" s="394" t="str">
        <f>IF(B1044&lt;&gt;"",IFERROR(IF(LEFT($B1044,3)=$Z$2,VLOOKUP($C1044,Outbound!$B:$AAZ,6,FALSE),VLOOKUP($B1044,Outbound!$B:$AAZ,6,FALSE)),"NON TROVATO"),"")</f>
        <v/>
      </c>
      <c r="I1044" s="394" t="str">
        <f>IF(B1044&lt;&gt;"",IFERROR(IF(LEFT($B1044,3)=$Z$2,VLOOKUP($C1044,Outbound!$B:$AAZ,52,FALSE),VLOOKUP($B1044,Outbound!$B:$AAZ,52,FALSE)),"NON TROVATO"),"")</f>
        <v/>
      </c>
      <c r="J1044" s="396"/>
      <c r="K1044" s="387" t="str">
        <f>IF(B1044&lt;&gt;"",IF($D1044&lt;&gt;"ON ROCS/NOT ON FILE",IFERROR(_xlfn.XLOOKUP(LEFT($D1044,3),'STAT 77 Table'!$B:$B,'STAT 77 Table'!$A:$A),"ZZ"&amp;RIGHT($B1044,4)),""),"")</f>
        <v/>
      </c>
      <c r="L1044" s="396"/>
      <c r="O1044" s="388"/>
      <c r="P1044" s="388"/>
      <c r="AA1044" s="421">
        <f t="shared" si="16"/>
        <v>0</v>
      </c>
    </row>
    <row r="1045" spans="1:27" ht="16.5">
      <c r="A1045" s="387">
        <f>'STAT 77 Table'!$I$1044</f>
        <v>0</v>
      </c>
      <c r="B1045"/>
      <c r="C1045"/>
      <c r="D1045" s="387" t="str">
        <f>IF($B1045&lt;&gt;"",IFERROR(IF(LEFT($B1045,3)=$Z$2,VLOOKUP($C1045,Outbound!$B:$Z,4,FALSE),VLOOKUP($B1045,Outbound!$B:$Z,4,FALSE)),"ON ROCS/NOT ON FILE"),"")</f>
        <v/>
      </c>
      <c r="E1045" s="387" t="str">
        <f>IF($B1045&lt;&gt;"",IFERROR(IF(LEFT($B1045,4)=$Z$2,VLOOKUP($C1045,Outbound!$B:$Z,5,FALSE),VLOOKUP($B1045,Outbound!$B:$Z,5,FALSE)),"ON ROCS/NOT ON FILE"),"")</f>
        <v/>
      </c>
      <c r="F1045" s="387" t="str">
        <f>IF(B1045&lt;&gt;"",IFERROR(IF(LEFT($B1045,3)=$Z$2,VLOOKUP($C1045,Outbound!$B:$Z,11,FALSE),VLOOKUP($B1045,Outbound!$B:$Z,11,FALSE)),"NON TROVATO"),"")</f>
        <v/>
      </c>
      <c r="G1045" s="394" t="str">
        <f>IF(B1045&lt;&gt;"",IFERROR(IF(LEFT($B1045,3)=$Z$2,VLOOKUP($C1045,Outbound!$B:$AAZ,16,FALSE),VLOOKUP($B1045,Outbound!$B:$AAZ,16,FALSE)),"NON TROVATO"),"")</f>
        <v/>
      </c>
      <c r="H1045" s="394" t="str">
        <f>IF(B1045&lt;&gt;"",IFERROR(IF(LEFT($B1045,3)=$Z$2,VLOOKUP($C1045,Outbound!$B:$AAZ,6,FALSE),VLOOKUP($B1045,Outbound!$B:$AAZ,6,FALSE)),"NON TROVATO"),"")</f>
        <v/>
      </c>
      <c r="I1045" s="394" t="str">
        <f>IF(B1045&lt;&gt;"",IFERROR(IF(LEFT($B1045,3)=$Z$2,VLOOKUP($C1045,Outbound!$B:$AAZ,52,FALSE),VLOOKUP($B1045,Outbound!$B:$AAZ,52,FALSE)),"NON TROVATO"),"")</f>
        <v/>
      </c>
      <c r="J1045" s="396"/>
      <c r="K1045" s="387" t="str">
        <f>IF(B1045&lt;&gt;"",IF($D1045&lt;&gt;"ON ROCS/NOT ON FILE",IFERROR(_xlfn.XLOOKUP(LEFT($D1045,3),'STAT 77 Table'!$B:$B,'STAT 77 Table'!$A:$A),"ZZ"&amp;RIGHT($B1045,4)),""),"")</f>
        <v/>
      </c>
      <c r="L1045" s="396"/>
      <c r="O1045" s="388"/>
      <c r="P1045" s="388"/>
      <c r="AA1045" s="421">
        <f t="shared" si="16"/>
        <v>0</v>
      </c>
    </row>
    <row r="1046" spans="1:27" ht="16.5">
      <c r="A1046" s="387">
        <f>'STAT 77 Table'!$I$1045</f>
        <v>0</v>
      </c>
      <c r="B1046"/>
      <c r="C1046"/>
      <c r="D1046" s="387" t="str">
        <f>IF($B1046&lt;&gt;"",IFERROR(IF(LEFT($B1046,3)=$Z$2,VLOOKUP($C1046,Outbound!$B:$Z,4,FALSE),VLOOKUP($B1046,Outbound!$B:$Z,4,FALSE)),"ON ROCS/NOT ON FILE"),"")</f>
        <v/>
      </c>
      <c r="E1046" s="387" t="str">
        <f>IF($B1046&lt;&gt;"",IFERROR(IF(LEFT($B1046,4)=$Z$2,VLOOKUP($C1046,Outbound!$B:$Z,5,FALSE),VLOOKUP($B1046,Outbound!$B:$Z,5,FALSE)),"ON ROCS/NOT ON FILE"),"")</f>
        <v/>
      </c>
      <c r="F1046" s="387" t="str">
        <f>IF(B1046&lt;&gt;"",IFERROR(IF(LEFT($B1046,3)=$Z$2,VLOOKUP($C1046,Outbound!$B:$Z,11,FALSE),VLOOKUP($B1046,Outbound!$B:$Z,11,FALSE)),"NON TROVATO"),"")</f>
        <v/>
      </c>
      <c r="G1046" s="394" t="str">
        <f>IF(B1046&lt;&gt;"",IFERROR(IF(LEFT($B1046,3)=$Z$2,VLOOKUP($C1046,Outbound!$B:$AAZ,16,FALSE),VLOOKUP($B1046,Outbound!$B:$AAZ,16,FALSE)),"NON TROVATO"),"")</f>
        <v/>
      </c>
      <c r="H1046" s="394" t="str">
        <f>IF(B1046&lt;&gt;"",IFERROR(IF(LEFT($B1046,3)=$Z$2,VLOOKUP($C1046,Outbound!$B:$AAZ,6,FALSE),VLOOKUP($B1046,Outbound!$B:$AAZ,6,FALSE)),"NON TROVATO"),"")</f>
        <v/>
      </c>
      <c r="I1046" s="394" t="str">
        <f>IF(B1046&lt;&gt;"",IFERROR(IF(LEFT($B1046,3)=$Z$2,VLOOKUP($C1046,Outbound!$B:$AAZ,52,FALSE),VLOOKUP($B1046,Outbound!$B:$AAZ,52,FALSE)),"NON TROVATO"),"")</f>
        <v/>
      </c>
      <c r="J1046" s="396"/>
      <c r="K1046" s="387" t="str">
        <f>IF(B1046&lt;&gt;"",IF($D1046&lt;&gt;"ON ROCS/NOT ON FILE",IFERROR(_xlfn.XLOOKUP(LEFT($D1046,3),'STAT 77 Table'!$B:$B,'STAT 77 Table'!$A:$A),"ZZ"&amp;RIGHT($B1046,4)),""),"")</f>
        <v/>
      </c>
      <c r="L1046" s="396"/>
      <c r="O1046" s="388"/>
      <c r="P1046" s="388"/>
      <c r="AA1046" s="421">
        <f t="shared" si="16"/>
        <v>0</v>
      </c>
    </row>
    <row r="1047" spans="1:27" ht="16.5">
      <c r="A1047" s="387">
        <f>'STAT 77 Table'!$I$1046</f>
        <v>0</v>
      </c>
      <c r="B1047"/>
      <c r="C1047"/>
      <c r="D1047" s="387" t="str">
        <f>IF($B1047&lt;&gt;"",IFERROR(IF(LEFT($B1047,3)=$Z$2,VLOOKUP($C1047,Outbound!$B:$Z,4,FALSE),VLOOKUP($B1047,Outbound!$B:$Z,4,FALSE)),"ON ROCS/NOT ON FILE"),"")</f>
        <v/>
      </c>
      <c r="E1047" s="387" t="str">
        <f>IF($B1047&lt;&gt;"",IFERROR(IF(LEFT($B1047,4)=$Z$2,VLOOKUP($C1047,Outbound!$B:$Z,5,FALSE),VLOOKUP($B1047,Outbound!$B:$Z,5,FALSE)),"ON ROCS/NOT ON FILE"),"")</f>
        <v/>
      </c>
      <c r="F1047" s="387" t="str">
        <f>IF(B1047&lt;&gt;"",IFERROR(IF(LEFT($B1047,3)=$Z$2,VLOOKUP($C1047,Outbound!$B:$Z,11,FALSE),VLOOKUP($B1047,Outbound!$B:$Z,11,FALSE)),"NON TROVATO"),"")</f>
        <v/>
      </c>
      <c r="G1047" s="394" t="str">
        <f>IF(B1047&lt;&gt;"",IFERROR(IF(LEFT($B1047,3)=$Z$2,VLOOKUP($C1047,Outbound!$B:$AAZ,16,FALSE),VLOOKUP($B1047,Outbound!$B:$AAZ,16,FALSE)),"NON TROVATO"),"")</f>
        <v/>
      </c>
      <c r="H1047" s="394" t="str">
        <f>IF(B1047&lt;&gt;"",IFERROR(IF(LEFT($B1047,3)=$Z$2,VLOOKUP($C1047,Outbound!$B:$AAZ,6,FALSE),VLOOKUP($B1047,Outbound!$B:$AAZ,6,FALSE)),"NON TROVATO"),"")</f>
        <v/>
      </c>
      <c r="I1047" s="394" t="str">
        <f>IF(B1047&lt;&gt;"",IFERROR(IF(LEFT($B1047,3)=$Z$2,VLOOKUP($C1047,Outbound!$B:$AAZ,52,FALSE),VLOOKUP($B1047,Outbound!$B:$AAZ,52,FALSE)),"NON TROVATO"),"")</f>
        <v/>
      </c>
      <c r="J1047" s="396"/>
      <c r="K1047" s="387" t="str">
        <f>IF(B1047&lt;&gt;"",IF($D1047&lt;&gt;"ON ROCS/NOT ON FILE",IFERROR(_xlfn.XLOOKUP(LEFT($D1047,3),'STAT 77 Table'!$B:$B,'STAT 77 Table'!$A:$A),"ZZ"&amp;RIGHT($B1047,4)),""),"")</f>
        <v/>
      </c>
      <c r="L1047" s="396"/>
      <c r="O1047" s="388"/>
      <c r="P1047" s="388"/>
      <c r="AA1047" s="421">
        <f t="shared" si="16"/>
        <v>0</v>
      </c>
    </row>
    <row r="1048" spans="1:27" ht="16.5">
      <c r="A1048" s="387">
        <f>'STAT 77 Table'!$I$1047</f>
        <v>0</v>
      </c>
      <c r="B1048"/>
      <c r="C1048"/>
      <c r="D1048" s="387" t="str">
        <f>IF($B1048&lt;&gt;"",IFERROR(IF(LEFT($B1048,3)=$Z$2,VLOOKUP($C1048,Outbound!$B:$Z,4,FALSE),VLOOKUP($B1048,Outbound!$B:$Z,4,FALSE)),"ON ROCS/NOT ON FILE"),"")</f>
        <v/>
      </c>
      <c r="E1048" s="387" t="str">
        <f>IF($B1048&lt;&gt;"",IFERROR(IF(LEFT($B1048,4)=$Z$2,VLOOKUP($C1048,Outbound!$B:$Z,5,FALSE),VLOOKUP($B1048,Outbound!$B:$Z,5,FALSE)),"ON ROCS/NOT ON FILE"),"")</f>
        <v/>
      </c>
      <c r="F1048" s="387" t="str">
        <f>IF(B1048&lt;&gt;"",IFERROR(IF(LEFT($B1048,3)=$Z$2,VLOOKUP($C1048,Outbound!$B:$Z,11,FALSE),VLOOKUP($B1048,Outbound!$B:$Z,11,FALSE)),"NON TROVATO"),"")</f>
        <v/>
      </c>
      <c r="G1048" s="394" t="str">
        <f>IF(B1048&lt;&gt;"",IFERROR(IF(LEFT($B1048,3)=$Z$2,VLOOKUP($C1048,Outbound!$B:$AAZ,16,FALSE),VLOOKUP($B1048,Outbound!$B:$AAZ,16,FALSE)),"NON TROVATO"),"")</f>
        <v/>
      </c>
      <c r="H1048" s="394" t="str">
        <f>IF(B1048&lt;&gt;"",IFERROR(IF(LEFT($B1048,3)=$Z$2,VLOOKUP($C1048,Outbound!$B:$AAZ,6,FALSE),VLOOKUP($B1048,Outbound!$B:$AAZ,6,FALSE)),"NON TROVATO"),"")</f>
        <v/>
      </c>
      <c r="I1048" s="394" t="str">
        <f>IF(B1048&lt;&gt;"",IFERROR(IF(LEFT($B1048,3)=$Z$2,VLOOKUP($C1048,Outbound!$B:$AAZ,52,FALSE),VLOOKUP($B1048,Outbound!$B:$AAZ,52,FALSE)),"NON TROVATO"),"")</f>
        <v/>
      </c>
      <c r="J1048" s="396"/>
      <c r="K1048" s="387" t="str">
        <f>IF(B1048&lt;&gt;"",IF($D1048&lt;&gt;"ON ROCS/NOT ON FILE",IFERROR(_xlfn.XLOOKUP(LEFT($D1048,3),'STAT 77 Table'!$B:$B,'STAT 77 Table'!$A:$A),"ZZ"&amp;RIGHT($B1048,4)),""),"")</f>
        <v/>
      </c>
      <c r="L1048" s="396"/>
      <c r="O1048" s="388"/>
      <c r="P1048" s="388"/>
      <c r="AA1048" s="421">
        <f t="shared" si="16"/>
        <v>0</v>
      </c>
    </row>
    <row r="1049" spans="1:27" ht="16.5">
      <c r="A1049" s="387">
        <f>'STAT 77 Table'!$I$1048</f>
        <v>0</v>
      </c>
      <c r="B1049"/>
      <c r="C1049"/>
      <c r="D1049" s="387" t="str">
        <f>IF($B1049&lt;&gt;"",IFERROR(IF(LEFT($B1049,3)=$Z$2,VLOOKUP($C1049,Outbound!$B:$Z,4,FALSE),VLOOKUP($B1049,Outbound!$B:$Z,4,FALSE)),"ON ROCS/NOT ON FILE"),"")</f>
        <v/>
      </c>
      <c r="E1049" s="387" t="str">
        <f>IF($B1049&lt;&gt;"",IFERROR(IF(LEFT($B1049,4)=$Z$2,VLOOKUP($C1049,Outbound!$B:$Z,5,FALSE),VLOOKUP($B1049,Outbound!$B:$Z,5,FALSE)),"ON ROCS/NOT ON FILE"),"")</f>
        <v/>
      </c>
      <c r="F1049" s="387" t="str">
        <f>IF(B1049&lt;&gt;"",IFERROR(IF(LEFT($B1049,3)=$Z$2,VLOOKUP($C1049,Outbound!$B:$Z,11,FALSE),VLOOKUP($B1049,Outbound!$B:$Z,11,FALSE)),"NON TROVATO"),"")</f>
        <v/>
      </c>
      <c r="G1049" s="394" t="str">
        <f>IF(B1049&lt;&gt;"",IFERROR(IF(LEFT($B1049,3)=$Z$2,VLOOKUP($C1049,Outbound!$B:$AAZ,16,FALSE),VLOOKUP($B1049,Outbound!$B:$AAZ,16,FALSE)),"NON TROVATO"),"")</f>
        <v/>
      </c>
      <c r="H1049" s="394" t="str">
        <f>IF(B1049&lt;&gt;"",IFERROR(IF(LEFT($B1049,3)=$Z$2,VLOOKUP($C1049,Outbound!$B:$AAZ,6,FALSE),VLOOKUP($B1049,Outbound!$B:$AAZ,6,FALSE)),"NON TROVATO"),"")</f>
        <v/>
      </c>
      <c r="I1049" s="394" t="str">
        <f>IF(B1049&lt;&gt;"",IFERROR(IF(LEFT($B1049,3)=$Z$2,VLOOKUP($C1049,Outbound!$B:$AAZ,52,FALSE),VLOOKUP($B1049,Outbound!$B:$AAZ,52,FALSE)),"NON TROVATO"),"")</f>
        <v/>
      </c>
      <c r="J1049" s="396"/>
      <c r="K1049" s="387" t="str">
        <f>IF(B1049&lt;&gt;"",IF($D1049&lt;&gt;"ON ROCS/NOT ON FILE",IFERROR(_xlfn.XLOOKUP(LEFT($D1049,3),'STAT 77 Table'!$B:$B,'STAT 77 Table'!$A:$A),"ZZ"&amp;RIGHT($B1049,4)),""),"")</f>
        <v/>
      </c>
      <c r="L1049" s="396"/>
      <c r="O1049" s="388"/>
      <c r="P1049" s="388"/>
      <c r="AA1049" s="421">
        <f t="shared" si="16"/>
        <v>0</v>
      </c>
    </row>
    <row r="1050" spans="1:27" ht="16.5">
      <c r="A1050" s="387">
        <f>'STAT 77 Table'!$I$1049</f>
        <v>0</v>
      </c>
      <c r="B1050"/>
      <c r="C1050"/>
      <c r="D1050" s="387" t="str">
        <f>IF($B1050&lt;&gt;"",IFERROR(IF(LEFT($B1050,3)=$Z$2,VLOOKUP($C1050,Outbound!$B:$Z,4,FALSE),VLOOKUP($B1050,Outbound!$B:$Z,4,FALSE)),"ON ROCS/NOT ON FILE"),"")</f>
        <v/>
      </c>
      <c r="E1050" s="387" t="str">
        <f>IF($B1050&lt;&gt;"",IFERROR(IF(LEFT($B1050,4)=$Z$2,VLOOKUP($C1050,Outbound!$B:$Z,5,FALSE),VLOOKUP($B1050,Outbound!$B:$Z,5,FALSE)),"ON ROCS/NOT ON FILE"),"")</f>
        <v/>
      </c>
      <c r="F1050" s="387" t="str">
        <f>IF(B1050&lt;&gt;"",IFERROR(IF(LEFT($B1050,3)=$Z$2,VLOOKUP($C1050,Outbound!$B:$Z,11,FALSE),VLOOKUP($B1050,Outbound!$B:$Z,11,FALSE)),"NON TROVATO"),"")</f>
        <v/>
      </c>
      <c r="G1050" s="394" t="str">
        <f>IF(B1050&lt;&gt;"",IFERROR(IF(LEFT($B1050,3)=$Z$2,VLOOKUP($C1050,Outbound!$B:$AAZ,16,FALSE),VLOOKUP($B1050,Outbound!$B:$AAZ,16,FALSE)),"NON TROVATO"),"")</f>
        <v/>
      </c>
      <c r="H1050" s="394" t="str">
        <f>IF(B1050&lt;&gt;"",IFERROR(IF(LEFT($B1050,3)=$Z$2,VLOOKUP($C1050,Outbound!$B:$AAZ,6,FALSE),VLOOKUP($B1050,Outbound!$B:$AAZ,6,FALSE)),"NON TROVATO"),"")</f>
        <v/>
      </c>
      <c r="I1050" s="394" t="str">
        <f>IF(B1050&lt;&gt;"",IFERROR(IF(LEFT($B1050,3)=$Z$2,VLOOKUP($C1050,Outbound!$B:$AAZ,52,FALSE),VLOOKUP($B1050,Outbound!$B:$AAZ,52,FALSE)),"NON TROVATO"),"")</f>
        <v/>
      </c>
      <c r="J1050" s="396"/>
      <c r="K1050" s="387" t="str">
        <f>IF(B1050&lt;&gt;"",IF($D1050&lt;&gt;"ON ROCS/NOT ON FILE",IFERROR(_xlfn.XLOOKUP(LEFT($D1050,3),'STAT 77 Table'!$B:$B,'STAT 77 Table'!$A:$A),"ZZ"&amp;RIGHT($B1050,4)),""),"")</f>
        <v/>
      </c>
      <c r="L1050" s="396"/>
      <c r="O1050" s="388"/>
      <c r="P1050" s="388"/>
      <c r="AA1050" s="421">
        <f t="shared" si="16"/>
        <v>0</v>
      </c>
    </row>
    <row r="1051" spans="1:27" ht="16.5">
      <c r="A1051" s="387">
        <f>'STAT 77 Table'!$I$1050</f>
        <v>0</v>
      </c>
      <c r="B1051"/>
      <c r="C1051"/>
      <c r="D1051" s="387" t="str">
        <f>IF($B1051&lt;&gt;"",IFERROR(IF(LEFT($B1051,3)=$Z$2,VLOOKUP($C1051,Outbound!$B:$Z,4,FALSE),VLOOKUP($B1051,Outbound!$B:$Z,4,FALSE)),"ON ROCS/NOT ON FILE"),"")</f>
        <v/>
      </c>
      <c r="E1051" s="387" t="str">
        <f>IF($B1051&lt;&gt;"",IFERROR(IF(LEFT($B1051,4)=$Z$2,VLOOKUP($C1051,Outbound!$B:$Z,5,FALSE),VLOOKUP($B1051,Outbound!$B:$Z,5,FALSE)),"ON ROCS/NOT ON FILE"),"")</f>
        <v/>
      </c>
      <c r="F1051" s="387" t="str">
        <f>IF(B1051&lt;&gt;"",IFERROR(IF(LEFT($B1051,3)=$Z$2,VLOOKUP($C1051,Outbound!$B:$Z,11,FALSE),VLOOKUP($B1051,Outbound!$B:$Z,11,FALSE)),"NON TROVATO"),"")</f>
        <v/>
      </c>
      <c r="G1051" s="394" t="str">
        <f>IF(B1051&lt;&gt;"",IFERROR(IF(LEFT($B1051,3)=$Z$2,VLOOKUP($C1051,Outbound!$B:$AAZ,16,FALSE),VLOOKUP($B1051,Outbound!$B:$AAZ,16,FALSE)),"NON TROVATO"),"")</f>
        <v/>
      </c>
      <c r="H1051" s="394" t="str">
        <f>IF(B1051&lt;&gt;"",IFERROR(IF(LEFT($B1051,3)=$Z$2,VLOOKUP($C1051,Outbound!$B:$AAZ,6,FALSE),VLOOKUP($B1051,Outbound!$B:$AAZ,6,FALSE)),"NON TROVATO"),"")</f>
        <v/>
      </c>
      <c r="I1051" s="394" t="str">
        <f>IF(B1051&lt;&gt;"",IFERROR(IF(LEFT($B1051,3)=$Z$2,VLOOKUP($C1051,Outbound!$B:$AAZ,52,FALSE),VLOOKUP($B1051,Outbound!$B:$AAZ,52,FALSE)),"NON TROVATO"),"")</f>
        <v/>
      </c>
      <c r="J1051" s="396"/>
      <c r="K1051" s="387" t="str">
        <f>IF(B1051&lt;&gt;"",IF($D1051&lt;&gt;"ON ROCS/NOT ON FILE",IFERROR(_xlfn.XLOOKUP(LEFT($D1051,3),'STAT 77 Table'!$B:$B,'STAT 77 Table'!$A:$A),"ZZ"&amp;RIGHT($B1051,4)),""),"")</f>
        <v/>
      </c>
      <c r="L1051" s="396"/>
      <c r="O1051" s="388"/>
      <c r="P1051" s="388"/>
      <c r="AA1051" s="421">
        <f t="shared" si="16"/>
        <v>0</v>
      </c>
    </row>
    <row r="1052" spans="1:27" ht="16.5">
      <c r="A1052" s="387">
        <f>'STAT 77 Table'!$I$1051</f>
        <v>0</v>
      </c>
      <c r="B1052"/>
      <c r="C1052"/>
      <c r="D1052" s="387" t="str">
        <f>IF($B1052&lt;&gt;"",IFERROR(IF(LEFT($B1052,3)=$Z$2,VLOOKUP($C1052,Outbound!$B:$Z,4,FALSE),VLOOKUP($B1052,Outbound!$B:$Z,4,FALSE)),"ON ROCS/NOT ON FILE"),"")</f>
        <v/>
      </c>
      <c r="E1052" s="387" t="str">
        <f>IF($B1052&lt;&gt;"",IFERROR(IF(LEFT($B1052,4)=$Z$2,VLOOKUP($C1052,Outbound!$B:$Z,5,FALSE),VLOOKUP($B1052,Outbound!$B:$Z,5,FALSE)),"ON ROCS/NOT ON FILE"),"")</f>
        <v/>
      </c>
      <c r="F1052" s="387" t="str">
        <f>IF(B1052&lt;&gt;"",IFERROR(IF(LEFT($B1052,3)=$Z$2,VLOOKUP($C1052,Outbound!$B:$Z,11,FALSE),VLOOKUP($B1052,Outbound!$B:$Z,11,FALSE)),"NON TROVATO"),"")</f>
        <v/>
      </c>
      <c r="G1052" s="394" t="str">
        <f>IF(B1052&lt;&gt;"",IFERROR(IF(LEFT($B1052,3)=$Z$2,VLOOKUP($C1052,Outbound!$B:$AAZ,16,FALSE),VLOOKUP($B1052,Outbound!$B:$AAZ,16,FALSE)),"NON TROVATO"),"")</f>
        <v/>
      </c>
      <c r="H1052" s="394" t="str">
        <f>IF(B1052&lt;&gt;"",IFERROR(IF(LEFT($B1052,3)=$Z$2,VLOOKUP($C1052,Outbound!$B:$AAZ,6,FALSE),VLOOKUP($B1052,Outbound!$B:$AAZ,6,FALSE)),"NON TROVATO"),"")</f>
        <v/>
      </c>
      <c r="I1052" s="394" t="str">
        <f>IF(B1052&lt;&gt;"",IFERROR(IF(LEFT($B1052,3)=$Z$2,VLOOKUP($C1052,Outbound!$B:$AAZ,52,FALSE),VLOOKUP($B1052,Outbound!$B:$AAZ,52,FALSE)),"NON TROVATO"),"")</f>
        <v/>
      </c>
      <c r="J1052" s="396"/>
      <c r="K1052" s="387" t="str">
        <f>IF(B1052&lt;&gt;"",IF($D1052&lt;&gt;"ON ROCS/NOT ON FILE",IFERROR(_xlfn.XLOOKUP(LEFT($D1052,3),'STAT 77 Table'!$B:$B,'STAT 77 Table'!$A:$A),"ZZ"&amp;RIGHT($B1052,4)),""),"")</f>
        <v/>
      </c>
      <c r="L1052" s="396"/>
      <c r="O1052" s="388"/>
      <c r="P1052" s="388"/>
      <c r="AA1052" s="421">
        <f t="shared" si="16"/>
        <v>0</v>
      </c>
    </row>
    <row r="1053" spans="1:27" ht="16.5">
      <c r="A1053" s="387">
        <f>'STAT 77 Table'!$I$1052</f>
        <v>0</v>
      </c>
      <c r="B1053"/>
      <c r="C1053"/>
      <c r="D1053" s="387" t="str">
        <f>IF($B1053&lt;&gt;"",IFERROR(IF(LEFT($B1053,3)=$Z$2,VLOOKUP($C1053,Outbound!$B:$Z,4,FALSE),VLOOKUP($B1053,Outbound!$B:$Z,4,FALSE)),"ON ROCS/NOT ON FILE"),"")</f>
        <v/>
      </c>
      <c r="E1053" s="387" t="str">
        <f>IF($B1053&lt;&gt;"",IFERROR(IF(LEFT($B1053,4)=$Z$2,VLOOKUP($C1053,Outbound!$B:$Z,5,FALSE),VLOOKUP($B1053,Outbound!$B:$Z,5,FALSE)),"ON ROCS/NOT ON FILE"),"")</f>
        <v/>
      </c>
      <c r="F1053" s="387" t="str">
        <f>IF(B1053&lt;&gt;"",IFERROR(IF(LEFT($B1053,3)=$Z$2,VLOOKUP($C1053,Outbound!$B:$Z,11,FALSE),VLOOKUP($B1053,Outbound!$B:$Z,11,FALSE)),"NON TROVATO"),"")</f>
        <v/>
      </c>
      <c r="G1053" s="394" t="str">
        <f>IF(B1053&lt;&gt;"",IFERROR(IF(LEFT($B1053,3)=$Z$2,VLOOKUP($C1053,Outbound!$B:$AAZ,16,FALSE),VLOOKUP($B1053,Outbound!$B:$AAZ,16,FALSE)),"NON TROVATO"),"")</f>
        <v/>
      </c>
      <c r="H1053" s="394" t="str">
        <f>IF(B1053&lt;&gt;"",IFERROR(IF(LEFT($B1053,3)=$Z$2,VLOOKUP($C1053,Outbound!$B:$AAZ,6,FALSE),VLOOKUP($B1053,Outbound!$B:$AAZ,6,FALSE)),"NON TROVATO"),"")</f>
        <v/>
      </c>
      <c r="I1053" s="394" t="str">
        <f>IF(B1053&lt;&gt;"",IFERROR(IF(LEFT($B1053,3)=$Z$2,VLOOKUP($C1053,Outbound!$B:$AAZ,52,FALSE),VLOOKUP($B1053,Outbound!$B:$AAZ,52,FALSE)),"NON TROVATO"),"")</f>
        <v/>
      </c>
      <c r="J1053" s="396"/>
      <c r="K1053" s="387" t="str">
        <f>IF(B1053&lt;&gt;"",IF($D1053&lt;&gt;"ON ROCS/NOT ON FILE",IFERROR(_xlfn.XLOOKUP(LEFT($D1053,3),'STAT 77 Table'!$B:$B,'STAT 77 Table'!$A:$A),"ZZ"&amp;RIGHT($B1053,4)),""),"")</f>
        <v/>
      </c>
      <c r="L1053" s="396"/>
      <c r="O1053" s="388"/>
      <c r="P1053" s="388"/>
      <c r="AA1053" s="421">
        <f t="shared" si="16"/>
        <v>0</v>
      </c>
    </row>
    <row r="1054" spans="1:27" ht="16.5">
      <c r="A1054" s="387">
        <f>'STAT 77 Table'!$I$1053</f>
        <v>0</v>
      </c>
      <c r="B1054"/>
      <c r="C1054"/>
      <c r="D1054" s="387" t="str">
        <f>IF($B1054&lt;&gt;"",IFERROR(IF(LEFT($B1054,3)=$Z$2,VLOOKUP($C1054,Outbound!$B:$Z,4,FALSE),VLOOKUP($B1054,Outbound!$B:$Z,4,FALSE)),"ON ROCS/NOT ON FILE"),"")</f>
        <v/>
      </c>
      <c r="E1054" s="387" t="str">
        <f>IF($B1054&lt;&gt;"",IFERROR(IF(LEFT($B1054,4)=$Z$2,VLOOKUP($C1054,Outbound!$B:$Z,5,FALSE),VLOOKUP($B1054,Outbound!$B:$Z,5,FALSE)),"ON ROCS/NOT ON FILE"),"")</f>
        <v/>
      </c>
      <c r="F1054" s="387" t="str">
        <f>IF(B1054&lt;&gt;"",IFERROR(IF(LEFT($B1054,3)=$Z$2,VLOOKUP($C1054,Outbound!$B:$Z,11,FALSE),VLOOKUP($B1054,Outbound!$B:$Z,11,FALSE)),"NON TROVATO"),"")</f>
        <v/>
      </c>
      <c r="G1054" s="394" t="str">
        <f>IF(B1054&lt;&gt;"",IFERROR(IF(LEFT($B1054,3)=$Z$2,VLOOKUP($C1054,Outbound!$B:$AAZ,16,FALSE),VLOOKUP($B1054,Outbound!$B:$AAZ,16,FALSE)),"NON TROVATO"),"")</f>
        <v/>
      </c>
      <c r="H1054" s="394" t="str">
        <f>IF(B1054&lt;&gt;"",IFERROR(IF(LEFT($B1054,3)=$Z$2,VLOOKUP($C1054,Outbound!$B:$AAZ,6,FALSE),VLOOKUP($B1054,Outbound!$B:$AAZ,6,FALSE)),"NON TROVATO"),"")</f>
        <v/>
      </c>
      <c r="I1054" s="394" t="str">
        <f>IF(B1054&lt;&gt;"",IFERROR(IF(LEFT($B1054,3)=$Z$2,VLOOKUP($C1054,Outbound!$B:$AAZ,52,FALSE),VLOOKUP($B1054,Outbound!$B:$AAZ,52,FALSE)),"NON TROVATO"),"")</f>
        <v/>
      </c>
      <c r="J1054" s="396"/>
      <c r="K1054" s="387" t="str">
        <f>IF(B1054&lt;&gt;"",IF($D1054&lt;&gt;"ON ROCS/NOT ON FILE",IFERROR(_xlfn.XLOOKUP(LEFT($D1054,3),'STAT 77 Table'!$B:$B,'STAT 77 Table'!$A:$A),"ZZ"&amp;RIGHT($B1054,4)),""),"")</f>
        <v/>
      </c>
      <c r="L1054" s="396"/>
      <c r="O1054" s="388"/>
      <c r="P1054" s="388"/>
      <c r="AA1054" s="421">
        <f t="shared" si="16"/>
        <v>0</v>
      </c>
    </row>
    <row r="1055" spans="1:27" ht="16.5">
      <c r="A1055" s="387">
        <f>'STAT 77 Table'!$I$1054</f>
        <v>0</v>
      </c>
      <c r="B1055"/>
      <c r="C1055"/>
      <c r="D1055" s="387" t="str">
        <f>IF($B1055&lt;&gt;"",IFERROR(IF(LEFT($B1055,3)=$Z$2,VLOOKUP($C1055,Outbound!$B:$Z,4,FALSE),VLOOKUP($B1055,Outbound!$B:$Z,4,FALSE)),"ON ROCS/NOT ON FILE"),"")</f>
        <v/>
      </c>
      <c r="E1055" s="387" t="str">
        <f>IF($B1055&lt;&gt;"",IFERROR(IF(LEFT($B1055,4)=$Z$2,VLOOKUP($C1055,Outbound!$B:$Z,5,FALSE),VLOOKUP($B1055,Outbound!$B:$Z,5,FALSE)),"ON ROCS/NOT ON FILE"),"")</f>
        <v/>
      </c>
      <c r="F1055" s="387" t="str">
        <f>IF(B1055&lt;&gt;"",IFERROR(IF(LEFT($B1055,3)=$Z$2,VLOOKUP($C1055,Outbound!$B:$Z,11,FALSE),VLOOKUP($B1055,Outbound!$B:$Z,11,FALSE)),"NON TROVATO"),"")</f>
        <v/>
      </c>
      <c r="G1055" s="394" t="str">
        <f>IF(B1055&lt;&gt;"",IFERROR(IF(LEFT($B1055,3)=$Z$2,VLOOKUP($C1055,Outbound!$B:$AAZ,16,FALSE),VLOOKUP($B1055,Outbound!$B:$AAZ,16,FALSE)),"NON TROVATO"),"")</f>
        <v/>
      </c>
      <c r="H1055" s="394" t="str">
        <f>IF(B1055&lt;&gt;"",IFERROR(IF(LEFT($B1055,3)=$Z$2,VLOOKUP($C1055,Outbound!$B:$AAZ,6,FALSE),VLOOKUP($B1055,Outbound!$B:$AAZ,6,FALSE)),"NON TROVATO"),"")</f>
        <v/>
      </c>
      <c r="I1055" s="394" t="str">
        <f>IF(B1055&lt;&gt;"",IFERROR(IF(LEFT($B1055,3)=$Z$2,VLOOKUP($C1055,Outbound!$B:$AAZ,52,FALSE),VLOOKUP($B1055,Outbound!$B:$AAZ,52,FALSE)),"NON TROVATO"),"")</f>
        <v/>
      </c>
      <c r="J1055" s="396"/>
      <c r="K1055" s="387" t="str">
        <f>IF(B1055&lt;&gt;"",IF($D1055&lt;&gt;"ON ROCS/NOT ON FILE",IFERROR(_xlfn.XLOOKUP(LEFT($D1055,3),'STAT 77 Table'!$B:$B,'STAT 77 Table'!$A:$A),"ZZ"&amp;RIGHT($B1055,4)),""),"")</f>
        <v/>
      </c>
      <c r="L1055" s="396"/>
      <c r="O1055" s="388"/>
      <c r="P1055" s="388"/>
      <c r="AA1055" s="421">
        <f t="shared" si="16"/>
        <v>0</v>
      </c>
    </row>
    <row r="1056" spans="1:27" ht="16.5">
      <c r="A1056" s="387">
        <f>'STAT 77 Table'!$I$1055</f>
        <v>0</v>
      </c>
      <c r="B1056"/>
      <c r="C1056"/>
      <c r="D1056" s="387" t="str">
        <f>IF($B1056&lt;&gt;"",IFERROR(IF(LEFT($B1056,3)=$Z$2,VLOOKUP($C1056,Outbound!$B:$Z,4,FALSE),VLOOKUP($B1056,Outbound!$B:$Z,4,FALSE)),"ON ROCS/NOT ON FILE"),"")</f>
        <v/>
      </c>
      <c r="E1056" s="387" t="str">
        <f>IF($B1056&lt;&gt;"",IFERROR(IF(LEFT($B1056,4)=$Z$2,VLOOKUP($C1056,Outbound!$B:$Z,5,FALSE),VLOOKUP($B1056,Outbound!$B:$Z,5,FALSE)),"ON ROCS/NOT ON FILE"),"")</f>
        <v/>
      </c>
      <c r="F1056" s="387" t="str">
        <f>IF(B1056&lt;&gt;"",IFERROR(IF(LEFT($B1056,3)=$Z$2,VLOOKUP($C1056,Outbound!$B:$Z,11,FALSE),VLOOKUP($B1056,Outbound!$B:$Z,11,FALSE)),"NON TROVATO"),"")</f>
        <v/>
      </c>
      <c r="G1056" s="394" t="str">
        <f>IF(B1056&lt;&gt;"",IFERROR(IF(LEFT($B1056,3)=$Z$2,VLOOKUP($C1056,Outbound!$B:$AAZ,16,FALSE),VLOOKUP($B1056,Outbound!$B:$AAZ,16,FALSE)),"NON TROVATO"),"")</f>
        <v/>
      </c>
      <c r="H1056" s="394" t="str">
        <f>IF(B1056&lt;&gt;"",IFERROR(IF(LEFT($B1056,3)=$Z$2,VLOOKUP($C1056,Outbound!$B:$AAZ,6,FALSE),VLOOKUP($B1056,Outbound!$B:$AAZ,6,FALSE)),"NON TROVATO"),"")</f>
        <v/>
      </c>
      <c r="I1056" s="394" t="str">
        <f>IF(B1056&lt;&gt;"",IFERROR(IF(LEFT($B1056,3)=$Z$2,VLOOKUP($C1056,Outbound!$B:$AAZ,52,FALSE),VLOOKUP($B1056,Outbound!$B:$AAZ,52,FALSE)),"NON TROVATO"),"")</f>
        <v/>
      </c>
      <c r="J1056" s="396"/>
      <c r="K1056" s="387" t="str">
        <f>IF(B1056&lt;&gt;"",IF($D1056&lt;&gt;"ON ROCS/NOT ON FILE",IFERROR(_xlfn.XLOOKUP(LEFT($D1056,3),'STAT 77 Table'!$B:$B,'STAT 77 Table'!$A:$A),"ZZ"&amp;RIGHT($B1056,4)),""),"")</f>
        <v/>
      </c>
      <c r="L1056" s="396"/>
      <c r="O1056" s="388"/>
      <c r="P1056" s="388"/>
      <c r="AA1056" s="421">
        <f t="shared" si="16"/>
        <v>0</v>
      </c>
    </row>
    <row r="1057" spans="1:27" ht="16.5">
      <c r="A1057" s="387">
        <f>'STAT 77 Table'!$I$1056</f>
        <v>0</v>
      </c>
      <c r="B1057"/>
      <c r="C1057"/>
      <c r="D1057" s="387" t="str">
        <f>IF($B1057&lt;&gt;"",IFERROR(IF(LEFT($B1057,3)=$Z$2,VLOOKUP($C1057,Outbound!$B:$Z,4,FALSE),VLOOKUP($B1057,Outbound!$B:$Z,4,FALSE)),"ON ROCS/NOT ON FILE"),"")</f>
        <v/>
      </c>
      <c r="E1057" s="387" t="str">
        <f>IF($B1057&lt;&gt;"",IFERROR(IF(LEFT($B1057,4)=$Z$2,VLOOKUP($C1057,Outbound!$B:$Z,5,FALSE),VLOOKUP($B1057,Outbound!$B:$Z,5,FALSE)),"ON ROCS/NOT ON FILE"),"")</f>
        <v/>
      </c>
      <c r="F1057" s="387" t="str">
        <f>IF(B1057&lt;&gt;"",IFERROR(IF(LEFT($B1057,3)=$Z$2,VLOOKUP($C1057,Outbound!$B:$Z,11,FALSE),VLOOKUP($B1057,Outbound!$B:$Z,11,FALSE)),"NON TROVATO"),"")</f>
        <v/>
      </c>
      <c r="G1057" s="394" t="str">
        <f>IF(B1057&lt;&gt;"",IFERROR(IF(LEFT($B1057,3)=$Z$2,VLOOKUP($C1057,Outbound!$B:$AAZ,16,FALSE),VLOOKUP($B1057,Outbound!$B:$AAZ,16,FALSE)),"NON TROVATO"),"")</f>
        <v/>
      </c>
      <c r="H1057" s="394" t="str">
        <f>IF(B1057&lt;&gt;"",IFERROR(IF(LEFT($B1057,3)=$Z$2,VLOOKUP($C1057,Outbound!$B:$AAZ,6,FALSE),VLOOKUP($B1057,Outbound!$B:$AAZ,6,FALSE)),"NON TROVATO"),"")</f>
        <v/>
      </c>
      <c r="I1057" s="394" t="str">
        <f>IF(B1057&lt;&gt;"",IFERROR(IF(LEFT($B1057,3)=$Z$2,VLOOKUP($C1057,Outbound!$B:$AAZ,52,FALSE),VLOOKUP($B1057,Outbound!$B:$AAZ,52,FALSE)),"NON TROVATO"),"")</f>
        <v/>
      </c>
      <c r="J1057" s="396"/>
      <c r="K1057" s="387" t="str">
        <f>IF(B1057&lt;&gt;"",IF($D1057&lt;&gt;"ON ROCS/NOT ON FILE",IFERROR(_xlfn.XLOOKUP(LEFT($D1057,3),'STAT 77 Table'!$B:$B,'STAT 77 Table'!$A:$A),"ZZ"&amp;RIGHT($B1057,4)),""),"")</f>
        <v/>
      </c>
      <c r="L1057" s="396"/>
      <c r="O1057" s="388"/>
      <c r="P1057" s="388"/>
      <c r="AA1057" s="421">
        <f t="shared" si="16"/>
        <v>0</v>
      </c>
    </row>
    <row r="1058" spans="1:27" ht="16.5">
      <c r="A1058" s="387">
        <f>'STAT 77 Table'!$I$1057</f>
        <v>0</v>
      </c>
      <c r="B1058"/>
      <c r="C1058"/>
      <c r="D1058" s="387" t="str">
        <f>IF($B1058&lt;&gt;"",IFERROR(IF(LEFT($B1058,3)=$Z$2,VLOOKUP($C1058,Outbound!$B:$Z,4,FALSE),VLOOKUP($B1058,Outbound!$B:$Z,4,FALSE)),"ON ROCS/NOT ON FILE"),"")</f>
        <v/>
      </c>
      <c r="E1058" s="387" t="str">
        <f>IF($B1058&lt;&gt;"",IFERROR(IF(LEFT($B1058,4)=$Z$2,VLOOKUP($C1058,Outbound!$B:$Z,5,FALSE),VLOOKUP($B1058,Outbound!$B:$Z,5,FALSE)),"ON ROCS/NOT ON FILE"),"")</f>
        <v/>
      </c>
      <c r="F1058" s="387" t="str">
        <f>IF(B1058&lt;&gt;"",IFERROR(IF(LEFT($B1058,3)=$Z$2,VLOOKUP($C1058,Outbound!$B:$Z,11,FALSE),VLOOKUP($B1058,Outbound!$B:$Z,11,FALSE)),"NON TROVATO"),"")</f>
        <v/>
      </c>
      <c r="G1058" s="394" t="str">
        <f>IF(B1058&lt;&gt;"",IFERROR(IF(LEFT($B1058,3)=$Z$2,VLOOKUP($C1058,Outbound!$B:$AAZ,16,FALSE),VLOOKUP($B1058,Outbound!$B:$AAZ,16,FALSE)),"NON TROVATO"),"")</f>
        <v/>
      </c>
      <c r="H1058" s="394" t="str">
        <f>IF(B1058&lt;&gt;"",IFERROR(IF(LEFT($B1058,3)=$Z$2,VLOOKUP($C1058,Outbound!$B:$AAZ,6,FALSE),VLOOKUP($B1058,Outbound!$B:$AAZ,6,FALSE)),"NON TROVATO"),"")</f>
        <v/>
      </c>
      <c r="I1058" s="394" t="str">
        <f>IF(B1058&lt;&gt;"",IFERROR(IF(LEFT($B1058,3)=$Z$2,VLOOKUP($C1058,Outbound!$B:$AAZ,52,FALSE),VLOOKUP($B1058,Outbound!$B:$AAZ,52,FALSE)),"NON TROVATO"),"")</f>
        <v/>
      </c>
      <c r="J1058" s="396"/>
      <c r="K1058" s="387" t="str">
        <f>IF(B1058&lt;&gt;"",IF($D1058&lt;&gt;"ON ROCS/NOT ON FILE",IFERROR(_xlfn.XLOOKUP(LEFT($D1058,3),'STAT 77 Table'!$B:$B,'STAT 77 Table'!$A:$A),"ZZ"&amp;RIGHT($B1058,4)),""),"")</f>
        <v/>
      </c>
      <c r="L1058" s="396"/>
      <c r="O1058" s="388"/>
      <c r="P1058" s="388"/>
      <c r="AA1058" s="421">
        <f t="shared" si="16"/>
        <v>0</v>
      </c>
    </row>
    <row r="1059" spans="1:27" ht="16.5">
      <c r="A1059" s="387">
        <f>'STAT 77 Table'!$I$1058</f>
        <v>0</v>
      </c>
      <c r="B1059"/>
      <c r="C1059"/>
      <c r="D1059" s="387" t="str">
        <f>IF($B1059&lt;&gt;"",IFERROR(IF(LEFT($B1059,3)=$Z$2,VLOOKUP($C1059,Outbound!$B:$Z,4,FALSE),VLOOKUP($B1059,Outbound!$B:$Z,4,FALSE)),"ON ROCS/NOT ON FILE"),"")</f>
        <v/>
      </c>
      <c r="E1059" s="387" t="str">
        <f>IF($B1059&lt;&gt;"",IFERROR(IF(LEFT($B1059,4)=$Z$2,VLOOKUP($C1059,Outbound!$B:$Z,5,FALSE),VLOOKUP($B1059,Outbound!$B:$Z,5,FALSE)),"ON ROCS/NOT ON FILE"),"")</f>
        <v/>
      </c>
      <c r="F1059" s="387" t="str">
        <f>IF(B1059&lt;&gt;"",IFERROR(IF(LEFT($B1059,3)=$Z$2,VLOOKUP($C1059,Outbound!$B:$Z,11,FALSE),VLOOKUP($B1059,Outbound!$B:$Z,11,FALSE)),"NON TROVATO"),"")</f>
        <v/>
      </c>
      <c r="G1059" s="394" t="str">
        <f>IF(B1059&lt;&gt;"",IFERROR(IF(LEFT($B1059,3)=$Z$2,VLOOKUP($C1059,Outbound!$B:$AAZ,16,FALSE),VLOOKUP($B1059,Outbound!$B:$AAZ,16,FALSE)),"NON TROVATO"),"")</f>
        <v/>
      </c>
      <c r="H1059" s="394" t="str">
        <f>IF(B1059&lt;&gt;"",IFERROR(IF(LEFT($B1059,3)=$Z$2,VLOOKUP($C1059,Outbound!$B:$AAZ,6,FALSE),VLOOKUP($B1059,Outbound!$B:$AAZ,6,FALSE)),"NON TROVATO"),"")</f>
        <v/>
      </c>
      <c r="I1059" s="394" t="str">
        <f>IF(B1059&lt;&gt;"",IFERROR(IF(LEFT($B1059,3)=$Z$2,VLOOKUP($C1059,Outbound!$B:$AAZ,52,FALSE),VLOOKUP($B1059,Outbound!$B:$AAZ,52,FALSE)),"NON TROVATO"),"")</f>
        <v/>
      </c>
      <c r="J1059" s="396"/>
      <c r="K1059" s="387" t="str">
        <f>IF(B1059&lt;&gt;"",IF($D1059&lt;&gt;"ON ROCS/NOT ON FILE",IFERROR(_xlfn.XLOOKUP(LEFT($D1059,3),'STAT 77 Table'!$B:$B,'STAT 77 Table'!$A:$A),"ZZ"&amp;RIGHT($B1059,4)),""),"")</f>
        <v/>
      </c>
      <c r="L1059" s="396"/>
      <c r="O1059" s="388"/>
      <c r="P1059" s="388"/>
      <c r="AA1059" s="421">
        <f t="shared" si="16"/>
        <v>0</v>
      </c>
    </row>
    <row r="1060" spans="1:27" ht="16.5">
      <c r="A1060" s="387">
        <f>'STAT 77 Table'!$I$1059</f>
        <v>0</v>
      </c>
      <c r="B1060"/>
      <c r="C1060"/>
      <c r="D1060" s="387" t="str">
        <f>IF($B1060&lt;&gt;"",IFERROR(IF(LEFT($B1060,3)=$Z$2,VLOOKUP($C1060,Outbound!$B:$Z,4,FALSE),VLOOKUP($B1060,Outbound!$B:$Z,4,FALSE)),"ON ROCS/NOT ON FILE"),"")</f>
        <v/>
      </c>
      <c r="E1060" s="387" t="str">
        <f>IF($B1060&lt;&gt;"",IFERROR(IF(LEFT($B1060,4)=$Z$2,VLOOKUP($C1060,Outbound!$B:$Z,5,FALSE),VLOOKUP($B1060,Outbound!$B:$Z,5,FALSE)),"ON ROCS/NOT ON FILE"),"")</f>
        <v/>
      </c>
      <c r="F1060" s="387" t="str">
        <f>IF(B1060&lt;&gt;"",IFERROR(IF(LEFT($B1060,3)=$Z$2,VLOOKUP($C1060,Outbound!$B:$Z,11,FALSE),VLOOKUP($B1060,Outbound!$B:$Z,11,FALSE)),"NON TROVATO"),"")</f>
        <v/>
      </c>
      <c r="G1060" s="394" t="str">
        <f>IF(B1060&lt;&gt;"",IFERROR(IF(LEFT($B1060,3)=$Z$2,VLOOKUP($C1060,Outbound!$B:$AAZ,16,FALSE),VLOOKUP($B1060,Outbound!$B:$AAZ,16,FALSE)),"NON TROVATO"),"")</f>
        <v/>
      </c>
      <c r="H1060" s="394" t="str">
        <f>IF(B1060&lt;&gt;"",IFERROR(IF(LEFT($B1060,3)=$Z$2,VLOOKUP($C1060,Outbound!$B:$AAZ,6,FALSE),VLOOKUP($B1060,Outbound!$B:$AAZ,6,FALSE)),"NON TROVATO"),"")</f>
        <v/>
      </c>
      <c r="I1060" s="394" t="str">
        <f>IF(B1060&lt;&gt;"",IFERROR(IF(LEFT($B1060,3)=$Z$2,VLOOKUP($C1060,Outbound!$B:$AAZ,52,FALSE),VLOOKUP($B1060,Outbound!$B:$AAZ,52,FALSE)),"NON TROVATO"),"")</f>
        <v/>
      </c>
      <c r="J1060" s="396"/>
      <c r="K1060" s="387" t="str">
        <f>IF(B1060&lt;&gt;"",IF($D1060&lt;&gt;"ON ROCS/NOT ON FILE",IFERROR(_xlfn.XLOOKUP(LEFT($D1060,3),'STAT 77 Table'!$B:$B,'STAT 77 Table'!$A:$A),"ZZ"&amp;RIGHT($B1060,4)),""),"")</f>
        <v/>
      </c>
      <c r="L1060" s="396"/>
      <c r="O1060" s="388"/>
      <c r="P1060" s="388"/>
      <c r="AA1060" s="421">
        <f t="shared" si="16"/>
        <v>0</v>
      </c>
    </row>
    <row r="1061" spans="1:27" ht="16.5">
      <c r="A1061" s="387">
        <f>'STAT 77 Table'!$I$1060</f>
        <v>0</v>
      </c>
      <c r="B1061"/>
      <c r="C1061"/>
      <c r="D1061" s="387" t="str">
        <f>IF($B1061&lt;&gt;"",IFERROR(IF(LEFT($B1061,3)=$Z$2,VLOOKUP($C1061,Outbound!$B:$Z,4,FALSE),VLOOKUP($B1061,Outbound!$B:$Z,4,FALSE)),"ON ROCS/NOT ON FILE"),"")</f>
        <v/>
      </c>
      <c r="E1061" s="387" t="str">
        <f>IF($B1061&lt;&gt;"",IFERROR(IF(LEFT($B1061,4)=$Z$2,VLOOKUP($C1061,Outbound!$B:$Z,5,FALSE),VLOOKUP($B1061,Outbound!$B:$Z,5,FALSE)),"ON ROCS/NOT ON FILE"),"")</f>
        <v/>
      </c>
      <c r="F1061" s="387" t="str">
        <f>IF(B1061&lt;&gt;"",IFERROR(IF(LEFT($B1061,3)=$Z$2,VLOOKUP($C1061,Outbound!$B:$Z,11,FALSE),VLOOKUP($B1061,Outbound!$B:$Z,11,FALSE)),"NON TROVATO"),"")</f>
        <v/>
      </c>
      <c r="G1061" s="394" t="str">
        <f>IF(B1061&lt;&gt;"",IFERROR(IF(LEFT($B1061,3)=$Z$2,VLOOKUP($C1061,Outbound!$B:$AAZ,16,FALSE),VLOOKUP($B1061,Outbound!$B:$AAZ,16,FALSE)),"NON TROVATO"),"")</f>
        <v/>
      </c>
      <c r="H1061" s="394" t="str">
        <f>IF(B1061&lt;&gt;"",IFERROR(IF(LEFT($B1061,3)=$Z$2,VLOOKUP($C1061,Outbound!$B:$AAZ,6,FALSE),VLOOKUP($B1061,Outbound!$B:$AAZ,6,FALSE)),"NON TROVATO"),"")</f>
        <v/>
      </c>
      <c r="I1061" s="394" t="str">
        <f>IF(B1061&lt;&gt;"",IFERROR(IF(LEFT($B1061,3)=$Z$2,VLOOKUP($C1061,Outbound!$B:$AAZ,52,FALSE),VLOOKUP($B1061,Outbound!$B:$AAZ,52,FALSE)),"NON TROVATO"),"")</f>
        <v/>
      </c>
      <c r="J1061" s="396"/>
      <c r="K1061" s="387" t="str">
        <f>IF(B1061&lt;&gt;"",IF($D1061&lt;&gt;"ON ROCS/NOT ON FILE",IFERROR(_xlfn.XLOOKUP(LEFT($D1061,3),'STAT 77 Table'!$B:$B,'STAT 77 Table'!$A:$A),"ZZ"&amp;RIGHT($B1061,4)),""),"")</f>
        <v/>
      </c>
      <c r="L1061" s="396"/>
      <c r="O1061" s="388"/>
      <c r="P1061" s="388"/>
      <c r="AA1061" s="421">
        <f t="shared" si="16"/>
        <v>0</v>
      </c>
    </row>
    <row r="1062" spans="1:27" ht="16.5">
      <c r="A1062" s="387">
        <f>'STAT 77 Table'!$I$1061</f>
        <v>0</v>
      </c>
      <c r="B1062"/>
      <c r="C1062"/>
      <c r="D1062" s="387" t="str">
        <f>IF($B1062&lt;&gt;"",IFERROR(IF(LEFT($B1062,3)=$Z$2,VLOOKUP($C1062,Outbound!$B:$Z,4,FALSE),VLOOKUP($B1062,Outbound!$B:$Z,4,FALSE)),"ON ROCS/NOT ON FILE"),"")</f>
        <v/>
      </c>
      <c r="E1062" s="387" t="str">
        <f>IF($B1062&lt;&gt;"",IFERROR(IF(LEFT($B1062,4)=$Z$2,VLOOKUP($C1062,Outbound!$B:$Z,5,FALSE),VLOOKUP($B1062,Outbound!$B:$Z,5,FALSE)),"ON ROCS/NOT ON FILE"),"")</f>
        <v/>
      </c>
      <c r="F1062" s="387" t="str">
        <f>IF(B1062&lt;&gt;"",IFERROR(IF(LEFT($B1062,3)=$Z$2,VLOOKUP($C1062,Outbound!$B:$Z,11,FALSE),VLOOKUP($B1062,Outbound!$B:$Z,11,FALSE)),"NON TROVATO"),"")</f>
        <v/>
      </c>
      <c r="G1062" s="394" t="str">
        <f>IF(B1062&lt;&gt;"",IFERROR(IF(LEFT($B1062,3)=$Z$2,VLOOKUP($C1062,Outbound!$B:$AAZ,16,FALSE),VLOOKUP($B1062,Outbound!$B:$AAZ,16,FALSE)),"NON TROVATO"),"")</f>
        <v/>
      </c>
      <c r="H1062" s="394" t="str">
        <f>IF(B1062&lt;&gt;"",IFERROR(IF(LEFT($B1062,3)=$Z$2,VLOOKUP($C1062,Outbound!$B:$AAZ,6,FALSE),VLOOKUP($B1062,Outbound!$B:$AAZ,6,FALSE)),"NON TROVATO"),"")</f>
        <v/>
      </c>
      <c r="I1062" s="394" t="str">
        <f>IF(B1062&lt;&gt;"",IFERROR(IF(LEFT($B1062,3)=$Z$2,VLOOKUP($C1062,Outbound!$B:$AAZ,52,FALSE),VLOOKUP($B1062,Outbound!$B:$AAZ,52,FALSE)),"NON TROVATO"),"")</f>
        <v/>
      </c>
      <c r="J1062" s="396"/>
      <c r="K1062" s="387" t="str">
        <f>IF(B1062&lt;&gt;"",IF($D1062&lt;&gt;"ON ROCS/NOT ON FILE",IFERROR(_xlfn.XLOOKUP(LEFT($D1062,3),'STAT 77 Table'!$B:$B,'STAT 77 Table'!$A:$A),"ZZ"&amp;RIGHT($B1062,4)),""),"")</f>
        <v/>
      </c>
      <c r="L1062" s="396"/>
      <c r="O1062" s="388"/>
      <c r="P1062" s="388"/>
      <c r="AA1062" s="421">
        <f t="shared" si="16"/>
        <v>0</v>
      </c>
    </row>
    <row r="1063" spans="1:27" ht="16.5">
      <c r="A1063" s="387">
        <f>'STAT 77 Table'!$I$1062</f>
        <v>0</v>
      </c>
      <c r="B1063"/>
      <c r="C1063"/>
      <c r="D1063" s="387" t="str">
        <f>IF($B1063&lt;&gt;"",IFERROR(IF(LEFT($B1063,3)=$Z$2,VLOOKUP($C1063,Outbound!$B:$Z,4,FALSE),VLOOKUP($B1063,Outbound!$B:$Z,4,FALSE)),"ON ROCS/NOT ON FILE"),"")</f>
        <v/>
      </c>
      <c r="E1063" s="387" t="str">
        <f>IF($B1063&lt;&gt;"",IFERROR(IF(LEFT($B1063,4)=$Z$2,VLOOKUP($C1063,Outbound!$B:$Z,5,FALSE),VLOOKUP($B1063,Outbound!$B:$Z,5,FALSE)),"ON ROCS/NOT ON FILE"),"")</f>
        <v/>
      </c>
      <c r="F1063" s="387" t="str">
        <f>IF(B1063&lt;&gt;"",IFERROR(IF(LEFT($B1063,3)=$Z$2,VLOOKUP($C1063,Outbound!$B:$Z,11,FALSE),VLOOKUP($B1063,Outbound!$B:$Z,11,FALSE)),"NON TROVATO"),"")</f>
        <v/>
      </c>
      <c r="G1063" s="394" t="str">
        <f>IF(B1063&lt;&gt;"",IFERROR(IF(LEFT($B1063,3)=$Z$2,VLOOKUP($C1063,Outbound!$B:$AAZ,16,FALSE),VLOOKUP($B1063,Outbound!$B:$AAZ,16,FALSE)),"NON TROVATO"),"")</f>
        <v/>
      </c>
      <c r="H1063" s="394" t="str">
        <f>IF(B1063&lt;&gt;"",IFERROR(IF(LEFT($B1063,3)=$Z$2,VLOOKUP($C1063,Outbound!$B:$AAZ,6,FALSE),VLOOKUP($B1063,Outbound!$B:$AAZ,6,FALSE)),"NON TROVATO"),"")</f>
        <v/>
      </c>
      <c r="I1063" s="394" t="str">
        <f>IF(B1063&lt;&gt;"",IFERROR(IF(LEFT($B1063,3)=$Z$2,VLOOKUP($C1063,Outbound!$B:$AAZ,52,FALSE),VLOOKUP($B1063,Outbound!$B:$AAZ,52,FALSE)),"NON TROVATO"),"")</f>
        <v/>
      </c>
      <c r="J1063" s="396"/>
      <c r="K1063" s="387" t="str">
        <f>IF(B1063&lt;&gt;"",IF($D1063&lt;&gt;"ON ROCS/NOT ON FILE",IFERROR(_xlfn.XLOOKUP(LEFT($D1063,3),'STAT 77 Table'!$B:$B,'STAT 77 Table'!$A:$A),"ZZ"&amp;RIGHT($B1063,4)),""),"")</f>
        <v/>
      </c>
      <c r="L1063" s="396"/>
      <c r="O1063" s="388"/>
      <c r="P1063" s="388"/>
      <c r="AA1063" s="421">
        <f t="shared" si="16"/>
        <v>0</v>
      </c>
    </row>
    <row r="1064" spans="1:27" ht="16.5">
      <c r="A1064" s="387">
        <f>'STAT 77 Table'!$I$1063</f>
        <v>0</v>
      </c>
      <c r="B1064"/>
      <c r="C1064"/>
      <c r="D1064" s="387" t="str">
        <f>IF($B1064&lt;&gt;"",IFERROR(IF(LEFT($B1064,3)=$Z$2,VLOOKUP($C1064,Outbound!$B:$Z,4,FALSE),VLOOKUP($B1064,Outbound!$B:$Z,4,FALSE)),"ON ROCS/NOT ON FILE"),"")</f>
        <v/>
      </c>
      <c r="E1064" s="387" t="str">
        <f>IF($B1064&lt;&gt;"",IFERROR(IF(LEFT($B1064,4)=$Z$2,VLOOKUP($C1064,Outbound!$B:$Z,5,FALSE),VLOOKUP($B1064,Outbound!$B:$Z,5,FALSE)),"ON ROCS/NOT ON FILE"),"")</f>
        <v/>
      </c>
      <c r="F1064" s="387" t="str">
        <f>IF(B1064&lt;&gt;"",IFERROR(IF(LEFT($B1064,3)=$Z$2,VLOOKUP($C1064,Outbound!$B:$Z,11,FALSE),VLOOKUP($B1064,Outbound!$B:$Z,11,FALSE)),"NON TROVATO"),"")</f>
        <v/>
      </c>
      <c r="G1064" s="394" t="str">
        <f>IF(B1064&lt;&gt;"",IFERROR(IF(LEFT($B1064,3)=$Z$2,VLOOKUP($C1064,Outbound!$B:$AAZ,16,FALSE),VLOOKUP($B1064,Outbound!$B:$AAZ,16,FALSE)),"NON TROVATO"),"")</f>
        <v/>
      </c>
      <c r="H1064" s="394" t="str">
        <f>IF(B1064&lt;&gt;"",IFERROR(IF(LEFT($B1064,3)=$Z$2,VLOOKUP($C1064,Outbound!$B:$AAZ,6,FALSE),VLOOKUP($B1064,Outbound!$B:$AAZ,6,FALSE)),"NON TROVATO"),"")</f>
        <v/>
      </c>
      <c r="I1064" s="394" t="str">
        <f>IF(B1064&lt;&gt;"",IFERROR(IF(LEFT($B1064,3)=$Z$2,VLOOKUP($C1064,Outbound!$B:$AAZ,52,FALSE),VLOOKUP($B1064,Outbound!$B:$AAZ,52,FALSE)),"NON TROVATO"),"")</f>
        <v/>
      </c>
      <c r="J1064" s="396"/>
      <c r="K1064" s="387" t="str">
        <f>IF(B1064&lt;&gt;"",IF($D1064&lt;&gt;"ON ROCS/NOT ON FILE",IFERROR(_xlfn.XLOOKUP(LEFT($D1064,3),'STAT 77 Table'!$B:$B,'STAT 77 Table'!$A:$A),"ZZ"&amp;RIGHT($B1064,4)),""),"")</f>
        <v/>
      </c>
      <c r="L1064" s="396"/>
      <c r="O1064" s="388"/>
      <c r="P1064" s="388"/>
      <c r="AA1064" s="421">
        <f t="shared" si="16"/>
        <v>0</v>
      </c>
    </row>
    <row r="1065" spans="1:27" ht="16.5">
      <c r="A1065" s="387">
        <f>'STAT 77 Table'!$I$1064</f>
        <v>0</v>
      </c>
      <c r="B1065"/>
      <c r="C1065"/>
      <c r="D1065" s="387" t="str">
        <f>IF($B1065&lt;&gt;"",IFERROR(IF(LEFT($B1065,3)=$Z$2,VLOOKUP($C1065,Outbound!$B:$Z,4,FALSE),VLOOKUP($B1065,Outbound!$B:$Z,4,FALSE)),"ON ROCS/NOT ON FILE"),"")</f>
        <v/>
      </c>
      <c r="E1065" s="387" t="str">
        <f>IF($B1065&lt;&gt;"",IFERROR(IF(LEFT($B1065,4)=$Z$2,VLOOKUP($C1065,Outbound!$B:$Z,5,FALSE),VLOOKUP($B1065,Outbound!$B:$Z,5,FALSE)),"ON ROCS/NOT ON FILE"),"")</f>
        <v/>
      </c>
      <c r="F1065" s="387" t="str">
        <f>IF(B1065&lt;&gt;"",IFERROR(IF(LEFT($B1065,3)=$Z$2,VLOOKUP($C1065,Outbound!$B:$Z,11,FALSE),VLOOKUP($B1065,Outbound!$B:$Z,11,FALSE)),"NON TROVATO"),"")</f>
        <v/>
      </c>
      <c r="G1065" s="394" t="str">
        <f>IF(B1065&lt;&gt;"",IFERROR(IF(LEFT($B1065,3)=$Z$2,VLOOKUP($C1065,Outbound!$B:$AAZ,16,FALSE),VLOOKUP($B1065,Outbound!$B:$AAZ,16,FALSE)),"NON TROVATO"),"")</f>
        <v/>
      </c>
      <c r="H1065" s="394" t="str">
        <f>IF(B1065&lt;&gt;"",IFERROR(IF(LEFT($B1065,3)=$Z$2,VLOOKUP($C1065,Outbound!$B:$AAZ,6,FALSE),VLOOKUP($B1065,Outbound!$B:$AAZ,6,FALSE)),"NON TROVATO"),"")</f>
        <v/>
      </c>
      <c r="I1065" s="394" t="str">
        <f>IF(B1065&lt;&gt;"",IFERROR(IF(LEFT($B1065,3)=$Z$2,VLOOKUP($C1065,Outbound!$B:$AAZ,52,FALSE),VLOOKUP($B1065,Outbound!$B:$AAZ,52,FALSE)),"NON TROVATO"),"")</f>
        <v/>
      </c>
      <c r="J1065" s="396"/>
      <c r="K1065" s="387" t="str">
        <f>IF(B1065&lt;&gt;"",IF($D1065&lt;&gt;"ON ROCS/NOT ON FILE",IFERROR(_xlfn.XLOOKUP(LEFT($D1065,3),'STAT 77 Table'!$B:$B,'STAT 77 Table'!$A:$A),"ZZ"&amp;RIGHT($B1065,4)),""),"")</f>
        <v/>
      </c>
      <c r="L1065" s="396"/>
      <c r="O1065" s="388"/>
      <c r="P1065" s="388"/>
      <c r="AA1065" s="421">
        <f t="shared" si="16"/>
        <v>0</v>
      </c>
    </row>
    <row r="1066" spans="1:27" ht="16.5">
      <c r="A1066" s="387">
        <f>'STAT 77 Table'!$I$1065</f>
        <v>0</v>
      </c>
      <c r="B1066"/>
      <c r="C1066"/>
      <c r="D1066" s="387" t="str">
        <f>IF($B1066&lt;&gt;"",IFERROR(IF(LEFT($B1066,3)=$Z$2,VLOOKUP($C1066,Outbound!$B:$Z,4,FALSE),VLOOKUP($B1066,Outbound!$B:$Z,4,FALSE)),"ON ROCS/NOT ON FILE"),"")</f>
        <v/>
      </c>
      <c r="E1066" s="387" t="str">
        <f>IF($B1066&lt;&gt;"",IFERROR(IF(LEFT($B1066,4)=$Z$2,VLOOKUP($C1066,Outbound!$B:$Z,5,FALSE),VLOOKUP($B1066,Outbound!$B:$Z,5,FALSE)),"ON ROCS/NOT ON FILE"),"")</f>
        <v/>
      </c>
      <c r="F1066" s="387" t="str">
        <f>IF(B1066&lt;&gt;"",IFERROR(IF(LEFT($B1066,3)=$Z$2,VLOOKUP($C1066,Outbound!$B:$Z,11,FALSE),VLOOKUP($B1066,Outbound!$B:$Z,11,FALSE)),"NON TROVATO"),"")</f>
        <v/>
      </c>
      <c r="G1066" s="394" t="str">
        <f>IF(B1066&lt;&gt;"",IFERROR(IF(LEFT($B1066,3)=$Z$2,VLOOKUP($C1066,Outbound!$B:$AAZ,16,FALSE),VLOOKUP($B1066,Outbound!$B:$AAZ,16,FALSE)),"NON TROVATO"),"")</f>
        <v/>
      </c>
      <c r="H1066" s="394" t="str">
        <f>IF(B1066&lt;&gt;"",IFERROR(IF(LEFT($B1066,3)=$Z$2,VLOOKUP($C1066,Outbound!$B:$AAZ,6,FALSE),VLOOKUP($B1066,Outbound!$B:$AAZ,6,FALSE)),"NON TROVATO"),"")</f>
        <v/>
      </c>
      <c r="I1066" s="394" t="str">
        <f>IF(B1066&lt;&gt;"",IFERROR(IF(LEFT($B1066,3)=$Z$2,VLOOKUP($C1066,Outbound!$B:$AAZ,52,FALSE),VLOOKUP($B1066,Outbound!$B:$AAZ,52,FALSE)),"NON TROVATO"),"")</f>
        <v/>
      </c>
      <c r="J1066" s="396"/>
      <c r="K1066" s="387" t="str">
        <f>IF(B1066&lt;&gt;"",IF($D1066&lt;&gt;"ON ROCS/NOT ON FILE",IFERROR(_xlfn.XLOOKUP(LEFT($D1066,3),'STAT 77 Table'!$B:$B,'STAT 77 Table'!$A:$A),"ZZ"&amp;RIGHT($B1066,4)),""),"")</f>
        <v/>
      </c>
      <c r="L1066" s="396"/>
      <c r="O1066" s="388"/>
      <c r="P1066" s="388"/>
      <c r="AA1066" s="421">
        <f t="shared" si="16"/>
        <v>0</v>
      </c>
    </row>
    <row r="1067" spans="1:27" ht="16.5">
      <c r="A1067" s="387">
        <f>'STAT 77 Table'!$I$1066</f>
        <v>0</v>
      </c>
      <c r="B1067"/>
      <c r="C1067"/>
      <c r="D1067" s="387" t="str">
        <f>IF($B1067&lt;&gt;"",IFERROR(IF(LEFT($B1067,3)=$Z$2,VLOOKUP($C1067,Outbound!$B:$Z,4,FALSE),VLOOKUP($B1067,Outbound!$B:$Z,4,FALSE)),"ON ROCS/NOT ON FILE"),"")</f>
        <v/>
      </c>
      <c r="E1067" s="387" t="str">
        <f>IF($B1067&lt;&gt;"",IFERROR(IF(LEFT($B1067,4)=$Z$2,VLOOKUP($C1067,Outbound!$B:$Z,5,FALSE),VLOOKUP($B1067,Outbound!$B:$Z,5,FALSE)),"ON ROCS/NOT ON FILE"),"")</f>
        <v/>
      </c>
      <c r="F1067" s="387" t="str">
        <f>IF(B1067&lt;&gt;"",IFERROR(IF(LEFT($B1067,3)=$Z$2,VLOOKUP($C1067,Outbound!$B:$Z,11,FALSE),VLOOKUP($B1067,Outbound!$B:$Z,11,FALSE)),"NON TROVATO"),"")</f>
        <v/>
      </c>
      <c r="G1067" s="394" t="str">
        <f>IF(B1067&lt;&gt;"",IFERROR(IF(LEFT($B1067,3)=$Z$2,VLOOKUP($C1067,Outbound!$B:$AAZ,16,FALSE),VLOOKUP($B1067,Outbound!$B:$AAZ,16,FALSE)),"NON TROVATO"),"")</f>
        <v/>
      </c>
      <c r="H1067" s="394" t="str">
        <f>IF(B1067&lt;&gt;"",IFERROR(IF(LEFT($B1067,3)=$Z$2,VLOOKUP($C1067,Outbound!$B:$AAZ,6,FALSE),VLOOKUP($B1067,Outbound!$B:$AAZ,6,FALSE)),"NON TROVATO"),"")</f>
        <v/>
      </c>
      <c r="I1067" s="394" t="str">
        <f>IF(B1067&lt;&gt;"",IFERROR(IF(LEFT($B1067,3)=$Z$2,VLOOKUP($C1067,Outbound!$B:$AAZ,52,FALSE),VLOOKUP($B1067,Outbound!$B:$AAZ,52,FALSE)),"NON TROVATO"),"")</f>
        <v/>
      </c>
      <c r="J1067" s="396"/>
      <c r="K1067" s="387" t="str">
        <f>IF(B1067&lt;&gt;"",IF($D1067&lt;&gt;"ON ROCS/NOT ON FILE",IFERROR(_xlfn.XLOOKUP(LEFT($D1067,3),'STAT 77 Table'!$B:$B,'STAT 77 Table'!$A:$A),"ZZ"&amp;RIGHT($B1067,4)),""),"")</f>
        <v/>
      </c>
      <c r="L1067" s="396"/>
      <c r="O1067" s="388"/>
      <c r="P1067" s="388"/>
      <c r="AA1067" s="421">
        <f t="shared" si="16"/>
        <v>0</v>
      </c>
    </row>
    <row r="1068" spans="1:27" ht="16.5">
      <c r="A1068" s="387">
        <f>'STAT 77 Table'!$I$1067</f>
        <v>0</v>
      </c>
      <c r="B1068"/>
      <c r="C1068"/>
      <c r="D1068" s="387" t="str">
        <f>IF($B1068&lt;&gt;"",IFERROR(IF(LEFT($B1068,3)=$Z$2,VLOOKUP($C1068,Outbound!$B:$Z,4,FALSE),VLOOKUP($B1068,Outbound!$B:$Z,4,FALSE)),"ON ROCS/NOT ON FILE"),"")</f>
        <v/>
      </c>
      <c r="E1068" s="387" t="str">
        <f>IF($B1068&lt;&gt;"",IFERROR(IF(LEFT($B1068,4)=$Z$2,VLOOKUP($C1068,Outbound!$B:$Z,5,FALSE),VLOOKUP($B1068,Outbound!$B:$Z,5,FALSE)),"ON ROCS/NOT ON FILE"),"")</f>
        <v/>
      </c>
      <c r="F1068" s="387" t="str">
        <f>IF(B1068&lt;&gt;"",IFERROR(IF(LEFT($B1068,3)=$Z$2,VLOOKUP($C1068,Outbound!$B:$Z,11,FALSE),VLOOKUP($B1068,Outbound!$B:$Z,11,FALSE)),"NON TROVATO"),"")</f>
        <v/>
      </c>
      <c r="G1068" s="394" t="str">
        <f>IF(B1068&lt;&gt;"",IFERROR(IF(LEFT($B1068,3)=$Z$2,VLOOKUP($C1068,Outbound!$B:$AAZ,16,FALSE),VLOOKUP($B1068,Outbound!$B:$AAZ,16,FALSE)),"NON TROVATO"),"")</f>
        <v/>
      </c>
      <c r="H1068" s="394" t="str">
        <f>IF(B1068&lt;&gt;"",IFERROR(IF(LEFT($B1068,3)=$Z$2,VLOOKUP($C1068,Outbound!$B:$AAZ,6,FALSE),VLOOKUP($B1068,Outbound!$B:$AAZ,6,FALSE)),"NON TROVATO"),"")</f>
        <v/>
      </c>
      <c r="I1068" s="394" t="str">
        <f>IF(B1068&lt;&gt;"",IFERROR(IF(LEFT($B1068,3)=$Z$2,VLOOKUP($C1068,Outbound!$B:$AAZ,52,FALSE),VLOOKUP($B1068,Outbound!$B:$AAZ,52,FALSE)),"NON TROVATO"),"")</f>
        <v/>
      </c>
      <c r="J1068" s="396"/>
      <c r="K1068" s="387" t="str">
        <f>IF(B1068&lt;&gt;"",IF($D1068&lt;&gt;"ON ROCS/NOT ON FILE",IFERROR(_xlfn.XLOOKUP(LEFT($D1068,3),'STAT 77 Table'!$B:$B,'STAT 77 Table'!$A:$A),"ZZ"&amp;RIGHT($B1068,4)),""),"")</f>
        <v/>
      </c>
      <c r="L1068" s="396"/>
      <c r="O1068" s="388"/>
      <c r="P1068" s="388"/>
      <c r="AA1068" s="421">
        <f t="shared" si="16"/>
        <v>0</v>
      </c>
    </row>
    <row r="1069" spans="1:27" ht="16.5">
      <c r="A1069" s="387">
        <f>'STAT 77 Table'!$I$1068</f>
        <v>0</v>
      </c>
      <c r="B1069"/>
      <c r="C1069"/>
      <c r="D1069" s="387" t="str">
        <f>IF($B1069&lt;&gt;"",IFERROR(IF(LEFT($B1069,3)=$Z$2,VLOOKUP($C1069,Outbound!$B:$Z,4,FALSE),VLOOKUP($B1069,Outbound!$B:$Z,4,FALSE)),"ON ROCS/NOT ON FILE"),"")</f>
        <v/>
      </c>
      <c r="E1069" s="387" t="str">
        <f>IF($B1069&lt;&gt;"",IFERROR(IF(LEFT($B1069,4)=$Z$2,VLOOKUP($C1069,Outbound!$B:$Z,5,FALSE),VLOOKUP($B1069,Outbound!$B:$Z,5,FALSE)),"ON ROCS/NOT ON FILE"),"")</f>
        <v/>
      </c>
      <c r="F1069" s="387" t="str">
        <f>IF(B1069&lt;&gt;"",IFERROR(IF(LEFT($B1069,3)=$Z$2,VLOOKUP($C1069,Outbound!$B:$Z,11,FALSE),VLOOKUP($B1069,Outbound!$B:$Z,11,FALSE)),"NON TROVATO"),"")</f>
        <v/>
      </c>
      <c r="G1069" s="394" t="str">
        <f>IF(B1069&lt;&gt;"",IFERROR(IF(LEFT($B1069,3)=$Z$2,VLOOKUP($C1069,Outbound!$B:$AAZ,16,FALSE),VLOOKUP($B1069,Outbound!$B:$AAZ,16,FALSE)),"NON TROVATO"),"")</f>
        <v/>
      </c>
      <c r="H1069" s="394" t="str">
        <f>IF(B1069&lt;&gt;"",IFERROR(IF(LEFT($B1069,3)=$Z$2,VLOOKUP($C1069,Outbound!$B:$AAZ,6,FALSE),VLOOKUP($B1069,Outbound!$B:$AAZ,6,FALSE)),"NON TROVATO"),"")</f>
        <v/>
      </c>
      <c r="I1069" s="394" t="str">
        <f>IF(B1069&lt;&gt;"",IFERROR(IF(LEFT($B1069,3)=$Z$2,VLOOKUP($C1069,Outbound!$B:$AAZ,52,FALSE),VLOOKUP($B1069,Outbound!$B:$AAZ,52,FALSE)),"NON TROVATO"),"")</f>
        <v/>
      </c>
      <c r="J1069" s="396"/>
      <c r="K1069" s="387" t="str">
        <f>IF(B1069&lt;&gt;"",IF($D1069&lt;&gt;"ON ROCS/NOT ON FILE",IFERROR(_xlfn.XLOOKUP(LEFT($D1069,3),'STAT 77 Table'!$B:$B,'STAT 77 Table'!$A:$A),"ZZ"&amp;RIGHT($B1069,4)),""),"")</f>
        <v/>
      </c>
      <c r="L1069" s="396"/>
      <c r="O1069" s="388"/>
      <c r="P1069" s="388"/>
      <c r="AA1069" s="421">
        <f t="shared" si="16"/>
        <v>0</v>
      </c>
    </row>
    <row r="1070" spans="1:27" ht="16.5">
      <c r="A1070" s="387">
        <f>'STAT 77 Table'!$I$1069</f>
        <v>0</v>
      </c>
      <c r="B1070"/>
      <c r="C1070"/>
      <c r="D1070" s="387" t="str">
        <f>IF($B1070&lt;&gt;"",IFERROR(IF(LEFT($B1070,3)=$Z$2,VLOOKUP($C1070,Outbound!$B:$Z,4,FALSE),VLOOKUP($B1070,Outbound!$B:$Z,4,FALSE)),"ON ROCS/NOT ON FILE"),"")</f>
        <v/>
      </c>
      <c r="E1070" s="387" t="str">
        <f>IF($B1070&lt;&gt;"",IFERROR(IF(LEFT($B1070,4)=$Z$2,VLOOKUP($C1070,Outbound!$B:$Z,5,FALSE),VLOOKUP($B1070,Outbound!$B:$Z,5,FALSE)),"ON ROCS/NOT ON FILE"),"")</f>
        <v/>
      </c>
      <c r="F1070" s="387" t="str">
        <f>IF(B1070&lt;&gt;"",IFERROR(IF(LEFT($B1070,3)=$Z$2,VLOOKUP($C1070,Outbound!$B:$Z,11,FALSE),VLOOKUP($B1070,Outbound!$B:$Z,11,FALSE)),"NON TROVATO"),"")</f>
        <v/>
      </c>
      <c r="G1070" s="394" t="str">
        <f>IF(B1070&lt;&gt;"",IFERROR(IF(LEFT($B1070,3)=$Z$2,VLOOKUP($C1070,Outbound!$B:$AAZ,16,FALSE),VLOOKUP($B1070,Outbound!$B:$AAZ,16,FALSE)),"NON TROVATO"),"")</f>
        <v/>
      </c>
      <c r="H1070" s="394" t="str">
        <f>IF(B1070&lt;&gt;"",IFERROR(IF(LEFT($B1070,3)=$Z$2,VLOOKUP($C1070,Outbound!$B:$AAZ,6,FALSE),VLOOKUP($B1070,Outbound!$B:$AAZ,6,FALSE)),"NON TROVATO"),"")</f>
        <v/>
      </c>
      <c r="I1070" s="394" t="str">
        <f>IF(B1070&lt;&gt;"",IFERROR(IF(LEFT($B1070,3)=$Z$2,VLOOKUP($C1070,Outbound!$B:$AAZ,52,FALSE),VLOOKUP($B1070,Outbound!$B:$AAZ,52,FALSE)),"NON TROVATO"),"")</f>
        <v/>
      </c>
      <c r="J1070" s="396"/>
      <c r="K1070" s="387" t="str">
        <f>IF(B1070&lt;&gt;"",IF($D1070&lt;&gt;"ON ROCS/NOT ON FILE",IFERROR(_xlfn.XLOOKUP(LEFT($D1070,3),'STAT 77 Table'!$B:$B,'STAT 77 Table'!$A:$A),"ZZ"&amp;RIGHT($B1070,4)),""),"")</f>
        <v/>
      </c>
      <c r="L1070" s="396"/>
      <c r="O1070" s="388"/>
      <c r="P1070" s="388"/>
      <c r="AA1070" s="421">
        <f t="shared" si="16"/>
        <v>0</v>
      </c>
    </row>
    <row r="1071" spans="1:27" ht="16.5">
      <c r="A1071" s="387">
        <f>'STAT 77 Table'!$I$1070</f>
        <v>0</v>
      </c>
      <c r="B1071"/>
      <c r="C1071"/>
      <c r="D1071" s="387" t="str">
        <f>IF($B1071&lt;&gt;"",IFERROR(IF(LEFT($B1071,3)=$Z$2,VLOOKUP($C1071,Outbound!$B:$Z,4,FALSE),VLOOKUP($B1071,Outbound!$B:$Z,4,FALSE)),"ON ROCS/NOT ON FILE"),"")</f>
        <v/>
      </c>
      <c r="E1071" s="387" t="str">
        <f>IF($B1071&lt;&gt;"",IFERROR(IF(LEFT($B1071,4)=$Z$2,VLOOKUP($C1071,Outbound!$B:$Z,5,FALSE),VLOOKUP($B1071,Outbound!$B:$Z,5,FALSE)),"ON ROCS/NOT ON FILE"),"")</f>
        <v/>
      </c>
      <c r="F1071" s="387" t="str">
        <f>IF(B1071&lt;&gt;"",IFERROR(IF(LEFT($B1071,3)=$Z$2,VLOOKUP($C1071,Outbound!$B:$Z,11,FALSE),VLOOKUP($B1071,Outbound!$B:$Z,11,FALSE)),"NON TROVATO"),"")</f>
        <v/>
      </c>
      <c r="G1071" s="394" t="str">
        <f>IF(B1071&lt;&gt;"",IFERROR(IF(LEFT($B1071,3)=$Z$2,VLOOKUP($C1071,Outbound!$B:$AAZ,16,FALSE),VLOOKUP($B1071,Outbound!$B:$AAZ,16,FALSE)),"NON TROVATO"),"")</f>
        <v/>
      </c>
      <c r="H1071" s="394" t="str">
        <f>IF(B1071&lt;&gt;"",IFERROR(IF(LEFT($B1071,3)=$Z$2,VLOOKUP($C1071,Outbound!$B:$AAZ,6,FALSE),VLOOKUP($B1071,Outbound!$B:$AAZ,6,FALSE)),"NON TROVATO"),"")</f>
        <v/>
      </c>
      <c r="I1071" s="394" t="str">
        <f>IF(B1071&lt;&gt;"",IFERROR(IF(LEFT($B1071,3)=$Z$2,VLOOKUP($C1071,Outbound!$B:$AAZ,52,FALSE),VLOOKUP($B1071,Outbound!$B:$AAZ,52,FALSE)),"NON TROVATO"),"")</f>
        <v/>
      </c>
      <c r="J1071" s="396"/>
      <c r="K1071" s="387" t="str">
        <f>IF(B1071&lt;&gt;"",IF($D1071&lt;&gt;"ON ROCS/NOT ON FILE",IFERROR(_xlfn.XLOOKUP(LEFT($D1071,3),'STAT 77 Table'!$B:$B,'STAT 77 Table'!$A:$A),"ZZ"&amp;RIGHT($B1071,4)),""),"")</f>
        <v/>
      </c>
      <c r="L1071" s="396"/>
      <c r="O1071" s="388"/>
      <c r="P1071" s="388"/>
      <c r="AA1071" s="421">
        <f t="shared" si="16"/>
        <v>0</v>
      </c>
    </row>
    <row r="1072" spans="1:27" ht="16.5">
      <c r="A1072" s="387">
        <f>'STAT 77 Table'!$I$1071</f>
        <v>0</v>
      </c>
      <c r="B1072"/>
      <c r="C1072"/>
      <c r="D1072" s="387" t="str">
        <f>IF($B1072&lt;&gt;"",IFERROR(IF(LEFT($B1072,3)=$Z$2,VLOOKUP($C1072,Outbound!$B:$Z,4,FALSE),VLOOKUP($B1072,Outbound!$B:$Z,4,FALSE)),"ON ROCS/NOT ON FILE"),"")</f>
        <v/>
      </c>
      <c r="E1072" s="387" t="str">
        <f>IF($B1072&lt;&gt;"",IFERROR(IF(LEFT($B1072,4)=$Z$2,VLOOKUP($C1072,Outbound!$B:$Z,5,FALSE),VLOOKUP($B1072,Outbound!$B:$Z,5,FALSE)),"ON ROCS/NOT ON FILE"),"")</f>
        <v/>
      </c>
      <c r="F1072" s="387" t="str">
        <f>IF(B1072&lt;&gt;"",IFERROR(IF(LEFT($B1072,3)=$Z$2,VLOOKUP($C1072,Outbound!$B:$Z,11,FALSE),VLOOKUP($B1072,Outbound!$B:$Z,11,FALSE)),"NON TROVATO"),"")</f>
        <v/>
      </c>
      <c r="G1072" s="394" t="str">
        <f>IF(B1072&lt;&gt;"",IFERROR(IF(LEFT($B1072,3)=$Z$2,VLOOKUP($C1072,Outbound!$B:$AAZ,16,FALSE),VLOOKUP($B1072,Outbound!$B:$AAZ,16,FALSE)),"NON TROVATO"),"")</f>
        <v/>
      </c>
      <c r="H1072" s="394" t="str">
        <f>IF(B1072&lt;&gt;"",IFERROR(IF(LEFT($B1072,3)=$Z$2,VLOOKUP($C1072,Outbound!$B:$AAZ,6,FALSE),VLOOKUP($B1072,Outbound!$B:$AAZ,6,FALSE)),"NON TROVATO"),"")</f>
        <v/>
      </c>
      <c r="I1072" s="394" t="str">
        <f>IF(B1072&lt;&gt;"",IFERROR(IF(LEFT($B1072,3)=$Z$2,VLOOKUP($C1072,Outbound!$B:$AAZ,52,FALSE),VLOOKUP($B1072,Outbound!$B:$AAZ,52,FALSE)),"NON TROVATO"),"")</f>
        <v/>
      </c>
      <c r="J1072" s="396"/>
      <c r="K1072" s="387" t="str">
        <f>IF(B1072&lt;&gt;"",IF($D1072&lt;&gt;"ON ROCS/NOT ON FILE",IFERROR(_xlfn.XLOOKUP(LEFT($D1072,3),'STAT 77 Table'!$B:$B,'STAT 77 Table'!$A:$A),"ZZ"&amp;RIGHT($B1072,4)),""),"")</f>
        <v/>
      </c>
      <c r="L1072" s="396"/>
      <c r="O1072" s="388"/>
      <c r="P1072" s="388"/>
      <c r="AA1072" s="421">
        <f t="shared" si="16"/>
        <v>0</v>
      </c>
    </row>
    <row r="1073" spans="1:27" ht="16.5">
      <c r="A1073" s="387">
        <f>'STAT 77 Table'!$I$1072</f>
        <v>0</v>
      </c>
      <c r="B1073"/>
      <c r="C1073"/>
      <c r="D1073" s="387" t="str">
        <f>IF($B1073&lt;&gt;"",IFERROR(IF(LEFT($B1073,3)=$Z$2,VLOOKUP($C1073,Outbound!$B:$Z,4,FALSE),VLOOKUP($B1073,Outbound!$B:$Z,4,FALSE)),"ON ROCS/NOT ON FILE"),"")</f>
        <v/>
      </c>
      <c r="E1073" s="387" t="str">
        <f>IF($B1073&lt;&gt;"",IFERROR(IF(LEFT($B1073,4)=$Z$2,VLOOKUP($C1073,Outbound!$B:$Z,5,FALSE),VLOOKUP($B1073,Outbound!$B:$Z,5,FALSE)),"ON ROCS/NOT ON FILE"),"")</f>
        <v/>
      </c>
      <c r="F1073" s="387" t="str">
        <f>IF(B1073&lt;&gt;"",IFERROR(IF(LEFT($B1073,3)=$Z$2,VLOOKUP($C1073,Outbound!$B:$Z,11,FALSE),VLOOKUP($B1073,Outbound!$B:$Z,11,FALSE)),"NON TROVATO"),"")</f>
        <v/>
      </c>
      <c r="G1073" s="394" t="str">
        <f>IF(B1073&lt;&gt;"",IFERROR(IF(LEFT($B1073,3)=$Z$2,VLOOKUP($C1073,Outbound!$B:$AAZ,16,FALSE),VLOOKUP($B1073,Outbound!$B:$AAZ,16,FALSE)),"NON TROVATO"),"")</f>
        <v/>
      </c>
      <c r="H1073" s="394" t="str">
        <f>IF(B1073&lt;&gt;"",IFERROR(IF(LEFT($B1073,3)=$Z$2,VLOOKUP($C1073,Outbound!$B:$AAZ,6,FALSE),VLOOKUP($B1073,Outbound!$B:$AAZ,6,FALSE)),"NON TROVATO"),"")</f>
        <v/>
      </c>
      <c r="I1073" s="394" t="str">
        <f>IF(B1073&lt;&gt;"",IFERROR(IF(LEFT($B1073,3)=$Z$2,VLOOKUP($C1073,Outbound!$B:$AAZ,52,FALSE),VLOOKUP($B1073,Outbound!$B:$AAZ,52,FALSE)),"NON TROVATO"),"")</f>
        <v/>
      </c>
      <c r="J1073" s="396"/>
      <c r="K1073" s="387" t="str">
        <f>IF(B1073&lt;&gt;"",IF($D1073&lt;&gt;"ON ROCS/NOT ON FILE",IFERROR(_xlfn.XLOOKUP(LEFT($D1073,3),'STAT 77 Table'!$B:$B,'STAT 77 Table'!$A:$A),"ZZ"&amp;RIGHT($B1073,4)),""),"")</f>
        <v/>
      </c>
      <c r="L1073" s="396"/>
      <c r="O1073" s="388"/>
      <c r="P1073" s="388"/>
      <c r="AA1073" s="421">
        <f t="shared" si="16"/>
        <v>0</v>
      </c>
    </row>
    <row r="1074" spans="1:27" ht="16.5">
      <c r="A1074" s="387">
        <f>'STAT 77 Table'!$I$1073</f>
        <v>0</v>
      </c>
      <c r="B1074"/>
      <c r="C1074"/>
      <c r="D1074" s="387" t="str">
        <f>IF($B1074&lt;&gt;"",IFERROR(IF(LEFT($B1074,3)=$Z$2,VLOOKUP($C1074,Outbound!$B:$Z,4,FALSE),VLOOKUP($B1074,Outbound!$B:$Z,4,FALSE)),"ON ROCS/NOT ON FILE"),"")</f>
        <v/>
      </c>
      <c r="E1074" s="387" t="str">
        <f>IF($B1074&lt;&gt;"",IFERROR(IF(LEFT($B1074,4)=$Z$2,VLOOKUP($C1074,Outbound!$B:$Z,5,FALSE),VLOOKUP($B1074,Outbound!$B:$Z,5,FALSE)),"ON ROCS/NOT ON FILE"),"")</f>
        <v/>
      </c>
      <c r="F1074" s="387" t="str">
        <f>IF(B1074&lt;&gt;"",IFERROR(IF(LEFT($B1074,3)=$Z$2,VLOOKUP($C1074,Outbound!$B:$Z,11,FALSE),VLOOKUP($B1074,Outbound!$B:$Z,11,FALSE)),"NON TROVATO"),"")</f>
        <v/>
      </c>
      <c r="G1074" s="394" t="str">
        <f>IF(B1074&lt;&gt;"",IFERROR(IF(LEFT($B1074,3)=$Z$2,VLOOKUP($C1074,Outbound!$B:$AAZ,16,FALSE),VLOOKUP($B1074,Outbound!$B:$AAZ,16,FALSE)),"NON TROVATO"),"")</f>
        <v/>
      </c>
      <c r="H1074" s="394" t="str">
        <f>IF(B1074&lt;&gt;"",IFERROR(IF(LEFT($B1074,3)=$Z$2,VLOOKUP($C1074,Outbound!$B:$AAZ,6,FALSE),VLOOKUP($B1074,Outbound!$B:$AAZ,6,FALSE)),"NON TROVATO"),"")</f>
        <v/>
      </c>
      <c r="I1074" s="394" t="str">
        <f>IF(B1074&lt;&gt;"",IFERROR(IF(LEFT($B1074,3)=$Z$2,VLOOKUP($C1074,Outbound!$B:$AAZ,52,FALSE),VLOOKUP($B1074,Outbound!$B:$AAZ,52,FALSE)),"NON TROVATO"),"")</f>
        <v/>
      </c>
      <c r="J1074" s="396"/>
      <c r="K1074" s="387" t="str">
        <f>IF(B1074&lt;&gt;"",IF($D1074&lt;&gt;"ON ROCS/NOT ON FILE",IFERROR(_xlfn.XLOOKUP(LEFT($D1074,3),'STAT 77 Table'!$B:$B,'STAT 77 Table'!$A:$A),"ZZ"&amp;RIGHT($B1074,4)),""),"")</f>
        <v/>
      </c>
      <c r="L1074" s="396"/>
      <c r="O1074" s="388"/>
      <c r="P1074" s="388"/>
      <c r="AA1074" s="421">
        <f t="shared" si="16"/>
        <v>0</v>
      </c>
    </row>
    <row r="1075" spans="1:27" ht="16.5">
      <c r="A1075" s="387">
        <f>'STAT 77 Table'!$I$1074</f>
        <v>0</v>
      </c>
      <c r="B1075"/>
      <c r="C1075"/>
      <c r="D1075" s="387" t="str">
        <f>IF($B1075&lt;&gt;"",IFERROR(IF(LEFT($B1075,3)=$Z$2,VLOOKUP($C1075,Outbound!$B:$Z,4,FALSE),VLOOKUP($B1075,Outbound!$B:$Z,4,FALSE)),"ON ROCS/NOT ON FILE"),"")</f>
        <v/>
      </c>
      <c r="E1075" s="387" t="str">
        <f>IF($B1075&lt;&gt;"",IFERROR(IF(LEFT($B1075,4)=$Z$2,VLOOKUP($C1075,Outbound!$B:$Z,5,FALSE),VLOOKUP($B1075,Outbound!$B:$Z,5,FALSE)),"ON ROCS/NOT ON FILE"),"")</f>
        <v/>
      </c>
      <c r="F1075" s="387" t="str">
        <f>IF(B1075&lt;&gt;"",IFERROR(IF(LEFT($B1075,3)=$Z$2,VLOOKUP($C1075,Outbound!$B:$Z,11,FALSE),VLOOKUP($B1075,Outbound!$B:$Z,11,FALSE)),"NON TROVATO"),"")</f>
        <v/>
      </c>
      <c r="G1075" s="394" t="str">
        <f>IF(B1075&lt;&gt;"",IFERROR(IF(LEFT($B1075,3)=$Z$2,VLOOKUP($C1075,Outbound!$B:$AAZ,16,FALSE),VLOOKUP($B1075,Outbound!$B:$AAZ,16,FALSE)),"NON TROVATO"),"")</f>
        <v/>
      </c>
      <c r="H1075" s="394" t="str">
        <f>IF(B1075&lt;&gt;"",IFERROR(IF(LEFT($B1075,3)=$Z$2,VLOOKUP($C1075,Outbound!$B:$AAZ,6,FALSE),VLOOKUP($B1075,Outbound!$B:$AAZ,6,FALSE)),"NON TROVATO"),"")</f>
        <v/>
      </c>
      <c r="I1075" s="394" t="str">
        <f>IF(B1075&lt;&gt;"",IFERROR(IF(LEFT($B1075,3)=$Z$2,VLOOKUP($C1075,Outbound!$B:$AAZ,52,FALSE),VLOOKUP($B1075,Outbound!$B:$AAZ,52,FALSE)),"NON TROVATO"),"")</f>
        <v/>
      </c>
      <c r="J1075" s="396"/>
      <c r="K1075" s="387" t="str">
        <f>IF(B1075&lt;&gt;"",IF($D1075&lt;&gt;"ON ROCS/NOT ON FILE",IFERROR(_xlfn.XLOOKUP(LEFT($D1075,3),'STAT 77 Table'!$B:$B,'STAT 77 Table'!$A:$A),"ZZ"&amp;RIGHT($B1075,4)),""),"")</f>
        <v/>
      </c>
      <c r="L1075" s="396"/>
      <c r="O1075" s="388"/>
      <c r="P1075" s="388"/>
      <c r="AA1075" s="421">
        <f t="shared" si="16"/>
        <v>0</v>
      </c>
    </row>
    <row r="1076" spans="1:27" ht="16.5">
      <c r="A1076" s="387">
        <f>'STAT 77 Table'!$I$1075</f>
        <v>0</v>
      </c>
      <c r="B1076"/>
      <c r="C1076"/>
      <c r="D1076" s="387" t="str">
        <f>IF($B1076&lt;&gt;"",IFERROR(IF(LEFT($B1076,3)=$Z$2,VLOOKUP($C1076,Outbound!$B:$Z,4,FALSE),VLOOKUP($B1076,Outbound!$B:$Z,4,FALSE)),"ON ROCS/NOT ON FILE"),"")</f>
        <v/>
      </c>
      <c r="E1076" s="387" t="str">
        <f>IF($B1076&lt;&gt;"",IFERROR(IF(LEFT($B1076,4)=$Z$2,VLOOKUP($C1076,Outbound!$B:$Z,5,FALSE),VLOOKUP($B1076,Outbound!$B:$Z,5,FALSE)),"ON ROCS/NOT ON FILE"),"")</f>
        <v/>
      </c>
      <c r="F1076" s="387" t="str">
        <f>IF(B1076&lt;&gt;"",IFERROR(IF(LEFT($B1076,3)=$Z$2,VLOOKUP($C1076,Outbound!$B:$Z,11,FALSE),VLOOKUP($B1076,Outbound!$B:$Z,11,FALSE)),"NON TROVATO"),"")</f>
        <v/>
      </c>
      <c r="G1076" s="394" t="str">
        <f>IF(B1076&lt;&gt;"",IFERROR(IF(LEFT($B1076,3)=$Z$2,VLOOKUP($C1076,Outbound!$B:$AAZ,16,FALSE),VLOOKUP($B1076,Outbound!$B:$AAZ,16,FALSE)),"NON TROVATO"),"")</f>
        <v/>
      </c>
      <c r="H1076" s="394" t="str">
        <f>IF(B1076&lt;&gt;"",IFERROR(IF(LEFT($B1076,3)=$Z$2,VLOOKUP($C1076,Outbound!$B:$AAZ,6,FALSE),VLOOKUP($B1076,Outbound!$B:$AAZ,6,FALSE)),"NON TROVATO"),"")</f>
        <v/>
      </c>
      <c r="I1076" s="394" t="str">
        <f>IF(B1076&lt;&gt;"",IFERROR(IF(LEFT($B1076,3)=$Z$2,VLOOKUP($C1076,Outbound!$B:$AAZ,52,FALSE),VLOOKUP($B1076,Outbound!$B:$AAZ,52,FALSE)),"NON TROVATO"),"")</f>
        <v/>
      </c>
      <c r="J1076" s="396"/>
      <c r="K1076" s="387" t="str">
        <f>IF(B1076&lt;&gt;"",IF($D1076&lt;&gt;"ON ROCS/NOT ON FILE",IFERROR(_xlfn.XLOOKUP(LEFT($D1076,3),'STAT 77 Table'!$B:$B,'STAT 77 Table'!$A:$A),"ZZ"&amp;RIGHT($B1076,4)),""),"")</f>
        <v/>
      </c>
      <c r="L1076" s="396"/>
      <c r="O1076" s="388"/>
      <c r="P1076" s="388"/>
      <c r="AA1076" s="421">
        <f t="shared" si="16"/>
        <v>0</v>
      </c>
    </row>
    <row r="1077" spans="1:27" ht="16.5">
      <c r="A1077" s="387">
        <f>'STAT 77 Table'!$I$1076</f>
        <v>0</v>
      </c>
      <c r="B1077"/>
      <c r="C1077"/>
      <c r="D1077" s="387" t="str">
        <f>IF($B1077&lt;&gt;"",IFERROR(IF(LEFT($B1077,3)=$Z$2,VLOOKUP($C1077,Outbound!$B:$Z,4,FALSE),VLOOKUP($B1077,Outbound!$B:$Z,4,FALSE)),"ON ROCS/NOT ON FILE"),"")</f>
        <v/>
      </c>
      <c r="E1077" s="387" t="str">
        <f>IF($B1077&lt;&gt;"",IFERROR(IF(LEFT($B1077,4)=$Z$2,VLOOKUP($C1077,Outbound!$B:$Z,5,FALSE),VLOOKUP($B1077,Outbound!$B:$Z,5,FALSE)),"ON ROCS/NOT ON FILE"),"")</f>
        <v/>
      </c>
      <c r="F1077" s="387" t="str">
        <f>IF(B1077&lt;&gt;"",IFERROR(IF(LEFT($B1077,3)=$Z$2,VLOOKUP($C1077,Outbound!$B:$Z,11,FALSE),VLOOKUP($B1077,Outbound!$B:$Z,11,FALSE)),"NON TROVATO"),"")</f>
        <v/>
      </c>
      <c r="G1077" s="394" t="str">
        <f>IF(B1077&lt;&gt;"",IFERROR(IF(LEFT($B1077,3)=$Z$2,VLOOKUP($C1077,Outbound!$B:$AAZ,16,FALSE),VLOOKUP($B1077,Outbound!$B:$AAZ,16,FALSE)),"NON TROVATO"),"")</f>
        <v/>
      </c>
      <c r="H1077" s="394" t="str">
        <f>IF(B1077&lt;&gt;"",IFERROR(IF(LEFT($B1077,3)=$Z$2,VLOOKUP($C1077,Outbound!$B:$AAZ,6,FALSE),VLOOKUP($B1077,Outbound!$B:$AAZ,6,FALSE)),"NON TROVATO"),"")</f>
        <v/>
      </c>
      <c r="I1077" s="394" t="str">
        <f>IF(B1077&lt;&gt;"",IFERROR(IF(LEFT($B1077,3)=$Z$2,VLOOKUP($C1077,Outbound!$B:$AAZ,52,FALSE),VLOOKUP($B1077,Outbound!$B:$AAZ,52,FALSE)),"NON TROVATO"),"")</f>
        <v/>
      </c>
      <c r="J1077" s="396"/>
      <c r="K1077" s="387" t="str">
        <f>IF(B1077&lt;&gt;"",IF($D1077&lt;&gt;"ON ROCS/NOT ON FILE",IFERROR(_xlfn.XLOOKUP(LEFT($D1077,3),'STAT 77 Table'!$B:$B,'STAT 77 Table'!$A:$A),"ZZ"&amp;RIGHT($B1077,4)),""),"")</f>
        <v/>
      </c>
      <c r="L1077" s="396"/>
      <c r="O1077" s="388"/>
      <c r="P1077" s="388"/>
      <c r="AA1077" s="421">
        <f t="shared" si="16"/>
        <v>0</v>
      </c>
    </row>
    <row r="1078" spans="1:27" ht="16.5">
      <c r="A1078" s="387">
        <f>'STAT 77 Table'!$I$1077</f>
        <v>0</v>
      </c>
      <c r="B1078"/>
      <c r="C1078"/>
      <c r="D1078" s="387" t="str">
        <f>IF($B1078&lt;&gt;"",IFERROR(IF(LEFT($B1078,3)=$Z$2,VLOOKUP($C1078,Outbound!$B:$Z,4,FALSE),VLOOKUP($B1078,Outbound!$B:$Z,4,FALSE)),"ON ROCS/NOT ON FILE"),"")</f>
        <v/>
      </c>
      <c r="E1078" s="387" t="str">
        <f>IF($B1078&lt;&gt;"",IFERROR(IF(LEFT($B1078,4)=$Z$2,VLOOKUP($C1078,Outbound!$B:$Z,5,FALSE),VLOOKUP($B1078,Outbound!$B:$Z,5,FALSE)),"ON ROCS/NOT ON FILE"),"")</f>
        <v/>
      </c>
      <c r="F1078" s="387" t="str">
        <f>IF(B1078&lt;&gt;"",IFERROR(IF(LEFT($B1078,3)=$Z$2,VLOOKUP($C1078,Outbound!$B:$Z,11,FALSE),VLOOKUP($B1078,Outbound!$B:$Z,11,FALSE)),"NON TROVATO"),"")</f>
        <v/>
      </c>
      <c r="G1078" s="394" t="str">
        <f>IF(B1078&lt;&gt;"",IFERROR(IF(LEFT($B1078,3)=$Z$2,VLOOKUP($C1078,Outbound!$B:$AAZ,16,FALSE),VLOOKUP($B1078,Outbound!$B:$AAZ,16,FALSE)),"NON TROVATO"),"")</f>
        <v/>
      </c>
      <c r="H1078" s="394" t="str">
        <f>IF(B1078&lt;&gt;"",IFERROR(IF(LEFT($B1078,3)=$Z$2,VLOOKUP($C1078,Outbound!$B:$AAZ,6,FALSE),VLOOKUP($B1078,Outbound!$B:$AAZ,6,FALSE)),"NON TROVATO"),"")</f>
        <v/>
      </c>
      <c r="I1078" s="394" t="str">
        <f>IF(B1078&lt;&gt;"",IFERROR(IF(LEFT($B1078,3)=$Z$2,VLOOKUP($C1078,Outbound!$B:$AAZ,52,FALSE),VLOOKUP($B1078,Outbound!$B:$AAZ,52,FALSE)),"NON TROVATO"),"")</f>
        <v/>
      </c>
      <c r="J1078" s="396"/>
      <c r="K1078" s="387" t="str">
        <f>IF(B1078&lt;&gt;"",IF($D1078&lt;&gt;"ON ROCS/NOT ON FILE",IFERROR(_xlfn.XLOOKUP(LEFT($D1078,3),'STAT 77 Table'!$B:$B,'STAT 77 Table'!$A:$A),"ZZ"&amp;RIGHT($B1078,4)),""),"")</f>
        <v/>
      </c>
      <c r="L1078" s="396"/>
      <c r="O1078" s="388"/>
      <c r="P1078" s="388"/>
      <c r="AA1078" s="421">
        <f t="shared" si="16"/>
        <v>0</v>
      </c>
    </row>
    <row r="1079" spans="1:27" ht="16.5">
      <c r="A1079" s="387">
        <f>'STAT 77 Table'!$I$1078</f>
        <v>0</v>
      </c>
      <c r="B1079"/>
      <c r="C1079"/>
      <c r="D1079" s="387" t="str">
        <f>IF($B1079&lt;&gt;"",IFERROR(IF(LEFT($B1079,3)=$Z$2,VLOOKUP($C1079,Outbound!$B:$Z,4,FALSE),VLOOKUP($B1079,Outbound!$B:$Z,4,FALSE)),"ON ROCS/NOT ON FILE"),"")</f>
        <v/>
      </c>
      <c r="E1079" s="387" t="str">
        <f>IF($B1079&lt;&gt;"",IFERROR(IF(LEFT($B1079,4)=$Z$2,VLOOKUP($C1079,Outbound!$B:$Z,5,FALSE),VLOOKUP($B1079,Outbound!$B:$Z,5,FALSE)),"ON ROCS/NOT ON FILE"),"")</f>
        <v/>
      </c>
      <c r="F1079" s="387" t="str">
        <f>IF(B1079&lt;&gt;"",IFERROR(IF(LEFT($B1079,3)=$Z$2,VLOOKUP($C1079,Outbound!$B:$Z,11,FALSE),VLOOKUP($B1079,Outbound!$B:$Z,11,FALSE)),"NON TROVATO"),"")</f>
        <v/>
      </c>
      <c r="G1079" s="394" t="str">
        <f>IF(B1079&lt;&gt;"",IFERROR(IF(LEFT($B1079,3)=$Z$2,VLOOKUP($C1079,Outbound!$B:$AAZ,16,FALSE),VLOOKUP($B1079,Outbound!$B:$AAZ,16,FALSE)),"NON TROVATO"),"")</f>
        <v/>
      </c>
      <c r="H1079" s="394" t="str">
        <f>IF(B1079&lt;&gt;"",IFERROR(IF(LEFT($B1079,3)=$Z$2,VLOOKUP($C1079,Outbound!$B:$AAZ,6,FALSE),VLOOKUP($B1079,Outbound!$B:$AAZ,6,FALSE)),"NON TROVATO"),"")</f>
        <v/>
      </c>
      <c r="I1079" s="394" t="str">
        <f>IF(B1079&lt;&gt;"",IFERROR(IF(LEFT($B1079,3)=$Z$2,VLOOKUP($C1079,Outbound!$B:$AAZ,52,FALSE),VLOOKUP($B1079,Outbound!$B:$AAZ,52,FALSE)),"NON TROVATO"),"")</f>
        <v/>
      </c>
      <c r="J1079" s="396"/>
      <c r="K1079" s="387" t="str">
        <f>IF(B1079&lt;&gt;"",IF($D1079&lt;&gt;"ON ROCS/NOT ON FILE",IFERROR(_xlfn.XLOOKUP(LEFT($D1079,3),'STAT 77 Table'!$B:$B,'STAT 77 Table'!$A:$A),"ZZ"&amp;RIGHT($B1079,4)),""),"")</f>
        <v/>
      </c>
      <c r="L1079" s="396"/>
      <c r="O1079" s="388"/>
      <c r="P1079" s="388"/>
      <c r="AA1079" s="421">
        <f t="shared" si="16"/>
        <v>0</v>
      </c>
    </row>
    <row r="1080" spans="1:27" ht="16.5">
      <c r="A1080" s="387">
        <f>'STAT 77 Table'!$I$1079</f>
        <v>0</v>
      </c>
      <c r="B1080"/>
      <c r="C1080"/>
      <c r="D1080" s="387" t="str">
        <f>IF($B1080&lt;&gt;"",IFERROR(IF(LEFT($B1080,3)=$Z$2,VLOOKUP($C1080,Outbound!$B:$Z,4,FALSE),VLOOKUP($B1080,Outbound!$B:$Z,4,FALSE)),"ON ROCS/NOT ON FILE"),"")</f>
        <v/>
      </c>
      <c r="E1080" s="387" t="str">
        <f>IF($B1080&lt;&gt;"",IFERROR(IF(LEFT($B1080,4)=$Z$2,VLOOKUP($C1080,Outbound!$B:$Z,5,FALSE),VLOOKUP($B1080,Outbound!$B:$Z,5,FALSE)),"ON ROCS/NOT ON FILE"),"")</f>
        <v/>
      </c>
      <c r="F1080" s="387" t="str">
        <f>IF(B1080&lt;&gt;"",IFERROR(IF(LEFT($B1080,3)=$Z$2,VLOOKUP($C1080,Outbound!$B:$Z,11,FALSE),VLOOKUP($B1080,Outbound!$B:$Z,11,FALSE)),"NON TROVATO"),"")</f>
        <v/>
      </c>
      <c r="G1080" s="394" t="str">
        <f>IF(B1080&lt;&gt;"",IFERROR(IF(LEFT($B1080,3)=$Z$2,VLOOKUP($C1080,Outbound!$B:$AAZ,16,FALSE),VLOOKUP($B1080,Outbound!$B:$AAZ,16,FALSE)),"NON TROVATO"),"")</f>
        <v/>
      </c>
      <c r="H1080" s="394" t="str">
        <f>IF(B1080&lt;&gt;"",IFERROR(IF(LEFT($B1080,3)=$Z$2,VLOOKUP($C1080,Outbound!$B:$AAZ,6,FALSE),VLOOKUP($B1080,Outbound!$B:$AAZ,6,FALSE)),"NON TROVATO"),"")</f>
        <v/>
      </c>
      <c r="I1080" s="394" t="str">
        <f>IF(B1080&lt;&gt;"",IFERROR(IF(LEFT($B1080,3)=$Z$2,VLOOKUP($C1080,Outbound!$B:$AAZ,52,FALSE),VLOOKUP($B1080,Outbound!$B:$AAZ,52,FALSE)),"NON TROVATO"),"")</f>
        <v/>
      </c>
      <c r="J1080" s="396"/>
      <c r="K1080" s="387" t="str">
        <f>IF(B1080&lt;&gt;"",IF($D1080&lt;&gt;"ON ROCS/NOT ON FILE",IFERROR(_xlfn.XLOOKUP(LEFT($D1080,3),'STAT 77 Table'!$B:$B,'STAT 77 Table'!$A:$A),"ZZ"&amp;RIGHT($B1080,4)),""),"")</f>
        <v/>
      </c>
      <c r="L1080" s="396"/>
      <c r="O1080" s="388"/>
      <c r="P1080" s="388"/>
      <c r="AA1080" s="421">
        <f t="shared" si="16"/>
        <v>0</v>
      </c>
    </row>
    <row r="1081" spans="1:27" ht="16.5">
      <c r="A1081" s="387">
        <f>'STAT 77 Table'!$I$1080</f>
        <v>0</v>
      </c>
      <c r="B1081"/>
      <c r="C1081"/>
      <c r="D1081" s="387" t="str">
        <f>IF($B1081&lt;&gt;"",IFERROR(IF(LEFT($B1081,3)=$Z$2,VLOOKUP($C1081,Outbound!$B:$Z,4,FALSE),VLOOKUP($B1081,Outbound!$B:$Z,4,FALSE)),"ON ROCS/NOT ON FILE"),"")</f>
        <v/>
      </c>
      <c r="E1081" s="387" t="str">
        <f>IF($B1081&lt;&gt;"",IFERROR(IF(LEFT($B1081,4)=$Z$2,VLOOKUP($C1081,Outbound!$B:$Z,5,FALSE),VLOOKUP($B1081,Outbound!$B:$Z,5,FALSE)),"ON ROCS/NOT ON FILE"),"")</f>
        <v/>
      </c>
      <c r="F1081" s="387" t="str">
        <f>IF(B1081&lt;&gt;"",IFERROR(IF(LEFT($B1081,3)=$Z$2,VLOOKUP($C1081,Outbound!$B:$Z,11,FALSE),VLOOKUP($B1081,Outbound!$B:$Z,11,FALSE)),"NON TROVATO"),"")</f>
        <v/>
      </c>
      <c r="G1081" s="394" t="str">
        <f>IF(B1081&lt;&gt;"",IFERROR(IF(LEFT($B1081,3)=$Z$2,VLOOKUP($C1081,Outbound!$B:$AAZ,16,FALSE),VLOOKUP($B1081,Outbound!$B:$AAZ,16,FALSE)),"NON TROVATO"),"")</f>
        <v/>
      </c>
      <c r="H1081" s="394" t="str">
        <f>IF(B1081&lt;&gt;"",IFERROR(IF(LEFT($B1081,3)=$Z$2,VLOOKUP($C1081,Outbound!$B:$AAZ,6,FALSE),VLOOKUP($B1081,Outbound!$B:$AAZ,6,FALSE)),"NON TROVATO"),"")</f>
        <v/>
      </c>
      <c r="I1081" s="394" t="str">
        <f>IF(B1081&lt;&gt;"",IFERROR(IF(LEFT($B1081,3)=$Z$2,VLOOKUP($C1081,Outbound!$B:$AAZ,52,FALSE),VLOOKUP($B1081,Outbound!$B:$AAZ,52,FALSE)),"NON TROVATO"),"")</f>
        <v/>
      </c>
      <c r="J1081" s="396"/>
      <c r="K1081" s="387" t="str">
        <f>IF(B1081&lt;&gt;"",IF($D1081&lt;&gt;"ON ROCS/NOT ON FILE",IFERROR(_xlfn.XLOOKUP(LEFT($D1081,3),'STAT 77 Table'!$B:$B,'STAT 77 Table'!$A:$A),"ZZ"&amp;RIGHT($B1081,4)),""),"")</f>
        <v/>
      </c>
      <c r="L1081" s="396"/>
      <c r="O1081" s="388"/>
      <c r="P1081" s="388"/>
      <c r="AA1081" s="421">
        <f t="shared" si="16"/>
        <v>0</v>
      </c>
    </row>
    <row r="1082" spans="1:27" ht="16.5">
      <c r="A1082" s="387">
        <f>'STAT 77 Table'!$I$1081</f>
        <v>0</v>
      </c>
      <c r="B1082"/>
      <c r="C1082"/>
      <c r="D1082" s="387" t="str">
        <f>IF($B1082&lt;&gt;"",IFERROR(IF(LEFT($B1082,3)=$Z$2,VLOOKUP($C1082,Outbound!$B:$Z,4,FALSE),VLOOKUP($B1082,Outbound!$B:$Z,4,FALSE)),"ON ROCS/NOT ON FILE"),"")</f>
        <v/>
      </c>
      <c r="E1082" s="387" t="str">
        <f>IF($B1082&lt;&gt;"",IFERROR(IF(LEFT($B1082,4)=$Z$2,VLOOKUP($C1082,Outbound!$B:$Z,5,FALSE),VLOOKUP($B1082,Outbound!$B:$Z,5,FALSE)),"ON ROCS/NOT ON FILE"),"")</f>
        <v/>
      </c>
      <c r="F1082" s="387" t="str">
        <f>IF(B1082&lt;&gt;"",IFERROR(IF(LEFT($B1082,3)=$Z$2,VLOOKUP($C1082,Outbound!$B:$Z,11,FALSE),VLOOKUP($B1082,Outbound!$B:$Z,11,FALSE)),"NON TROVATO"),"")</f>
        <v/>
      </c>
      <c r="G1082" s="394" t="str">
        <f>IF(B1082&lt;&gt;"",IFERROR(IF(LEFT($B1082,3)=$Z$2,VLOOKUP($C1082,Outbound!$B:$AAZ,16,FALSE),VLOOKUP($B1082,Outbound!$B:$AAZ,16,FALSE)),"NON TROVATO"),"")</f>
        <v/>
      </c>
      <c r="H1082" s="394" t="str">
        <f>IF(B1082&lt;&gt;"",IFERROR(IF(LEFT($B1082,3)=$Z$2,VLOOKUP($C1082,Outbound!$B:$AAZ,6,FALSE),VLOOKUP($B1082,Outbound!$B:$AAZ,6,FALSE)),"NON TROVATO"),"")</f>
        <v/>
      </c>
      <c r="I1082" s="394" t="str">
        <f>IF(B1082&lt;&gt;"",IFERROR(IF(LEFT($B1082,3)=$Z$2,VLOOKUP($C1082,Outbound!$B:$AAZ,52,FALSE),VLOOKUP($B1082,Outbound!$B:$AAZ,52,FALSE)),"NON TROVATO"),"")</f>
        <v/>
      </c>
      <c r="J1082" s="396"/>
      <c r="K1082" s="387" t="str">
        <f>IF(B1082&lt;&gt;"",IF($D1082&lt;&gt;"ON ROCS/NOT ON FILE",IFERROR(_xlfn.XLOOKUP(LEFT($D1082,3),'STAT 77 Table'!$B:$B,'STAT 77 Table'!$A:$A),"ZZ"&amp;RIGHT($B1082,4)),""),"")</f>
        <v/>
      </c>
      <c r="L1082" s="396"/>
      <c r="O1082" s="388"/>
      <c r="P1082" s="388"/>
      <c r="AA1082" s="421">
        <f t="shared" si="16"/>
        <v>0</v>
      </c>
    </row>
    <row r="1083" spans="1:27" ht="16.5">
      <c r="A1083" s="387">
        <f>'STAT 77 Table'!$I$1082</f>
        <v>0</v>
      </c>
      <c r="B1083"/>
      <c r="C1083"/>
      <c r="D1083" s="387" t="str">
        <f>IF($B1083&lt;&gt;"",IFERROR(IF(LEFT($B1083,3)=$Z$2,VLOOKUP($C1083,Outbound!$B:$Z,4,FALSE),VLOOKUP($B1083,Outbound!$B:$Z,4,FALSE)),"ON ROCS/NOT ON FILE"),"")</f>
        <v/>
      </c>
      <c r="E1083" s="387" t="str">
        <f>IF($B1083&lt;&gt;"",IFERROR(IF(LEFT($B1083,4)=$Z$2,VLOOKUP($C1083,Outbound!$B:$Z,5,FALSE),VLOOKUP($B1083,Outbound!$B:$Z,5,FALSE)),"ON ROCS/NOT ON FILE"),"")</f>
        <v/>
      </c>
      <c r="F1083" s="387" t="str">
        <f>IF(B1083&lt;&gt;"",IFERROR(IF(LEFT($B1083,3)=$Z$2,VLOOKUP($C1083,Outbound!$B:$Z,11,FALSE),VLOOKUP($B1083,Outbound!$B:$Z,11,FALSE)),"NON TROVATO"),"")</f>
        <v/>
      </c>
      <c r="G1083" s="394" t="str">
        <f>IF(B1083&lt;&gt;"",IFERROR(IF(LEFT($B1083,3)=$Z$2,VLOOKUP($C1083,Outbound!$B:$AAZ,16,FALSE),VLOOKUP($B1083,Outbound!$B:$AAZ,16,FALSE)),"NON TROVATO"),"")</f>
        <v/>
      </c>
      <c r="H1083" s="394" t="str">
        <f>IF(B1083&lt;&gt;"",IFERROR(IF(LEFT($B1083,3)=$Z$2,VLOOKUP($C1083,Outbound!$B:$AAZ,6,FALSE),VLOOKUP($B1083,Outbound!$B:$AAZ,6,FALSE)),"NON TROVATO"),"")</f>
        <v/>
      </c>
      <c r="I1083" s="394" t="str">
        <f>IF(B1083&lt;&gt;"",IFERROR(IF(LEFT($B1083,3)=$Z$2,VLOOKUP($C1083,Outbound!$B:$AAZ,52,FALSE),VLOOKUP($B1083,Outbound!$B:$AAZ,52,FALSE)),"NON TROVATO"),"")</f>
        <v/>
      </c>
      <c r="J1083" s="396"/>
      <c r="K1083" s="387" t="str">
        <f>IF(B1083&lt;&gt;"",IF($D1083&lt;&gt;"ON ROCS/NOT ON FILE",IFERROR(_xlfn.XLOOKUP(LEFT($D1083,3),'STAT 77 Table'!$B:$B,'STAT 77 Table'!$A:$A),"ZZ"&amp;RIGHT($B1083,4)),""),"")</f>
        <v/>
      </c>
      <c r="L1083" s="396"/>
      <c r="O1083" s="388"/>
      <c r="P1083" s="388"/>
      <c r="AA1083" s="421">
        <f t="shared" si="16"/>
        <v>0</v>
      </c>
    </row>
    <row r="1084" spans="1:27" ht="16.5">
      <c r="A1084" s="387">
        <f>'STAT 77 Table'!$I$1083</f>
        <v>0</v>
      </c>
      <c r="B1084"/>
      <c r="C1084"/>
      <c r="D1084" s="387" t="str">
        <f>IF($B1084&lt;&gt;"",IFERROR(IF(LEFT($B1084,3)=$Z$2,VLOOKUP($C1084,Outbound!$B:$Z,4,FALSE),VLOOKUP($B1084,Outbound!$B:$Z,4,FALSE)),"ON ROCS/NOT ON FILE"),"")</f>
        <v/>
      </c>
      <c r="E1084" s="387" t="str">
        <f>IF($B1084&lt;&gt;"",IFERROR(IF(LEFT($B1084,4)=$Z$2,VLOOKUP($C1084,Outbound!$B:$Z,5,FALSE),VLOOKUP($B1084,Outbound!$B:$Z,5,FALSE)),"ON ROCS/NOT ON FILE"),"")</f>
        <v/>
      </c>
      <c r="F1084" s="387" t="str">
        <f>IF(B1084&lt;&gt;"",IFERROR(IF(LEFT($B1084,3)=$Z$2,VLOOKUP($C1084,Outbound!$B:$Z,11,FALSE),VLOOKUP($B1084,Outbound!$B:$Z,11,FALSE)),"NON TROVATO"),"")</f>
        <v/>
      </c>
      <c r="G1084" s="394" t="str">
        <f>IF(B1084&lt;&gt;"",IFERROR(IF(LEFT($B1084,3)=$Z$2,VLOOKUP($C1084,Outbound!$B:$AAZ,16,FALSE),VLOOKUP($B1084,Outbound!$B:$AAZ,16,FALSE)),"NON TROVATO"),"")</f>
        <v/>
      </c>
      <c r="H1084" s="394" t="str">
        <f>IF(B1084&lt;&gt;"",IFERROR(IF(LEFT($B1084,3)=$Z$2,VLOOKUP($C1084,Outbound!$B:$AAZ,6,FALSE),VLOOKUP($B1084,Outbound!$B:$AAZ,6,FALSE)),"NON TROVATO"),"")</f>
        <v/>
      </c>
      <c r="I1084" s="394" t="str">
        <f>IF(B1084&lt;&gt;"",IFERROR(IF(LEFT($B1084,3)=$Z$2,VLOOKUP($C1084,Outbound!$B:$AAZ,52,FALSE),VLOOKUP($B1084,Outbound!$B:$AAZ,52,FALSE)),"NON TROVATO"),"")</f>
        <v/>
      </c>
      <c r="J1084" s="396"/>
      <c r="K1084" s="387" t="str">
        <f>IF(B1084&lt;&gt;"",IF($D1084&lt;&gt;"ON ROCS/NOT ON FILE",IFERROR(_xlfn.XLOOKUP(LEFT($D1084,3),'STAT 77 Table'!$B:$B,'STAT 77 Table'!$A:$A),"ZZ"&amp;RIGHT($B1084,4)),""),"")</f>
        <v/>
      </c>
      <c r="L1084" s="396"/>
      <c r="O1084" s="388"/>
      <c r="P1084" s="388"/>
      <c r="AA1084" s="421">
        <f t="shared" si="16"/>
        <v>0</v>
      </c>
    </row>
    <row r="1085" spans="1:27" ht="16.5">
      <c r="A1085" s="387">
        <f>'STAT 77 Table'!$I$1084</f>
        <v>0</v>
      </c>
      <c r="B1085"/>
      <c r="C1085"/>
      <c r="D1085" s="387" t="str">
        <f>IF($B1085&lt;&gt;"",IFERROR(IF(LEFT($B1085,3)=$Z$2,VLOOKUP($C1085,Outbound!$B:$Z,4,FALSE),VLOOKUP($B1085,Outbound!$B:$Z,4,FALSE)),"ON ROCS/NOT ON FILE"),"")</f>
        <v/>
      </c>
      <c r="E1085" s="387" t="str">
        <f>IF($B1085&lt;&gt;"",IFERROR(IF(LEFT($B1085,4)=$Z$2,VLOOKUP($C1085,Outbound!$B:$Z,5,FALSE),VLOOKUP($B1085,Outbound!$B:$Z,5,FALSE)),"ON ROCS/NOT ON FILE"),"")</f>
        <v/>
      </c>
      <c r="F1085" s="387" t="str">
        <f>IF(B1085&lt;&gt;"",IFERROR(IF(LEFT($B1085,3)=$Z$2,VLOOKUP($C1085,Outbound!$B:$Z,11,FALSE),VLOOKUP($B1085,Outbound!$B:$Z,11,FALSE)),"NON TROVATO"),"")</f>
        <v/>
      </c>
      <c r="G1085" s="394" t="str">
        <f>IF(B1085&lt;&gt;"",IFERROR(IF(LEFT($B1085,3)=$Z$2,VLOOKUP($C1085,Outbound!$B:$AAZ,16,FALSE),VLOOKUP($B1085,Outbound!$B:$AAZ,16,FALSE)),"NON TROVATO"),"")</f>
        <v/>
      </c>
      <c r="H1085" s="394" t="str">
        <f>IF(B1085&lt;&gt;"",IFERROR(IF(LEFT($B1085,3)=$Z$2,VLOOKUP($C1085,Outbound!$B:$AAZ,6,FALSE),VLOOKUP($B1085,Outbound!$B:$AAZ,6,FALSE)),"NON TROVATO"),"")</f>
        <v/>
      </c>
      <c r="I1085" s="394" t="str">
        <f>IF(B1085&lt;&gt;"",IFERROR(IF(LEFT($B1085,3)=$Z$2,VLOOKUP($C1085,Outbound!$B:$AAZ,52,FALSE),VLOOKUP($B1085,Outbound!$B:$AAZ,52,FALSE)),"NON TROVATO"),"")</f>
        <v/>
      </c>
      <c r="J1085" s="396"/>
      <c r="K1085" s="387" t="str">
        <f>IF(B1085&lt;&gt;"",IF($D1085&lt;&gt;"ON ROCS/NOT ON FILE",IFERROR(_xlfn.XLOOKUP(LEFT($D1085,3),'STAT 77 Table'!$B:$B,'STAT 77 Table'!$A:$A),"ZZ"&amp;RIGHT($B1085,4)),""),"")</f>
        <v/>
      </c>
      <c r="L1085" s="396"/>
      <c r="O1085" s="388"/>
      <c r="P1085" s="388"/>
      <c r="AA1085" s="421">
        <f t="shared" si="16"/>
        <v>0</v>
      </c>
    </row>
    <row r="1086" spans="1:27" ht="16.5">
      <c r="A1086" s="387">
        <f>'STAT 77 Table'!$I$1085</f>
        <v>0</v>
      </c>
      <c r="B1086"/>
      <c r="C1086"/>
      <c r="D1086" s="387" t="str">
        <f>IF($B1086&lt;&gt;"",IFERROR(IF(LEFT($B1086,3)=$Z$2,VLOOKUP($C1086,Outbound!$B:$Z,4,FALSE),VLOOKUP($B1086,Outbound!$B:$Z,4,FALSE)),"ON ROCS/NOT ON FILE"),"")</f>
        <v/>
      </c>
      <c r="E1086" s="387" t="str">
        <f>IF($B1086&lt;&gt;"",IFERROR(IF(LEFT($B1086,4)=$Z$2,VLOOKUP($C1086,Outbound!$B:$Z,5,FALSE),VLOOKUP($B1086,Outbound!$B:$Z,5,FALSE)),"ON ROCS/NOT ON FILE"),"")</f>
        <v/>
      </c>
      <c r="F1086" s="387" t="str">
        <f>IF(B1086&lt;&gt;"",IFERROR(IF(LEFT($B1086,3)=$Z$2,VLOOKUP($C1086,Outbound!$B:$Z,11,FALSE),VLOOKUP($B1086,Outbound!$B:$Z,11,FALSE)),"NON TROVATO"),"")</f>
        <v/>
      </c>
      <c r="G1086" s="394" t="str">
        <f>IF(B1086&lt;&gt;"",IFERROR(IF(LEFT($B1086,3)=$Z$2,VLOOKUP($C1086,Outbound!$B:$AAZ,16,FALSE),VLOOKUP($B1086,Outbound!$B:$AAZ,16,FALSE)),"NON TROVATO"),"")</f>
        <v/>
      </c>
      <c r="H1086" s="394" t="str">
        <f>IF(B1086&lt;&gt;"",IFERROR(IF(LEFT($B1086,3)=$Z$2,VLOOKUP($C1086,Outbound!$B:$AAZ,6,FALSE),VLOOKUP($B1086,Outbound!$B:$AAZ,6,FALSE)),"NON TROVATO"),"")</f>
        <v/>
      </c>
      <c r="I1086" s="394" t="str">
        <f>IF(B1086&lt;&gt;"",IFERROR(IF(LEFT($B1086,3)=$Z$2,VLOOKUP($C1086,Outbound!$B:$AAZ,52,FALSE),VLOOKUP($B1086,Outbound!$B:$AAZ,52,FALSE)),"NON TROVATO"),"")</f>
        <v/>
      </c>
      <c r="J1086" s="396"/>
      <c r="K1086" s="387" t="str">
        <f>IF(B1086&lt;&gt;"",IF($D1086&lt;&gt;"ON ROCS/NOT ON FILE",IFERROR(_xlfn.XLOOKUP(LEFT($D1086,3),'STAT 77 Table'!$B:$B,'STAT 77 Table'!$A:$A),"ZZ"&amp;RIGHT($B1086,4)),""),"")</f>
        <v/>
      </c>
      <c r="L1086" s="396"/>
      <c r="O1086" s="388"/>
      <c r="P1086" s="388"/>
      <c r="AA1086" s="421">
        <f t="shared" si="16"/>
        <v>0</v>
      </c>
    </row>
    <row r="1087" spans="1:27" ht="16.5">
      <c r="A1087" s="387">
        <f>'STAT 77 Table'!$I$1086</f>
        <v>0</v>
      </c>
      <c r="B1087"/>
      <c r="C1087"/>
      <c r="D1087" s="387" t="str">
        <f>IF($B1087&lt;&gt;"",IFERROR(IF(LEFT($B1087,3)=$Z$2,VLOOKUP($C1087,Outbound!$B:$Z,4,FALSE),VLOOKUP($B1087,Outbound!$B:$Z,4,FALSE)),"ON ROCS/NOT ON FILE"),"")</f>
        <v/>
      </c>
      <c r="E1087" s="387" t="str">
        <f>IF($B1087&lt;&gt;"",IFERROR(IF(LEFT($B1087,4)=$Z$2,VLOOKUP($C1087,Outbound!$B:$Z,5,FALSE),VLOOKUP($B1087,Outbound!$B:$Z,5,FALSE)),"ON ROCS/NOT ON FILE"),"")</f>
        <v/>
      </c>
      <c r="F1087" s="387" t="str">
        <f>IF(B1087&lt;&gt;"",IFERROR(IF(LEFT($B1087,3)=$Z$2,VLOOKUP($C1087,Outbound!$B:$Z,11,FALSE),VLOOKUP($B1087,Outbound!$B:$Z,11,FALSE)),"NON TROVATO"),"")</f>
        <v/>
      </c>
      <c r="G1087" s="394" t="str">
        <f>IF(B1087&lt;&gt;"",IFERROR(IF(LEFT($B1087,3)=$Z$2,VLOOKUP($C1087,Outbound!$B:$AAZ,16,FALSE),VLOOKUP($B1087,Outbound!$B:$AAZ,16,FALSE)),"NON TROVATO"),"")</f>
        <v/>
      </c>
      <c r="H1087" s="394" t="str">
        <f>IF(B1087&lt;&gt;"",IFERROR(IF(LEFT($B1087,3)=$Z$2,VLOOKUP($C1087,Outbound!$B:$AAZ,6,FALSE),VLOOKUP($B1087,Outbound!$B:$AAZ,6,FALSE)),"NON TROVATO"),"")</f>
        <v/>
      </c>
      <c r="I1087" s="394" t="str">
        <f>IF(B1087&lt;&gt;"",IFERROR(IF(LEFT($B1087,3)=$Z$2,VLOOKUP($C1087,Outbound!$B:$AAZ,52,FALSE),VLOOKUP($B1087,Outbound!$B:$AAZ,52,FALSE)),"NON TROVATO"),"")</f>
        <v/>
      </c>
      <c r="J1087" s="396"/>
      <c r="K1087" s="387" t="str">
        <f>IF(B1087&lt;&gt;"",IF($D1087&lt;&gt;"ON ROCS/NOT ON FILE",IFERROR(_xlfn.XLOOKUP(LEFT($D1087,3),'STAT 77 Table'!$B:$B,'STAT 77 Table'!$A:$A),"ZZ"&amp;RIGHT($B1087,4)),""),"")</f>
        <v/>
      </c>
      <c r="L1087" s="396"/>
      <c r="O1087" s="388"/>
      <c r="P1087" s="388"/>
      <c r="AA1087" s="421">
        <f t="shared" si="16"/>
        <v>0</v>
      </c>
    </row>
    <row r="1088" spans="1:27" ht="16.5">
      <c r="A1088" s="387">
        <f>'STAT 77 Table'!$I$1087</f>
        <v>0</v>
      </c>
      <c r="B1088"/>
      <c r="C1088"/>
      <c r="D1088" s="387" t="str">
        <f>IF($B1088&lt;&gt;"",IFERROR(IF(LEFT($B1088,3)=$Z$2,VLOOKUP($C1088,Outbound!$B:$Z,4,FALSE),VLOOKUP($B1088,Outbound!$B:$Z,4,FALSE)),"ON ROCS/NOT ON FILE"),"")</f>
        <v/>
      </c>
      <c r="E1088" s="387" t="str">
        <f>IF($B1088&lt;&gt;"",IFERROR(IF(LEFT($B1088,4)=$Z$2,VLOOKUP($C1088,Outbound!$B:$Z,5,FALSE),VLOOKUP($B1088,Outbound!$B:$Z,5,FALSE)),"ON ROCS/NOT ON FILE"),"")</f>
        <v/>
      </c>
      <c r="F1088" s="387" t="str">
        <f>IF(B1088&lt;&gt;"",IFERROR(IF(LEFT($B1088,3)=$Z$2,VLOOKUP($C1088,Outbound!$B:$Z,11,FALSE),VLOOKUP($B1088,Outbound!$B:$Z,11,FALSE)),"NON TROVATO"),"")</f>
        <v/>
      </c>
      <c r="G1088" s="394" t="str">
        <f>IF(B1088&lt;&gt;"",IFERROR(IF(LEFT($B1088,3)=$Z$2,VLOOKUP($C1088,Outbound!$B:$AAZ,16,FALSE),VLOOKUP($B1088,Outbound!$B:$AAZ,16,FALSE)),"NON TROVATO"),"")</f>
        <v/>
      </c>
      <c r="H1088" s="394" t="str">
        <f>IF(B1088&lt;&gt;"",IFERROR(IF(LEFT($B1088,3)=$Z$2,VLOOKUP($C1088,Outbound!$B:$AAZ,6,FALSE),VLOOKUP($B1088,Outbound!$B:$AAZ,6,FALSE)),"NON TROVATO"),"")</f>
        <v/>
      </c>
      <c r="I1088" s="394" t="str">
        <f>IF(B1088&lt;&gt;"",IFERROR(IF(LEFT($B1088,3)=$Z$2,VLOOKUP($C1088,Outbound!$B:$AAZ,52,FALSE),VLOOKUP($B1088,Outbound!$B:$AAZ,52,FALSE)),"NON TROVATO"),"")</f>
        <v/>
      </c>
      <c r="J1088" s="396"/>
      <c r="K1088" s="387" t="str">
        <f>IF(B1088&lt;&gt;"",IF($D1088&lt;&gt;"ON ROCS/NOT ON FILE",IFERROR(_xlfn.XLOOKUP(LEFT($D1088,3),'STAT 77 Table'!$B:$B,'STAT 77 Table'!$A:$A),"ZZ"&amp;RIGHT($B1088,4)),""),"")</f>
        <v/>
      </c>
      <c r="L1088" s="396"/>
      <c r="O1088" s="388"/>
      <c r="P1088" s="388"/>
      <c r="AA1088" s="421">
        <f t="shared" si="16"/>
        <v>0</v>
      </c>
    </row>
    <row r="1089" spans="1:27" ht="16.5">
      <c r="A1089" s="387">
        <f>'STAT 77 Table'!$I$1088</f>
        <v>0</v>
      </c>
      <c r="B1089"/>
      <c r="C1089"/>
      <c r="D1089" s="387" t="str">
        <f>IF($B1089&lt;&gt;"",IFERROR(IF(LEFT($B1089,3)=$Z$2,VLOOKUP($C1089,Outbound!$B:$Z,4,FALSE),VLOOKUP($B1089,Outbound!$B:$Z,4,FALSE)),"ON ROCS/NOT ON FILE"),"")</f>
        <v/>
      </c>
      <c r="E1089" s="387" t="str">
        <f>IF($B1089&lt;&gt;"",IFERROR(IF(LEFT($B1089,4)=$Z$2,VLOOKUP($C1089,Outbound!$B:$Z,5,FALSE),VLOOKUP($B1089,Outbound!$B:$Z,5,FALSE)),"ON ROCS/NOT ON FILE"),"")</f>
        <v/>
      </c>
      <c r="F1089" s="387" t="str">
        <f>IF(B1089&lt;&gt;"",IFERROR(IF(LEFT($B1089,3)=$Z$2,VLOOKUP($C1089,Outbound!$B:$Z,11,FALSE),VLOOKUP($B1089,Outbound!$B:$Z,11,FALSE)),"NON TROVATO"),"")</f>
        <v/>
      </c>
      <c r="G1089" s="394" t="str">
        <f>IF(B1089&lt;&gt;"",IFERROR(IF(LEFT($B1089,3)=$Z$2,VLOOKUP($C1089,Outbound!$B:$AAZ,16,FALSE),VLOOKUP($B1089,Outbound!$B:$AAZ,16,FALSE)),"NON TROVATO"),"")</f>
        <v/>
      </c>
      <c r="H1089" s="394" t="str">
        <f>IF(B1089&lt;&gt;"",IFERROR(IF(LEFT($B1089,3)=$Z$2,VLOOKUP($C1089,Outbound!$B:$AAZ,6,FALSE),VLOOKUP($B1089,Outbound!$B:$AAZ,6,FALSE)),"NON TROVATO"),"")</f>
        <v/>
      </c>
      <c r="I1089" s="394" t="str">
        <f>IF(B1089&lt;&gt;"",IFERROR(IF(LEFT($B1089,3)=$Z$2,VLOOKUP($C1089,Outbound!$B:$AAZ,52,FALSE),VLOOKUP($B1089,Outbound!$B:$AAZ,52,FALSE)),"NON TROVATO"),"")</f>
        <v/>
      </c>
      <c r="J1089" s="396"/>
      <c r="K1089" s="387" t="str">
        <f>IF(B1089&lt;&gt;"",IF($D1089&lt;&gt;"ON ROCS/NOT ON FILE",IFERROR(_xlfn.XLOOKUP(LEFT($D1089,3),'STAT 77 Table'!$B:$B,'STAT 77 Table'!$A:$A),"ZZ"&amp;RIGHT($B1089,4)),""),"")</f>
        <v/>
      </c>
      <c r="L1089" s="396"/>
      <c r="O1089" s="388"/>
      <c r="P1089" s="388"/>
      <c r="AA1089" s="421">
        <f t="shared" si="16"/>
        <v>0</v>
      </c>
    </row>
    <row r="1090" spans="1:27" ht="16.5">
      <c r="A1090" s="387">
        <f>'STAT 77 Table'!$I$1089</f>
        <v>0</v>
      </c>
      <c r="B1090"/>
      <c r="C1090"/>
      <c r="D1090" s="387" t="str">
        <f>IF($B1090&lt;&gt;"",IFERROR(IF(LEFT($B1090,3)=$Z$2,VLOOKUP($C1090,Outbound!$B:$Z,4,FALSE),VLOOKUP($B1090,Outbound!$B:$Z,4,FALSE)),"ON ROCS/NOT ON FILE"),"")</f>
        <v/>
      </c>
      <c r="E1090" s="387" t="str">
        <f>IF($B1090&lt;&gt;"",IFERROR(IF(LEFT($B1090,4)=$Z$2,VLOOKUP($C1090,Outbound!$B:$Z,5,FALSE),VLOOKUP($B1090,Outbound!$B:$Z,5,FALSE)),"ON ROCS/NOT ON FILE"),"")</f>
        <v/>
      </c>
      <c r="F1090" s="387" t="str">
        <f>IF(B1090&lt;&gt;"",IFERROR(IF(LEFT($B1090,3)=$Z$2,VLOOKUP($C1090,Outbound!$B:$Z,11,FALSE),VLOOKUP($B1090,Outbound!$B:$Z,11,FALSE)),"NON TROVATO"),"")</f>
        <v/>
      </c>
      <c r="G1090" s="394" t="str">
        <f>IF(B1090&lt;&gt;"",IFERROR(IF(LEFT($B1090,3)=$Z$2,VLOOKUP($C1090,Outbound!$B:$AAZ,16,FALSE),VLOOKUP($B1090,Outbound!$B:$AAZ,16,FALSE)),"NON TROVATO"),"")</f>
        <v/>
      </c>
      <c r="H1090" s="394" t="str">
        <f>IF(B1090&lt;&gt;"",IFERROR(IF(LEFT($B1090,3)=$Z$2,VLOOKUP($C1090,Outbound!$B:$AAZ,6,FALSE),VLOOKUP($B1090,Outbound!$B:$AAZ,6,FALSE)),"NON TROVATO"),"")</f>
        <v/>
      </c>
      <c r="I1090" s="394" t="str">
        <f>IF(B1090&lt;&gt;"",IFERROR(IF(LEFT($B1090,3)=$Z$2,VLOOKUP($C1090,Outbound!$B:$AAZ,52,FALSE),VLOOKUP($B1090,Outbound!$B:$AAZ,52,FALSE)),"NON TROVATO"),"")</f>
        <v/>
      </c>
      <c r="J1090" s="396"/>
      <c r="K1090" s="387" t="str">
        <f>IF(B1090&lt;&gt;"",IF($D1090&lt;&gt;"ON ROCS/NOT ON FILE",IFERROR(_xlfn.XLOOKUP(LEFT($D1090,3),'STAT 77 Table'!$B:$B,'STAT 77 Table'!$A:$A),"ZZ"&amp;RIGHT($B1090,4)),""),"")</f>
        <v/>
      </c>
      <c r="L1090" s="396"/>
      <c r="O1090" s="388"/>
      <c r="P1090" s="388"/>
      <c r="AA1090" s="421">
        <f t="shared" si="16"/>
        <v>0</v>
      </c>
    </row>
    <row r="1091" spans="1:27" ht="16.5">
      <c r="A1091" s="387">
        <f>'STAT 77 Table'!$I$1090</f>
        <v>0</v>
      </c>
      <c r="B1091"/>
      <c r="C1091"/>
      <c r="D1091" s="387" t="str">
        <f>IF($B1091&lt;&gt;"",IFERROR(IF(LEFT($B1091,3)=$Z$2,VLOOKUP($C1091,Outbound!$B:$Z,4,FALSE),VLOOKUP($B1091,Outbound!$B:$Z,4,FALSE)),"ON ROCS/NOT ON FILE"),"")</f>
        <v/>
      </c>
      <c r="E1091" s="387" t="str">
        <f>IF($B1091&lt;&gt;"",IFERROR(IF(LEFT($B1091,4)=$Z$2,VLOOKUP($C1091,Outbound!$B:$Z,5,FALSE),VLOOKUP($B1091,Outbound!$B:$Z,5,FALSE)),"ON ROCS/NOT ON FILE"),"")</f>
        <v/>
      </c>
      <c r="F1091" s="387" t="str">
        <f>IF(B1091&lt;&gt;"",IFERROR(IF(LEFT($B1091,3)=$Z$2,VLOOKUP($C1091,Outbound!$B:$Z,11,FALSE),VLOOKUP($B1091,Outbound!$B:$Z,11,FALSE)),"NON TROVATO"),"")</f>
        <v/>
      </c>
      <c r="G1091" s="394" t="str">
        <f>IF(B1091&lt;&gt;"",IFERROR(IF(LEFT($B1091,3)=$Z$2,VLOOKUP($C1091,Outbound!$B:$AAZ,16,FALSE),VLOOKUP($B1091,Outbound!$B:$AAZ,16,FALSE)),"NON TROVATO"),"")</f>
        <v/>
      </c>
      <c r="H1091" s="394" t="str">
        <f>IF(B1091&lt;&gt;"",IFERROR(IF(LEFT($B1091,3)=$Z$2,VLOOKUP($C1091,Outbound!$B:$AAZ,6,FALSE),VLOOKUP($B1091,Outbound!$B:$AAZ,6,FALSE)),"NON TROVATO"),"")</f>
        <v/>
      </c>
      <c r="I1091" s="394" t="str">
        <f>IF(B1091&lt;&gt;"",IFERROR(IF(LEFT($B1091,3)=$Z$2,VLOOKUP($C1091,Outbound!$B:$AAZ,52,FALSE),VLOOKUP($B1091,Outbound!$B:$AAZ,52,FALSE)),"NON TROVATO"),"")</f>
        <v/>
      </c>
      <c r="J1091" s="396"/>
      <c r="K1091" s="387" t="str">
        <f>IF(B1091&lt;&gt;"",IF($D1091&lt;&gt;"ON ROCS/NOT ON FILE",IFERROR(_xlfn.XLOOKUP(LEFT($D1091,3),'STAT 77 Table'!$B:$B,'STAT 77 Table'!$A:$A),"ZZ"&amp;RIGHT($B1091,4)),""),"")</f>
        <v/>
      </c>
      <c r="L1091" s="396"/>
      <c r="O1091" s="388"/>
      <c r="P1091" s="388"/>
      <c r="AA1091" s="421">
        <f t="shared" si="16"/>
        <v>0</v>
      </c>
    </row>
    <row r="1092" spans="1:27" ht="16.5">
      <c r="A1092" s="387">
        <f>'STAT 77 Table'!$I$1091</f>
        <v>0</v>
      </c>
      <c r="B1092"/>
      <c r="C1092"/>
      <c r="D1092" s="387" t="str">
        <f>IF($B1092&lt;&gt;"",IFERROR(IF(LEFT($B1092,3)=$Z$2,VLOOKUP($C1092,Outbound!$B:$Z,4,FALSE),VLOOKUP($B1092,Outbound!$B:$Z,4,FALSE)),"ON ROCS/NOT ON FILE"),"")</f>
        <v/>
      </c>
      <c r="E1092" s="387" t="str">
        <f>IF($B1092&lt;&gt;"",IFERROR(IF(LEFT($B1092,4)=$Z$2,VLOOKUP($C1092,Outbound!$B:$Z,5,FALSE),VLOOKUP($B1092,Outbound!$B:$Z,5,FALSE)),"ON ROCS/NOT ON FILE"),"")</f>
        <v/>
      </c>
      <c r="F1092" s="387" t="str">
        <f>IF(B1092&lt;&gt;"",IFERROR(IF(LEFT($B1092,3)=$Z$2,VLOOKUP($C1092,Outbound!$B:$Z,11,FALSE),VLOOKUP($B1092,Outbound!$B:$Z,11,FALSE)),"NON TROVATO"),"")</f>
        <v/>
      </c>
      <c r="G1092" s="394" t="str">
        <f>IF(B1092&lt;&gt;"",IFERROR(IF(LEFT($B1092,3)=$Z$2,VLOOKUP($C1092,Outbound!$B:$AAZ,16,FALSE),VLOOKUP($B1092,Outbound!$B:$AAZ,16,FALSE)),"NON TROVATO"),"")</f>
        <v/>
      </c>
      <c r="H1092" s="394" t="str">
        <f>IF(B1092&lt;&gt;"",IFERROR(IF(LEFT($B1092,3)=$Z$2,VLOOKUP($C1092,Outbound!$B:$AAZ,6,FALSE),VLOOKUP($B1092,Outbound!$B:$AAZ,6,FALSE)),"NON TROVATO"),"")</f>
        <v/>
      </c>
      <c r="I1092" s="394" t="str">
        <f>IF(B1092&lt;&gt;"",IFERROR(IF(LEFT($B1092,3)=$Z$2,VLOOKUP($C1092,Outbound!$B:$AAZ,52,FALSE),VLOOKUP($B1092,Outbound!$B:$AAZ,52,FALSE)),"NON TROVATO"),"")</f>
        <v/>
      </c>
      <c r="J1092" s="396"/>
      <c r="K1092" s="387" t="str">
        <f>IF(B1092&lt;&gt;"",IF($D1092&lt;&gt;"ON ROCS/NOT ON FILE",IFERROR(_xlfn.XLOOKUP(LEFT($D1092,3),'STAT 77 Table'!$B:$B,'STAT 77 Table'!$A:$A),"ZZ"&amp;RIGHT($B1092,4)),""),"")</f>
        <v/>
      </c>
      <c r="L1092" s="396"/>
      <c r="O1092" s="388"/>
      <c r="P1092" s="388"/>
      <c r="AA1092" s="421">
        <f t="shared" ref="AA1092:AA1155" si="17">IF(LEFT(A1092,3)=$X$2,C1092,B1092)</f>
        <v>0</v>
      </c>
    </row>
    <row r="1093" spans="1:27" ht="16.5">
      <c r="A1093" s="387">
        <f>'STAT 77 Table'!$I$1092</f>
        <v>0</v>
      </c>
      <c r="B1093"/>
      <c r="C1093"/>
      <c r="D1093" s="387" t="str">
        <f>IF($B1093&lt;&gt;"",IFERROR(IF(LEFT($B1093,3)=$Z$2,VLOOKUP($C1093,Outbound!$B:$Z,4,FALSE),VLOOKUP($B1093,Outbound!$B:$Z,4,FALSE)),"ON ROCS/NOT ON FILE"),"")</f>
        <v/>
      </c>
      <c r="E1093" s="387" t="str">
        <f>IF($B1093&lt;&gt;"",IFERROR(IF(LEFT($B1093,4)=$Z$2,VLOOKUP($C1093,Outbound!$B:$Z,5,FALSE),VLOOKUP($B1093,Outbound!$B:$Z,5,FALSE)),"ON ROCS/NOT ON FILE"),"")</f>
        <v/>
      </c>
      <c r="F1093" s="387" t="str">
        <f>IF(B1093&lt;&gt;"",IFERROR(IF(LEFT($B1093,3)=$Z$2,VLOOKUP($C1093,Outbound!$B:$Z,11,FALSE),VLOOKUP($B1093,Outbound!$B:$Z,11,FALSE)),"NON TROVATO"),"")</f>
        <v/>
      </c>
      <c r="G1093" s="394" t="str">
        <f>IF(B1093&lt;&gt;"",IFERROR(IF(LEFT($B1093,3)=$Z$2,VLOOKUP($C1093,Outbound!$B:$AAZ,16,FALSE),VLOOKUP($B1093,Outbound!$B:$AAZ,16,FALSE)),"NON TROVATO"),"")</f>
        <v/>
      </c>
      <c r="H1093" s="394" t="str">
        <f>IF(B1093&lt;&gt;"",IFERROR(IF(LEFT($B1093,3)=$Z$2,VLOOKUP($C1093,Outbound!$B:$AAZ,6,FALSE),VLOOKUP($B1093,Outbound!$B:$AAZ,6,FALSE)),"NON TROVATO"),"")</f>
        <v/>
      </c>
      <c r="I1093" s="394" t="str">
        <f>IF(B1093&lt;&gt;"",IFERROR(IF(LEFT($B1093,3)=$Z$2,VLOOKUP($C1093,Outbound!$B:$AAZ,52,FALSE),VLOOKUP($B1093,Outbound!$B:$AAZ,52,FALSE)),"NON TROVATO"),"")</f>
        <v/>
      </c>
      <c r="J1093" s="396"/>
      <c r="K1093" s="387" t="str">
        <f>IF(B1093&lt;&gt;"",IF($D1093&lt;&gt;"ON ROCS/NOT ON FILE",IFERROR(_xlfn.XLOOKUP(LEFT($D1093,3),'STAT 77 Table'!$B:$B,'STAT 77 Table'!$A:$A),"ZZ"&amp;RIGHT($B1093,4)),""),"")</f>
        <v/>
      </c>
      <c r="L1093" s="396"/>
      <c r="O1093" s="388"/>
      <c r="P1093" s="388"/>
      <c r="AA1093" s="421">
        <f t="shared" si="17"/>
        <v>0</v>
      </c>
    </row>
    <row r="1094" spans="1:27" ht="16.5">
      <c r="A1094" s="387">
        <f>'STAT 77 Table'!$I$1093</f>
        <v>0</v>
      </c>
      <c r="B1094"/>
      <c r="C1094"/>
      <c r="D1094" s="387" t="str">
        <f>IF($B1094&lt;&gt;"",IFERROR(IF(LEFT($B1094,3)=$Z$2,VLOOKUP($C1094,Outbound!$B:$Z,4,FALSE),VLOOKUP($B1094,Outbound!$B:$Z,4,FALSE)),"ON ROCS/NOT ON FILE"),"")</f>
        <v/>
      </c>
      <c r="E1094" s="387" t="str">
        <f>IF($B1094&lt;&gt;"",IFERROR(IF(LEFT($B1094,4)=$Z$2,VLOOKUP($C1094,Outbound!$B:$Z,5,FALSE),VLOOKUP($B1094,Outbound!$B:$Z,5,FALSE)),"ON ROCS/NOT ON FILE"),"")</f>
        <v/>
      </c>
      <c r="F1094" s="387" t="str">
        <f>IF(B1094&lt;&gt;"",IFERROR(IF(LEFT($B1094,3)=$Z$2,VLOOKUP($C1094,Outbound!$B:$Z,11,FALSE),VLOOKUP($B1094,Outbound!$B:$Z,11,FALSE)),"NON TROVATO"),"")</f>
        <v/>
      </c>
      <c r="G1094" s="394" t="str">
        <f>IF(B1094&lt;&gt;"",IFERROR(IF(LEFT($B1094,3)=$Z$2,VLOOKUP($C1094,Outbound!$B:$AAZ,16,FALSE),VLOOKUP($B1094,Outbound!$B:$AAZ,16,FALSE)),"NON TROVATO"),"")</f>
        <v/>
      </c>
      <c r="H1094" s="394" t="str">
        <f>IF(B1094&lt;&gt;"",IFERROR(IF(LEFT($B1094,3)=$Z$2,VLOOKUP($C1094,Outbound!$B:$AAZ,6,FALSE),VLOOKUP($B1094,Outbound!$B:$AAZ,6,FALSE)),"NON TROVATO"),"")</f>
        <v/>
      </c>
      <c r="I1094" s="394" t="str">
        <f>IF(B1094&lt;&gt;"",IFERROR(IF(LEFT($B1094,3)=$Z$2,VLOOKUP($C1094,Outbound!$B:$AAZ,52,FALSE),VLOOKUP($B1094,Outbound!$B:$AAZ,52,FALSE)),"NON TROVATO"),"")</f>
        <v/>
      </c>
      <c r="J1094" s="396"/>
      <c r="K1094" s="387" t="str">
        <f>IF(B1094&lt;&gt;"",IF($D1094&lt;&gt;"ON ROCS/NOT ON FILE",IFERROR(_xlfn.XLOOKUP(LEFT($D1094,3),'STAT 77 Table'!$B:$B,'STAT 77 Table'!$A:$A),"ZZ"&amp;RIGHT($B1094,4)),""),"")</f>
        <v/>
      </c>
      <c r="L1094" s="396"/>
      <c r="O1094" s="388"/>
      <c r="P1094" s="388"/>
      <c r="AA1094" s="421">
        <f t="shared" si="17"/>
        <v>0</v>
      </c>
    </row>
    <row r="1095" spans="1:27" ht="16.5">
      <c r="A1095" s="387">
        <f>'STAT 77 Table'!$I$1094</f>
        <v>0</v>
      </c>
      <c r="B1095"/>
      <c r="C1095"/>
      <c r="D1095" s="387" t="str">
        <f>IF($B1095&lt;&gt;"",IFERROR(IF(LEFT($B1095,3)=$Z$2,VLOOKUP($C1095,Outbound!$B:$Z,4,FALSE),VLOOKUP($B1095,Outbound!$B:$Z,4,FALSE)),"ON ROCS/NOT ON FILE"),"")</f>
        <v/>
      </c>
      <c r="E1095" s="387" t="str">
        <f>IF($B1095&lt;&gt;"",IFERROR(IF(LEFT($B1095,4)=$Z$2,VLOOKUP($C1095,Outbound!$B:$Z,5,FALSE),VLOOKUP($B1095,Outbound!$B:$Z,5,FALSE)),"ON ROCS/NOT ON FILE"),"")</f>
        <v/>
      </c>
      <c r="F1095" s="387" t="str">
        <f>IF(B1095&lt;&gt;"",IFERROR(IF(LEFT($B1095,3)=$Z$2,VLOOKUP($C1095,Outbound!$B:$Z,11,FALSE),VLOOKUP($B1095,Outbound!$B:$Z,11,FALSE)),"NON TROVATO"),"")</f>
        <v/>
      </c>
      <c r="G1095" s="394" t="str">
        <f>IF(B1095&lt;&gt;"",IFERROR(IF(LEFT($B1095,3)=$Z$2,VLOOKUP($C1095,Outbound!$B:$AAZ,16,FALSE),VLOOKUP($B1095,Outbound!$B:$AAZ,16,FALSE)),"NON TROVATO"),"")</f>
        <v/>
      </c>
      <c r="H1095" s="394" t="str">
        <f>IF(B1095&lt;&gt;"",IFERROR(IF(LEFT($B1095,3)=$Z$2,VLOOKUP($C1095,Outbound!$B:$AAZ,6,FALSE),VLOOKUP($B1095,Outbound!$B:$AAZ,6,FALSE)),"NON TROVATO"),"")</f>
        <v/>
      </c>
      <c r="I1095" s="394" t="str">
        <f>IF(B1095&lt;&gt;"",IFERROR(IF(LEFT($B1095,3)=$Z$2,VLOOKUP($C1095,Outbound!$B:$AAZ,52,FALSE),VLOOKUP($B1095,Outbound!$B:$AAZ,52,FALSE)),"NON TROVATO"),"")</f>
        <v/>
      </c>
      <c r="J1095" s="396"/>
      <c r="K1095" s="387" t="str">
        <f>IF(B1095&lt;&gt;"",IF($D1095&lt;&gt;"ON ROCS/NOT ON FILE",IFERROR(_xlfn.XLOOKUP(LEFT($D1095,3),'STAT 77 Table'!$B:$B,'STAT 77 Table'!$A:$A),"ZZ"&amp;RIGHT($B1095,4)),""),"")</f>
        <v/>
      </c>
      <c r="L1095" s="396"/>
      <c r="O1095" s="388"/>
      <c r="P1095" s="388"/>
      <c r="AA1095" s="421">
        <f t="shared" si="17"/>
        <v>0</v>
      </c>
    </row>
    <row r="1096" spans="1:27" ht="16.5">
      <c r="A1096" s="387">
        <f>'STAT 77 Table'!$I$1095</f>
        <v>0</v>
      </c>
      <c r="B1096"/>
      <c r="C1096"/>
      <c r="D1096" s="387" t="str">
        <f>IF($B1096&lt;&gt;"",IFERROR(IF(LEFT($B1096,3)=$Z$2,VLOOKUP($C1096,Outbound!$B:$Z,4,FALSE),VLOOKUP($B1096,Outbound!$B:$Z,4,FALSE)),"ON ROCS/NOT ON FILE"),"")</f>
        <v/>
      </c>
      <c r="E1096" s="387" t="str">
        <f>IF($B1096&lt;&gt;"",IFERROR(IF(LEFT($B1096,4)=$Z$2,VLOOKUP($C1096,Outbound!$B:$Z,5,FALSE),VLOOKUP($B1096,Outbound!$B:$Z,5,FALSE)),"ON ROCS/NOT ON FILE"),"")</f>
        <v/>
      </c>
      <c r="F1096" s="387" t="str">
        <f>IF(B1096&lt;&gt;"",IFERROR(IF(LEFT($B1096,3)=$Z$2,VLOOKUP($C1096,Outbound!$B:$Z,11,FALSE),VLOOKUP($B1096,Outbound!$B:$Z,11,FALSE)),"NON TROVATO"),"")</f>
        <v/>
      </c>
      <c r="G1096" s="394" t="str">
        <f>IF(B1096&lt;&gt;"",IFERROR(IF(LEFT($B1096,3)=$Z$2,VLOOKUP($C1096,Outbound!$B:$AAZ,16,FALSE),VLOOKUP($B1096,Outbound!$B:$AAZ,16,FALSE)),"NON TROVATO"),"")</f>
        <v/>
      </c>
      <c r="H1096" s="394" t="str">
        <f>IF(B1096&lt;&gt;"",IFERROR(IF(LEFT($B1096,3)=$Z$2,VLOOKUP($C1096,Outbound!$B:$AAZ,6,FALSE),VLOOKUP($B1096,Outbound!$B:$AAZ,6,FALSE)),"NON TROVATO"),"")</f>
        <v/>
      </c>
      <c r="I1096" s="394" t="str">
        <f>IF(B1096&lt;&gt;"",IFERROR(IF(LEFT($B1096,3)=$Z$2,VLOOKUP($C1096,Outbound!$B:$AAZ,52,FALSE),VLOOKUP($B1096,Outbound!$B:$AAZ,52,FALSE)),"NON TROVATO"),"")</f>
        <v/>
      </c>
      <c r="J1096" s="396"/>
      <c r="K1096" s="387" t="str">
        <f>IF(B1096&lt;&gt;"",IF($D1096&lt;&gt;"ON ROCS/NOT ON FILE",IFERROR(_xlfn.XLOOKUP(LEFT($D1096,3),'STAT 77 Table'!$B:$B,'STAT 77 Table'!$A:$A),"ZZ"&amp;RIGHT($B1096,4)),""),"")</f>
        <v/>
      </c>
      <c r="L1096" s="396"/>
      <c r="O1096" s="388"/>
      <c r="P1096" s="388"/>
      <c r="AA1096" s="421">
        <f t="shared" si="17"/>
        <v>0</v>
      </c>
    </row>
    <row r="1097" spans="1:27" ht="16.5">
      <c r="A1097" s="387">
        <f>'STAT 77 Table'!$I$1096</f>
        <v>0</v>
      </c>
      <c r="B1097"/>
      <c r="C1097"/>
      <c r="D1097" s="387" t="str">
        <f>IF($B1097&lt;&gt;"",IFERROR(IF(LEFT($B1097,3)=$Z$2,VLOOKUP($C1097,Outbound!$B:$Z,4,FALSE),VLOOKUP($B1097,Outbound!$B:$Z,4,FALSE)),"ON ROCS/NOT ON FILE"),"")</f>
        <v/>
      </c>
      <c r="E1097" s="387" t="str">
        <f>IF($B1097&lt;&gt;"",IFERROR(IF(LEFT($B1097,4)=$Z$2,VLOOKUP($C1097,Outbound!$B:$Z,5,FALSE),VLOOKUP($B1097,Outbound!$B:$Z,5,FALSE)),"ON ROCS/NOT ON FILE"),"")</f>
        <v/>
      </c>
      <c r="F1097" s="387" t="str">
        <f>IF(B1097&lt;&gt;"",IFERROR(IF(LEFT($B1097,3)=$Z$2,VLOOKUP($C1097,Outbound!$B:$Z,11,FALSE),VLOOKUP($B1097,Outbound!$B:$Z,11,FALSE)),"NON TROVATO"),"")</f>
        <v/>
      </c>
      <c r="G1097" s="394" t="str">
        <f>IF(B1097&lt;&gt;"",IFERROR(IF(LEFT($B1097,3)=$Z$2,VLOOKUP($C1097,Outbound!$B:$AAZ,16,FALSE),VLOOKUP($B1097,Outbound!$B:$AAZ,16,FALSE)),"NON TROVATO"),"")</f>
        <v/>
      </c>
      <c r="H1097" s="394" t="str">
        <f>IF(B1097&lt;&gt;"",IFERROR(IF(LEFT($B1097,3)=$Z$2,VLOOKUP($C1097,Outbound!$B:$AAZ,6,FALSE),VLOOKUP($B1097,Outbound!$B:$AAZ,6,FALSE)),"NON TROVATO"),"")</f>
        <v/>
      </c>
      <c r="I1097" s="394" t="str">
        <f>IF(B1097&lt;&gt;"",IFERROR(IF(LEFT($B1097,3)=$Z$2,VLOOKUP($C1097,Outbound!$B:$AAZ,52,FALSE),VLOOKUP($B1097,Outbound!$B:$AAZ,52,FALSE)),"NON TROVATO"),"")</f>
        <v/>
      </c>
      <c r="J1097" s="396"/>
      <c r="K1097" s="387" t="str">
        <f>IF(B1097&lt;&gt;"",IF($D1097&lt;&gt;"ON ROCS/NOT ON FILE",IFERROR(_xlfn.XLOOKUP(LEFT($D1097,3),'STAT 77 Table'!$B:$B,'STAT 77 Table'!$A:$A),"ZZ"&amp;RIGHT($B1097,4)),""),"")</f>
        <v/>
      </c>
      <c r="L1097" s="396"/>
      <c r="O1097" s="388"/>
      <c r="P1097" s="388"/>
      <c r="AA1097" s="421">
        <f t="shared" si="17"/>
        <v>0</v>
      </c>
    </row>
    <row r="1098" spans="1:27" ht="16.5">
      <c r="A1098" s="387">
        <f>'STAT 77 Table'!$I$1097</f>
        <v>0</v>
      </c>
      <c r="B1098"/>
      <c r="C1098"/>
      <c r="D1098" s="387" t="str">
        <f>IF($B1098&lt;&gt;"",IFERROR(IF(LEFT($B1098,3)=$Z$2,VLOOKUP($C1098,Outbound!$B:$Z,4,FALSE),VLOOKUP($B1098,Outbound!$B:$Z,4,FALSE)),"ON ROCS/NOT ON FILE"),"")</f>
        <v/>
      </c>
      <c r="E1098" s="387" t="str">
        <f>IF($B1098&lt;&gt;"",IFERROR(IF(LEFT($B1098,4)=$Z$2,VLOOKUP($C1098,Outbound!$B:$Z,5,FALSE),VLOOKUP($B1098,Outbound!$B:$Z,5,FALSE)),"ON ROCS/NOT ON FILE"),"")</f>
        <v/>
      </c>
      <c r="F1098" s="387" t="str">
        <f>IF(B1098&lt;&gt;"",IFERROR(IF(LEFT($B1098,3)=$Z$2,VLOOKUP($C1098,Outbound!$B:$Z,11,FALSE),VLOOKUP($B1098,Outbound!$B:$Z,11,FALSE)),"NON TROVATO"),"")</f>
        <v/>
      </c>
      <c r="G1098" s="394" t="str">
        <f>IF(B1098&lt;&gt;"",IFERROR(IF(LEFT($B1098,3)=$Z$2,VLOOKUP($C1098,Outbound!$B:$AAZ,16,FALSE),VLOOKUP($B1098,Outbound!$B:$AAZ,16,FALSE)),"NON TROVATO"),"")</f>
        <v/>
      </c>
      <c r="H1098" s="394" t="str">
        <f>IF(B1098&lt;&gt;"",IFERROR(IF(LEFT($B1098,3)=$Z$2,VLOOKUP($C1098,Outbound!$B:$AAZ,6,FALSE),VLOOKUP($B1098,Outbound!$B:$AAZ,6,FALSE)),"NON TROVATO"),"")</f>
        <v/>
      </c>
      <c r="I1098" s="394" t="str">
        <f>IF(B1098&lt;&gt;"",IFERROR(IF(LEFT($B1098,3)=$Z$2,VLOOKUP($C1098,Outbound!$B:$AAZ,52,FALSE),VLOOKUP($B1098,Outbound!$B:$AAZ,52,FALSE)),"NON TROVATO"),"")</f>
        <v/>
      </c>
      <c r="J1098" s="396"/>
      <c r="K1098" s="387" t="str">
        <f>IF(B1098&lt;&gt;"",IF($D1098&lt;&gt;"ON ROCS/NOT ON FILE",IFERROR(_xlfn.XLOOKUP(LEFT($D1098,3),'STAT 77 Table'!$B:$B,'STAT 77 Table'!$A:$A),"ZZ"&amp;RIGHT($B1098,4)),""),"")</f>
        <v/>
      </c>
      <c r="L1098" s="396"/>
      <c r="O1098" s="388"/>
      <c r="P1098" s="388"/>
      <c r="AA1098" s="421">
        <f t="shared" si="17"/>
        <v>0</v>
      </c>
    </row>
    <row r="1099" spans="1:27" ht="16.5">
      <c r="A1099" s="387">
        <f>'STAT 77 Table'!$I$1098</f>
        <v>0</v>
      </c>
      <c r="B1099"/>
      <c r="C1099"/>
      <c r="D1099" s="387" t="str">
        <f>IF($B1099&lt;&gt;"",IFERROR(IF(LEFT($B1099,3)=$Z$2,VLOOKUP($C1099,Outbound!$B:$Z,4,FALSE),VLOOKUP($B1099,Outbound!$B:$Z,4,FALSE)),"ON ROCS/NOT ON FILE"),"")</f>
        <v/>
      </c>
      <c r="E1099" s="387" t="str">
        <f>IF($B1099&lt;&gt;"",IFERROR(IF(LEFT($B1099,4)=$Z$2,VLOOKUP($C1099,Outbound!$B:$Z,5,FALSE),VLOOKUP($B1099,Outbound!$B:$Z,5,FALSE)),"ON ROCS/NOT ON FILE"),"")</f>
        <v/>
      </c>
      <c r="F1099" s="387" t="str">
        <f>IF(B1099&lt;&gt;"",IFERROR(IF(LEFT($B1099,3)=$Z$2,VLOOKUP($C1099,Outbound!$B:$Z,11,FALSE),VLOOKUP($B1099,Outbound!$B:$Z,11,FALSE)),"NON TROVATO"),"")</f>
        <v/>
      </c>
      <c r="G1099" s="394" t="str">
        <f>IF(B1099&lt;&gt;"",IFERROR(IF(LEFT($B1099,3)=$Z$2,VLOOKUP($C1099,Outbound!$B:$AAZ,16,FALSE),VLOOKUP($B1099,Outbound!$B:$AAZ,16,FALSE)),"NON TROVATO"),"")</f>
        <v/>
      </c>
      <c r="H1099" s="394" t="str">
        <f>IF(B1099&lt;&gt;"",IFERROR(IF(LEFT($B1099,3)=$Z$2,VLOOKUP($C1099,Outbound!$B:$AAZ,6,FALSE),VLOOKUP($B1099,Outbound!$B:$AAZ,6,FALSE)),"NON TROVATO"),"")</f>
        <v/>
      </c>
      <c r="I1099" s="394" t="str">
        <f>IF(B1099&lt;&gt;"",IFERROR(IF(LEFT($B1099,3)=$Z$2,VLOOKUP($C1099,Outbound!$B:$AAZ,52,FALSE),VLOOKUP($B1099,Outbound!$B:$AAZ,52,FALSE)),"NON TROVATO"),"")</f>
        <v/>
      </c>
      <c r="J1099" s="396"/>
      <c r="K1099" s="387" t="str">
        <f>IF(B1099&lt;&gt;"",IF($D1099&lt;&gt;"ON ROCS/NOT ON FILE",IFERROR(_xlfn.XLOOKUP(LEFT($D1099,3),'STAT 77 Table'!$B:$B,'STAT 77 Table'!$A:$A),"ZZ"&amp;RIGHT($B1099,4)),""),"")</f>
        <v/>
      </c>
      <c r="L1099" s="396"/>
      <c r="O1099" s="388"/>
      <c r="P1099" s="388"/>
      <c r="AA1099" s="421">
        <f t="shared" si="17"/>
        <v>0</v>
      </c>
    </row>
    <row r="1100" spans="1:27" ht="16.5">
      <c r="A1100" s="387">
        <f>'STAT 77 Table'!$I$1099</f>
        <v>0</v>
      </c>
      <c r="B1100"/>
      <c r="C1100"/>
      <c r="D1100" s="387" t="str">
        <f>IF($B1100&lt;&gt;"",IFERROR(IF(LEFT($B1100,3)=$Z$2,VLOOKUP($C1100,Outbound!$B:$Z,4,FALSE),VLOOKUP($B1100,Outbound!$B:$Z,4,FALSE)),"ON ROCS/NOT ON FILE"),"")</f>
        <v/>
      </c>
      <c r="E1100" s="387" t="str">
        <f>IF($B1100&lt;&gt;"",IFERROR(IF(LEFT($B1100,4)=$Z$2,VLOOKUP($C1100,Outbound!$B:$Z,5,FALSE),VLOOKUP($B1100,Outbound!$B:$Z,5,FALSE)),"ON ROCS/NOT ON FILE"),"")</f>
        <v/>
      </c>
      <c r="F1100" s="387" t="str">
        <f>IF(B1100&lt;&gt;"",IFERROR(IF(LEFT($B1100,3)=$Z$2,VLOOKUP($C1100,Outbound!$B:$Z,11,FALSE),VLOOKUP($B1100,Outbound!$B:$Z,11,FALSE)),"NON TROVATO"),"")</f>
        <v/>
      </c>
      <c r="G1100" s="394" t="str">
        <f>IF(B1100&lt;&gt;"",IFERROR(IF(LEFT($B1100,3)=$Z$2,VLOOKUP($C1100,Outbound!$B:$AAZ,16,FALSE),VLOOKUP($B1100,Outbound!$B:$AAZ,16,FALSE)),"NON TROVATO"),"")</f>
        <v/>
      </c>
      <c r="H1100" s="394" t="str">
        <f>IF(B1100&lt;&gt;"",IFERROR(IF(LEFT($B1100,3)=$Z$2,VLOOKUP($C1100,Outbound!$B:$AAZ,6,FALSE),VLOOKUP($B1100,Outbound!$B:$AAZ,6,FALSE)),"NON TROVATO"),"")</f>
        <v/>
      </c>
      <c r="I1100" s="394" t="str">
        <f>IF(B1100&lt;&gt;"",IFERROR(IF(LEFT($B1100,3)=$Z$2,VLOOKUP($C1100,Outbound!$B:$AAZ,52,FALSE),VLOOKUP($B1100,Outbound!$B:$AAZ,52,FALSE)),"NON TROVATO"),"")</f>
        <v/>
      </c>
      <c r="J1100" s="396"/>
      <c r="K1100" s="387" t="str">
        <f>IF(B1100&lt;&gt;"",IF($D1100&lt;&gt;"ON ROCS/NOT ON FILE",IFERROR(_xlfn.XLOOKUP(LEFT($D1100,3),'STAT 77 Table'!$B:$B,'STAT 77 Table'!$A:$A),"ZZ"&amp;RIGHT($B1100,4)),""),"")</f>
        <v/>
      </c>
      <c r="L1100" s="396"/>
      <c r="O1100" s="388"/>
      <c r="P1100" s="388"/>
      <c r="AA1100" s="421">
        <f t="shared" si="17"/>
        <v>0</v>
      </c>
    </row>
    <row r="1101" spans="1:27" ht="16.5">
      <c r="A1101" s="387">
        <f>'STAT 77 Table'!$I$1100</f>
        <v>0</v>
      </c>
      <c r="B1101"/>
      <c r="C1101"/>
      <c r="D1101" s="387" t="str">
        <f>IF($B1101&lt;&gt;"",IFERROR(IF(LEFT($B1101,3)=$Z$2,VLOOKUP($C1101,Outbound!$B:$Z,4,FALSE),VLOOKUP($B1101,Outbound!$B:$Z,4,FALSE)),"ON ROCS/NOT ON FILE"),"")</f>
        <v/>
      </c>
      <c r="E1101" s="387" t="str">
        <f>IF($B1101&lt;&gt;"",IFERROR(IF(LEFT($B1101,4)=$Z$2,VLOOKUP($C1101,Outbound!$B:$Z,5,FALSE),VLOOKUP($B1101,Outbound!$B:$Z,5,FALSE)),"ON ROCS/NOT ON FILE"),"")</f>
        <v/>
      </c>
      <c r="F1101" s="387" t="str">
        <f>IF(B1101&lt;&gt;"",IFERROR(IF(LEFT($B1101,3)=$Z$2,VLOOKUP($C1101,Outbound!$B:$Z,11,FALSE),VLOOKUP($B1101,Outbound!$B:$Z,11,FALSE)),"NON TROVATO"),"")</f>
        <v/>
      </c>
      <c r="G1101" s="394" t="str">
        <f>IF(B1101&lt;&gt;"",IFERROR(IF(LEFT($B1101,3)=$Z$2,VLOOKUP($C1101,Outbound!$B:$AAZ,16,FALSE),VLOOKUP($B1101,Outbound!$B:$AAZ,16,FALSE)),"NON TROVATO"),"")</f>
        <v/>
      </c>
      <c r="H1101" s="394" t="str">
        <f>IF(B1101&lt;&gt;"",IFERROR(IF(LEFT($B1101,3)=$Z$2,VLOOKUP($C1101,Outbound!$B:$AAZ,6,FALSE),VLOOKUP($B1101,Outbound!$B:$AAZ,6,FALSE)),"NON TROVATO"),"")</f>
        <v/>
      </c>
      <c r="I1101" s="394" t="str">
        <f>IF(B1101&lt;&gt;"",IFERROR(IF(LEFT($B1101,3)=$Z$2,VLOOKUP($C1101,Outbound!$B:$AAZ,52,FALSE),VLOOKUP($B1101,Outbound!$B:$AAZ,52,FALSE)),"NON TROVATO"),"")</f>
        <v/>
      </c>
      <c r="J1101" s="396"/>
      <c r="K1101" s="387" t="str">
        <f>IF(B1101&lt;&gt;"",IF($D1101&lt;&gt;"ON ROCS/NOT ON FILE",IFERROR(_xlfn.XLOOKUP(LEFT($D1101,3),'STAT 77 Table'!$B:$B,'STAT 77 Table'!$A:$A),"ZZ"&amp;RIGHT($B1101,4)),""),"")</f>
        <v/>
      </c>
      <c r="L1101" s="396"/>
      <c r="O1101" s="388"/>
      <c r="P1101" s="388"/>
      <c r="AA1101" s="421">
        <f t="shared" si="17"/>
        <v>0</v>
      </c>
    </row>
    <row r="1102" spans="1:27" ht="16.5">
      <c r="A1102" s="387">
        <f>'STAT 77 Table'!$I$1101</f>
        <v>0</v>
      </c>
      <c r="B1102"/>
      <c r="C1102"/>
      <c r="D1102" s="387" t="str">
        <f>IF($B1102&lt;&gt;"",IFERROR(IF(LEFT($B1102,3)=$Z$2,VLOOKUP($C1102,Outbound!$B:$Z,4,FALSE),VLOOKUP($B1102,Outbound!$B:$Z,4,FALSE)),"ON ROCS/NOT ON FILE"),"")</f>
        <v/>
      </c>
      <c r="E1102" s="387" t="str">
        <f>IF($B1102&lt;&gt;"",IFERROR(IF(LEFT($B1102,4)=$Z$2,VLOOKUP($C1102,Outbound!$B:$Z,5,FALSE),VLOOKUP($B1102,Outbound!$B:$Z,5,FALSE)),"ON ROCS/NOT ON FILE"),"")</f>
        <v/>
      </c>
      <c r="F1102" s="387" t="str">
        <f>IF(B1102&lt;&gt;"",IFERROR(IF(LEFT($B1102,3)=$Z$2,VLOOKUP($C1102,Outbound!$B:$Z,11,FALSE),VLOOKUP($B1102,Outbound!$B:$Z,11,FALSE)),"NON TROVATO"),"")</f>
        <v/>
      </c>
      <c r="G1102" s="394" t="str">
        <f>IF(B1102&lt;&gt;"",IFERROR(IF(LEFT($B1102,3)=$Z$2,VLOOKUP($C1102,Outbound!$B:$AAZ,16,FALSE),VLOOKUP($B1102,Outbound!$B:$AAZ,16,FALSE)),"NON TROVATO"),"")</f>
        <v/>
      </c>
      <c r="H1102" s="394" t="str">
        <f>IF(B1102&lt;&gt;"",IFERROR(IF(LEFT($B1102,3)=$Z$2,VLOOKUP($C1102,Outbound!$B:$AAZ,6,FALSE),VLOOKUP($B1102,Outbound!$B:$AAZ,6,FALSE)),"NON TROVATO"),"")</f>
        <v/>
      </c>
      <c r="I1102" s="394" t="str">
        <f>IF(B1102&lt;&gt;"",IFERROR(IF(LEFT($B1102,3)=$Z$2,VLOOKUP($C1102,Outbound!$B:$AAZ,52,FALSE),VLOOKUP($B1102,Outbound!$B:$AAZ,52,FALSE)),"NON TROVATO"),"")</f>
        <v/>
      </c>
      <c r="J1102" s="396"/>
      <c r="K1102" s="387" t="str">
        <f>IF(B1102&lt;&gt;"",IF($D1102&lt;&gt;"ON ROCS/NOT ON FILE",IFERROR(_xlfn.XLOOKUP(LEFT($D1102,3),'STAT 77 Table'!$B:$B,'STAT 77 Table'!$A:$A),"ZZ"&amp;RIGHT($B1102,4)),""),"")</f>
        <v/>
      </c>
      <c r="L1102" s="396"/>
      <c r="O1102" s="388"/>
      <c r="P1102" s="388"/>
      <c r="AA1102" s="421">
        <f t="shared" si="17"/>
        <v>0</v>
      </c>
    </row>
    <row r="1103" spans="1:27" ht="16.5">
      <c r="A1103" s="387">
        <f>'STAT 77 Table'!$I$1102</f>
        <v>0</v>
      </c>
      <c r="B1103"/>
      <c r="C1103"/>
      <c r="D1103" s="387" t="str">
        <f>IF($B1103&lt;&gt;"",IFERROR(IF(LEFT($B1103,3)=$Z$2,VLOOKUP($C1103,Outbound!$B:$Z,4,FALSE),VLOOKUP($B1103,Outbound!$B:$Z,4,FALSE)),"ON ROCS/NOT ON FILE"),"")</f>
        <v/>
      </c>
      <c r="E1103" s="387" t="str">
        <f>IF($B1103&lt;&gt;"",IFERROR(IF(LEFT($B1103,4)=$Z$2,VLOOKUP($C1103,Outbound!$B:$Z,5,FALSE),VLOOKUP($B1103,Outbound!$B:$Z,5,FALSE)),"ON ROCS/NOT ON FILE"),"")</f>
        <v/>
      </c>
      <c r="F1103" s="387" t="str">
        <f>IF(B1103&lt;&gt;"",IFERROR(IF(LEFT($B1103,3)=$Z$2,VLOOKUP($C1103,Outbound!$B:$Z,11,FALSE),VLOOKUP($B1103,Outbound!$B:$Z,11,FALSE)),"NON TROVATO"),"")</f>
        <v/>
      </c>
      <c r="G1103" s="394" t="str">
        <f>IF(B1103&lt;&gt;"",IFERROR(IF(LEFT($B1103,3)=$Z$2,VLOOKUP($C1103,Outbound!$B:$AAZ,16,FALSE),VLOOKUP($B1103,Outbound!$B:$AAZ,16,FALSE)),"NON TROVATO"),"")</f>
        <v/>
      </c>
      <c r="H1103" s="394" t="str">
        <f>IF(B1103&lt;&gt;"",IFERROR(IF(LEFT($B1103,3)=$Z$2,VLOOKUP($C1103,Outbound!$B:$AAZ,6,FALSE),VLOOKUP($B1103,Outbound!$B:$AAZ,6,FALSE)),"NON TROVATO"),"")</f>
        <v/>
      </c>
      <c r="I1103" s="394" t="str">
        <f>IF(B1103&lt;&gt;"",IFERROR(IF(LEFT($B1103,3)=$Z$2,VLOOKUP($C1103,Outbound!$B:$AAZ,52,FALSE),VLOOKUP($B1103,Outbound!$B:$AAZ,52,FALSE)),"NON TROVATO"),"")</f>
        <v/>
      </c>
      <c r="J1103" s="396"/>
      <c r="K1103" s="387" t="str">
        <f>IF(B1103&lt;&gt;"",IF($D1103&lt;&gt;"ON ROCS/NOT ON FILE",IFERROR(_xlfn.XLOOKUP(LEFT($D1103,3),'STAT 77 Table'!$B:$B,'STAT 77 Table'!$A:$A),"ZZ"&amp;RIGHT($B1103,4)),""),"")</f>
        <v/>
      </c>
      <c r="L1103" s="396"/>
      <c r="O1103" s="388"/>
      <c r="P1103" s="388"/>
      <c r="AA1103" s="421">
        <f t="shared" si="17"/>
        <v>0</v>
      </c>
    </row>
    <row r="1104" spans="1:27" ht="16.5">
      <c r="A1104" s="387">
        <f>'STAT 77 Table'!$I$1103</f>
        <v>0</v>
      </c>
      <c r="B1104"/>
      <c r="C1104"/>
      <c r="D1104" s="387" t="str">
        <f>IF($B1104&lt;&gt;"",IFERROR(IF(LEFT($B1104,3)=$Z$2,VLOOKUP($C1104,Outbound!$B:$Z,4,FALSE),VLOOKUP($B1104,Outbound!$B:$Z,4,FALSE)),"ON ROCS/NOT ON FILE"),"")</f>
        <v/>
      </c>
      <c r="E1104" s="387" t="str">
        <f>IF($B1104&lt;&gt;"",IFERROR(IF(LEFT($B1104,4)=$Z$2,VLOOKUP($C1104,Outbound!$B:$Z,5,FALSE),VLOOKUP($B1104,Outbound!$B:$Z,5,FALSE)),"ON ROCS/NOT ON FILE"),"")</f>
        <v/>
      </c>
      <c r="F1104" s="387" t="str">
        <f>IF(B1104&lt;&gt;"",IFERROR(IF(LEFT($B1104,3)=$Z$2,VLOOKUP($C1104,Outbound!$B:$Z,11,FALSE),VLOOKUP($B1104,Outbound!$B:$Z,11,FALSE)),"NON TROVATO"),"")</f>
        <v/>
      </c>
      <c r="G1104" s="394" t="str">
        <f>IF(B1104&lt;&gt;"",IFERROR(IF(LEFT($B1104,3)=$Z$2,VLOOKUP($C1104,Outbound!$B:$AAZ,16,FALSE),VLOOKUP($B1104,Outbound!$B:$AAZ,16,FALSE)),"NON TROVATO"),"")</f>
        <v/>
      </c>
      <c r="H1104" s="394" t="str">
        <f>IF(B1104&lt;&gt;"",IFERROR(IF(LEFT($B1104,3)=$Z$2,VLOOKUP($C1104,Outbound!$B:$AAZ,6,FALSE),VLOOKUP($B1104,Outbound!$B:$AAZ,6,FALSE)),"NON TROVATO"),"")</f>
        <v/>
      </c>
      <c r="I1104" s="394" t="str">
        <f>IF(B1104&lt;&gt;"",IFERROR(IF(LEFT($B1104,3)=$Z$2,VLOOKUP($C1104,Outbound!$B:$AAZ,52,FALSE),VLOOKUP($B1104,Outbound!$B:$AAZ,52,FALSE)),"NON TROVATO"),"")</f>
        <v/>
      </c>
      <c r="J1104" s="396"/>
      <c r="K1104" s="387" t="str">
        <f>IF(B1104&lt;&gt;"",IF($D1104&lt;&gt;"ON ROCS/NOT ON FILE",IFERROR(_xlfn.XLOOKUP(LEFT($D1104,3),'STAT 77 Table'!$B:$B,'STAT 77 Table'!$A:$A),"ZZ"&amp;RIGHT($B1104,4)),""),"")</f>
        <v/>
      </c>
      <c r="L1104" s="396"/>
      <c r="O1104" s="388"/>
      <c r="P1104" s="388"/>
      <c r="AA1104" s="421">
        <f t="shared" si="17"/>
        <v>0</v>
      </c>
    </row>
    <row r="1105" spans="1:27" ht="16.5">
      <c r="A1105" s="387">
        <f>'STAT 77 Table'!$I$1104</f>
        <v>0</v>
      </c>
      <c r="B1105"/>
      <c r="C1105"/>
      <c r="D1105" s="387" t="str">
        <f>IF($B1105&lt;&gt;"",IFERROR(IF(LEFT($B1105,3)=$Z$2,VLOOKUP($C1105,Outbound!$B:$Z,4,FALSE),VLOOKUP($B1105,Outbound!$B:$Z,4,FALSE)),"ON ROCS/NOT ON FILE"),"")</f>
        <v/>
      </c>
      <c r="E1105" s="387" t="str">
        <f>IF($B1105&lt;&gt;"",IFERROR(IF(LEFT($B1105,4)=$Z$2,VLOOKUP($C1105,Outbound!$B:$Z,5,FALSE),VLOOKUP($B1105,Outbound!$B:$Z,5,FALSE)),"ON ROCS/NOT ON FILE"),"")</f>
        <v/>
      </c>
      <c r="F1105" s="387" t="str">
        <f>IF(B1105&lt;&gt;"",IFERROR(IF(LEFT($B1105,3)=$Z$2,VLOOKUP($C1105,Outbound!$B:$Z,11,FALSE),VLOOKUP($B1105,Outbound!$B:$Z,11,FALSE)),"NON TROVATO"),"")</f>
        <v/>
      </c>
      <c r="G1105" s="394" t="str">
        <f>IF(B1105&lt;&gt;"",IFERROR(IF(LEFT($B1105,3)=$Z$2,VLOOKUP($C1105,Outbound!$B:$AAZ,16,FALSE),VLOOKUP($B1105,Outbound!$B:$AAZ,16,FALSE)),"NON TROVATO"),"")</f>
        <v/>
      </c>
      <c r="H1105" s="394" t="str">
        <f>IF(B1105&lt;&gt;"",IFERROR(IF(LEFT($B1105,3)=$Z$2,VLOOKUP($C1105,Outbound!$B:$AAZ,6,FALSE),VLOOKUP($B1105,Outbound!$B:$AAZ,6,FALSE)),"NON TROVATO"),"")</f>
        <v/>
      </c>
      <c r="I1105" s="394" t="str">
        <f>IF(B1105&lt;&gt;"",IFERROR(IF(LEFT($B1105,3)=$Z$2,VLOOKUP($C1105,Outbound!$B:$AAZ,52,FALSE),VLOOKUP($B1105,Outbound!$B:$AAZ,52,FALSE)),"NON TROVATO"),"")</f>
        <v/>
      </c>
      <c r="J1105" s="396"/>
      <c r="K1105" s="387" t="str">
        <f>IF(B1105&lt;&gt;"",IF($D1105&lt;&gt;"ON ROCS/NOT ON FILE",IFERROR(_xlfn.XLOOKUP(LEFT($D1105,3),'STAT 77 Table'!$B:$B,'STAT 77 Table'!$A:$A),"ZZ"&amp;RIGHT($B1105,4)),""),"")</f>
        <v/>
      </c>
      <c r="L1105" s="396"/>
      <c r="O1105" s="388"/>
      <c r="P1105" s="388"/>
      <c r="AA1105" s="421">
        <f t="shared" si="17"/>
        <v>0</v>
      </c>
    </row>
    <row r="1106" spans="1:27" ht="16.5">
      <c r="A1106" s="387">
        <f>'STAT 77 Table'!$I$1105</f>
        <v>0</v>
      </c>
      <c r="B1106"/>
      <c r="C1106"/>
      <c r="D1106" s="387" t="str">
        <f>IF($B1106&lt;&gt;"",IFERROR(IF(LEFT($B1106,3)=$Z$2,VLOOKUP($C1106,Outbound!$B:$Z,4,FALSE),VLOOKUP($B1106,Outbound!$B:$Z,4,FALSE)),"ON ROCS/NOT ON FILE"),"")</f>
        <v/>
      </c>
      <c r="E1106" s="387" t="str">
        <f>IF($B1106&lt;&gt;"",IFERROR(IF(LEFT($B1106,4)=$Z$2,VLOOKUP($C1106,Outbound!$B:$Z,5,FALSE),VLOOKUP($B1106,Outbound!$B:$Z,5,FALSE)),"ON ROCS/NOT ON FILE"),"")</f>
        <v/>
      </c>
      <c r="F1106" s="387" t="str">
        <f>IF(B1106&lt;&gt;"",IFERROR(IF(LEFT($B1106,3)=$Z$2,VLOOKUP($C1106,Outbound!$B:$Z,11,FALSE),VLOOKUP($B1106,Outbound!$B:$Z,11,FALSE)),"NON TROVATO"),"")</f>
        <v/>
      </c>
      <c r="G1106" s="394" t="str">
        <f>IF(B1106&lt;&gt;"",IFERROR(IF(LEFT($B1106,3)=$Z$2,VLOOKUP($C1106,Outbound!$B:$AAZ,16,FALSE),VLOOKUP($B1106,Outbound!$B:$AAZ,16,FALSE)),"NON TROVATO"),"")</f>
        <v/>
      </c>
      <c r="H1106" s="394" t="str">
        <f>IF(B1106&lt;&gt;"",IFERROR(IF(LEFT($B1106,3)=$Z$2,VLOOKUP($C1106,Outbound!$B:$AAZ,6,FALSE),VLOOKUP($B1106,Outbound!$B:$AAZ,6,FALSE)),"NON TROVATO"),"")</f>
        <v/>
      </c>
      <c r="I1106" s="394" t="str">
        <f>IF(B1106&lt;&gt;"",IFERROR(IF(LEFT($B1106,3)=$Z$2,VLOOKUP($C1106,Outbound!$B:$AAZ,52,FALSE),VLOOKUP($B1106,Outbound!$B:$AAZ,52,FALSE)),"NON TROVATO"),"")</f>
        <v/>
      </c>
      <c r="J1106" s="396"/>
      <c r="K1106" s="387" t="str">
        <f>IF(B1106&lt;&gt;"",IF($D1106&lt;&gt;"ON ROCS/NOT ON FILE",IFERROR(_xlfn.XLOOKUP(LEFT($D1106,3),'STAT 77 Table'!$B:$B,'STAT 77 Table'!$A:$A),"ZZ"&amp;RIGHT($B1106,4)),""),"")</f>
        <v/>
      </c>
      <c r="L1106" s="396"/>
      <c r="O1106" s="388"/>
      <c r="P1106" s="388"/>
      <c r="AA1106" s="421">
        <f t="shared" si="17"/>
        <v>0</v>
      </c>
    </row>
    <row r="1107" spans="1:27" ht="16.5">
      <c r="A1107" s="387">
        <f>'STAT 77 Table'!$I$1106</f>
        <v>0</v>
      </c>
      <c r="B1107"/>
      <c r="C1107"/>
      <c r="D1107" s="387" t="str">
        <f>IF($B1107&lt;&gt;"",IFERROR(IF(LEFT($B1107,3)=$Z$2,VLOOKUP($C1107,Outbound!$B:$Z,4,FALSE),VLOOKUP($B1107,Outbound!$B:$Z,4,FALSE)),"ON ROCS/NOT ON FILE"),"")</f>
        <v/>
      </c>
      <c r="E1107" s="387" t="str">
        <f>IF($B1107&lt;&gt;"",IFERROR(IF(LEFT($B1107,4)=$Z$2,VLOOKUP($C1107,Outbound!$B:$Z,5,FALSE),VLOOKUP($B1107,Outbound!$B:$Z,5,FALSE)),"ON ROCS/NOT ON FILE"),"")</f>
        <v/>
      </c>
      <c r="F1107" s="387" t="str">
        <f>IF(B1107&lt;&gt;"",IFERROR(IF(LEFT($B1107,3)=$Z$2,VLOOKUP($C1107,Outbound!$B:$Z,11,FALSE),VLOOKUP($B1107,Outbound!$B:$Z,11,FALSE)),"NON TROVATO"),"")</f>
        <v/>
      </c>
      <c r="G1107" s="394" t="str">
        <f>IF(B1107&lt;&gt;"",IFERROR(IF(LEFT($B1107,3)=$Z$2,VLOOKUP($C1107,Outbound!$B:$AAZ,16,FALSE),VLOOKUP($B1107,Outbound!$B:$AAZ,16,FALSE)),"NON TROVATO"),"")</f>
        <v/>
      </c>
      <c r="H1107" s="394" t="str">
        <f>IF(B1107&lt;&gt;"",IFERROR(IF(LEFT($B1107,3)=$Z$2,VLOOKUP($C1107,Outbound!$B:$AAZ,6,FALSE),VLOOKUP($B1107,Outbound!$B:$AAZ,6,FALSE)),"NON TROVATO"),"")</f>
        <v/>
      </c>
      <c r="I1107" s="394" t="str">
        <f>IF(B1107&lt;&gt;"",IFERROR(IF(LEFT($B1107,3)=$Z$2,VLOOKUP($C1107,Outbound!$B:$AAZ,52,FALSE),VLOOKUP($B1107,Outbound!$B:$AAZ,52,FALSE)),"NON TROVATO"),"")</f>
        <v/>
      </c>
      <c r="J1107" s="396"/>
      <c r="K1107" s="387" t="str">
        <f>IF(B1107&lt;&gt;"",IF($D1107&lt;&gt;"ON ROCS/NOT ON FILE",IFERROR(_xlfn.XLOOKUP(LEFT($D1107,3),'STAT 77 Table'!$B:$B,'STAT 77 Table'!$A:$A),"ZZ"&amp;RIGHT($B1107,4)),""),"")</f>
        <v/>
      </c>
      <c r="L1107" s="396"/>
      <c r="O1107" s="388"/>
      <c r="P1107" s="388"/>
      <c r="AA1107" s="421">
        <f t="shared" si="17"/>
        <v>0</v>
      </c>
    </row>
    <row r="1108" spans="1:27" ht="16.5">
      <c r="A1108" s="387">
        <f>'STAT 77 Table'!$I$1107</f>
        <v>0</v>
      </c>
      <c r="B1108"/>
      <c r="C1108"/>
      <c r="D1108" s="387" t="str">
        <f>IF($B1108&lt;&gt;"",IFERROR(IF(LEFT($B1108,3)=$Z$2,VLOOKUP($C1108,Outbound!$B:$Z,4,FALSE),VLOOKUP($B1108,Outbound!$B:$Z,4,FALSE)),"ON ROCS/NOT ON FILE"),"")</f>
        <v/>
      </c>
      <c r="E1108" s="387" t="str">
        <f>IF($B1108&lt;&gt;"",IFERROR(IF(LEFT($B1108,4)=$Z$2,VLOOKUP($C1108,Outbound!$B:$Z,5,FALSE),VLOOKUP($B1108,Outbound!$B:$Z,5,FALSE)),"ON ROCS/NOT ON FILE"),"")</f>
        <v/>
      </c>
      <c r="F1108" s="387" t="str">
        <f>IF(B1108&lt;&gt;"",IFERROR(IF(LEFT($B1108,3)=$Z$2,VLOOKUP($C1108,Outbound!$B:$Z,11,FALSE),VLOOKUP($B1108,Outbound!$B:$Z,11,FALSE)),"NON TROVATO"),"")</f>
        <v/>
      </c>
      <c r="G1108" s="394" t="str">
        <f>IF(B1108&lt;&gt;"",IFERROR(IF(LEFT($B1108,3)=$Z$2,VLOOKUP($C1108,Outbound!$B:$AAZ,16,FALSE),VLOOKUP($B1108,Outbound!$B:$AAZ,16,FALSE)),"NON TROVATO"),"")</f>
        <v/>
      </c>
      <c r="H1108" s="394" t="str">
        <f>IF(B1108&lt;&gt;"",IFERROR(IF(LEFT($B1108,3)=$Z$2,VLOOKUP($C1108,Outbound!$B:$AAZ,6,FALSE),VLOOKUP($B1108,Outbound!$B:$AAZ,6,FALSE)),"NON TROVATO"),"")</f>
        <v/>
      </c>
      <c r="I1108" s="394" t="str">
        <f>IF(B1108&lt;&gt;"",IFERROR(IF(LEFT($B1108,3)=$Z$2,VLOOKUP($C1108,Outbound!$B:$AAZ,52,FALSE),VLOOKUP($B1108,Outbound!$B:$AAZ,52,FALSE)),"NON TROVATO"),"")</f>
        <v/>
      </c>
      <c r="J1108" s="396"/>
      <c r="K1108" s="387" t="str">
        <f>IF(B1108&lt;&gt;"",IF($D1108&lt;&gt;"ON ROCS/NOT ON FILE",IFERROR(_xlfn.XLOOKUP(LEFT($D1108,3),'STAT 77 Table'!$B:$B,'STAT 77 Table'!$A:$A),"ZZ"&amp;RIGHT($B1108,4)),""),"")</f>
        <v/>
      </c>
      <c r="L1108" s="396"/>
      <c r="O1108" s="388"/>
      <c r="P1108" s="388"/>
      <c r="AA1108" s="421">
        <f t="shared" si="17"/>
        <v>0</v>
      </c>
    </row>
    <row r="1109" spans="1:27" ht="16.5">
      <c r="A1109" s="387">
        <f>'STAT 77 Table'!$I$1108</f>
        <v>0</v>
      </c>
      <c r="B1109"/>
      <c r="C1109"/>
      <c r="D1109" s="387" t="str">
        <f>IF($B1109&lt;&gt;"",IFERROR(IF(LEFT($B1109,3)=$Z$2,VLOOKUP($C1109,Outbound!$B:$Z,4,FALSE),VLOOKUP($B1109,Outbound!$B:$Z,4,FALSE)),"ON ROCS/NOT ON FILE"),"")</f>
        <v/>
      </c>
      <c r="E1109" s="387" t="str">
        <f>IF($B1109&lt;&gt;"",IFERROR(IF(LEFT($B1109,4)=$Z$2,VLOOKUP($C1109,Outbound!$B:$Z,5,FALSE),VLOOKUP($B1109,Outbound!$B:$Z,5,FALSE)),"ON ROCS/NOT ON FILE"),"")</f>
        <v/>
      </c>
      <c r="F1109" s="387" t="str">
        <f>IF(B1109&lt;&gt;"",IFERROR(IF(LEFT($B1109,3)=$Z$2,VLOOKUP($C1109,Outbound!$B:$Z,11,FALSE),VLOOKUP($B1109,Outbound!$B:$Z,11,FALSE)),"NON TROVATO"),"")</f>
        <v/>
      </c>
      <c r="G1109" s="394" t="str">
        <f>IF(B1109&lt;&gt;"",IFERROR(IF(LEFT($B1109,3)=$Z$2,VLOOKUP($C1109,Outbound!$B:$AAZ,16,FALSE),VLOOKUP($B1109,Outbound!$B:$AAZ,16,FALSE)),"NON TROVATO"),"")</f>
        <v/>
      </c>
      <c r="H1109" s="394" t="str">
        <f>IF(B1109&lt;&gt;"",IFERROR(IF(LEFT($B1109,3)=$Z$2,VLOOKUP($C1109,Outbound!$B:$AAZ,6,FALSE),VLOOKUP($B1109,Outbound!$B:$AAZ,6,FALSE)),"NON TROVATO"),"")</f>
        <v/>
      </c>
      <c r="I1109" s="394" t="str">
        <f>IF(B1109&lt;&gt;"",IFERROR(IF(LEFT($B1109,3)=$Z$2,VLOOKUP($C1109,Outbound!$B:$AAZ,52,FALSE),VLOOKUP($B1109,Outbound!$B:$AAZ,52,FALSE)),"NON TROVATO"),"")</f>
        <v/>
      </c>
      <c r="J1109" s="396"/>
      <c r="K1109" s="387" t="str">
        <f>IF(B1109&lt;&gt;"",IF($D1109&lt;&gt;"ON ROCS/NOT ON FILE",IFERROR(_xlfn.XLOOKUP(LEFT($D1109,3),'STAT 77 Table'!$B:$B,'STAT 77 Table'!$A:$A),"ZZ"&amp;RIGHT($B1109,4)),""),"")</f>
        <v/>
      </c>
      <c r="L1109" s="396"/>
      <c r="O1109" s="388"/>
      <c r="P1109" s="388"/>
      <c r="AA1109" s="421">
        <f t="shared" si="17"/>
        <v>0</v>
      </c>
    </row>
    <row r="1110" spans="1:27" ht="16.5">
      <c r="A1110" s="387">
        <f>'STAT 77 Table'!$I$1109</f>
        <v>0</v>
      </c>
      <c r="B1110"/>
      <c r="C1110"/>
      <c r="D1110" s="387" t="str">
        <f>IF($B1110&lt;&gt;"",IFERROR(IF(LEFT($B1110,3)=$Z$2,VLOOKUP($C1110,Outbound!$B:$Z,4,FALSE),VLOOKUP($B1110,Outbound!$B:$Z,4,FALSE)),"ON ROCS/NOT ON FILE"),"")</f>
        <v/>
      </c>
      <c r="E1110" s="387" t="str">
        <f>IF($B1110&lt;&gt;"",IFERROR(IF(LEFT($B1110,4)=$Z$2,VLOOKUP($C1110,Outbound!$B:$Z,5,FALSE),VLOOKUP($B1110,Outbound!$B:$Z,5,FALSE)),"ON ROCS/NOT ON FILE"),"")</f>
        <v/>
      </c>
      <c r="F1110" s="387" t="str">
        <f>IF(B1110&lt;&gt;"",IFERROR(IF(LEFT($B1110,3)=$Z$2,VLOOKUP($C1110,Outbound!$B:$Z,11,FALSE),VLOOKUP($B1110,Outbound!$B:$Z,11,FALSE)),"NON TROVATO"),"")</f>
        <v/>
      </c>
      <c r="G1110" s="394" t="str">
        <f>IF(B1110&lt;&gt;"",IFERROR(IF(LEFT($B1110,3)=$Z$2,VLOOKUP($C1110,Outbound!$B:$AAZ,16,FALSE),VLOOKUP($B1110,Outbound!$B:$AAZ,16,FALSE)),"NON TROVATO"),"")</f>
        <v/>
      </c>
      <c r="H1110" s="394" t="str">
        <f>IF(B1110&lt;&gt;"",IFERROR(IF(LEFT($B1110,3)=$Z$2,VLOOKUP($C1110,Outbound!$B:$AAZ,6,FALSE),VLOOKUP($B1110,Outbound!$B:$AAZ,6,FALSE)),"NON TROVATO"),"")</f>
        <v/>
      </c>
      <c r="I1110" s="394" t="str">
        <f>IF(B1110&lt;&gt;"",IFERROR(IF(LEFT($B1110,3)=$Z$2,VLOOKUP($C1110,Outbound!$B:$AAZ,52,FALSE),VLOOKUP($B1110,Outbound!$B:$AAZ,52,FALSE)),"NON TROVATO"),"")</f>
        <v/>
      </c>
      <c r="J1110" s="396"/>
      <c r="K1110" s="387" t="str">
        <f>IF(B1110&lt;&gt;"",IF($D1110&lt;&gt;"ON ROCS/NOT ON FILE",IFERROR(_xlfn.XLOOKUP(LEFT($D1110,3),'STAT 77 Table'!$B:$B,'STAT 77 Table'!$A:$A),"ZZ"&amp;RIGHT($B1110,4)),""),"")</f>
        <v/>
      </c>
      <c r="L1110" s="396"/>
      <c r="O1110" s="388"/>
      <c r="P1110" s="388"/>
      <c r="AA1110" s="421">
        <f t="shared" si="17"/>
        <v>0</v>
      </c>
    </row>
    <row r="1111" spans="1:27" ht="16.5">
      <c r="A1111" s="387">
        <f>'STAT 77 Table'!$I$1110</f>
        <v>0</v>
      </c>
      <c r="B1111"/>
      <c r="C1111"/>
      <c r="D1111" s="387" t="str">
        <f>IF($B1111&lt;&gt;"",IFERROR(IF(LEFT($B1111,3)=$Z$2,VLOOKUP($C1111,Outbound!$B:$Z,4,FALSE),VLOOKUP($B1111,Outbound!$B:$Z,4,FALSE)),"ON ROCS/NOT ON FILE"),"")</f>
        <v/>
      </c>
      <c r="E1111" s="387" t="str">
        <f>IF($B1111&lt;&gt;"",IFERROR(IF(LEFT($B1111,4)=$Z$2,VLOOKUP($C1111,Outbound!$B:$Z,5,FALSE),VLOOKUP($B1111,Outbound!$B:$Z,5,FALSE)),"ON ROCS/NOT ON FILE"),"")</f>
        <v/>
      </c>
      <c r="F1111" s="387" t="str">
        <f>IF(B1111&lt;&gt;"",IFERROR(IF(LEFT($B1111,3)=$Z$2,VLOOKUP($C1111,Outbound!$B:$Z,11,FALSE),VLOOKUP($B1111,Outbound!$B:$Z,11,FALSE)),"NON TROVATO"),"")</f>
        <v/>
      </c>
      <c r="G1111" s="394" t="str">
        <f>IF(B1111&lt;&gt;"",IFERROR(IF(LEFT($B1111,3)=$Z$2,VLOOKUP($C1111,Outbound!$B:$AAZ,16,FALSE),VLOOKUP($B1111,Outbound!$B:$AAZ,16,FALSE)),"NON TROVATO"),"")</f>
        <v/>
      </c>
      <c r="H1111" s="394" t="str">
        <f>IF(B1111&lt;&gt;"",IFERROR(IF(LEFT($B1111,3)=$Z$2,VLOOKUP($C1111,Outbound!$B:$AAZ,6,FALSE),VLOOKUP($B1111,Outbound!$B:$AAZ,6,FALSE)),"NON TROVATO"),"")</f>
        <v/>
      </c>
      <c r="I1111" s="394" t="str">
        <f>IF(B1111&lt;&gt;"",IFERROR(IF(LEFT($B1111,3)=$Z$2,VLOOKUP($C1111,Outbound!$B:$AAZ,52,FALSE),VLOOKUP($B1111,Outbound!$B:$AAZ,52,FALSE)),"NON TROVATO"),"")</f>
        <v/>
      </c>
      <c r="J1111" s="396"/>
      <c r="K1111" s="387" t="str">
        <f>IF(B1111&lt;&gt;"",IF($D1111&lt;&gt;"ON ROCS/NOT ON FILE",IFERROR(_xlfn.XLOOKUP(LEFT($D1111,3),'STAT 77 Table'!$B:$B,'STAT 77 Table'!$A:$A),"ZZ"&amp;RIGHT($B1111,4)),""),"")</f>
        <v/>
      </c>
      <c r="L1111" s="396"/>
      <c r="O1111" s="388"/>
      <c r="P1111" s="388"/>
      <c r="AA1111" s="421">
        <f t="shared" si="17"/>
        <v>0</v>
      </c>
    </row>
    <row r="1112" spans="1:27" ht="16.5">
      <c r="A1112" s="387">
        <f>'STAT 77 Table'!$I$1111</f>
        <v>0</v>
      </c>
      <c r="B1112"/>
      <c r="C1112"/>
      <c r="D1112" s="387" t="str">
        <f>IF($B1112&lt;&gt;"",IFERROR(IF(LEFT($B1112,3)=$Z$2,VLOOKUP($C1112,Outbound!$B:$Z,4,FALSE),VLOOKUP($B1112,Outbound!$B:$Z,4,FALSE)),"ON ROCS/NOT ON FILE"),"")</f>
        <v/>
      </c>
      <c r="E1112" s="387" t="str">
        <f>IF($B1112&lt;&gt;"",IFERROR(IF(LEFT($B1112,4)=$Z$2,VLOOKUP($C1112,Outbound!$B:$Z,5,FALSE),VLOOKUP($B1112,Outbound!$B:$Z,5,FALSE)),"ON ROCS/NOT ON FILE"),"")</f>
        <v/>
      </c>
      <c r="F1112" s="387" t="str">
        <f>IF(B1112&lt;&gt;"",IFERROR(IF(LEFT($B1112,3)=$Z$2,VLOOKUP($C1112,Outbound!$B:$Z,11,FALSE),VLOOKUP($B1112,Outbound!$B:$Z,11,FALSE)),"NON TROVATO"),"")</f>
        <v/>
      </c>
      <c r="G1112" s="394" t="str">
        <f>IF(B1112&lt;&gt;"",IFERROR(IF(LEFT($B1112,3)=$Z$2,VLOOKUP($C1112,Outbound!$B:$AAZ,16,FALSE),VLOOKUP($B1112,Outbound!$B:$AAZ,16,FALSE)),"NON TROVATO"),"")</f>
        <v/>
      </c>
      <c r="H1112" s="394" t="str">
        <f>IF(B1112&lt;&gt;"",IFERROR(IF(LEFT($B1112,3)=$Z$2,VLOOKUP($C1112,Outbound!$B:$AAZ,6,FALSE),VLOOKUP($B1112,Outbound!$B:$AAZ,6,FALSE)),"NON TROVATO"),"")</f>
        <v/>
      </c>
      <c r="I1112" s="394" t="str">
        <f>IF(B1112&lt;&gt;"",IFERROR(IF(LEFT($B1112,3)=$Z$2,VLOOKUP($C1112,Outbound!$B:$AAZ,52,FALSE),VLOOKUP($B1112,Outbound!$B:$AAZ,52,FALSE)),"NON TROVATO"),"")</f>
        <v/>
      </c>
      <c r="J1112" s="396"/>
      <c r="K1112" s="387" t="str">
        <f>IF(B1112&lt;&gt;"",IF($D1112&lt;&gt;"ON ROCS/NOT ON FILE",IFERROR(_xlfn.XLOOKUP(LEFT($D1112,3),'STAT 77 Table'!$B:$B,'STAT 77 Table'!$A:$A),"ZZ"&amp;RIGHT($B1112,4)),""),"")</f>
        <v/>
      </c>
      <c r="L1112" s="396"/>
      <c r="O1112" s="388"/>
      <c r="P1112" s="388"/>
      <c r="AA1112" s="421">
        <f t="shared" si="17"/>
        <v>0</v>
      </c>
    </row>
    <row r="1113" spans="1:27" ht="16.5">
      <c r="A1113" s="387">
        <f>'STAT 77 Table'!$I$1112</f>
        <v>0</v>
      </c>
      <c r="B1113"/>
      <c r="C1113"/>
      <c r="D1113" s="387" t="str">
        <f>IF($B1113&lt;&gt;"",IFERROR(IF(LEFT($B1113,3)=$Z$2,VLOOKUP($C1113,Outbound!$B:$Z,4,FALSE),VLOOKUP($B1113,Outbound!$B:$Z,4,FALSE)),"ON ROCS/NOT ON FILE"),"")</f>
        <v/>
      </c>
      <c r="E1113" s="387" t="str">
        <f>IF($B1113&lt;&gt;"",IFERROR(IF(LEFT($B1113,4)=$Z$2,VLOOKUP($C1113,Outbound!$B:$Z,5,FALSE),VLOOKUP($B1113,Outbound!$B:$Z,5,FALSE)),"ON ROCS/NOT ON FILE"),"")</f>
        <v/>
      </c>
      <c r="F1113" s="387" t="str">
        <f>IF(B1113&lt;&gt;"",IFERROR(IF(LEFT($B1113,3)=$Z$2,VLOOKUP($C1113,Outbound!$B:$Z,11,FALSE),VLOOKUP($B1113,Outbound!$B:$Z,11,FALSE)),"NON TROVATO"),"")</f>
        <v/>
      </c>
      <c r="G1113" s="394" t="str">
        <f>IF(B1113&lt;&gt;"",IFERROR(IF(LEFT($B1113,3)=$Z$2,VLOOKUP($C1113,Outbound!$B:$AAZ,16,FALSE),VLOOKUP($B1113,Outbound!$B:$AAZ,16,FALSE)),"NON TROVATO"),"")</f>
        <v/>
      </c>
      <c r="H1113" s="394" t="str">
        <f>IF(B1113&lt;&gt;"",IFERROR(IF(LEFT($B1113,3)=$Z$2,VLOOKUP($C1113,Outbound!$B:$AAZ,6,FALSE),VLOOKUP($B1113,Outbound!$B:$AAZ,6,FALSE)),"NON TROVATO"),"")</f>
        <v/>
      </c>
      <c r="I1113" s="394" t="str">
        <f>IF(B1113&lt;&gt;"",IFERROR(IF(LEFT($B1113,3)=$Z$2,VLOOKUP($C1113,Outbound!$B:$AAZ,52,FALSE),VLOOKUP($B1113,Outbound!$B:$AAZ,52,FALSE)),"NON TROVATO"),"")</f>
        <v/>
      </c>
      <c r="J1113" s="396"/>
      <c r="K1113" s="387" t="str">
        <f>IF(B1113&lt;&gt;"",IF($D1113&lt;&gt;"ON ROCS/NOT ON FILE",IFERROR(_xlfn.XLOOKUP(LEFT($D1113,3),'STAT 77 Table'!$B:$B,'STAT 77 Table'!$A:$A),"ZZ"&amp;RIGHT($B1113,4)),""),"")</f>
        <v/>
      </c>
      <c r="L1113" s="396"/>
      <c r="O1113" s="388"/>
      <c r="P1113" s="388"/>
      <c r="AA1113" s="421">
        <f t="shared" si="17"/>
        <v>0</v>
      </c>
    </row>
    <row r="1114" spans="1:27" ht="16.5">
      <c r="A1114" s="387">
        <f>'STAT 77 Table'!$I$1113</f>
        <v>0</v>
      </c>
      <c r="B1114"/>
      <c r="C1114"/>
      <c r="D1114" s="387" t="str">
        <f>IF($B1114&lt;&gt;"",IFERROR(IF(LEFT($B1114,3)=$Z$2,VLOOKUP($C1114,Outbound!$B:$Z,4,FALSE),VLOOKUP($B1114,Outbound!$B:$Z,4,FALSE)),"ON ROCS/NOT ON FILE"),"")</f>
        <v/>
      </c>
      <c r="E1114" s="387" t="str">
        <f>IF($B1114&lt;&gt;"",IFERROR(IF(LEFT($B1114,4)=$Z$2,VLOOKUP($C1114,Outbound!$B:$Z,5,FALSE),VLOOKUP($B1114,Outbound!$B:$Z,5,FALSE)),"ON ROCS/NOT ON FILE"),"")</f>
        <v/>
      </c>
      <c r="F1114" s="387" t="str">
        <f>IF(B1114&lt;&gt;"",IFERROR(IF(LEFT($B1114,3)=$Z$2,VLOOKUP($C1114,Outbound!$B:$Z,11,FALSE),VLOOKUP($B1114,Outbound!$B:$Z,11,FALSE)),"NON TROVATO"),"")</f>
        <v/>
      </c>
      <c r="G1114" s="394" t="str">
        <f>IF(B1114&lt;&gt;"",IFERROR(IF(LEFT($B1114,3)=$Z$2,VLOOKUP($C1114,Outbound!$B:$AAZ,16,FALSE),VLOOKUP($B1114,Outbound!$B:$AAZ,16,FALSE)),"NON TROVATO"),"")</f>
        <v/>
      </c>
      <c r="H1114" s="394" t="str">
        <f>IF(B1114&lt;&gt;"",IFERROR(IF(LEFT($B1114,3)=$Z$2,VLOOKUP($C1114,Outbound!$B:$AAZ,6,FALSE),VLOOKUP($B1114,Outbound!$B:$AAZ,6,FALSE)),"NON TROVATO"),"")</f>
        <v/>
      </c>
      <c r="I1114" s="394" t="str">
        <f>IF(B1114&lt;&gt;"",IFERROR(IF(LEFT($B1114,3)=$Z$2,VLOOKUP($C1114,Outbound!$B:$AAZ,52,FALSE),VLOOKUP($B1114,Outbound!$B:$AAZ,52,FALSE)),"NON TROVATO"),"")</f>
        <v/>
      </c>
      <c r="J1114" s="396"/>
      <c r="K1114" s="387" t="str">
        <f>IF(B1114&lt;&gt;"",IF($D1114&lt;&gt;"ON ROCS/NOT ON FILE",IFERROR(_xlfn.XLOOKUP(LEFT($D1114,3),'STAT 77 Table'!$B:$B,'STAT 77 Table'!$A:$A),"ZZ"&amp;RIGHT($B1114,4)),""),"")</f>
        <v/>
      </c>
      <c r="L1114" s="396"/>
      <c r="O1114" s="388"/>
      <c r="P1114" s="388"/>
      <c r="AA1114" s="421">
        <f t="shared" si="17"/>
        <v>0</v>
      </c>
    </row>
    <row r="1115" spans="1:27" ht="16.5">
      <c r="A1115" s="387">
        <f>'STAT 77 Table'!$I$1114</f>
        <v>0</v>
      </c>
      <c r="B1115"/>
      <c r="C1115"/>
      <c r="D1115" s="387" t="str">
        <f>IF($B1115&lt;&gt;"",IFERROR(IF(LEFT($B1115,3)=$Z$2,VLOOKUP($C1115,Outbound!$B:$Z,4,FALSE),VLOOKUP($B1115,Outbound!$B:$Z,4,FALSE)),"ON ROCS/NOT ON FILE"),"")</f>
        <v/>
      </c>
      <c r="E1115" s="387" t="str">
        <f>IF($B1115&lt;&gt;"",IFERROR(IF(LEFT($B1115,4)=$Z$2,VLOOKUP($C1115,Outbound!$B:$Z,5,FALSE),VLOOKUP($B1115,Outbound!$B:$Z,5,FALSE)),"ON ROCS/NOT ON FILE"),"")</f>
        <v/>
      </c>
      <c r="F1115" s="387" t="str">
        <f>IF(B1115&lt;&gt;"",IFERROR(IF(LEFT($B1115,3)=$Z$2,VLOOKUP($C1115,Outbound!$B:$Z,11,FALSE),VLOOKUP($B1115,Outbound!$B:$Z,11,FALSE)),"NON TROVATO"),"")</f>
        <v/>
      </c>
      <c r="G1115" s="394" t="str">
        <f>IF(B1115&lt;&gt;"",IFERROR(IF(LEFT($B1115,3)=$Z$2,VLOOKUP($C1115,Outbound!$B:$AAZ,16,FALSE),VLOOKUP($B1115,Outbound!$B:$AAZ,16,FALSE)),"NON TROVATO"),"")</f>
        <v/>
      </c>
      <c r="H1115" s="394" t="str">
        <f>IF(B1115&lt;&gt;"",IFERROR(IF(LEFT($B1115,3)=$Z$2,VLOOKUP($C1115,Outbound!$B:$AAZ,6,FALSE),VLOOKUP($B1115,Outbound!$B:$AAZ,6,FALSE)),"NON TROVATO"),"")</f>
        <v/>
      </c>
      <c r="I1115" s="394" t="str">
        <f>IF(B1115&lt;&gt;"",IFERROR(IF(LEFT($B1115,3)=$Z$2,VLOOKUP($C1115,Outbound!$B:$AAZ,52,FALSE),VLOOKUP($B1115,Outbound!$B:$AAZ,52,FALSE)),"NON TROVATO"),"")</f>
        <v/>
      </c>
      <c r="J1115" s="396"/>
      <c r="K1115" s="387" t="str">
        <f>IF(B1115&lt;&gt;"",IF($D1115&lt;&gt;"ON ROCS/NOT ON FILE",IFERROR(_xlfn.XLOOKUP(LEFT($D1115,3),'STAT 77 Table'!$B:$B,'STAT 77 Table'!$A:$A),"ZZ"&amp;RIGHT($B1115,4)),""),"")</f>
        <v/>
      </c>
      <c r="L1115" s="396"/>
      <c r="O1115" s="388"/>
      <c r="P1115" s="388"/>
      <c r="AA1115" s="421">
        <f t="shared" si="17"/>
        <v>0</v>
      </c>
    </row>
    <row r="1116" spans="1:27" ht="16.5">
      <c r="A1116" s="387">
        <f>'STAT 77 Table'!$I$1115</f>
        <v>0</v>
      </c>
      <c r="B1116"/>
      <c r="C1116"/>
      <c r="D1116" s="387" t="str">
        <f>IF($B1116&lt;&gt;"",IFERROR(IF(LEFT($B1116,3)=$Z$2,VLOOKUP($C1116,Outbound!$B:$Z,4,FALSE),VLOOKUP($B1116,Outbound!$B:$Z,4,FALSE)),"ON ROCS/NOT ON FILE"),"")</f>
        <v/>
      </c>
      <c r="E1116" s="387" t="str">
        <f>IF($B1116&lt;&gt;"",IFERROR(IF(LEFT($B1116,4)=$Z$2,VLOOKUP($C1116,Outbound!$B:$Z,5,FALSE),VLOOKUP($B1116,Outbound!$B:$Z,5,FALSE)),"ON ROCS/NOT ON FILE"),"")</f>
        <v/>
      </c>
      <c r="F1116" s="387" t="str">
        <f>IF(B1116&lt;&gt;"",IFERROR(IF(LEFT($B1116,3)=$Z$2,VLOOKUP($C1116,Outbound!$B:$Z,11,FALSE),VLOOKUP($B1116,Outbound!$B:$Z,11,FALSE)),"NON TROVATO"),"")</f>
        <v/>
      </c>
      <c r="G1116" s="394" t="str">
        <f>IF(B1116&lt;&gt;"",IFERROR(IF(LEFT($B1116,3)=$Z$2,VLOOKUP($C1116,Outbound!$B:$AAZ,16,FALSE),VLOOKUP($B1116,Outbound!$B:$AAZ,16,FALSE)),"NON TROVATO"),"")</f>
        <v/>
      </c>
      <c r="H1116" s="394" t="str">
        <f>IF(B1116&lt;&gt;"",IFERROR(IF(LEFT($B1116,3)=$Z$2,VLOOKUP($C1116,Outbound!$B:$AAZ,6,FALSE),VLOOKUP($B1116,Outbound!$B:$AAZ,6,FALSE)),"NON TROVATO"),"")</f>
        <v/>
      </c>
      <c r="I1116" s="394" t="str">
        <f>IF(B1116&lt;&gt;"",IFERROR(IF(LEFT($B1116,3)=$Z$2,VLOOKUP($C1116,Outbound!$B:$AAZ,52,FALSE),VLOOKUP($B1116,Outbound!$B:$AAZ,52,FALSE)),"NON TROVATO"),"")</f>
        <v/>
      </c>
      <c r="J1116" s="396"/>
      <c r="K1116" s="387" t="str">
        <f>IF(B1116&lt;&gt;"",IF($D1116&lt;&gt;"ON ROCS/NOT ON FILE",IFERROR(_xlfn.XLOOKUP(LEFT($D1116,3),'STAT 77 Table'!$B:$B,'STAT 77 Table'!$A:$A),"ZZ"&amp;RIGHT($B1116,4)),""),"")</f>
        <v/>
      </c>
      <c r="L1116" s="396"/>
      <c r="O1116" s="388"/>
      <c r="P1116" s="388"/>
      <c r="AA1116" s="421">
        <f t="shared" si="17"/>
        <v>0</v>
      </c>
    </row>
    <row r="1117" spans="1:27" ht="16.5">
      <c r="A1117" s="387">
        <f>'STAT 77 Table'!$I$1116</f>
        <v>0</v>
      </c>
      <c r="B1117"/>
      <c r="C1117"/>
      <c r="D1117" s="387" t="str">
        <f>IF($B1117&lt;&gt;"",IFERROR(IF(LEFT($B1117,3)=$Z$2,VLOOKUP($C1117,Outbound!$B:$Z,4,FALSE),VLOOKUP($B1117,Outbound!$B:$Z,4,FALSE)),"ON ROCS/NOT ON FILE"),"")</f>
        <v/>
      </c>
      <c r="E1117" s="387" t="str">
        <f>IF($B1117&lt;&gt;"",IFERROR(IF(LEFT($B1117,4)=$Z$2,VLOOKUP($C1117,Outbound!$B:$Z,5,FALSE),VLOOKUP($B1117,Outbound!$B:$Z,5,FALSE)),"ON ROCS/NOT ON FILE"),"")</f>
        <v/>
      </c>
      <c r="F1117" s="387" t="str">
        <f>IF(B1117&lt;&gt;"",IFERROR(IF(LEFT($B1117,3)=$Z$2,VLOOKUP($C1117,Outbound!$B:$Z,11,FALSE),VLOOKUP($B1117,Outbound!$B:$Z,11,FALSE)),"NON TROVATO"),"")</f>
        <v/>
      </c>
      <c r="G1117" s="394" t="str">
        <f>IF(B1117&lt;&gt;"",IFERROR(IF(LEFT($B1117,3)=$Z$2,VLOOKUP($C1117,Outbound!$B:$AAZ,16,FALSE),VLOOKUP($B1117,Outbound!$B:$AAZ,16,FALSE)),"NON TROVATO"),"")</f>
        <v/>
      </c>
      <c r="H1117" s="394" t="str">
        <f>IF(B1117&lt;&gt;"",IFERROR(IF(LEFT($B1117,3)=$Z$2,VLOOKUP($C1117,Outbound!$B:$AAZ,6,FALSE),VLOOKUP($B1117,Outbound!$B:$AAZ,6,FALSE)),"NON TROVATO"),"")</f>
        <v/>
      </c>
      <c r="I1117" s="394" t="str">
        <f>IF(B1117&lt;&gt;"",IFERROR(IF(LEFT($B1117,3)=$Z$2,VLOOKUP($C1117,Outbound!$B:$AAZ,52,FALSE),VLOOKUP($B1117,Outbound!$B:$AAZ,52,FALSE)),"NON TROVATO"),"")</f>
        <v/>
      </c>
      <c r="J1117" s="396"/>
      <c r="K1117" s="387" t="str">
        <f>IF(B1117&lt;&gt;"",IF($D1117&lt;&gt;"ON ROCS/NOT ON FILE",IFERROR(_xlfn.XLOOKUP(LEFT($D1117,3),'STAT 77 Table'!$B:$B,'STAT 77 Table'!$A:$A),"ZZ"&amp;RIGHT($B1117,4)),""),"")</f>
        <v/>
      </c>
      <c r="L1117" s="396"/>
      <c r="O1117" s="388"/>
      <c r="P1117" s="388"/>
      <c r="AA1117" s="421">
        <f t="shared" si="17"/>
        <v>0</v>
      </c>
    </row>
    <row r="1118" spans="1:27" ht="16.5">
      <c r="A1118" s="387">
        <f>'STAT 77 Table'!$I$1117</f>
        <v>0</v>
      </c>
      <c r="B1118"/>
      <c r="C1118"/>
      <c r="D1118" s="387" t="str">
        <f>IF($B1118&lt;&gt;"",IFERROR(IF(LEFT($B1118,3)=$Z$2,VLOOKUP($C1118,Outbound!$B:$Z,4,FALSE),VLOOKUP($B1118,Outbound!$B:$Z,4,FALSE)),"ON ROCS/NOT ON FILE"),"")</f>
        <v/>
      </c>
      <c r="E1118" s="387" t="str">
        <f>IF($B1118&lt;&gt;"",IFERROR(IF(LEFT($B1118,4)=$Z$2,VLOOKUP($C1118,Outbound!$B:$Z,5,FALSE),VLOOKUP($B1118,Outbound!$B:$Z,5,FALSE)),"ON ROCS/NOT ON FILE"),"")</f>
        <v/>
      </c>
      <c r="F1118" s="387" t="str">
        <f>IF(B1118&lt;&gt;"",IFERROR(IF(LEFT($B1118,3)=$Z$2,VLOOKUP($C1118,Outbound!$B:$Z,11,FALSE),VLOOKUP($B1118,Outbound!$B:$Z,11,FALSE)),"NON TROVATO"),"")</f>
        <v/>
      </c>
      <c r="G1118" s="394" t="str">
        <f>IF(B1118&lt;&gt;"",IFERROR(IF(LEFT($B1118,3)=$Z$2,VLOOKUP($C1118,Outbound!$B:$AAZ,16,FALSE),VLOOKUP($B1118,Outbound!$B:$AAZ,16,FALSE)),"NON TROVATO"),"")</f>
        <v/>
      </c>
      <c r="H1118" s="394" t="str">
        <f>IF(B1118&lt;&gt;"",IFERROR(IF(LEFT($B1118,3)=$Z$2,VLOOKUP($C1118,Outbound!$B:$AAZ,6,FALSE),VLOOKUP($B1118,Outbound!$B:$AAZ,6,FALSE)),"NON TROVATO"),"")</f>
        <v/>
      </c>
      <c r="I1118" s="394" t="str">
        <f>IF(B1118&lt;&gt;"",IFERROR(IF(LEFT($B1118,3)=$Z$2,VLOOKUP($C1118,Outbound!$B:$AAZ,52,FALSE),VLOOKUP($B1118,Outbound!$B:$AAZ,52,FALSE)),"NON TROVATO"),"")</f>
        <v/>
      </c>
      <c r="J1118" s="396"/>
      <c r="K1118" s="387" t="str">
        <f>IF(B1118&lt;&gt;"",IF($D1118&lt;&gt;"ON ROCS/NOT ON FILE",IFERROR(_xlfn.XLOOKUP(LEFT($D1118,3),'STAT 77 Table'!$B:$B,'STAT 77 Table'!$A:$A),"ZZ"&amp;RIGHT($B1118,4)),""),"")</f>
        <v/>
      </c>
      <c r="L1118" s="396"/>
      <c r="O1118" s="388"/>
      <c r="P1118" s="388"/>
      <c r="AA1118" s="421">
        <f t="shared" si="17"/>
        <v>0</v>
      </c>
    </row>
    <row r="1119" spans="1:27" ht="16.5">
      <c r="A1119" s="387">
        <f>'STAT 77 Table'!$I$1118</f>
        <v>0</v>
      </c>
      <c r="B1119"/>
      <c r="C1119"/>
      <c r="D1119" s="387" t="str">
        <f>IF($B1119&lt;&gt;"",IFERROR(IF(LEFT($B1119,3)=$Z$2,VLOOKUP($C1119,Outbound!$B:$Z,4,FALSE),VLOOKUP($B1119,Outbound!$B:$Z,4,FALSE)),"ON ROCS/NOT ON FILE"),"")</f>
        <v/>
      </c>
      <c r="E1119" s="387" t="str">
        <f>IF($B1119&lt;&gt;"",IFERROR(IF(LEFT($B1119,4)=$Z$2,VLOOKUP($C1119,Outbound!$B:$Z,5,FALSE),VLOOKUP($B1119,Outbound!$B:$Z,5,FALSE)),"ON ROCS/NOT ON FILE"),"")</f>
        <v/>
      </c>
      <c r="F1119" s="387" t="str">
        <f>IF(B1119&lt;&gt;"",IFERROR(IF(LEFT($B1119,3)=$Z$2,VLOOKUP($C1119,Outbound!$B:$Z,11,FALSE),VLOOKUP($B1119,Outbound!$B:$Z,11,FALSE)),"NON TROVATO"),"")</f>
        <v/>
      </c>
      <c r="G1119" s="394" t="str">
        <f>IF(B1119&lt;&gt;"",IFERROR(IF(LEFT($B1119,3)=$Z$2,VLOOKUP($C1119,Outbound!$B:$AAZ,16,FALSE),VLOOKUP($B1119,Outbound!$B:$AAZ,16,FALSE)),"NON TROVATO"),"")</f>
        <v/>
      </c>
      <c r="H1119" s="394" t="str">
        <f>IF(B1119&lt;&gt;"",IFERROR(IF(LEFT($B1119,3)=$Z$2,VLOOKUP($C1119,Outbound!$B:$AAZ,6,FALSE),VLOOKUP($B1119,Outbound!$B:$AAZ,6,FALSE)),"NON TROVATO"),"")</f>
        <v/>
      </c>
      <c r="I1119" s="394" t="str">
        <f>IF(B1119&lt;&gt;"",IFERROR(IF(LEFT($B1119,3)=$Z$2,VLOOKUP($C1119,Outbound!$B:$AAZ,52,FALSE),VLOOKUP($B1119,Outbound!$B:$AAZ,52,FALSE)),"NON TROVATO"),"")</f>
        <v/>
      </c>
      <c r="J1119" s="396"/>
      <c r="K1119" s="387" t="str">
        <f>IF(B1119&lt;&gt;"",IF($D1119&lt;&gt;"ON ROCS/NOT ON FILE",IFERROR(_xlfn.XLOOKUP(LEFT($D1119,3),'STAT 77 Table'!$B:$B,'STAT 77 Table'!$A:$A),"ZZ"&amp;RIGHT($B1119,4)),""),"")</f>
        <v/>
      </c>
      <c r="L1119" s="396"/>
      <c r="O1119" s="388"/>
      <c r="P1119" s="388"/>
      <c r="AA1119" s="421">
        <f t="shared" si="17"/>
        <v>0</v>
      </c>
    </row>
    <row r="1120" spans="1:27" ht="16.5">
      <c r="A1120" s="387">
        <f>'STAT 77 Table'!$I$1119</f>
        <v>0</v>
      </c>
      <c r="B1120"/>
      <c r="C1120"/>
      <c r="D1120" s="387" t="str">
        <f>IF($B1120&lt;&gt;"",IFERROR(IF(LEFT($B1120,3)=$Z$2,VLOOKUP($C1120,Outbound!$B:$Z,4,FALSE),VLOOKUP($B1120,Outbound!$B:$Z,4,FALSE)),"ON ROCS/NOT ON FILE"),"")</f>
        <v/>
      </c>
      <c r="E1120" s="387" t="str">
        <f>IF($B1120&lt;&gt;"",IFERROR(IF(LEFT($B1120,4)=$Z$2,VLOOKUP($C1120,Outbound!$B:$Z,5,FALSE),VLOOKUP($B1120,Outbound!$B:$Z,5,FALSE)),"ON ROCS/NOT ON FILE"),"")</f>
        <v/>
      </c>
      <c r="F1120" s="387" t="str">
        <f>IF(B1120&lt;&gt;"",IFERROR(IF(LEFT($B1120,3)=$Z$2,VLOOKUP($C1120,Outbound!$B:$Z,11,FALSE),VLOOKUP($B1120,Outbound!$B:$Z,11,FALSE)),"NON TROVATO"),"")</f>
        <v/>
      </c>
      <c r="G1120" s="394" t="str">
        <f>IF(B1120&lt;&gt;"",IFERROR(IF(LEFT($B1120,3)=$Z$2,VLOOKUP($C1120,Outbound!$B:$AAZ,16,FALSE),VLOOKUP($B1120,Outbound!$B:$AAZ,16,FALSE)),"NON TROVATO"),"")</f>
        <v/>
      </c>
      <c r="H1120" s="394" t="str">
        <f>IF(B1120&lt;&gt;"",IFERROR(IF(LEFT($B1120,3)=$Z$2,VLOOKUP($C1120,Outbound!$B:$AAZ,6,FALSE),VLOOKUP($B1120,Outbound!$B:$AAZ,6,FALSE)),"NON TROVATO"),"")</f>
        <v/>
      </c>
      <c r="I1120" s="394" t="str">
        <f>IF(B1120&lt;&gt;"",IFERROR(IF(LEFT($B1120,3)=$Z$2,VLOOKUP($C1120,Outbound!$B:$AAZ,52,FALSE),VLOOKUP($B1120,Outbound!$B:$AAZ,52,FALSE)),"NON TROVATO"),"")</f>
        <v/>
      </c>
      <c r="J1120" s="396"/>
      <c r="K1120" s="387" t="str">
        <f>IF(B1120&lt;&gt;"",IF($D1120&lt;&gt;"ON ROCS/NOT ON FILE",IFERROR(_xlfn.XLOOKUP(LEFT($D1120,3),'STAT 77 Table'!$B:$B,'STAT 77 Table'!$A:$A),"ZZ"&amp;RIGHT($B1120,4)),""),"")</f>
        <v/>
      </c>
      <c r="L1120" s="396"/>
      <c r="O1120" s="388"/>
      <c r="P1120" s="388"/>
      <c r="AA1120" s="421">
        <f t="shared" si="17"/>
        <v>0</v>
      </c>
    </row>
    <row r="1121" spans="1:27" ht="16.5">
      <c r="A1121" s="387">
        <f>'STAT 77 Table'!$I$1120</f>
        <v>0</v>
      </c>
      <c r="B1121"/>
      <c r="C1121"/>
      <c r="D1121" s="387" t="str">
        <f>IF($B1121&lt;&gt;"",IFERROR(IF(LEFT($B1121,3)=$Z$2,VLOOKUP($C1121,Outbound!$B:$Z,4,FALSE),VLOOKUP($B1121,Outbound!$B:$Z,4,FALSE)),"ON ROCS/NOT ON FILE"),"")</f>
        <v/>
      </c>
      <c r="E1121" s="387" t="str">
        <f>IF($B1121&lt;&gt;"",IFERROR(IF(LEFT($B1121,4)=$Z$2,VLOOKUP($C1121,Outbound!$B:$Z,5,FALSE),VLOOKUP($B1121,Outbound!$B:$Z,5,FALSE)),"ON ROCS/NOT ON FILE"),"")</f>
        <v/>
      </c>
      <c r="F1121" s="387" t="str">
        <f>IF(B1121&lt;&gt;"",IFERROR(IF(LEFT($B1121,3)=$Z$2,VLOOKUP($C1121,Outbound!$B:$Z,11,FALSE),VLOOKUP($B1121,Outbound!$B:$Z,11,FALSE)),"NON TROVATO"),"")</f>
        <v/>
      </c>
      <c r="G1121" s="394" t="str">
        <f>IF(B1121&lt;&gt;"",IFERROR(IF(LEFT($B1121,3)=$Z$2,VLOOKUP($C1121,Outbound!$B:$AAZ,16,FALSE),VLOOKUP($B1121,Outbound!$B:$AAZ,16,FALSE)),"NON TROVATO"),"")</f>
        <v/>
      </c>
      <c r="H1121" s="394" t="str">
        <f>IF(B1121&lt;&gt;"",IFERROR(IF(LEFT($B1121,3)=$Z$2,VLOOKUP($C1121,Outbound!$B:$AAZ,6,FALSE),VLOOKUP($B1121,Outbound!$B:$AAZ,6,FALSE)),"NON TROVATO"),"")</f>
        <v/>
      </c>
      <c r="I1121" s="394" t="str">
        <f>IF(B1121&lt;&gt;"",IFERROR(IF(LEFT($B1121,3)=$Z$2,VLOOKUP($C1121,Outbound!$B:$AAZ,52,FALSE),VLOOKUP($B1121,Outbound!$B:$AAZ,52,FALSE)),"NON TROVATO"),"")</f>
        <v/>
      </c>
      <c r="J1121" s="396"/>
      <c r="K1121" s="387" t="str">
        <f>IF(B1121&lt;&gt;"",IF($D1121&lt;&gt;"ON ROCS/NOT ON FILE",IFERROR(_xlfn.XLOOKUP(LEFT($D1121,3),'STAT 77 Table'!$B:$B,'STAT 77 Table'!$A:$A),"ZZ"&amp;RIGHT($B1121,4)),""),"")</f>
        <v/>
      </c>
      <c r="L1121" s="396"/>
      <c r="O1121" s="388"/>
      <c r="P1121" s="388"/>
      <c r="AA1121" s="421">
        <f t="shared" si="17"/>
        <v>0</v>
      </c>
    </row>
    <row r="1122" spans="1:27" ht="16.5">
      <c r="A1122" s="387">
        <f>'STAT 77 Table'!$I$1121</f>
        <v>0</v>
      </c>
      <c r="B1122"/>
      <c r="C1122"/>
      <c r="D1122" s="387" t="str">
        <f>IF($B1122&lt;&gt;"",IFERROR(IF(LEFT($B1122,3)=$Z$2,VLOOKUP($C1122,Outbound!$B:$Z,4,FALSE),VLOOKUP($B1122,Outbound!$B:$Z,4,FALSE)),"ON ROCS/NOT ON FILE"),"")</f>
        <v/>
      </c>
      <c r="E1122" s="387" t="str">
        <f>IF($B1122&lt;&gt;"",IFERROR(IF(LEFT($B1122,4)=$Z$2,VLOOKUP($C1122,Outbound!$B:$Z,5,FALSE),VLOOKUP($B1122,Outbound!$B:$Z,5,FALSE)),"ON ROCS/NOT ON FILE"),"")</f>
        <v/>
      </c>
      <c r="F1122" s="387" t="str">
        <f>IF(B1122&lt;&gt;"",IFERROR(IF(LEFT($B1122,3)=$Z$2,VLOOKUP($C1122,Outbound!$B:$Z,11,FALSE),VLOOKUP($B1122,Outbound!$B:$Z,11,FALSE)),"NON TROVATO"),"")</f>
        <v/>
      </c>
      <c r="G1122" s="394" t="str">
        <f>IF(B1122&lt;&gt;"",IFERROR(IF(LEFT($B1122,3)=$Z$2,VLOOKUP($C1122,Outbound!$B:$AAZ,16,FALSE),VLOOKUP($B1122,Outbound!$B:$AAZ,16,FALSE)),"NON TROVATO"),"")</f>
        <v/>
      </c>
      <c r="H1122" s="394" t="str">
        <f>IF(B1122&lt;&gt;"",IFERROR(IF(LEFT($B1122,3)=$Z$2,VLOOKUP($C1122,Outbound!$B:$AAZ,6,FALSE),VLOOKUP($B1122,Outbound!$B:$AAZ,6,FALSE)),"NON TROVATO"),"")</f>
        <v/>
      </c>
      <c r="I1122" s="394" t="str">
        <f>IF(B1122&lt;&gt;"",IFERROR(IF(LEFT($B1122,3)=$Z$2,VLOOKUP($C1122,Outbound!$B:$AAZ,52,FALSE),VLOOKUP($B1122,Outbound!$B:$AAZ,52,FALSE)),"NON TROVATO"),"")</f>
        <v/>
      </c>
      <c r="J1122" s="396"/>
      <c r="K1122" s="387" t="str">
        <f>IF(B1122&lt;&gt;"",IF($D1122&lt;&gt;"ON ROCS/NOT ON FILE",IFERROR(_xlfn.XLOOKUP(LEFT($D1122,3),'STAT 77 Table'!$B:$B,'STAT 77 Table'!$A:$A),"ZZ"&amp;RIGHT($B1122,4)),""),"")</f>
        <v/>
      </c>
      <c r="L1122" s="396"/>
      <c r="O1122" s="388"/>
      <c r="P1122" s="388"/>
      <c r="AA1122" s="421">
        <f t="shared" si="17"/>
        <v>0</v>
      </c>
    </row>
    <row r="1123" spans="1:27" ht="16.5">
      <c r="A1123" s="387">
        <f>'STAT 77 Table'!$I$1122</f>
        <v>0</v>
      </c>
      <c r="B1123"/>
      <c r="C1123"/>
      <c r="D1123" s="387" t="str">
        <f>IF($B1123&lt;&gt;"",IFERROR(IF(LEFT($B1123,3)=$Z$2,VLOOKUP($C1123,Outbound!$B:$Z,4,FALSE),VLOOKUP($B1123,Outbound!$B:$Z,4,FALSE)),"ON ROCS/NOT ON FILE"),"")</f>
        <v/>
      </c>
      <c r="E1123" s="387" t="str">
        <f>IF($B1123&lt;&gt;"",IFERROR(IF(LEFT($B1123,4)=$Z$2,VLOOKUP($C1123,Outbound!$B:$Z,5,FALSE),VLOOKUP($B1123,Outbound!$B:$Z,5,FALSE)),"ON ROCS/NOT ON FILE"),"")</f>
        <v/>
      </c>
      <c r="F1123" s="387" t="str">
        <f>IF(B1123&lt;&gt;"",IFERROR(IF(LEFT($B1123,3)=$Z$2,VLOOKUP($C1123,Outbound!$B:$Z,11,FALSE),VLOOKUP($B1123,Outbound!$B:$Z,11,FALSE)),"NON TROVATO"),"")</f>
        <v/>
      </c>
      <c r="G1123" s="394" t="str">
        <f>IF(B1123&lt;&gt;"",IFERROR(IF(LEFT($B1123,3)=$Z$2,VLOOKUP($C1123,Outbound!$B:$AAZ,16,FALSE),VLOOKUP($B1123,Outbound!$B:$AAZ,16,FALSE)),"NON TROVATO"),"")</f>
        <v/>
      </c>
      <c r="H1123" s="394" t="str">
        <f>IF(B1123&lt;&gt;"",IFERROR(IF(LEFT($B1123,3)=$Z$2,VLOOKUP($C1123,Outbound!$B:$AAZ,6,FALSE),VLOOKUP($B1123,Outbound!$B:$AAZ,6,FALSE)),"NON TROVATO"),"")</f>
        <v/>
      </c>
      <c r="I1123" s="394" t="str">
        <f>IF(B1123&lt;&gt;"",IFERROR(IF(LEFT($B1123,3)=$Z$2,VLOOKUP($C1123,Outbound!$B:$AAZ,52,FALSE),VLOOKUP($B1123,Outbound!$B:$AAZ,52,FALSE)),"NON TROVATO"),"")</f>
        <v/>
      </c>
      <c r="J1123" s="396"/>
      <c r="K1123" s="387" t="str">
        <f>IF(B1123&lt;&gt;"",IF($D1123&lt;&gt;"ON ROCS/NOT ON FILE",IFERROR(_xlfn.XLOOKUP(LEFT($D1123,3),'STAT 77 Table'!$B:$B,'STAT 77 Table'!$A:$A),"ZZ"&amp;RIGHT($B1123,4)),""),"")</f>
        <v/>
      </c>
      <c r="L1123" s="396"/>
      <c r="O1123" s="388"/>
      <c r="P1123" s="388"/>
      <c r="AA1123" s="421">
        <f t="shared" si="17"/>
        <v>0</v>
      </c>
    </row>
    <row r="1124" spans="1:27" ht="16.5">
      <c r="A1124" s="387">
        <f>'STAT 77 Table'!$I$1123</f>
        <v>0</v>
      </c>
      <c r="B1124"/>
      <c r="C1124"/>
      <c r="D1124" s="387" t="str">
        <f>IF($B1124&lt;&gt;"",IFERROR(IF(LEFT($B1124,3)=$Z$2,VLOOKUP($C1124,Outbound!$B:$Z,4,FALSE),VLOOKUP($B1124,Outbound!$B:$Z,4,FALSE)),"ON ROCS/NOT ON FILE"),"")</f>
        <v/>
      </c>
      <c r="E1124" s="387" t="str">
        <f>IF($B1124&lt;&gt;"",IFERROR(IF(LEFT($B1124,4)=$Z$2,VLOOKUP($C1124,Outbound!$B:$Z,5,FALSE),VLOOKUP($B1124,Outbound!$B:$Z,5,FALSE)),"ON ROCS/NOT ON FILE"),"")</f>
        <v/>
      </c>
      <c r="F1124" s="387" t="str">
        <f>IF(B1124&lt;&gt;"",IFERROR(IF(LEFT($B1124,3)=$Z$2,VLOOKUP($C1124,Outbound!$B:$Z,11,FALSE),VLOOKUP($B1124,Outbound!$B:$Z,11,FALSE)),"NON TROVATO"),"")</f>
        <v/>
      </c>
      <c r="G1124" s="394" t="str">
        <f>IF(B1124&lt;&gt;"",IFERROR(IF(LEFT($B1124,3)=$Z$2,VLOOKUP($C1124,Outbound!$B:$AAZ,16,FALSE),VLOOKUP($B1124,Outbound!$B:$AAZ,16,FALSE)),"NON TROVATO"),"")</f>
        <v/>
      </c>
      <c r="H1124" s="394" t="str">
        <f>IF(B1124&lt;&gt;"",IFERROR(IF(LEFT($B1124,3)=$Z$2,VLOOKUP($C1124,Outbound!$B:$AAZ,6,FALSE),VLOOKUP($B1124,Outbound!$B:$AAZ,6,FALSE)),"NON TROVATO"),"")</f>
        <v/>
      </c>
      <c r="I1124" s="394" t="str">
        <f>IF(B1124&lt;&gt;"",IFERROR(IF(LEFT($B1124,3)=$Z$2,VLOOKUP($C1124,Outbound!$B:$AAZ,52,FALSE),VLOOKUP($B1124,Outbound!$B:$AAZ,52,FALSE)),"NON TROVATO"),"")</f>
        <v/>
      </c>
      <c r="J1124" s="396"/>
      <c r="K1124" s="387" t="str">
        <f>IF(B1124&lt;&gt;"",IF($D1124&lt;&gt;"ON ROCS/NOT ON FILE",IFERROR(_xlfn.XLOOKUP(LEFT($D1124,3),'STAT 77 Table'!$B:$B,'STAT 77 Table'!$A:$A),"ZZ"&amp;RIGHT($B1124,4)),""),"")</f>
        <v/>
      </c>
      <c r="L1124" s="396"/>
      <c r="O1124" s="388"/>
      <c r="P1124" s="388"/>
      <c r="AA1124" s="421">
        <f t="shared" si="17"/>
        <v>0</v>
      </c>
    </row>
    <row r="1125" spans="1:27" ht="16.5">
      <c r="A1125" s="387">
        <f>'STAT 77 Table'!$I$1124</f>
        <v>0</v>
      </c>
      <c r="B1125"/>
      <c r="C1125"/>
      <c r="D1125" s="387" t="str">
        <f>IF($B1125&lt;&gt;"",IFERROR(IF(LEFT($B1125,3)=$Z$2,VLOOKUP($C1125,Outbound!$B:$Z,4,FALSE),VLOOKUP($B1125,Outbound!$B:$Z,4,FALSE)),"ON ROCS/NOT ON FILE"),"")</f>
        <v/>
      </c>
      <c r="E1125" s="387" t="str">
        <f>IF($B1125&lt;&gt;"",IFERROR(IF(LEFT($B1125,4)=$Z$2,VLOOKUP($C1125,Outbound!$B:$Z,5,FALSE),VLOOKUP($B1125,Outbound!$B:$Z,5,FALSE)),"ON ROCS/NOT ON FILE"),"")</f>
        <v/>
      </c>
      <c r="F1125" s="387" t="str">
        <f>IF(B1125&lt;&gt;"",IFERROR(IF(LEFT($B1125,3)=$Z$2,VLOOKUP($C1125,Outbound!$B:$Z,11,FALSE),VLOOKUP($B1125,Outbound!$B:$Z,11,FALSE)),"NON TROVATO"),"")</f>
        <v/>
      </c>
      <c r="G1125" s="394" t="str">
        <f>IF(B1125&lt;&gt;"",IFERROR(IF(LEFT($B1125,3)=$Z$2,VLOOKUP($C1125,Outbound!$B:$AAZ,16,FALSE),VLOOKUP($B1125,Outbound!$B:$AAZ,16,FALSE)),"NON TROVATO"),"")</f>
        <v/>
      </c>
      <c r="H1125" s="394" t="str">
        <f>IF(B1125&lt;&gt;"",IFERROR(IF(LEFT($B1125,3)=$Z$2,VLOOKUP($C1125,Outbound!$B:$AAZ,6,FALSE),VLOOKUP($B1125,Outbound!$B:$AAZ,6,FALSE)),"NON TROVATO"),"")</f>
        <v/>
      </c>
      <c r="I1125" s="394" t="str">
        <f>IF(B1125&lt;&gt;"",IFERROR(IF(LEFT($B1125,3)=$Z$2,VLOOKUP($C1125,Outbound!$B:$AAZ,52,FALSE),VLOOKUP($B1125,Outbound!$B:$AAZ,52,FALSE)),"NON TROVATO"),"")</f>
        <v/>
      </c>
      <c r="J1125" s="396"/>
      <c r="K1125" s="387" t="str">
        <f>IF(B1125&lt;&gt;"",IF($D1125&lt;&gt;"ON ROCS/NOT ON FILE",IFERROR(_xlfn.XLOOKUP(LEFT($D1125,3),'STAT 77 Table'!$B:$B,'STAT 77 Table'!$A:$A),"ZZ"&amp;RIGHT($B1125,4)),""),"")</f>
        <v/>
      </c>
      <c r="L1125" s="396"/>
      <c r="O1125" s="388"/>
      <c r="P1125" s="388"/>
      <c r="AA1125" s="421">
        <f t="shared" si="17"/>
        <v>0</v>
      </c>
    </row>
    <row r="1126" spans="1:27" ht="16.5">
      <c r="A1126" s="387">
        <f>'STAT 77 Table'!$I$1125</f>
        <v>0</v>
      </c>
      <c r="B1126"/>
      <c r="C1126"/>
      <c r="D1126" s="387" t="str">
        <f>IF($B1126&lt;&gt;"",IFERROR(IF(LEFT($B1126,3)=$Z$2,VLOOKUP($C1126,Outbound!$B:$Z,4,FALSE),VLOOKUP($B1126,Outbound!$B:$Z,4,FALSE)),"ON ROCS/NOT ON FILE"),"")</f>
        <v/>
      </c>
      <c r="E1126" s="387" t="str">
        <f>IF($B1126&lt;&gt;"",IFERROR(IF(LEFT($B1126,4)=$Z$2,VLOOKUP($C1126,Outbound!$B:$Z,5,FALSE),VLOOKUP($B1126,Outbound!$B:$Z,5,FALSE)),"ON ROCS/NOT ON FILE"),"")</f>
        <v/>
      </c>
      <c r="F1126" s="387" t="str">
        <f>IF(B1126&lt;&gt;"",IFERROR(IF(LEFT($B1126,3)=$Z$2,VLOOKUP($C1126,Outbound!$B:$Z,11,FALSE),VLOOKUP($B1126,Outbound!$B:$Z,11,FALSE)),"NON TROVATO"),"")</f>
        <v/>
      </c>
      <c r="G1126" s="394" t="str">
        <f>IF(B1126&lt;&gt;"",IFERROR(IF(LEFT($B1126,3)=$Z$2,VLOOKUP($C1126,Outbound!$B:$AAZ,16,FALSE),VLOOKUP($B1126,Outbound!$B:$AAZ,16,FALSE)),"NON TROVATO"),"")</f>
        <v/>
      </c>
      <c r="H1126" s="394" t="str">
        <f>IF(B1126&lt;&gt;"",IFERROR(IF(LEFT($B1126,3)=$Z$2,VLOOKUP($C1126,Outbound!$B:$AAZ,6,FALSE),VLOOKUP($B1126,Outbound!$B:$AAZ,6,FALSE)),"NON TROVATO"),"")</f>
        <v/>
      </c>
      <c r="I1126" s="394" t="str">
        <f>IF(B1126&lt;&gt;"",IFERROR(IF(LEFT($B1126,3)=$Z$2,VLOOKUP($C1126,Outbound!$B:$AAZ,52,FALSE),VLOOKUP($B1126,Outbound!$B:$AAZ,52,FALSE)),"NON TROVATO"),"")</f>
        <v/>
      </c>
      <c r="J1126" s="396"/>
      <c r="K1126" s="387" t="str">
        <f>IF(B1126&lt;&gt;"",IF($D1126&lt;&gt;"ON ROCS/NOT ON FILE",IFERROR(_xlfn.XLOOKUP(LEFT($D1126,3),'STAT 77 Table'!$B:$B,'STAT 77 Table'!$A:$A),"ZZ"&amp;RIGHT($B1126,4)),""),"")</f>
        <v/>
      </c>
      <c r="L1126" s="396"/>
      <c r="O1126" s="388"/>
      <c r="P1126" s="388"/>
      <c r="AA1126" s="421">
        <f t="shared" si="17"/>
        <v>0</v>
      </c>
    </row>
    <row r="1127" spans="1:27" ht="16.5">
      <c r="A1127" s="387">
        <f>'STAT 77 Table'!$I$1126</f>
        <v>0</v>
      </c>
      <c r="B1127"/>
      <c r="C1127"/>
      <c r="D1127" s="387" t="str">
        <f>IF($B1127&lt;&gt;"",IFERROR(IF(LEFT($B1127,3)=$Z$2,VLOOKUP($C1127,Outbound!$B:$Z,4,FALSE),VLOOKUP($B1127,Outbound!$B:$Z,4,FALSE)),"ON ROCS/NOT ON FILE"),"")</f>
        <v/>
      </c>
      <c r="E1127" s="387" t="str">
        <f>IF($B1127&lt;&gt;"",IFERROR(IF(LEFT($B1127,4)=$Z$2,VLOOKUP($C1127,Outbound!$B:$Z,5,FALSE),VLOOKUP($B1127,Outbound!$B:$Z,5,FALSE)),"ON ROCS/NOT ON FILE"),"")</f>
        <v/>
      </c>
      <c r="F1127" s="387" t="str">
        <f>IF(B1127&lt;&gt;"",IFERROR(IF(LEFT($B1127,3)=$Z$2,VLOOKUP($C1127,Outbound!$B:$Z,11,FALSE),VLOOKUP($B1127,Outbound!$B:$Z,11,FALSE)),"NON TROVATO"),"")</f>
        <v/>
      </c>
      <c r="G1127" s="394" t="str">
        <f>IF(B1127&lt;&gt;"",IFERROR(IF(LEFT($B1127,3)=$Z$2,VLOOKUP($C1127,Outbound!$B:$AAZ,16,FALSE),VLOOKUP($B1127,Outbound!$B:$AAZ,16,FALSE)),"NON TROVATO"),"")</f>
        <v/>
      </c>
      <c r="H1127" s="394" t="str">
        <f>IF(B1127&lt;&gt;"",IFERROR(IF(LEFT($B1127,3)=$Z$2,VLOOKUP($C1127,Outbound!$B:$AAZ,6,FALSE),VLOOKUP($B1127,Outbound!$B:$AAZ,6,FALSE)),"NON TROVATO"),"")</f>
        <v/>
      </c>
      <c r="I1127" s="394" t="str">
        <f>IF(B1127&lt;&gt;"",IFERROR(IF(LEFT($B1127,3)=$Z$2,VLOOKUP($C1127,Outbound!$B:$AAZ,52,FALSE),VLOOKUP($B1127,Outbound!$B:$AAZ,52,FALSE)),"NON TROVATO"),"")</f>
        <v/>
      </c>
      <c r="J1127" s="396"/>
      <c r="K1127" s="387" t="str">
        <f>IF(B1127&lt;&gt;"",IF($D1127&lt;&gt;"ON ROCS/NOT ON FILE",IFERROR(_xlfn.XLOOKUP(LEFT($D1127,3),'STAT 77 Table'!$B:$B,'STAT 77 Table'!$A:$A),"ZZ"&amp;RIGHT($B1127,4)),""),"")</f>
        <v/>
      </c>
      <c r="L1127" s="396"/>
      <c r="O1127" s="388"/>
      <c r="P1127" s="388"/>
      <c r="AA1127" s="421">
        <f t="shared" si="17"/>
        <v>0</v>
      </c>
    </row>
    <row r="1128" spans="1:27" ht="16.5">
      <c r="A1128" s="387">
        <f>'STAT 77 Table'!$I$1127</f>
        <v>0</v>
      </c>
      <c r="B1128"/>
      <c r="C1128"/>
      <c r="D1128" s="387" t="str">
        <f>IF($B1128&lt;&gt;"",IFERROR(IF(LEFT($B1128,3)=$Z$2,VLOOKUP($C1128,Outbound!$B:$Z,4,FALSE),VLOOKUP($B1128,Outbound!$B:$Z,4,FALSE)),"ON ROCS/NOT ON FILE"),"")</f>
        <v/>
      </c>
      <c r="E1128" s="387" t="str">
        <f>IF($B1128&lt;&gt;"",IFERROR(IF(LEFT($B1128,4)=$Z$2,VLOOKUP($C1128,Outbound!$B:$Z,5,FALSE),VLOOKUP($B1128,Outbound!$B:$Z,5,FALSE)),"ON ROCS/NOT ON FILE"),"")</f>
        <v/>
      </c>
      <c r="F1128" s="387" t="str">
        <f>IF(B1128&lt;&gt;"",IFERROR(IF(LEFT($B1128,3)=$Z$2,VLOOKUP($C1128,Outbound!$B:$Z,11,FALSE),VLOOKUP($B1128,Outbound!$B:$Z,11,FALSE)),"NON TROVATO"),"")</f>
        <v/>
      </c>
      <c r="G1128" s="394" t="str">
        <f>IF(B1128&lt;&gt;"",IFERROR(IF(LEFT($B1128,3)=$Z$2,VLOOKUP($C1128,Outbound!$B:$AAZ,16,FALSE),VLOOKUP($B1128,Outbound!$B:$AAZ,16,FALSE)),"NON TROVATO"),"")</f>
        <v/>
      </c>
      <c r="H1128" s="394" t="str">
        <f>IF(B1128&lt;&gt;"",IFERROR(IF(LEFT($B1128,3)=$Z$2,VLOOKUP($C1128,Outbound!$B:$AAZ,6,FALSE),VLOOKUP($B1128,Outbound!$B:$AAZ,6,FALSE)),"NON TROVATO"),"")</f>
        <v/>
      </c>
      <c r="I1128" s="394" t="str">
        <f>IF(B1128&lt;&gt;"",IFERROR(IF(LEFT($B1128,3)=$Z$2,VLOOKUP($C1128,Outbound!$B:$AAZ,52,FALSE),VLOOKUP($B1128,Outbound!$B:$AAZ,52,FALSE)),"NON TROVATO"),"")</f>
        <v/>
      </c>
      <c r="J1128" s="396"/>
      <c r="K1128" s="387" t="str">
        <f>IF(B1128&lt;&gt;"",IF($D1128&lt;&gt;"ON ROCS/NOT ON FILE",IFERROR(_xlfn.XLOOKUP(LEFT($D1128,3),'STAT 77 Table'!$B:$B,'STAT 77 Table'!$A:$A),"ZZ"&amp;RIGHT($B1128,4)),""),"")</f>
        <v/>
      </c>
      <c r="L1128" s="396"/>
      <c r="O1128" s="388"/>
      <c r="P1128" s="388"/>
      <c r="AA1128" s="421">
        <f t="shared" si="17"/>
        <v>0</v>
      </c>
    </row>
    <row r="1129" spans="1:27" ht="16.5">
      <c r="A1129" s="387">
        <f>'STAT 77 Table'!$I$1128</f>
        <v>0</v>
      </c>
      <c r="B1129"/>
      <c r="C1129"/>
      <c r="D1129" s="387" t="str">
        <f>IF($B1129&lt;&gt;"",IFERROR(IF(LEFT($B1129,3)=$Z$2,VLOOKUP($C1129,Outbound!$B:$Z,4,FALSE),VLOOKUP($B1129,Outbound!$B:$Z,4,FALSE)),"ON ROCS/NOT ON FILE"),"")</f>
        <v/>
      </c>
      <c r="E1129" s="387" t="str">
        <f>IF($B1129&lt;&gt;"",IFERROR(IF(LEFT($B1129,4)=$Z$2,VLOOKUP($C1129,Outbound!$B:$Z,5,FALSE),VLOOKUP($B1129,Outbound!$B:$Z,5,FALSE)),"ON ROCS/NOT ON FILE"),"")</f>
        <v/>
      </c>
      <c r="F1129" s="387" t="str">
        <f>IF(B1129&lt;&gt;"",IFERROR(IF(LEFT($B1129,3)=$Z$2,VLOOKUP($C1129,Outbound!$B:$Z,11,FALSE),VLOOKUP($B1129,Outbound!$B:$Z,11,FALSE)),"NON TROVATO"),"")</f>
        <v/>
      </c>
      <c r="G1129" s="394" t="str">
        <f>IF(B1129&lt;&gt;"",IFERROR(IF(LEFT($B1129,3)=$Z$2,VLOOKUP($C1129,Outbound!$B:$AAZ,16,FALSE),VLOOKUP($B1129,Outbound!$B:$AAZ,16,FALSE)),"NON TROVATO"),"")</f>
        <v/>
      </c>
      <c r="H1129" s="394" t="str">
        <f>IF(B1129&lt;&gt;"",IFERROR(IF(LEFT($B1129,3)=$Z$2,VLOOKUP($C1129,Outbound!$B:$AAZ,6,FALSE),VLOOKUP($B1129,Outbound!$B:$AAZ,6,FALSE)),"NON TROVATO"),"")</f>
        <v/>
      </c>
      <c r="I1129" s="394" t="str">
        <f>IF(B1129&lt;&gt;"",IFERROR(IF(LEFT($B1129,3)=$Z$2,VLOOKUP($C1129,Outbound!$B:$AAZ,52,FALSE),VLOOKUP($B1129,Outbound!$B:$AAZ,52,FALSE)),"NON TROVATO"),"")</f>
        <v/>
      </c>
      <c r="J1129" s="396"/>
      <c r="K1129" s="387" t="str">
        <f>IF(B1129&lt;&gt;"",IF($D1129&lt;&gt;"ON ROCS/NOT ON FILE",IFERROR(_xlfn.XLOOKUP(LEFT($D1129,3),'STAT 77 Table'!$B:$B,'STAT 77 Table'!$A:$A),"ZZ"&amp;RIGHT($B1129,4)),""),"")</f>
        <v/>
      </c>
      <c r="L1129" s="396"/>
      <c r="O1129" s="388"/>
      <c r="P1129" s="388"/>
      <c r="AA1129" s="421">
        <f t="shared" si="17"/>
        <v>0</v>
      </c>
    </row>
    <row r="1130" spans="1:27" ht="16.5">
      <c r="A1130" s="387">
        <f>'STAT 77 Table'!$I$1129</f>
        <v>0</v>
      </c>
      <c r="B1130"/>
      <c r="C1130"/>
      <c r="D1130" s="387" t="str">
        <f>IF($B1130&lt;&gt;"",IFERROR(IF(LEFT($B1130,3)=$Z$2,VLOOKUP($C1130,Outbound!$B:$Z,4,FALSE),VLOOKUP($B1130,Outbound!$B:$Z,4,FALSE)),"ON ROCS/NOT ON FILE"),"")</f>
        <v/>
      </c>
      <c r="E1130" s="387" t="str">
        <f>IF($B1130&lt;&gt;"",IFERROR(IF(LEFT($B1130,4)=$Z$2,VLOOKUP($C1130,Outbound!$B:$Z,5,FALSE),VLOOKUP($B1130,Outbound!$B:$Z,5,FALSE)),"ON ROCS/NOT ON FILE"),"")</f>
        <v/>
      </c>
      <c r="F1130" s="387" t="str">
        <f>IF(B1130&lt;&gt;"",IFERROR(IF(LEFT($B1130,3)=$Z$2,VLOOKUP($C1130,Outbound!$B:$Z,11,FALSE),VLOOKUP($B1130,Outbound!$B:$Z,11,FALSE)),"NON TROVATO"),"")</f>
        <v/>
      </c>
      <c r="G1130" s="394" t="str">
        <f>IF(B1130&lt;&gt;"",IFERROR(IF(LEFT($B1130,3)=$Z$2,VLOOKUP($C1130,Outbound!$B:$AAZ,16,FALSE),VLOOKUP($B1130,Outbound!$B:$AAZ,16,FALSE)),"NON TROVATO"),"")</f>
        <v/>
      </c>
      <c r="H1130" s="394" t="str">
        <f>IF(B1130&lt;&gt;"",IFERROR(IF(LEFT($B1130,3)=$Z$2,VLOOKUP($C1130,Outbound!$B:$AAZ,6,FALSE),VLOOKUP($B1130,Outbound!$B:$AAZ,6,FALSE)),"NON TROVATO"),"")</f>
        <v/>
      </c>
      <c r="I1130" s="394" t="str">
        <f>IF(B1130&lt;&gt;"",IFERROR(IF(LEFT($B1130,3)=$Z$2,VLOOKUP($C1130,Outbound!$B:$AAZ,52,FALSE),VLOOKUP($B1130,Outbound!$B:$AAZ,52,FALSE)),"NON TROVATO"),"")</f>
        <v/>
      </c>
      <c r="J1130" s="396"/>
      <c r="K1130" s="387" t="str">
        <f>IF(B1130&lt;&gt;"",IF($D1130&lt;&gt;"ON ROCS/NOT ON FILE",IFERROR(_xlfn.XLOOKUP(LEFT($D1130,3),'STAT 77 Table'!$B:$B,'STAT 77 Table'!$A:$A),"ZZ"&amp;RIGHT($B1130,4)),""),"")</f>
        <v/>
      </c>
      <c r="L1130" s="396"/>
      <c r="O1130" s="388"/>
      <c r="P1130" s="388"/>
      <c r="AA1130" s="421">
        <f t="shared" si="17"/>
        <v>0</v>
      </c>
    </row>
    <row r="1131" spans="1:27" ht="16.5">
      <c r="A1131" s="387">
        <f>'STAT 77 Table'!$I$1130</f>
        <v>0</v>
      </c>
      <c r="B1131"/>
      <c r="C1131"/>
      <c r="D1131" s="387" t="str">
        <f>IF($B1131&lt;&gt;"",IFERROR(IF(LEFT($B1131,3)=$Z$2,VLOOKUP($C1131,Outbound!$B:$Z,4,FALSE),VLOOKUP($B1131,Outbound!$B:$Z,4,FALSE)),"ON ROCS/NOT ON FILE"),"")</f>
        <v/>
      </c>
      <c r="E1131" s="387" t="str">
        <f>IF($B1131&lt;&gt;"",IFERROR(IF(LEFT($B1131,4)=$Z$2,VLOOKUP($C1131,Outbound!$B:$Z,5,FALSE),VLOOKUP($B1131,Outbound!$B:$Z,5,FALSE)),"ON ROCS/NOT ON FILE"),"")</f>
        <v/>
      </c>
      <c r="F1131" s="387" t="str">
        <f>IF(B1131&lt;&gt;"",IFERROR(IF(LEFT($B1131,3)=$Z$2,VLOOKUP($C1131,Outbound!$B:$Z,11,FALSE),VLOOKUP($B1131,Outbound!$B:$Z,11,FALSE)),"NON TROVATO"),"")</f>
        <v/>
      </c>
      <c r="G1131" s="394" t="str">
        <f>IF(B1131&lt;&gt;"",IFERROR(IF(LEFT($B1131,3)=$Z$2,VLOOKUP($C1131,Outbound!$B:$AAZ,16,FALSE),VLOOKUP($B1131,Outbound!$B:$AAZ,16,FALSE)),"NON TROVATO"),"")</f>
        <v/>
      </c>
      <c r="H1131" s="394" t="str">
        <f>IF(B1131&lt;&gt;"",IFERROR(IF(LEFT($B1131,3)=$Z$2,VLOOKUP($C1131,Outbound!$B:$AAZ,6,FALSE),VLOOKUP($B1131,Outbound!$B:$AAZ,6,FALSE)),"NON TROVATO"),"")</f>
        <v/>
      </c>
      <c r="I1131" s="394" t="str">
        <f>IF(B1131&lt;&gt;"",IFERROR(IF(LEFT($B1131,3)=$Z$2,VLOOKUP($C1131,Outbound!$B:$AAZ,52,FALSE),VLOOKUP($B1131,Outbound!$B:$AAZ,52,FALSE)),"NON TROVATO"),"")</f>
        <v/>
      </c>
      <c r="J1131" s="396"/>
      <c r="K1131" s="387" t="str">
        <f>IF(B1131&lt;&gt;"",IF($D1131&lt;&gt;"ON ROCS/NOT ON FILE",IFERROR(_xlfn.XLOOKUP(LEFT($D1131,3),'STAT 77 Table'!$B:$B,'STAT 77 Table'!$A:$A),"ZZ"&amp;RIGHT($B1131,4)),""),"")</f>
        <v/>
      </c>
      <c r="L1131" s="396"/>
      <c r="O1131" s="388"/>
      <c r="P1131" s="388"/>
      <c r="AA1131" s="421">
        <f t="shared" si="17"/>
        <v>0</v>
      </c>
    </row>
    <row r="1132" spans="1:27" ht="16.5">
      <c r="A1132" s="387">
        <f>'STAT 77 Table'!$I$1131</f>
        <v>0</v>
      </c>
      <c r="B1132"/>
      <c r="C1132"/>
      <c r="D1132" s="387" t="str">
        <f>IF($B1132&lt;&gt;"",IFERROR(IF(LEFT($B1132,3)=$Z$2,VLOOKUP($C1132,Outbound!$B:$Z,4,FALSE),VLOOKUP($B1132,Outbound!$B:$Z,4,FALSE)),"ON ROCS/NOT ON FILE"),"")</f>
        <v/>
      </c>
      <c r="E1132" s="387" t="str">
        <f>IF($B1132&lt;&gt;"",IFERROR(IF(LEFT($B1132,4)=$Z$2,VLOOKUP($C1132,Outbound!$B:$Z,5,FALSE),VLOOKUP($B1132,Outbound!$B:$Z,5,FALSE)),"ON ROCS/NOT ON FILE"),"")</f>
        <v/>
      </c>
      <c r="F1132" s="387" t="str">
        <f>IF(B1132&lt;&gt;"",IFERROR(IF(LEFT($B1132,3)=$Z$2,VLOOKUP($C1132,Outbound!$B:$Z,11,FALSE),VLOOKUP($B1132,Outbound!$B:$Z,11,FALSE)),"NON TROVATO"),"")</f>
        <v/>
      </c>
      <c r="G1132" s="394" t="str">
        <f>IF(B1132&lt;&gt;"",IFERROR(IF(LEFT($B1132,3)=$Z$2,VLOOKUP($C1132,Outbound!$B:$AAZ,16,FALSE),VLOOKUP($B1132,Outbound!$B:$AAZ,16,FALSE)),"NON TROVATO"),"")</f>
        <v/>
      </c>
      <c r="H1132" s="394" t="str">
        <f>IF(B1132&lt;&gt;"",IFERROR(IF(LEFT($B1132,3)=$Z$2,VLOOKUP($C1132,Outbound!$B:$AAZ,6,FALSE),VLOOKUP($B1132,Outbound!$B:$AAZ,6,FALSE)),"NON TROVATO"),"")</f>
        <v/>
      </c>
      <c r="I1132" s="394" t="str">
        <f>IF(B1132&lt;&gt;"",IFERROR(IF(LEFT($B1132,3)=$Z$2,VLOOKUP($C1132,Outbound!$B:$AAZ,52,FALSE),VLOOKUP($B1132,Outbound!$B:$AAZ,52,FALSE)),"NON TROVATO"),"")</f>
        <v/>
      </c>
      <c r="J1132" s="396"/>
      <c r="K1132" s="387" t="str">
        <f>IF(B1132&lt;&gt;"",IF($D1132&lt;&gt;"ON ROCS/NOT ON FILE",IFERROR(_xlfn.XLOOKUP(LEFT($D1132,3),'STAT 77 Table'!$B:$B,'STAT 77 Table'!$A:$A),"ZZ"&amp;RIGHT($B1132,4)),""),"")</f>
        <v/>
      </c>
      <c r="L1132" s="396"/>
      <c r="O1132" s="388"/>
      <c r="P1132" s="388"/>
      <c r="AA1132" s="421">
        <f t="shared" si="17"/>
        <v>0</v>
      </c>
    </row>
    <row r="1133" spans="1:27" ht="16.5">
      <c r="A1133" s="387">
        <f>'STAT 77 Table'!$I$1132</f>
        <v>0</v>
      </c>
      <c r="B1133"/>
      <c r="C1133"/>
      <c r="D1133" s="387" t="str">
        <f>IF($B1133&lt;&gt;"",IFERROR(IF(LEFT($B1133,3)=$Z$2,VLOOKUP($C1133,Outbound!$B:$Z,4,FALSE),VLOOKUP($B1133,Outbound!$B:$Z,4,FALSE)),"ON ROCS/NOT ON FILE"),"")</f>
        <v/>
      </c>
      <c r="E1133" s="387" t="str">
        <f>IF($B1133&lt;&gt;"",IFERROR(IF(LEFT($B1133,4)=$Z$2,VLOOKUP($C1133,Outbound!$B:$Z,5,FALSE),VLOOKUP($B1133,Outbound!$B:$Z,5,FALSE)),"ON ROCS/NOT ON FILE"),"")</f>
        <v/>
      </c>
      <c r="F1133" s="387" t="str">
        <f>IF(B1133&lt;&gt;"",IFERROR(IF(LEFT($B1133,3)=$Z$2,VLOOKUP($C1133,Outbound!$B:$Z,11,FALSE),VLOOKUP($B1133,Outbound!$B:$Z,11,FALSE)),"NON TROVATO"),"")</f>
        <v/>
      </c>
      <c r="G1133" s="394" t="str">
        <f>IF(B1133&lt;&gt;"",IFERROR(IF(LEFT($B1133,3)=$Z$2,VLOOKUP($C1133,Outbound!$B:$AAZ,16,FALSE),VLOOKUP($B1133,Outbound!$B:$AAZ,16,FALSE)),"NON TROVATO"),"")</f>
        <v/>
      </c>
      <c r="H1133" s="394" t="str">
        <f>IF(B1133&lt;&gt;"",IFERROR(IF(LEFT($B1133,3)=$Z$2,VLOOKUP($C1133,Outbound!$B:$AAZ,6,FALSE),VLOOKUP($B1133,Outbound!$B:$AAZ,6,FALSE)),"NON TROVATO"),"")</f>
        <v/>
      </c>
      <c r="I1133" s="394" t="str">
        <f>IF(B1133&lt;&gt;"",IFERROR(IF(LEFT($B1133,3)=$Z$2,VLOOKUP($C1133,Outbound!$B:$AAZ,52,FALSE),VLOOKUP($B1133,Outbound!$B:$AAZ,52,FALSE)),"NON TROVATO"),"")</f>
        <v/>
      </c>
      <c r="J1133" s="396"/>
      <c r="K1133" s="387" t="str">
        <f>IF(B1133&lt;&gt;"",IF($D1133&lt;&gt;"ON ROCS/NOT ON FILE",IFERROR(_xlfn.XLOOKUP(LEFT($D1133,3),'STAT 77 Table'!$B:$B,'STAT 77 Table'!$A:$A),"ZZ"&amp;RIGHT($B1133,4)),""),"")</f>
        <v/>
      </c>
      <c r="L1133" s="396"/>
      <c r="O1133" s="388"/>
      <c r="P1133" s="388"/>
      <c r="AA1133" s="421">
        <f t="shared" si="17"/>
        <v>0</v>
      </c>
    </row>
    <row r="1134" spans="1:27" ht="16.5">
      <c r="A1134" s="387">
        <f>'STAT 77 Table'!$I$1133</f>
        <v>0</v>
      </c>
      <c r="B1134"/>
      <c r="C1134"/>
      <c r="D1134" s="387" t="str">
        <f>IF($B1134&lt;&gt;"",IFERROR(IF(LEFT($B1134,3)=$Z$2,VLOOKUP($C1134,Outbound!$B:$Z,4,FALSE),VLOOKUP($B1134,Outbound!$B:$Z,4,FALSE)),"ON ROCS/NOT ON FILE"),"")</f>
        <v/>
      </c>
      <c r="E1134" s="387" t="str">
        <f>IF($B1134&lt;&gt;"",IFERROR(IF(LEFT($B1134,4)=$Z$2,VLOOKUP($C1134,Outbound!$B:$Z,5,FALSE),VLOOKUP($B1134,Outbound!$B:$Z,5,FALSE)),"ON ROCS/NOT ON FILE"),"")</f>
        <v/>
      </c>
      <c r="F1134" s="387" t="str">
        <f>IF(B1134&lt;&gt;"",IFERROR(IF(LEFT($B1134,3)=$Z$2,VLOOKUP($C1134,Outbound!$B:$Z,11,FALSE),VLOOKUP($B1134,Outbound!$B:$Z,11,FALSE)),"NON TROVATO"),"")</f>
        <v/>
      </c>
      <c r="G1134" s="394" t="str">
        <f>IF(B1134&lt;&gt;"",IFERROR(IF(LEFT($B1134,3)=$Z$2,VLOOKUP($C1134,Outbound!$B:$AAZ,16,FALSE),VLOOKUP($B1134,Outbound!$B:$AAZ,16,FALSE)),"NON TROVATO"),"")</f>
        <v/>
      </c>
      <c r="H1134" s="394" t="str">
        <f>IF(B1134&lt;&gt;"",IFERROR(IF(LEFT($B1134,3)=$Z$2,VLOOKUP($C1134,Outbound!$B:$AAZ,6,FALSE),VLOOKUP($B1134,Outbound!$B:$AAZ,6,FALSE)),"NON TROVATO"),"")</f>
        <v/>
      </c>
      <c r="I1134" s="394" t="str">
        <f>IF(B1134&lt;&gt;"",IFERROR(IF(LEFT($B1134,3)=$Z$2,VLOOKUP($C1134,Outbound!$B:$AAZ,52,FALSE),VLOOKUP($B1134,Outbound!$B:$AAZ,52,FALSE)),"NON TROVATO"),"")</f>
        <v/>
      </c>
      <c r="J1134" s="396"/>
      <c r="K1134" s="387" t="str">
        <f>IF(B1134&lt;&gt;"",IF($D1134&lt;&gt;"ON ROCS/NOT ON FILE",IFERROR(_xlfn.XLOOKUP(LEFT($D1134,3),'STAT 77 Table'!$B:$B,'STAT 77 Table'!$A:$A),"ZZ"&amp;RIGHT($B1134,4)),""),"")</f>
        <v/>
      </c>
      <c r="L1134" s="396"/>
      <c r="O1134" s="388"/>
      <c r="P1134" s="388"/>
      <c r="AA1134" s="421">
        <f t="shared" si="17"/>
        <v>0</v>
      </c>
    </row>
    <row r="1135" spans="1:27" ht="16.5">
      <c r="A1135" s="387">
        <f>'STAT 77 Table'!$I$1134</f>
        <v>0</v>
      </c>
      <c r="B1135"/>
      <c r="C1135"/>
      <c r="D1135" s="387" t="str">
        <f>IF($B1135&lt;&gt;"",IFERROR(IF(LEFT($B1135,3)=$Z$2,VLOOKUP($C1135,Outbound!$B:$Z,4,FALSE),VLOOKUP($B1135,Outbound!$B:$Z,4,FALSE)),"ON ROCS/NOT ON FILE"),"")</f>
        <v/>
      </c>
      <c r="E1135" s="387" t="str">
        <f>IF($B1135&lt;&gt;"",IFERROR(IF(LEFT($B1135,4)=$Z$2,VLOOKUP($C1135,Outbound!$B:$Z,5,FALSE),VLOOKUP($B1135,Outbound!$B:$Z,5,FALSE)),"ON ROCS/NOT ON FILE"),"")</f>
        <v/>
      </c>
      <c r="F1135" s="387" t="str">
        <f>IF(B1135&lt;&gt;"",IFERROR(IF(LEFT($B1135,3)=$Z$2,VLOOKUP($C1135,Outbound!$B:$Z,11,FALSE),VLOOKUP($B1135,Outbound!$B:$Z,11,FALSE)),"NON TROVATO"),"")</f>
        <v/>
      </c>
      <c r="G1135" s="394" t="str">
        <f>IF(B1135&lt;&gt;"",IFERROR(IF(LEFT($B1135,3)=$Z$2,VLOOKUP($C1135,Outbound!$B:$AAZ,16,FALSE),VLOOKUP($B1135,Outbound!$B:$AAZ,16,FALSE)),"NON TROVATO"),"")</f>
        <v/>
      </c>
      <c r="H1135" s="394" t="str">
        <f>IF(B1135&lt;&gt;"",IFERROR(IF(LEFT($B1135,3)=$Z$2,VLOOKUP($C1135,Outbound!$B:$AAZ,6,FALSE),VLOOKUP($B1135,Outbound!$B:$AAZ,6,FALSE)),"NON TROVATO"),"")</f>
        <v/>
      </c>
      <c r="I1135" s="394" t="str">
        <f>IF(B1135&lt;&gt;"",IFERROR(IF(LEFT($B1135,3)=$Z$2,VLOOKUP($C1135,Outbound!$B:$AAZ,52,FALSE),VLOOKUP($B1135,Outbound!$B:$AAZ,52,FALSE)),"NON TROVATO"),"")</f>
        <v/>
      </c>
      <c r="J1135" s="396"/>
      <c r="K1135" s="387" t="str">
        <f>IF(B1135&lt;&gt;"",IF($D1135&lt;&gt;"ON ROCS/NOT ON FILE",IFERROR(_xlfn.XLOOKUP(LEFT($D1135,3),'STAT 77 Table'!$B:$B,'STAT 77 Table'!$A:$A),"ZZ"&amp;RIGHT($B1135,4)),""),"")</f>
        <v/>
      </c>
      <c r="L1135" s="396"/>
      <c r="O1135" s="388"/>
      <c r="P1135" s="388"/>
      <c r="AA1135" s="421">
        <f t="shared" si="17"/>
        <v>0</v>
      </c>
    </row>
    <row r="1136" spans="1:27" ht="16.5">
      <c r="A1136" s="387">
        <f>'STAT 77 Table'!$I$1135</f>
        <v>0</v>
      </c>
      <c r="B1136"/>
      <c r="C1136"/>
      <c r="D1136" s="387" t="str">
        <f>IF($B1136&lt;&gt;"",IFERROR(IF(LEFT($B1136,3)=$Z$2,VLOOKUP($C1136,Outbound!$B:$Z,4,FALSE),VLOOKUP($B1136,Outbound!$B:$Z,4,FALSE)),"ON ROCS/NOT ON FILE"),"")</f>
        <v/>
      </c>
      <c r="E1136" s="387" t="str">
        <f>IF($B1136&lt;&gt;"",IFERROR(IF(LEFT($B1136,4)=$Z$2,VLOOKUP($C1136,Outbound!$B:$Z,5,FALSE),VLOOKUP($B1136,Outbound!$B:$Z,5,FALSE)),"ON ROCS/NOT ON FILE"),"")</f>
        <v/>
      </c>
      <c r="F1136" s="387" t="str">
        <f>IF(B1136&lt;&gt;"",IFERROR(IF(LEFT($B1136,3)=$Z$2,VLOOKUP($C1136,Outbound!$B:$Z,11,FALSE),VLOOKUP($B1136,Outbound!$B:$Z,11,FALSE)),"NON TROVATO"),"")</f>
        <v/>
      </c>
      <c r="G1136" s="394" t="str">
        <f>IF(B1136&lt;&gt;"",IFERROR(IF(LEFT($B1136,3)=$Z$2,VLOOKUP($C1136,Outbound!$B:$AAZ,16,FALSE),VLOOKUP($B1136,Outbound!$B:$AAZ,16,FALSE)),"NON TROVATO"),"")</f>
        <v/>
      </c>
      <c r="H1136" s="394" t="str">
        <f>IF(B1136&lt;&gt;"",IFERROR(IF(LEFT($B1136,3)=$Z$2,VLOOKUP($C1136,Outbound!$B:$AAZ,6,FALSE),VLOOKUP($B1136,Outbound!$B:$AAZ,6,FALSE)),"NON TROVATO"),"")</f>
        <v/>
      </c>
      <c r="I1136" s="394" t="str">
        <f>IF(B1136&lt;&gt;"",IFERROR(IF(LEFT($B1136,3)=$Z$2,VLOOKUP($C1136,Outbound!$B:$AAZ,52,FALSE),VLOOKUP($B1136,Outbound!$B:$AAZ,52,FALSE)),"NON TROVATO"),"")</f>
        <v/>
      </c>
      <c r="J1136" s="396"/>
      <c r="K1136" s="387" t="str">
        <f>IF(B1136&lt;&gt;"",IF($D1136&lt;&gt;"ON ROCS/NOT ON FILE",IFERROR(_xlfn.XLOOKUP(LEFT($D1136,3),'STAT 77 Table'!$B:$B,'STAT 77 Table'!$A:$A),"ZZ"&amp;RIGHT($B1136,4)),""),"")</f>
        <v/>
      </c>
      <c r="L1136" s="396"/>
      <c r="O1136" s="388"/>
      <c r="P1136" s="388"/>
      <c r="AA1136" s="421">
        <f t="shared" si="17"/>
        <v>0</v>
      </c>
    </row>
    <row r="1137" spans="1:27" ht="16.5">
      <c r="A1137" s="387">
        <f>'STAT 77 Table'!$I$1136</f>
        <v>0</v>
      </c>
      <c r="B1137"/>
      <c r="C1137"/>
      <c r="D1137" s="387" t="str">
        <f>IF($B1137&lt;&gt;"",IFERROR(IF(LEFT($B1137,3)=$Z$2,VLOOKUP($C1137,Outbound!$B:$Z,4,FALSE),VLOOKUP($B1137,Outbound!$B:$Z,4,FALSE)),"ON ROCS/NOT ON FILE"),"")</f>
        <v/>
      </c>
      <c r="E1137" s="387" t="str">
        <f>IF($B1137&lt;&gt;"",IFERROR(IF(LEFT($B1137,4)=$Z$2,VLOOKUP($C1137,Outbound!$B:$Z,5,FALSE),VLOOKUP($B1137,Outbound!$B:$Z,5,FALSE)),"ON ROCS/NOT ON FILE"),"")</f>
        <v/>
      </c>
      <c r="F1137" s="387" t="str">
        <f>IF(B1137&lt;&gt;"",IFERROR(IF(LEFT($B1137,3)=$Z$2,VLOOKUP($C1137,Outbound!$B:$Z,11,FALSE),VLOOKUP($B1137,Outbound!$B:$Z,11,FALSE)),"NON TROVATO"),"")</f>
        <v/>
      </c>
      <c r="G1137" s="394" t="str">
        <f>IF(B1137&lt;&gt;"",IFERROR(IF(LEFT($B1137,3)=$Z$2,VLOOKUP($C1137,Outbound!$B:$AAZ,16,FALSE),VLOOKUP($B1137,Outbound!$B:$AAZ,16,FALSE)),"NON TROVATO"),"")</f>
        <v/>
      </c>
      <c r="H1137" s="394" t="str">
        <f>IF(B1137&lt;&gt;"",IFERROR(IF(LEFT($B1137,3)=$Z$2,VLOOKUP($C1137,Outbound!$B:$AAZ,6,FALSE),VLOOKUP($B1137,Outbound!$B:$AAZ,6,FALSE)),"NON TROVATO"),"")</f>
        <v/>
      </c>
      <c r="I1137" s="394" t="str">
        <f>IF(B1137&lt;&gt;"",IFERROR(IF(LEFT($B1137,3)=$Z$2,VLOOKUP($C1137,Outbound!$B:$AAZ,52,FALSE),VLOOKUP($B1137,Outbound!$B:$AAZ,52,FALSE)),"NON TROVATO"),"")</f>
        <v/>
      </c>
      <c r="J1137" s="396"/>
      <c r="K1137" s="387" t="str">
        <f>IF(B1137&lt;&gt;"",IF($D1137&lt;&gt;"ON ROCS/NOT ON FILE",IFERROR(_xlfn.XLOOKUP(LEFT($D1137,3),'STAT 77 Table'!$B:$B,'STAT 77 Table'!$A:$A),"ZZ"&amp;RIGHT($B1137,4)),""),"")</f>
        <v/>
      </c>
      <c r="L1137" s="396"/>
      <c r="O1137" s="388"/>
      <c r="P1137" s="388"/>
      <c r="AA1137" s="421">
        <f t="shared" si="17"/>
        <v>0</v>
      </c>
    </row>
    <row r="1138" spans="1:27" ht="16.5">
      <c r="A1138" s="387">
        <f>'STAT 77 Table'!$I$1137</f>
        <v>0</v>
      </c>
      <c r="B1138"/>
      <c r="C1138"/>
      <c r="D1138" s="387" t="str">
        <f>IF($B1138&lt;&gt;"",IFERROR(IF(LEFT($B1138,3)=$Z$2,VLOOKUP($C1138,Outbound!$B:$Z,4,FALSE),VLOOKUP($B1138,Outbound!$B:$Z,4,FALSE)),"ON ROCS/NOT ON FILE"),"")</f>
        <v/>
      </c>
      <c r="E1138" s="387" t="str">
        <f>IF($B1138&lt;&gt;"",IFERROR(IF(LEFT($B1138,4)=$Z$2,VLOOKUP($C1138,Outbound!$B:$Z,5,FALSE),VLOOKUP($B1138,Outbound!$B:$Z,5,FALSE)),"ON ROCS/NOT ON FILE"),"")</f>
        <v/>
      </c>
      <c r="F1138" s="387" t="str">
        <f>IF(B1138&lt;&gt;"",IFERROR(IF(LEFT($B1138,3)=$Z$2,VLOOKUP($C1138,Outbound!$B:$Z,11,FALSE),VLOOKUP($B1138,Outbound!$B:$Z,11,FALSE)),"NON TROVATO"),"")</f>
        <v/>
      </c>
      <c r="G1138" s="394" t="str">
        <f>IF(B1138&lt;&gt;"",IFERROR(IF(LEFT($B1138,3)=$Z$2,VLOOKUP($C1138,Outbound!$B:$AAZ,16,FALSE),VLOOKUP($B1138,Outbound!$B:$AAZ,16,FALSE)),"NON TROVATO"),"")</f>
        <v/>
      </c>
      <c r="H1138" s="394" t="str">
        <f>IF(B1138&lt;&gt;"",IFERROR(IF(LEFT($B1138,3)=$Z$2,VLOOKUP($C1138,Outbound!$B:$AAZ,6,FALSE),VLOOKUP($B1138,Outbound!$B:$AAZ,6,FALSE)),"NON TROVATO"),"")</f>
        <v/>
      </c>
      <c r="I1138" s="394" t="str">
        <f>IF(B1138&lt;&gt;"",IFERROR(IF(LEFT($B1138,3)=$Z$2,VLOOKUP($C1138,Outbound!$B:$AAZ,52,FALSE),VLOOKUP($B1138,Outbound!$B:$AAZ,52,FALSE)),"NON TROVATO"),"")</f>
        <v/>
      </c>
      <c r="J1138" s="396"/>
      <c r="K1138" s="387" t="str">
        <f>IF(B1138&lt;&gt;"",IF($D1138&lt;&gt;"ON ROCS/NOT ON FILE",IFERROR(_xlfn.XLOOKUP(LEFT($D1138,3),'STAT 77 Table'!$B:$B,'STAT 77 Table'!$A:$A),"ZZ"&amp;RIGHT($B1138,4)),""),"")</f>
        <v/>
      </c>
      <c r="L1138" s="396"/>
      <c r="O1138" s="388"/>
      <c r="P1138" s="388"/>
      <c r="AA1138" s="421">
        <f t="shared" si="17"/>
        <v>0</v>
      </c>
    </row>
    <row r="1139" spans="1:27" ht="16.5">
      <c r="A1139" s="387">
        <f>'STAT 77 Table'!$I$1138</f>
        <v>0</v>
      </c>
      <c r="B1139"/>
      <c r="C1139"/>
      <c r="D1139" s="387" t="str">
        <f>IF($B1139&lt;&gt;"",IFERROR(IF(LEFT($B1139,3)=$Z$2,VLOOKUP($C1139,Outbound!$B:$Z,4,FALSE),VLOOKUP($B1139,Outbound!$B:$Z,4,FALSE)),"ON ROCS/NOT ON FILE"),"")</f>
        <v/>
      </c>
      <c r="E1139" s="387" t="str">
        <f>IF($B1139&lt;&gt;"",IFERROR(IF(LEFT($B1139,4)=$Z$2,VLOOKUP($C1139,Outbound!$B:$Z,5,FALSE),VLOOKUP($B1139,Outbound!$B:$Z,5,FALSE)),"ON ROCS/NOT ON FILE"),"")</f>
        <v/>
      </c>
      <c r="F1139" s="387" t="str">
        <f>IF(B1139&lt;&gt;"",IFERROR(IF(LEFT($B1139,3)=$Z$2,VLOOKUP($C1139,Outbound!$B:$Z,11,FALSE),VLOOKUP($B1139,Outbound!$B:$Z,11,FALSE)),"NON TROVATO"),"")</f>
        <v/>
      </c>
      <c r="G1139" s="394" t="str">
        <f>IF(B1139&lt;&gt;"",IFERROR(IF(LEFT($B1139,3)=$Z$2,VLOOKUP($C1139,Outbound!$B:$AAZ,16,FALSE),VLOOKUP($B1139,Outbound!$B:$AAZ,16,FALSE)),"NON TROVATO"),"")</f>
        <v/>
      </c>
      <c r="H1139" s="394" t="str">
        <f>IF(B1139&lt;&gt;"",IFERROR(IF(LEFT($B1139,3)=$Z$2,VLOOKUP($C1139,Outbound!$B:$AAZ,6,FALSE),VLOOKUP($B1139,Outbound!$B:$AAZ,6,FALSE)),"NON TROVATO"),"")</f>
        <v/>
      </c>
      <c r="I1139" s="394" t="str">
        <f>IF(B1139&lt;&gt;"",IFERROR(IF(LEFT($B1139,3)=$Z$2,VLOOKUP($C1139,Outbound!$B:$AAZ,52,FALSE),VLOOKUP($B1139,Outbound!$B:$AAZ,52,FALSE)),"NON TROVATO"),"")</f>
        <v/>
      </c>
      <c r="J1139" s="396"/>
      <c r="K1139" s="387" t="str">
        <f>IF(B1139&lt;&gt;"",IF($D1139&lt;&gt;"ON ROCS/NOT ON FILE",IFERROR(_xlfn.XLOOKUP(LEFT($D1139,3),'STAT 77 Table'!$B:$B,'STAT 77 Table'!$A:$A),"ZZ"&amp;RIGHT($B1139,4)),""),"")</f>
        <v/>
      </c>
      <c r="L1139" s="396"/>
      <c r="O1139" s="388"/>
      <c r="P1139" s="388"/>
      <c r="AA1139" s="421">
        <f t="shared" si="17"/>
        <v>0</v>
      </c>
    </row>
    <row r="1140" spans="1:27" ht="16.5">
      <c r="A1140" s="387">
        <f>'STAT 77 Table'!$I$1139</f>
        <v>0</v>
      </c>
      <c r="B1140"/>
      <c r="C1140"/>
      <c r="D1140" s="387" t="str">
        <f>IF($B1140&lt;&gt;"",IFERROR(IF(LEFT($B1140,3)=$Z$2,VLOOKUP($C1140,Outbound!$B:$Z,4,FALSE),VLOOKUP($B1140,Outbound!$B:$Z,4,FALSE)),"ON ROCS/NOT ON FILE"),"")</f>
        <v/>
      </c>
      <c r="E1140" s="387" t="str">
        <f>IF($B1140&lt;&gt;"",IFERROR(IF(LEFT($B1140,4)=$Z$2,VLOOKUP($C1140,Outbound!$B:$Z,5,FALSE),VLOOKUP($B1140,Outbound!$B:$Z,5,FALSE)),"ON ROCS/NOT ON FILE"),"")</f>
        <v/>
      </c>
      <c r="F1140" s="387" t="str">
        <f>IF(B1140&lt;&gt;"",IFERROR(IF(LEFT($B1140,3)=$Z$2,VLOOKUP($C1140,Outbound!$B:$Z,11,FALSE),VLOOKUP($B1140,Outbound!$B:$Z,11,FALSE)),"NON TROVATO"),"")</f>
        <v/>
      </c>
      <c r="G1140" s="394" t="str">
        <f>IF(B1140&lt;&gt;"",IFERROR(IF(LEFT($B1140,3)=$Z$2,VLOOKUP($C1140,Outbound!$B:$AAZ,16,FALSE),VLOOKUP($B1140,Outbound!$B:$AAZ,16,FALSE)),"NON TROVATO"),"")</f>
        <v/>
      </c>
      <c r="H1140" s="394" t="str">
        <f>IF(B1140&lt;&gt;"",IFERROR(IF(LEFT($B1140,3)=$Z$2,VLOOKUP($C1140,Outbound!$B:$AAZ,6,FALSE),VLOOKUP($B1140,Outbound!$B:$AAZ,6,FALSE)),"NON TROVATO"),"")</f>
        <v/>
      </c>
      <c r="I1140" s="394" t="str">
        <f>IF(B1140&lt;&gt;"",IFERROR(IF(LEFT($B1140,3)=$Z$2,VLOOKUP($C1140,Outbound!$B:$AAZ,52,FALSE),VLOOKUP($B1140,Outbound!$B:$AAZ,52,FALSE)),"NON TROVATO"),"")</f>
        <v/>
      </c>
      <c r="J1140" s="396"/>
      <c r="K1140" s="387" t="str">
        <f>IF(B1140&lt;&gt;"",IF($D1140&lt;&gt;"ON ROCS/NOT ON FILE",IFERROR(_xlfn.XLOOKUP(LEFT($D1140,3),'STAT 77 Table'!$B:$B,'STAT 77 Table'!$A:$A),"ZZ"&amp;RIGHT($B1140,4)),""),"")</f>
        <v/>
      </c>
      <c r="L1140" s="396"/>
      <c r="O1140" s="388"/>
      <c r="P1140" s="388"/>
      <c r="AA1140" s="421">
        <f t="shared" si="17"/>
        <v>0</v>
      </c>
    </row>
    <row r="1141" spans="1:27" ht="16.5">
      <c r="A1141" s="387">
        <f>'STAT 77 Table'!$I$1140</f>
        <v>0</v>
      </c>
      <c r="B1141"/>
      <c r="C1141"/>
      <c r="D1141" s="387" t="str">
        <f>IF($B1141&lt;&gt;"",IFERROR(IF(LEFT($B1141,3)=$Z$2,VLOOKUP($C1141,Outbound!$B:$Z,4,FALSE),VLOOKUP($B1141,Outbound!$B:$Z,4,FALSE)),"ON ROCS/NOT ON FILE"),"")</f>
        <v/>
      </c>
      <c r="E1141" s="387" t="str">
        <f>IF($B1141&lt;&gt;"",IFERROR(IF(LEFT($B1141,4)=$Z$2,VLOOKUP($C1141,Outbound!$B:$Z,5,FALSE),VLOOKUP($B1141,Outbound!$B:$Z,5,FALSE)),"ON ROCS/NOT ON FILE"),"")</f>
        <v/>
      </c>
      <c r="F1141" s="387" t="str">
        <f>IF(B1141&lt;&gt;"",IFERROR(IF(LEFT($B1141,3)=$Z$2,VLOOKUP($C1141,Outbound!$B:$Z,11,FALSE),VLOOKUP($B1141,Outbound!$B:$Z,11,FALSE)),"NON TROVATO"),"")</f>
        <v/>
      </c>
      <c r="G1141" s="394" t="str">
        <f>IF(B1141&lt;&gt;"",IFERROR(IF(LEFT($B1141,3)=$Z$2,VLOOKUP($C1141,Outbound!$B:$AAZ,16,FALSE),VLOOKUP($B1141,Outbound!$B:$AAZ,16,FALSE)),"NON TROVATO"),"")</f>
        <v/>
      </c>
      <c r="H1141" s="394" t="str">
        <f>IF(B1141&lt;&gt;"",IFERROR(IF(LEFT($B1141,3)=$Z$2,VLOOKUP($C1141,Outbound!$B:$AAZ,6,FALSE),VLOOKUP($B1141,Outbound!$B:$AAZ,6,FALSE)),"NON TROVATO"),"")</f>
        <v/>
      </c>
      <c r="I1141" s="394" t="str">
        <f>IF(B1141&lt;&gt;"",IFERROR(IF(LEFT($B1141,3)=$Z$2,VLOOKUP($C1141,Outbound!$B:$AAZ,52,FALSE),VLOOKUP($B1141,Outbound!$B:$AAZ,52,FALSE)),"NON TROVATO"),"")</f>
        <v/>
      </c>
      <c r="J1141" s="396"/>
      <c r="K1141" s="387" t="str">
        <f>IF(B1141&lt;&gt;"",IF($D1141&lt;&gt;"ON ROCS/NOT ON FILE",IFERROR(_xlfn.XLOOKUP(LEFT($D1141,3),'STAT 77 Table'!$B:$B,'STAT 77 Table'!$A:$A),"ZZ"&amp;RIGHT($B1141,4)),""),"")</f>
        <v/>
      </c>
      <c r="L1141" s="396"/>
      <c r="O1141" s="388"/>
      <c r="P1141" s="388"/>
      <c r="AA1141" s="421">
        <f t="shared" si="17"/>
        <v>0</v>
      </c>
    </row>
    <row r="1142" spans="1:27" ht="16.5">
      <c r="A1142" s="387">
        <f>'STAT 77 Table'!$I$1141</f>
        <v>0</v>
      </c>
      <c r="B1142"/>
      <c r="C1142"/>
      <c r="D1142" s="387" t="str">
        <f>IF($B1142&lt;&gt;"",IFERROR(IF(LEFT($B1142,3)=$Z$2,VLOOKUP($C1142,Outbound!$B:$Z,4,FALSE),VLOOKUP($B1142,Outbound!$B:$Z,4,FALSE)),"ON ROCS/NOT ON FILE"),"")</f>
        <v/>
      </c>
      <c r="E1142" s="387" t="str">
        <f>IF($B1142&lt;&gt;"",IFERROR(IF(LEFT($B1142,4)=$Z$2,VLOOKUP($C1142,Outbound!$B:$Z,5,FALSE),VLOOKUP($B1142,Outbound!$B:$Z,5,FALSE)),"ON ROCS/NOT ON FILE"),"")</f>
        <v/>
      </c>
      <c r="F1142" s="387" t="str">
        <f>IF(B1142&lt;&gt;"",IFERROR(IF(LEFT($B1142,3)=$Z$2,VLOOKUP($C1142,Outbound!$B:$Z,11,FALSE),VLOOKUP($B1142,Outbound!$B:$Z,11,FALSE)),"NON TROVATO"),"")</f>
        <v/>
      </c>
      <c r="G1142" s="394" t="str">
        <f>IF(B1142&lt;&gt;"",IFERROR(IF(LEFT($B1142,3)=$Z$2,VLOOKUP($C1142,Outbound!$B:$AAZ,16,FALSE),VLOOKUP($B1142,Outbound!$B:$AAZ,16,FALSE)),"NON TROVATO"),"")</f>
        <v/>
      </c>
      <c r="H1142" s="394" t="str">
        <f>IF(B1142&lt;&gt;"",IFERROR(IF(LEFT($B1142,3)=$Z$2,VLOOKUP($C1142,Outbound!$B:$AAZ,6,FALSE),VLOOKUP($B1142,Outbound!$B:$AAZ,6,FALSE)),"NON TROVATO"),"")</f>
        <v/>
      </c>
      <c r="I1142" s="394" t="str">
        <f>IF(B1142&lt;&gt;"",IFERROR(IF(LEFT($B1142,3)=$Z$2,VLOOKUP($C1142,Outbound!$B:$AAZ,52,FALSE),VLOOKUP($B1142,Outbound!$B:$AAZ,52,FALSE)),"NON TROVATO"),"")</f>
        <v/>
      </c>
      <c r="J1142" s="396"/>
      <c r="K1142" s="387" t="str">
        <f>IF(B1142&lt;&gt;"",IF($D1142&lt;&gt;"ON ROCS/NOT ON FILE",IFERROR(_xlfn.XLOOKUP(LEFT($D1142,3),'STAT 77 Table'!$B:$B,'STAT 77 Table'!$A:$A),"ZZ"&amp;RIGHT($B1142,4)),""),"")</f>
        <v/>
      </c>
      <c r="L1142" s="396"/>
      <c r="O1142" s="388"/>
      <c r="P1142" s="388"/>
      <c r="AA1142" s="421">
        <f t="shared" si="17"/>
        <v>0</v>
      </c>
    </row>
    <row r="1143" spans="1:27" ht="16.5">
      <c r="A1143" s="387">
        <f>'STAT 77 Table'!$I$1142</f>
        <v>0</v>
      </c>
      <c r="B1143"/>
      <c r="C1143"/>
      <c r="D1143" s="387" t="str">
        <f>IF($B1143&lt;&gt;"",IFERROR(IF(LEFT($B1143,3)=$Z$2,VLOOKUP($C1143,Outbound!$B:$Z,4,FALSE),VLOOKUP($B1143,Outbound!$B:$Z,4,FALSE)),"ON ROCS/NOT ON FILE"),"")</f>
        <v/>
      </c>
      <c r="E1143" s="387" t="str">
        <f>IF($B1143&lt;&gt;"",IFERROR(IF(LEFT($B1143,4)=$Z$2,VLOOKUP($C1143,Outbound!$B:$Z,5,FALSE),VLOOKUP($B1143,Outbound!$B:$Z,5,FALSE)),"ON ROCS/NOT ON FILE"),"")</f>
        <v/>
      </c>
      <c r="F1143" s="387" t="str">
        <f>IF(B1143&lt;&gt;"",IFERROR(IF(LEFT($B1143,3)=$Z$2,VLOOKUP($C1143,Outbound!$B:$Z,11,FALSE),VLOOKUP($B1143,Outbound!$B:$Z,11,FALSE)),"NON TROVATO"),"")</f>
        <v/>
      </c>
      <c r="G1143" s="394" t="str">
        <f>IF(B1143&lt;&gt;"",IFERROR(IF(LEFT($B1143,3)=$Z$2,VLOOKUP($C1143,Outbound!$B:$AAZ,16,FALSE),VLOOKUP($B1143,Outbound!$B:$AAZ,16,FALSE)),"NON TROVATO"),"")</f>
        <v/>
      </c>
      <c r="H1143" s="394" t="str">
        <f>IF(B1143&lt;&gt;"",IFERROR(IF(LEFT($B1143,3)=$Z$2,VLOOKUP($C1143,Outbound!$B:$AAZ,6,FALSE),VLOOKUP($B1143,Outbound!$B:$AAZ,6,FALSE)),"NON TROVATO"),"")</f>
        <v/>
      </c>
      <c r="I1143" s="394" t="str">
        <f>IF(B1143&lt;&gt;"",IFERROR(IF(LEFT($B1143,3)=$Z$2,VLOOKUP($C1143,Outbound!$B:$AAZ,52,FALSE),VLOOKUP($B1143,Outbound!$B:$AAZ,52,FALSE)),"NON TROVATO"),"")</f>
        <v/>
      </c>
      <c r="J1143" s="396"/>
      <c r="K1143" s="387" t="str">
        <f>IF(B1143&lt;&gt;"",IF($D1143&lt;&gt;"ON ROCS/NOT ON FILE",IFERROR(_xlfn.XLOOKUP(LEFT($D1143,3),'STAT 77 Table'!$B:$B,'STAT 77 Table'!$A:$A),"ZZ"&amp;RIGHT($B1143,4)),""),"")</f>
        <v/>
      </c>
      <c r="L1143" s="396"/>
      <c r="O1143" s="388"/>
      <c r="P1143" s="388"/>
      <c r="AA1143" s="421">
        <f t="shared" si="17"/>
        <v>0</v>
      </c>
    </row>
    <row r="1144" spans="1:27" ht="16.5">
      <c r="A1144" s="387">
        <f>'STAT 77 Table'!$I$1143</f>
        <v>0</v>
      </c>
      <c r="B1144"/>
      <c r="C1144"/>
      <c r="D1144" s="387" t="str">
        <f>IF($B1144&lt;&gt;"",IFERROR(IF(LEFT($B1144,3)=$Z$2,VLOOKUP($C1144,Outbound!$B:$Z,4,FALSE),VLOOKUP($B1144,Outbound!$B:$Z,4,FALSE)),"ON ROCS/NOT ON FILE"),"")</f>
        <v/>
      </c>
      <c r="E1144" s="387" t="str">
        <f>IF($B1144&lt;&gt;"",IFERROR(IF(LEFT($B1144,4)=$Z$2,VLOOKUP($C1144,Outbound!$B:$Z,5,FALSE),VLOOKUP($B1144,Outbound!$B:$Z,5,FALSE)),"ON ROCS/NOT ON FILE"),"")</f>
        <v/>
      </c>
      <c r="F1144" s="387" t="str">
        <f>IF(B1144&lt;&gt;"",IFERROR(IF(LEFT($B1144,3)=$Z$2,VLOOKUP($C1144,Outbound!$B:$Z,11,FALSE),VLOOKUP($B1144,Outbound!$B:$Z,11,FALSE)),"NON TROVATO"),"")</f>
        <v/>
      </c>
      <c r="G1144" s="394" t="str">
        <f>IF(B1144&lt;&gt;"",IFERROR(IF(LEFT($B1144,3)=$Z$2,VLOOKUP($C1144,Outbound!$B:$AAZ,16,FALSE),VLOOKUP($B1144,Outbound!$B:$AAZ,16,FALSE)),"NON TROVATO"),"")</f>
        <v/>
      </c>
      <c r="H1144" s="394" t="str">
        <f>IF(B1144&lt;&gt;"",IFERROR(IF(LEFT($B1144,3)=$Z$2,VLOOKUP($C1144,Outbound!$B:$AAZ,6,FALSE),VLOOKUP($B1144,Outbound!$B:$AAZ,6,FALSE)),"NON TROVATO"),"")</f>
        <v/>
      </c>
      <c r="I1144" s="394" t="str">
        <f>IF(B1144&lt;&gt;"",IFERROR(IF(LEFT($B1144,3)=$Z$2,VLOOKUP($C1144,Outbound!$B:$AAZ,52,FALSE),VLOOKUP($B1144,Outbound!$B:$AAZ,52,FALSE)),"NON TROVATO"),"")</f>
        <v/>
      </c>
      <c r="J1144" s="396"/>
      <c r="K1144" s="387" t="str">
        <f>IF(B1144&lt;&gt;"",IF($D1144&lt;&gt;"ON ROCS/NOT ON FILE",IFERROR(_xlfn.XLOOKUP(LEFT($D1144,3),'STAT 77 Table'!$B:$B,'STAT 77 Table'!$A:$A),"ZZ"&amp;RIGHT($B1144,4)),""),"")</f>
        <v/>
      </c>
      <c r="L1144" s="396"/>
      <c r="O1144" s="388"/>
      <c r="P1144" s="388"/>
      <c r="AA1144" s="421">
        <f t="shared" si="17"/>
        <v>0</v>
      </c>
    </row>
    <row r="1145" spans="1:27" ht="16.5">
      <c r="A1145" s="387">
        <f>'STAT 77 Table'!$I$1144</f>
        <v>0</v>
      </c>
      <c r="B1145"/>
      <c r="C1145"/>
      <c r="D1145" s="387" t="str">
        <f>IF($B1145&lt;&gt;"",IFERROR(IF(LEFT($B1145,3)=$Z$2,VLOOKUP($C1145,Outbound!$B:$Z,4,FALSE),VLOOKUP($B1145,Outbound!$B:$Z,4,FALSE)),"ON ROCS/NOT ON FILE"),"")</f>
        <v/>
      </c>
      <c r="E1145" s="387" t="str">
        <f>IF($B1145&lt;&gt;"",IFERROR(IF(LEFT($B1145,4)=$Z$2,VLOOKUP($C1145,Outbound!$B:$Z,5,FALSE),VLOOKUP($B1145,Outbound!$B:$Z,5,FALSE)),"ON ROCS/NOT ON FILE"),"")</f>
        <v/>
      </c>
      <c r="F1145" s="387" t="str">
        <f>IF(B1145&lt;&gt;"",IFERROR(IF(LEFT($B1145,3)=$Z$2,VLOOKUP($C1145,Outbound!$B:$Z,11,FALSE),VLOOKUP($B1145,Outbound!$B:$Z,11,FALSE)),"NON TROVATO"),"")</f>
        <v/>
      </c>
      <c r="G1145" s="394" t="str">
        <f>IF(B1145&lt;&gt;"",IFERROR(IF(LEFT($B1145,3)=$Z$2,VLOOKUP($C1145,Outbound!$B:$AAZ,16,FALSE),VLOOKUP($B1145,Outbound!$B:$AAZ,16,FALSE)),"NON TROVATO"),"")</f>
        <v/>
      </c>
      <c r="H1145" s="394" t="str">
        <f>IF(B1145&lt;&gt;"",IFERROR(IF(LEFT($B1145,3)=$Z$2,VLOOKUP($C1145,Outbound!$B:$AAZ,6,FALSE),VLOOKUP($B1145,Outbound!$B:$AAZ,6,FALSE)),"NON TROVATO"),"")</f>
        <v/>
      </c>
      <c r="I1145" s="394" t="str">
        <f>IF(B1145&lt;&gt;"",IFERROR(IF(LEFT($B1145,3)=$Z$2,VLOOKUP($C1145,Outbound!$B:$AAZ,52,FALSE),VLOOKUP($B1145,Outbound!$B:$AAZ,52,FALSE)),"NON TROVATO"),"")</f>
        <v/>
      </c>
      <c r="J1145" s="396"/>
      <c r="K1145" s="387" t="str">
        <f>IF(B1145&lt;&gt;"",IF($D1145&lt;&gt;"ON ROCS/NOT ON FILE",IFERROR(_xlfn.XLOOKUP(LEFT($D1145,3),'STAT 77 Table'!$B:$B,'STAT 77 Table'!$A:$A),"ZZ"&amp;RIGHT($B1145,4)),""),"")</f>
        <v/>
      </c>
      <c r="L1145" s="396"/>
      <c r="O1145" s="388"/>
      <c r="P1145" s="388"/>
      <c r="AA1145" s="421">
        <f t="shared" si="17"/>
        <v>0</v>
      </c>
    </row>
    <row r="1146" spans="1:27" ht="16.5">
      <c r="A1146" s="387">
        <f>'STAT 77 Table'!$I$1145</f>
        <v>0</v>
      </c>
      <c r="B1146"/>
      <c r="C1146"/>
      <c r="D1146" s="387" t="str">
        <f>IF($B1146&lt;&gt;"",IFERROR(IF(LEFT($B1146,3)=$Z$2,VLOOKUP($C1146,Outbound!$B:$Z,4,FALSE),VLOOKUP($B1146,Outbound!$B:$Z,4,FALSE)),"ON ROCS/NOT ON FILE"),"")</f>
        <v/>
      </c>
      <c r="E1146" s="387" t="str">
        <f>IF($B1146&lt;&gt;"",IFERROR(IF(LEFT($B1146,4)=$Z$2,VLOOKUP($C1146,Outbound!$B:$Z,5,FALSE),VLOOKUP($B1146,Outbound!$B:$Z,5,FALSE)),"ON ROCS/NOT ON FILE"),"")</f>
        <v/>
      </c>
      <c r="F1146" s="387" t="str">
        <f>IF(B1146&lt;&gt;"",IFERROR(IF(LEFT($B1146,3)=$Z$2,VLOOKUP($C1146,Outbound!$B:$Z,11,FALSE),VLOOKUP($B1146,Outbound!$B:$Z,11,FALSE)),"NON TROVATO"),"")</f>
        <v/>
      </c>
      <c r="G1146" s="394" t="str">
        <f>IF(B1146&lt;&gt;"",IFERROR(IF(LEFT($B1146,3)=$Z$2,VLOOKUP($C1146,Outbound!$B:$AAZ,16,FALSE),VLOOKUP($B1146,Outbound!$B:$AAZ,16,FALSE)),"NON TROVATO"),"")</f>
        <v/>
      </c>
      <c r="H1146" s="394" t="str">
        <f>IF(B1146&lt;&gt;"",IFERROR(IF(LEFT($B1146,3)=$Z$2,VLOOKUP($C1146,Outbound!$B:$AAZ,6,FALSE),VLOOKUP($B1146,Outbound!$B:$AAZ,6,FALSE)),"NON TROVATO"),"")</f>
        <v/>
      </c>
      <c r="I1146" s="394" t="str">
        <f>IF(B1146&lt;&gt;"",IFERROR(IF(LEFT($B1146,3)=$Z$2,VLOOKUP($C1146,Outbound!$B:$AAZ,52,FALSE),VLOOKUP($B1146,Outbound!$B:$AAZ,52,FALSE)),"NON TROVATO"),"")</f>
        <v/>
      </c>
      <c r="J1146" s="396"/>
      <c r="K1146" s="387" t="str">
        <f>IF(B1146&lt;&gt;"",IF($D1146&lt;&gt;"ON ROCS/NOT ON FILE",IFERROR(_xlfn.XLOOKUP(LEFT($D1146,3),'STAT 77 Table'!$B:$B,'STAT 77 Table'!$A:$A),"ZZ"&amp;RIGHT($B1146,4)),""),"")</f>
        <v/>
      </c>
      <c r="L1146" s="396"/>
      <c r="O1146" s="388"/>
      <c r="P1146" s="388"/>
      <c r="AA1146" s="421">
        <f t="shared" si="17"/>
        <v>0</v>
      </c>
    </row>
    <row r="1147" spans="1:27" ht="16.5">
      <c r="A1147" s="387">
        <f>'STAT 77 Table'!$I$1146</f>
        <v>0</v>
      </c>
      <c r="B1147"/>
      <c r="C1147"/>
      <c r="D1147" s="387" t="str">
        <f>IF($B1147&lt;&gt;"",IFERROR(IF(LEFT($B1147,3)=$Z$2,VLOOKUP($C1147,Outbound!$B:$Z,4,FALSE),VLOOKUP($B1147,Outbound!$B:$Z,4,FALSE)),"ON ROCS/NOT ON FILE"),"")</f>
        <v/>
      </c>
      <c r="E1147" s="387" t="str">
        <f>IF($B1147&lt;&gt;"",IFERROR(IF(LEFT($B1147,4)=$Z$2,VLOOKUP($C1147,Outbound!$B:$Z,5,FALSE),VLOOKUP($B1147,Outbound!$B:$Z,5,FALSE)),"ON ROCS/NOT ON FILE"),"")</f>
        <v/>
      </c>
      <c r="F1147" s="387" t="str">
        <f>IF(B1147&lt;&gt;"",IFERROR(IF(LEFT($B1147,3)=$Z$2,VLOOKUP($C1147,Outbound!$B:$Z,11,FALSE),VLOOKUP($B1147,Outbound!$B:$Z,11,FALSE)),"NON TROVATO"),"")</f>
        <v/>
      </c>
      <c r="G1147" s="394" t="str">
        <f>IF(B1147&lt;&gt;"",IFERROR(IF(LEFT($B1147,3)=$Z$2,VLOOKUP($C1147,Outbound!$B:$AAZ,16,FALSE),VLOOKUP($B1147,Outbound!$B:$AAZ,16,FALSE)),"NON TROVATO"),"")</f>
        <v/>
      </c>
      <c r="H1147" s="394" t="str">
        <f>IF(B1147&lt;&gt;"",IFERROR(IF(LEFT($B1147,3)=$Z$2,VLOOKUP($C1147,Outbound!$B:$AAZ,6,FALSE),VLOOKUP($B1147,Outbound!$B:$AAZ,6,FALSE)),"NON TROVATO"),"")</f>
        <v/>
      </c>
      <c r="I1147" s="394" t="str">
        <f>IF(B1147&lt;&gt;"",IFERROR(IF(LEFT($B1147,3)=$Z$2,VLOOKUP($C1147,Outbound!$B:$AAZ,52,FALSE),VLOOKUP($B1147,Outbound!$B:$AAZ,52,FALSE)),"NON TROVATO"),"")</f>
        <v/>
      </c>
      <c r="J1147" s="396"/>
      <c r="K1147" s="387" t="str">
        <f>IF(B1147&lt;&gt;"",IF($D1147&lt;&gt;"ON ROCS/NOT ON FILE",IFERROR(_xlfn.XLOOKUP(LEFT($D1147,3),'STAT 77 Table'!$B:$B,'STAT 77 Table'!$A:$A),"ZZ"&amp;RIGHT($B1147,4)),""),"")</f>
        <v/>
      </c>
      <c r="L1147" s="396"/>
      <c r="O1147" s="388"/>
      <c r="P1147" s="388"/>
      <c r="AA1147" s="421">
        <f t="shared" si="17"/>
        <v>0</v>
      </c>
    </row>
    <row r="1148" spans="1:27" ht="16.5">
      <c r="A1148" s="387">
        <f>'STAT 77 Table'!$I$1147</f>
        <v>0</v>
      </c>
      <c r="B1148"/>
      <c r="C1148"/>
      <c r="D1148" s="387" t="str">
        <f>IF($B1148&lt;&gt;"",IFERROR(IF(LEFT($B1148,3)=$Z$2,VLOOKUP($C1148,Outbound!$B:$Z,4,FALSE),VLOOKUP($B1148,Outbound!$B:$Z,4,FALSE)),"ON ROCS/NOT ON FILE"),"")</f>
        <v/>
      </c>
      <c r="E1148" s="387" t="str">
        <f>IF($B1148&lt;&gt;"",IFERROR(IF(LEFT($B1148,4)=$Z$2,VLOOKUP($C1148,Outbound!$B:$Z,5,FALSE),VLOOKUP($B1148,Outbound!$B:$Z,5,FALSE)),"ON ROCS/NOT ON FILE"),"")</f>
        <v/>
      </c>
      <c r="F1148" s="387" t="str">
        <f>IF(B1148&lt;&gt;"",IFERROR(IF(LEFT($B1148,3)=$Z$2,VLOOKUP($C1148,Outbound!$B:$Z,11,FALSE),VLOOKUP($B1148,Outbound!$B:$Z,11,FALSE)),"NON TROVATO"),"")</f>
        <v/>
      </c>
      <c r="G1148" s="394" t="str">
        <f>IF(B1148&lt;&gt;"",IFERROR(IF(LEFT($B1148,3)=$Z$2,VLOOKUP($C1148,Outbound!$B:$AAZ,16,FALSE),VLOOKUP($B1148,Outbound!$B:$AAZ,16,FALSE)),"NON TROVATO"),"")</f>
        <v/>
      </c>
      <c r="H1148" s="394" t="str">
        <f>IF(B1148&lt;&gt;"",IFERROR(IF(LEFT($B1148,3)=$Z$2,VLOOKUP($C1148,Outbound!$B:$AAZ,6,FALSE),VLOOKUP($B1148,Outbound!$B:$AAZ,6,FALSE)),"NON TROVATO"),"")</f>
        <v/>
      </c>
      <c r="I1148" s="394" t="str">
        <f>IF(B1148&lt;&gt;"",IFERROR(IF(LEFT($B1148,3)=$Z$2,VLOOKUP($C1148,Outbound!$B:$AAZ,52,FALSE),VLOOKUP($B1148,Outbound!$B:$AAZ,52,FALSE)),"NON TROVATO"),"")</f>
        <v/>
      </c>
      <c r="J1148" s="396"/>
      <c r="K1148" s="387" t="str">
        <f>IF(B1148&lt;&gt;"",IF($D1148&lt;&gt;"ON ROCS/NOT ON FILE",IFERROR(_xlfn.XLOOKUP(LEFT($D1148,3),'STAT 77 Table'!$B:$B,'STAT 77 Table'!$A:$A),"ZZ"&amp;RIGHT($B1148,4)),""),"")</f>
        <v/>
      </c>
      <c r="L1148" s="396"/>
      <c r="O1148" s="388"/>
      <c r="P1148" s="388"/>
      <c r="AA1148" s="421">
        <f t="shared" si="17"/>
        <v>0</v>
      </c>
    </row>
    <row r="1149" spans="1:27" ht="16.5">
      <c r="A1149" s="387">
        <f>'STAT 77 Table'!$I$1148</f>
        <v>0</v>
      </c>
      <c r="B1149"/>
      <c r="C1149"/>
      <c r="D1149" s="387" t="str">
        <f>IF($B1149&lt;&gt;"",IFERROR(IF(LEFT($B1149,3)=$Z$2,VLOOKUP($C1149,Outbound!$B:$Z,4,FALSE),VLOOKUP($B1149,Outbound!$B:$Z,4,FALSE)),"ON ROCS/NOT ON FILE"),"")</f>
        <v/>
      </c>
      <c r="E1149" s="387" t="str">
        <f>IF($B1149&lt;&gt;"",IFERROR(IF(LEFT($B1149,4)=$Z$2,VLOOKUP($C1149,Outbound!$B:$Z,5,FALSE),VLOOKUP($B1149,Outbound!$B:$Z,5,FALSE)),"ON ROCS/NOT ON FILE"),"")</f>
        <v/>
      </c>
      <c r="F1149" s="387" t="str">
        <f>IF(B1149&lt;&gt;"",IFERROR(IF(LEFT($B1149,3)=$Z$2,VLOOKUP($C1149,Outbound!$B:$Z,11,FALSE),VLOOKUP($B1149,Outbound!$B:$Z,11,FALSE)),"NON TROVATO"),"")</f>
        <v/>
      </c>
      <c r="G1149" s="394" t="str">
        <f>IF(B1149&lt;&gt;"",IFERROR(IF(LEFT($B1149,3)=$Z$2,VLOOKUP($C1149,Outbound!$B:$AAZ,16,FALSE),VLOOKUP($B1149,Outbound!$B:$AAZ,16,FALSE)),"NON TROVATO"),"")</f>
        <v/>
      </c>
      <c r="H1149" s="394" t="str">
        <f>IF(B1149&lt;&gt;"",IFERROR(IF(LEFT($B1149,3)=$Z$2,VLOOKUP($C1149,Outbound!$B:$AAZ,6,FALSE),VLOOKUP($B1149,Outbound!$B:$AAZ,6,FALSE)),"NON TROVATO"),"")</f>
        <v/>
      </c>
      <c r="I1149" s="394" t="str">
        <f>IF(B1149&lt;&gt;"",IFERROR(IF(LEFT($B1149,3)=$Z$2,VLOOKUP($C1149,Outbound!$B:$AAZ,52,FALSE),VLOOKUP($B1149,Outbound!$B:$AAZ,52,FALSE)),"NON TROVATO"),"")</f>
        <v/>
      </c>
      <c r="J1149" s="396"/>
      <c r="K1149" s="387" t="str">
        <f>IF(B1149&lt;&gt;"",IF($D1149&lt;&gt;"ON ROCS/NOT ON FILE",IFERROR(_xlfn.XLOOKUP(LEFT($D1149,3),'STAT 77 Table'!$B:$B,'STAT 77 Table'!$A:$A),"ZZ"&amp;RIGHT($B1149,4)),""),"")</f>
        <v/>
      </c>
      <c r="L1149" s="396"/>
      <c r="O1149" s="388"/>
      <c r="P1149" s="388"/>
      <c r="AA1149" s="421">
        <f t="shared" si="17"/>
        <v>0</v>
      </c>
    </row>
    <row r="1150" spans="1:27" ht="16.5">
      <c r="A1150" s="387">
        <f>'STAT 77 Table'!$I$1149</f>
        <v>0</v>
      </c>
      <c r="B1150"/>
      <c r="C1150"/>
      <c r="D1150" s="387" t="str">
        <f>IF($B1150&lt;&gt;"",IFERROR(IF(LEFT($B1150,3)=$Z$2,VLOOKUP($C1150,Outbound!$B:$Z,4,FALSE),VLOOKUP($B1150,Outbound!$B:$Z,4,FALSE)),"ON ROCS/NOT ON FILE"),"")</f>
        <v/>
      </c>
      <c r="E1150" s="387" t="str">
        <f>IF($B1150&lt;&gt;"",IFERROR(IF(LEFT($B1150,4)=$Z$2,VLOOKUP($C1150,Outbound!$B:$Z,5,FALSE),VLOOKUP($B1150,Outbound!$B:$Z,5,FALSE)),"ON ROCS/NOT ON FILE"),"")</f>
        <v/>
      </c>
      <c r="F1150" s="387" t="str">
        <f>IF(B1150&lt;&gt;"",IFERROR(IF(LEFT($B1150,3)=$Z$2,VLOOKUP($C1150,Outbound!$B:$Z,11,FALSE),VLOOKUP($B1150,Outbound!$B:$Z,11,FALSE)),"NON TROVATO"),"")</f>
        <v/>
      </c>
      <c r="G1150" s="394" t="str">
        <f>IF(B1150&lt;&gt;"",IFERROR(IF(LEFT($B1150,3)=$Z$2,VLOOKUP($C1150,Outbound!$B:$AAZ,16,FALSE),VLOOKUP($B1150,Outbound!$B:$AAZ,16,FALSE)),"NON TROVATO"),"")</f>
        <v/>
      </c>
      <c r="H1150" s="394" t="str">
        <f>IF(B1150&lt;&gt;"",IFERROR(IF(LEFT($B1150,3)=$Z$2,VLOOKUP($C1150,Outbound!$B:$AAZ,6,FALSE),VLOOKUP($B1150,Outbound!$B:$AAZ,6,FALSE)),"NON TROVATO"),"")</f>
        <v/>
      </c>
      <c r="I1150" s="394" t="str">
        <f>IF(B1150&lt;&gt;"",IFERROR(IF(LEFT($B1150,3)=$Z$2,VLOOKUP($C1150,Outbound!$B:$AAZ,52,FALSE),VLOOKUP($B1150,Outbound!$B:$AAZ,52,FALSE)),"NON TROVATO"),"")</f>
        <v/>
      </c>
      <c r="J1150" s="396"/>
      <c r="K1150" s="387" t="str">
        <f>IF(B1150&lt;&gt;"",IF($D1150&lt;&gt;"ON ROCS/NOT ON FILE",IFERROR(_xlfn.XLOOKUP(LEFT($D1150,3),'STAT 77 Table'!$B:$B,'STAT 77 Table'!$A:$A),"ZZ"&amp;RIGHT($B1150,4)),""),"")</f>
        <v/>
      </c>
      <c r="L1150" s="396"/>
      <c r="O1150" s="388"/>
      <c r="P1150" s="388"/>
      <c r="AA1150" s="421">
        <f t="shared" si="17"/>
        <v>0</v>
      </c>
    </row>
    <row r="1151" spans="1:27" ht="16.5">
      <c r="A1151" s="387">
        <f>'STAT 77 Table'!$I$1150</f>
        <v>0</v>
      </c>
      <c r="B1151"/>
      <c r="C1151"/>
      <c r="D1151" s="387" t="str">
        <f>IF($B1151&lt;&gt;"",IFERROR(IF(LEFT($B1151,3)=$Z$2,VLOOKUP($C1151,Outbound!$B:$Z,4,FALSE),VLOOKUP($B1151,Outbound!$B:$Z,4,FALSE)),"ON ROCS/NOT ON FILE"),"")</f>
        <v/>
      </c>
      <c r="E1151" s="387" t="str">
        <f>IF($B1151&lt;&gt;"",IFERROR(IF(LEFT($B1151,4)=$Z$2,VLOOKUP($C1151,Outbound!$B:$Z,5,FALSE),VLOOKUP($B1151,Outbound!$B:$Z,5,FALSE)),"ON ROCS/NOT ON FILE"),"")</f>
        <v/>
      </c>
      <c r="F1151" s="387" t="str">
        <f>IF(B1151&lt;&gt;"",IFERROR(IF(LEFT($B1151,3)=$Z$2,VLOOKUP($C1151,Outbound!$B:$Z,11,FALSE),VLOOKUP($B1151,Outbound!$B:$Z,11,FALSE)),"NON TROVATO"),"")</f>
        <v/>
      </c>
      <c r="G1151" s="394" t="str">
        <f>IF(B1151&lt;&gt;"",IFERROR(IF(LEFT($B1151,3)=$Z$2,VLOOKUP($C1151,Outbound!$B:$AAZ,16,FALSE),VLOOKUP($B1151,Outbound!$B:$AAZ,16,FALSE)),"NON TROVATO"),"")</f>
        <v/>
      </c>
      <c r="H1151" s="394" t="str">
        <f>IF(B1151&lt;&gt;"",IFERROR(IF(LEFT($B1151,3)=$Z$2,VLOOKUP($C1151,Outbound!$B:$AAZ,6,FALSE),VLOOKUP($B1151,Outbound!$B:$AAZ,6,FALSE)),"NON TROVATO"),"")</f>
        <v/>
      </c>
      <c r="I1151" s="394" t="str">
        <f>IF(B1151&lt;&gt;"",IFERROR(IF(LEFT($B1151,3)=$Z$2,VLOOKUP($C1151,Outbound!$B:$AAZ,52,FALSE),VLOOKUP($B1151,Outbound!$B:$AAZ,52,FALSE)),"NON TROVATO"),"")</f>
        <v/>
      </c>
      <c r="J1151" s="396"/>
      <c r="K1151" s="387" t="str">
        <f>IF(B1151&lt;&gt;"",IF($D1151&lt;&gt;"ON ROCS/NOT ON FILE",IFERROR(_xlfn.XLOOKUP(LEFT($D1151,3),'STAT 77 Table'!$B:$B,'STAT 77 Table'!$A:$A),"ZZ"&amp;RIGHT($B1151,4)),""),"")</f>
        <v/>
      </c>
      <c r="L1151" s="396"/>
      <c r="O1151" s="388"/>
      <c r="P1151" s="388"/>
      <c r="AA1151" s="421">
        <f t="shared" si="17"/>
        <v>0</v>
      </c>
    </row>
    <row r="1152" spans="1:27" ht="16.5">
      <c r="A1152" s="387">
        <f>'STAT 77 Table'!$I$1151</f>
        <v>0</v>
      </c>
      <c r="B1152"/>
      <c r="C1152"/>
      <c r="D1152" s="387" t="str">
        <f>IF($B1152&lt;&gt;"",IFERROR(IF(LEFT($B1152,3)=$Z$2,VLOOKUP($C1152,Outbound!$B:$Z,4,FALSE),VLOOKUP($B1152,Outbound!$B:$Z,4,FALSE)),"ON ROCS/NOT ON FILE"),"")</f>
        <v/>
      </c>
      <c r="E1152" s="387" t="str">
        <f>IF($B1152&lt;&gt;"",IFERROR(IF(LEFT($B1152,4)=$Z$2,VLOOKUP($C1152,Outbound!$B:$Z,5,FALSE),VLOOKUP($B1152,Outbound!$B:$Z,5,FALSE)),"ON ROCS/NOT ON FILE"),"")</f>
        <v/>
      </c>
      <c r="F1152" s="387" t="str">
        <f>IF(B1152&lt;&gt;"",IFERROR(IF(LEFT($B1152,3)=$Z$2,VLOOKUP($C1152,Outbound!$B:$Z,11,FALSE),VLOOKUP($B1152,Outbound!$B:$Z,11,FALSE)),"NON TROVATO"),"")</f>
        <v/>
      </c>
      <c r="G1152" s="394" t="str">
        <f>IF(B1152&lt;&gt;"",IFERROR(IF(LEFT($B1152,3)=$Z$2,VLOOKUP($C1152,Outbound!$B:$AAZ,16,FALSE),VLOOKUP($B1152,Outbound!$B:$AAZ,16,FALSE)),"NON TROVATO"),"")</f>
        <v/>
      </c>
      <c r="H1152" s="394" t="str">
        <f>IF(B1152&lt;&gt;"",IFERROR(IF(LEFT($B1152,3)=$Z$2,VLOOKUP($C1152,Outbound!$B:$AAZ,6,FALSE),VLOOKUP($B1152,Outbound!$B:$AAZ,6,FALSE)),"NON TROVATO"),"")</f>
        <v/>
      </c>
      <c r="I1152" s="394" t="str">
        <f>IF(B1152&lt;&gt;"",IFERROR(IF(LEFT($B1152,3)=$Z$2,VLOOKUP($C1152,Outbound!$B:$AAZ,52,FALSE),VLOOKUP($B1152,Outbound!$B:$AAZ,52,FALSE)),"NON TROVATO"),"")</f>
        <v/>
      </c>
      <c r="J1152" s="396"/>
      <c r="K1152" s="387" t="str">
        <f>IF(B1152&lt;&gt;"",IF($D1152&lt;&gt;"ON ROCS/NOT ON FILE",IFERROR(_xlfn.XLOOKUP(LEFT($D1152,3),'STAT 77 Table'!$B:$B,'STAT 77 Table'!$A:$A),"ZZ"&amp;RIGHT($B1152,4)),""),"")</f>
        <v/>
      </c>
      <c r="L1152" s="396"/>
      <c r="O1152" s="388"/>
      <c r="P1152" s="388"/>
      <c r="AA1152" s="421">
        <f t="shared" si="17"/>
        <v>0</v>
      </c>
    </row>
    <row r="1153" spans="1:27" ht="16.5">
      <c r="A1153" s="387">
        <f>'STAT 77 Table'!$I$1152</f>
        <v>0</v>
      </c>
      <c r="B1153"/>
      <c r="C1153"/>
      <c r="D1153" s="387" t="str">
        <f>IF($B1153&lt;&gt;"",IFERROR(IF(LEFT($B1153,3)=$Z$2,VLOOKUP($C1153,Outbound!$B:$Z,4,FALSE),VLOOKUP($B1153,Outbound!$B:$Z,4,FALSE)),"ON ROCS/NOT ON FILE"),"")</f>
        <v/>
      </c>
      <c r="E1153" s="387" t="str">
        <f>IF($B1153&lt;&gt;"",IFERROR(IF(LEFT($B1153,4)=$Z$2,VLOOKUP($C1153,Outbound!$B:$Z,5,FALSE),VLOOKUP($B1153,Outbound!$B:$Z,5,FALSE)),"ON ROCS/NOT ON FILE"),"")</f>
        <v/>
      </c>
      <c r="F1153" s="387" t="str">
        <f>IF(B1153&lt;&gt;"",IFERROR(IF(LEFT($B1153,3)=$Z$2,VLOOKUP($C1153,Outbound!$B:$Z,11,FALSE),VLOOKUP($B1153,Outbound!$B:$Z,11,FALSE)),"NON TROVATO"),"")</f>
        <v/>
      </c>
      <c r="G1153" s="394" t="str">
        <f>IF(B1153&lt;&gt;"",IFERROR(IF(LEFT($B1153,3)=$Z$2,VLOOKUP($C1153,Outbound!$B:$AAZ,16,FALSE),VLOOKUP($B1153,Outbound!$B:$AAZ,16,FALSE)),"NON TROVATO"),"")</f>
        <v/>
      </c>
      <c r="H1153" s="394" t="str">
        <f>IF(B1153&lt;&gt;"",IFERROR(IF(LEFT($B1153,3)=$Z$2,VLOOKUP($C1153,Outbound!$B:$AAZ,6,FALSE),VLOOKUP($B1153,Outbound!$B:$AAZ,6,FALSE)),"NON TROVATO"),"")</f>
        <v/>
      </c>
      <c r="I1153" s="394" t="str">
        <f>IF(B1153&lt;&gt;"",IFERROR(IF(LEFT($B1153,3)=$Z$2,VLOOKUP($C1153,Outbound!$B:$AAZ,52,FALSE),VLOOKUP($B1153,Outbound!$B:$AAZ,52,FALSE)),"NON TROVATO"),"")</f>
        <v/>
      </c>
      <c r="J1153" s="396"/>
      <c r="K1153" s="387" t="str">
        <f>IF(B1153&lt;&gt;"",IF($D1153&lt;&gt;"ON ROCS/NOT ON FILE",IFERROR(_xlfn.XLOOKUP(LEFT($D1153,3),'STAT 77 Table'!$B:$B,'STAT 77 Table'!$A:$A),"ZZ"&amp;RIGHT($B1153,4)),""),"")</f>
        <v/>
      </c>
      <c r="L1153" s="396"/>
      <c r="O1153" s="388"/>
      <c r="P1153" s="388"/>
      <c r="AA1153" s="421">
        <f t="shared" si="17"/>
        <v>0</v>
      </c>
    </row>
    <row r="1154" spans="1:27" ht="16.5">
      <c r="A1154" s="387">
        <f>'STAT 77 Table'!$I$1153</f>
        <v>0</v>
      </c>
      <c r="B1154"/>
      <c r="C1154"/>
      <c r="D1154" s="387" t="str">
        <f>IF($B1154&lt;&gt;"",IFERROR(IF(LEFT($B1154,3)=$Z$2,VLOOKUP($C1154,Outbound!$B:$Z,4,FALSE),VLOOKUP($B1154,Outbound!$B:$Z,4,FALSE)),"ON ROCS/NOT ON FILE"),"")</f>
        <v/>
      </c>
      <c r="E1154" s="387" t="str">
        <f>IF($B1154&lt;&gt;"",IFERROR(IF(LEFT($B1154,4)=$Z$2,VLOOKUP($C1154,Outbound!$B:$Z,5,FALSE),VLOOKUP($B1154,Outbound!$B:$Z,5,FALSE)),"ON ROCS/NOT ON FILE"),"")</f>
        <v/>
      </c>
      <c r="F1154" s="387" t="str">
        <f>IF(B1154&lt;&gt;"",IFERROR(IF(LEFT($B1154,3)=$Z$2,VLOOKUP($C1154,Outbound!$B:$Z,11,FALSE),VLOOKUP($B1154,Outbound!$B:$Z,11,FALSE)),"NON TROVATO"),"")</f>
        <v/>
      </c>
      <c r="G1154" s="394" t="str">
        <f>IF(B1154&lt;&gt;"",IFERROR(IF(LEFT($B1154,3)=$Z$2,VLOOKUP($C1154,Outbound!$B:$AAZ,16,FALSE),VLOOKUP($B1154,Outbound!$B:$AAZ,16,FALSE)),"NON TROVATO"),"")</f>
        <v/>
      </c>
      <c r="H1154" s="394" t="str">
        <f>IF(B1154&lt;&gt;"",IFERROR(IF(LEFT($B1154,3)=$Z$2,VLOOKUP($C1154,Outbound!$B:$AAZ,6,FALSE),VLOOKUP($B1154,Outbound!$B:$AAZ,6,FALSE)),"NON TROVATO"),"")</f>
        <v/>
      </c>
      <c r="I1154" s="394" t="str">
        <f>IF(B1154&lt;&gt;"",IFERROR(IF(LEFT($B1154,3)=$Z$2,VLOOKUP($C1154,Outbound!$B:$AAZ,52,FALSE),VLOOKUP($B1154,Outbound!$B:$AAZ,52,FALSE)),"NON TROVATO"),"")</f>
        <v/>
      </c>
      <c r="J1154" s="396"/>
      <c r="K1154" s="387" t="str">
        <f>IF(B1154&lt;&gt;"",IF($D1154&lt;&gt;"ON ROCS/NOT ON FILE",IFERROR(_xlfn.XLOOKUP(LEFT($D1154,3),'STAT 77 Table'!$B:$B,'STAT 77 Table'!$A:$A),"ZZ"&amp;RIGHT($B1154,4)),""),"")</f>
        <v/>
      </c>
      <c r="L1154" s="396"/>
      <c r="O1154" s="388"/>
      <c r="P1154" s="388"/>
      <c r="AA1154" s="421">
        <f t="shared" si="17"/>
        <v>0</v>
      </c>
    </row>
    <row r="1155" spans="1:27" ht="16.5">
      <c r="A1155" s="387">
        <f>'STAT 77 Table'!$I$1154</f>
        <v>0</v>
      </c>
      <c r="B1155"/>
      <c r="C1155"/>
      <c r="D1155" s="387" t="str">
        <f>IF($B1155&lt;&gt;"",IFERROR(IF(LEFT($B1155,3)=$Z$2,VLOOKUP($C1155,Outbound!$B:$Z,4,FALSE),VLOOKUP($B1155,Outbound!$B:$Z,4,FALSE)),"ON ROCS/NOT ON FILE"),"")</f>
        <v/>
      </c>
      <c r="E1155" s="387" t="str">
        <f>IF($B1155&lt;&gt;"",IFERROR(IF(LEFT($B1155,4)=$Z$2,VLOOKUP($C1155,Outbound!$B:$Z,5,FALSE),VLOOKUP($B1155,Outbound!$B:$Z,5,FALSE)),"ON ROCS/NOT ON FILE"),"")</f>
        <v/>
      </c>
      <c r="F1155" s="387" t="str">
        <f>IF(B1155&lt;&gt;"",IFERROR(IF(LEFT($B1155,3)=$Z$2,VLOOKUP($C1155,Outbound!$B:$Z,11,FALSE),VLOOKUP($B1155,Outbound!$B:$Z,11,FALSE)),"NON TROVATO"),"")</f>
        <v/>
      </c>
      <c r="G1155" s="394" t="str">
        <f>IF(B1155&lt;&gt;"",IFERROR(IF(LEFT($B1155,3)=$Z$2,VLOOKUP($C1155,Outbound!$B:$AAZ,16,FALSE),VLOOKUP($B1155,Outbound!$B:$AAZ,16,FALSE)),"NON TROVATO"),"")</f>
        <v/>
      </c>
      <c r="H1155" s="394" t="str">
        <f>IF(B1155&lt;&gt;"",IFERROR(IF(LEFT($B1155,3)=$Z$2,VLOOKUP($C1155,Outbound!$B:$AAZ,6,FALSE),VLOOKUP($B1155,Outbound!$B:$AAZ,6,FALSE)),"NON TROVATO"),"")</f>
        <v/>
      </c>
      <c r="I1155" s="394" t="str">
        <f>IF(B1155&lt;&gt;"",IFERROR(IF(LEFT($B1155,3)=$Z$2,VLOOKUP($C1155,Outbound!$B:$AAZ,52,FALSE),VLOOKUP($B1155,Outbound!$B:$AAZ,52,FALSE)),"NON TROVATO"),"")</f>
        <v/>
      </c>
      <c r="J1155" s="396"/>
      <c r="K1155" s="387" t="str">
        <f>IF(B1155&lt;&gt;"",IF($D1155&lt;&gt;"ON ROCS/NOT ON FILE",IFERROR(_xlfn.XLOOKUP(LEFT($D1155,3),'STAT 77 Table'!$B:$B,'STAT 77 Table'!$A:$A),"ZZ"&amp;RIGHT($B1155,4)),""),"")</f>
        <v/>
      </c>
      <c r="L1155" s="396"/>
      <c r="O1155" s="388"/>
      <c r="P1155" s="388"/>
      <c r="AA1155" s="421">
        <f t="shared" si="17"/>
        <v>0</v>
      </c>
    </row>
    <row r="1156" spans="1:27" ht="16.5">
      <c r="A1156" s="387">
        <f>'STAT 77 Table'!$I$1155</f>
        <v>0</v>
      </c>
      <c r="B1156"/>
      <c r="C1156"/>
      <c r="D1156" s="387" t="str">
        <f>IF($B1156&lt;&gt;"",IFERROR(IF(LEFT($B1156,3)=$Z$2,VLOOKUP($C1156,Outbound!$B:$Z,4,FALSE),VLOOKUP($B1156,Outbound!$B:$Z,4,FALSE)),"ON ROCS/NOT ON FILE"),"")</f>
        <v/>
      </c>
      <c r="E1156" s="387" t="str">
        <f>IF($B1156&lt;&gt;"",IFERROR(IF(LEFT($B1156,4)=$Z$2,VLOOKUP($C1156,Outbound!$B:$Z,5,FALSE),VLOOKUP($B1156,Outbound!$B:$Z,5,FALSE)),"ON ROCS/NOT ON FILE"),"")</f>
        <v/>
      </c>
      <c r="F1156" s="387" t="str">
        <f>IF(B1156&lt;&gt;"",IFERROR(IF(LEFT($B1156,3)=$Z$2,VLOOKUP($C1156,Outbound!$B:$Z,11,FALSE),VLOOKUP($B1156,Outbound!$B:$Z,11,FALSE)),"NON TROVATO"),"")</f>
        <v/>
      </c>
      <c r="G1156" s="394" t="str">
        <f>IF(B1156&lt;&gt;"",IFERROR(IF(LEFT($B1156,3)=$Z$2,VLOOKUP($C1156,Outbound!$B:$AAZ,16,FALSE),VLOOKUP($B1156,Outbound!$B:$AAZ,16,FALSE)),"NON TROVATO"),"")</f>
        <v/>
      </c>
      <c r="H1156" s="394" t="str">
        <f>IF(B1156&lt;&gt;"",IFERROR(IF(LEFT($B1156,3)=$Z$2,VLOOKUP($C1156,Outbound!$B:$AAZ,6,FALSE),VLOOKUP($B1156,Outbound!$B:$AAZ,6,FALSE)),"NON TROVATO"),"")</f>
        <v/>
      </c>
      <c r="I1156" s="394" t="str">
        <f>IF(B1156&lt;&gt;"",IFERROR(IF(LEFT($B1156,3)=$Z$2,VLOOKUP($C1156,Outbound!$B:$AAZ,52,FALSE),VLOOKUP($B1156,Outbound!$B:$AAZ,52,FALSE)),"NON TROVATO"),"")</f>
        <v/>
      </c>
      <c r="J1156" s="396"/>
      <c r="K1156" s="387" t="str">
        <f>IF(B1156&lt;&gt;"",IF($D1156&lt;&gt;"ON ROCS/NOT ON FILE",IFERROR(_xlfn.XLOOKUP(LEFT($D1156,3),'STAT 77 Table'!$B:$B,'STAT 77 Table'!$A:$A),"ZZ"&amp;RIGHT($B1156,4)),""),"")</f>
        <v/>
      </c>
      <c r="L1156" s="396"/>
      <c r="O1156" s="388"/>
      <c r="P1156" s="388"/>
      <c r="AA1156" s="421">
        <f t="shared" ref="AA1156:AA1203" si="18">IF(LEFT(A1156,3)=$X$2,C1156,B1156)</f>
        <v>0</v>
      </c>
    </row>
    <row r="1157" spans="1:27" ht="16.5">
      <c r="A1157" s="387">
        <f>'STAT 77 Table'!$I$1156</f>
        <v>0</v>
      </c>
      <c r="B1157"/>
      <c r="C1157"/>
      <c r="D1157" s="387" t="str">
        <f>IF($B1157&lt;&gt;"",IFERROR(IF(LEFT($B1157,3)=$Z$2,VLOOKUP($C1157,Outbound!$B:$Z,4,FALSE),VLOOKUP($B1157,Outbound!$B:$Z,4,FALSE)),"ON ROCS/NOT ON FILE"),"")</f>
        <v/>
      </c>
      <c r="E1157" s="387" t="str">
        <f>IF($B1157&lt;&gt;"",IFERROR(IF(LEFT($B1157,4)=$Z$2,VLOOKUP($C1157,Outbound!$B:$Z,5,FALSE),VLOOKUP($B1157,Outbound!$B:$Z,5,FALSE)),"ON ROCS/NOT ON FILE"),"")</f>
        <v/>
      </c>
      <c r="F1157" s="387" t="str">
        <f>IF(B1157&lt;&gt;"",IFERROR(IF(LEFT($B1157,3)=$Z$2,VLOOKUP($C1157,Outbound!$B:$Z,11,FALSE),VLOOKUP($B1157,Outbound!$B:$Z,11,FALSE)),"NON TROVATO"),"")</f>
        <v/>
      </c>
      <c r="G1157" s="394" t="str">
        <f>IF(B1157&lt;&gt;"",IFERROR(IF(LEFT($B1157,3)=$Z$2,VLOOKUP($C1157,Outbound!$B:$AAZ,16,FALSE),VLOOKUP($B1157,Outbound!$B:$AAZ,16,FALSE)),"NON TROVATO"),"")</f>
        <v/>
      </c>
      <c r="H1157" s="394" t="str">
        <f>IF(B1157&lt;&gt;"",IFERROR(IF(LEFT($B1157,3)=$Z$2,VLOOKUP($C1157,Outbound!$B:$AAZ,6,FALSE),VLOOKUP($B1157,Outbound!$B:$AAZ,6,FALSE)),"NON TROVATO"),"")</f>
        <v/>
      </c>
      <c r="I1157" s="394" t="str">
        <f>IF(B1157&lt;&gt;"",IFERROR(IF(LEFT($B1157,3)=$Z$2,VLOOKUP($C1157,Outbound!$B:$AAZ,52,FALSE),VLOOKUP($B1157,Outbound!$B:$AAZ,52,FALSE)),"NON TROVATO"),"")</f>
        <v/>
      </c>
      <c r="J1157" s="396"/>
      <c r="K1157" s="387" t="str">
        <f>IF(B1157&lt;&gt;"",IF($D1157&lt;&gt;"ON ROCS/NOT ON FILE",IFERROR(_xlfn.XLOOKUP(LEFT($D1157,3),'STAT 77 Table'!$B:$B,'STAT 77 Table'!$A:$A),"ZZ"&amp;RIGHT($B1157,4)),""),"")</f>
        <v/>
      </c>
      <c r="L1157" s="396"/>
      <c r="O1157" s="388"/>
      <c r="P1157" s="388"/>
      <c r="AA1157" s="421">
        <f t="shared" si="18"/>
        <v>0</v>
      </c>
    </row>
    <row r="1158" spans="1:27" ht="16.5">
      <c r="A1158" s="387">
        <f>'STAT 77 Table'!$I$1157</f>
        <v>0</v>
      </c>
      <c r="B1158"/>
      <c r="C1158"/>
      <c r="D1158" s="387" t="str">
        <f>IF($B1158&lt;&gt;"",IFERROR(IF(LEFT($B1158,3)=$Z$2,VLOOKUP($C1158,Outbound!$B:$Z,4,FALSE),VLOOKUP($B1158,Outbound!$B:$Z,4,FALSE)),"ON ROCS/NOT ON FILE"),"")</f>
        <v/>
      </c>
      <c r="E1158" s="387" t="str">
        <f>IF($B1158&lt;&gt;"",IFERROR(IF(LEFT($B1158,4)=$Z$2,VLOOKUP($C1158,Outbound!$B:$Z,5,FALSE),VLOOKUP($B1158,Outbound!$B:$Z,5,FALSE)),"ON ROCS/NOT ON FILE"),"")</f>
        <v/>
      </c>
      <c r="F1158" s="387" t="str">
        <f>IF(B1158&lt;&gt;"",IFERROR(IF(LEFT($B1158,3)=$Z$2,VLOOKUP($C1158,Outbound!$B:$Z,11,FALSE),VLOOKUP($B1158,Outbound!$B:$Z,11,FALSE)),"NON TROVATO"),"")</f>
        <v/>
      </c>
      <c r="G1158" s="394" t="str">
        <f>IF(B1158&lt;&gt;"",IFERROR(IF(LEFT($B1158,3)=$Z$2,VLOOKUP($C1158,Outbound!$B:$AAZ,16,FALSE),VLOOKUP($B1158,Outbound!$B:$AAZ,16,FALSE)),"NON TROVATO"),"")</f>
        <v/>
      </c>
      <c r="H1158" s="394" t="str">
        <f>IF(B1158&lt;&gt;"",IFERROR(IF(LEFT($B1158,3)=$Z$2,VLOOKUP($C1158,Outbound!$B:$AAZ,6,FALSE),VLOOKUP($B1158,Outbound!$B:$AAZ,6,FALSE)),"NON TROVATO"),"")</f>
        <v/>
      </c>
      <c r="I1158" s="394" t="str">
        <f>IF(B1158&lt;&gt;"",IFERROR(IF(LEFT($B1158,3)=$Z$2,VLOOKUP($C1158,Outbound!$B:$AAZ,52,FALSE),VLOOKUP($B1158,Outbound!$B:$AAZ,52,FALSE)),"NON TROVATO"),"")</f>
        <v/>
      </c>
      <c r="J1158" s="396"/>
      <c r="K1158" s="387" t="str">
        <f>IF(B1158&lt;&gt;"",IF($D1158&lt;&gt;"ON ROCS/NOT ON FILE",IFERROR(_xlfn.XLOOKUP(LEFT($D1158,3),'STAT 77 Table'!$B:$B,'STAT 77 Table'!$A:$A),"ZZ"&amp;RIGHT($B1158,4)),""),"")</f>
        <v/>
      </c>
      <c r="L1158" s="396"/>
      <c r="O1158" s="388"/>
      <c r="P1158" s="388"/>
      <c r="AA1158" s="421">
        <f t="shared" si="18"/>
        <v>0</v>
      </c>
    </row>
    <row r="1159" spans="1:27" ht="16.5">
      <c r="A1159" s="387">
        <f>'STAT 77 Table'!$I$1158</f>
        <v>0</v>
      </c>
      <c r="B1159"/>
      <c r="C1159"/>
      <c r="D1159" s="387" t="str">
        <f>IF($B1159&lt;&gt;"",IFERROR(IF(LEFT($B1159,3)=$Z$2,VLOOKUP($C1159,Outbound!$B:$Z,4,FALSE),VLOOKUP($B1159,Outbound!$B:$Z,4,FALSE)),"ON ROCS/NOT ON FILE"),"")</f>
        <v/>
      </c>
      <c r="E1159" s="387" t="str">
        <f>IF($B1159&lt;&gt;"",IFERROR(IF(LEFT($B1159,4)=$Z$2,VLOOKUP($C1159,Outbound!$B:$Z,5,FALSE),VLOOKUP($B1159,Outbound!$B:$Z,5,FALSE)),"ON ROCS/NOT ON FILE"),"")</f>
        <v/>
      </c>
      <c r="F1159" s="387" t="str">
        <f>IF(B1159&lt;&gt;"",IFERROR(IF(LEFT($B1159,3)=$Z$2,VLOOKUP($C1159,Outbound!$B:$Z,11,FALSE),VLOOKUP($B1159,Outbound!$B:$Z,11,FALSE)),"NON TROVATO"),"")</f>
        <v/>
      </c>
      <c r="G1159" s="394" t="str">
        <f>IF(B1159&lt;&gt;"",IFERROR(IF(LEFT($B1159,3)=$Z$2,VLOOKUP($C1159,Outbound!$B:$AAZ,16,FALSE),VLOOKUP($B1159,Outbound!$B:$AAZ,16,FALSE)),"NON TROVATO"),"")</f>
        <v/>
      </c>
      <c r="H1159" s="394" t="str">
        <f>IF(B1159&lt;&gt;"",IFERROR(IF(LEFT($B1159,3)=$Z$2,VLOOKUP($C1159,Outbound!$B:$AAZ,6,FALSE),VLOOKUP($B1159,Outbound!$B:$AAZ,6,FALSE)),"NON TROVATO"),"")</f>
        <v/>
      </c>
      <c r="I1159" s="394" t="str">
        <f>IF(B1159&lt;&gt;"",IFERROR(IF(LEFT($B1159,3)=$Z$2,VLOOKUP($C1159,Outbound!$B:$AAZ,52,FALSE),VLOOKUP($B1159,Outbound!$B:$AAZ,52,FALSE)),"NON TROVATO"),"")</f>
        <v/>
      </c>
      <c r="J1159" s="396"/>
      <c r="K1159" s="387" t="str">
        <f>IF(B1159&lt;&gt;"",IF($D1159&lt;&gt;"ON ROCS/NOT ON FILE",IFERROR(_xlfn.XLOOKUP(LEFT($D1159,3),'STAT 77 Table'!$B:$B,'STAT 77 Table'!$A:$A),"ZZ"&amp;RIGHT($B1159,4)),""),"")</f>
        <v/>
      </c>
      <c r="L1159" s="396"/>
      <c r="O1159" s="388"/>
      <c r="P1159" s="388"/>
      <c r="AA1159" s="421">
        <f t="shared" si="18"/>
        <v>0</v>
      </c>
    </row>
    <row r="1160" spans="1:27" ht="16.5">
      <c r="A1160" s="387">
        <f>'STAT 77 Table'!$I$1159</f>
        <v>0</v>
      </c>
      <c r="B1160"/>
      <c r="C1160"/>
      <c r="D1160" s="387" t="str">
        <f>IF($B1160&lt;&gt;"",IFERROR(IF(LEFT($B1160,3)=$Z$2,VLOOKUP($C1160,Outbound!$B:$Z,4,FALSE),VLOOKUP($B1160,Outbound!$B:$Z,4,FALSE)),"ON ROCS/NOT ON FILE"),"")</f>
        <v/>
      </c>
      <c r="E1160" s="387" t="str">
        <f>IF($B1160&lt;&gt;"",IFERROR(IF(LEFT($B1160,4)=$Z$2,VLOOKUP($C1160,Outbound!$B:$Z,5,FALSE),VLOOKUP($B1160,Outbound!$B:$Z,5,FALSE)),"ON ROCS/NOT ON FILE"),"")</f>
        <v/>
      </c>
      <c r="F1160" s="387" t="str">
        <f>IF(B1160&lt;&gt;"",IFERROR(IF(LEFT($B1160,3)=$Z$2,VLOOKUP($C1160,Outbound!$B:$Z,11,FALSE),VLOOKUP($B1160,Outbound!$B:$Z,11,FALSE)),"NON TROVATO"),"")</f>
        <v/>
      </c>
      <c r="G1160" s="394" t="str">
        <f>IF(B1160&lt;&gt;"",IFERROR(IF(LEFT($B1160,3)=$Z$2,VLOOKUP($C1160,Outbound!$B:$AAZ,16,FALSE),VLOOKUP($B1160,Outbound!$B:$AAZ,16,FALSE)),"NON TROVATO"),"")</f>
        <v/>
      </c>
      <c r="H1160" s="394" t="str">
        <f>IF(B1160&lt;&gt;"",IFERROR(IF(LEFT($B1160,3)=$Z$2,VLOOKUP($C1160,Outbound!$B:$AAZ,6,FALSE),VLOOKUP($B1160,Outbound!$B:$AAZ,6,FALSE)),"NON TROVATO"),"")</f>
        <v/>
      </c>
      <c r="I1160" s="394" t="str">
        <f>IF(B1160&lt;&gt;"",IFERROR(IF(LEFT($B1160,3)=$Z$2,VLOOKUP($C1160,Outbound!$B:$AAZ,52,FALSE),VLOOKUP($B1160,Outbound!$B:$AAZ,52,FALSE)),"NON TROVATO"),"")</f>
        <v/>
      </c>
      <c r="J1160" s="396"/>
      <c r="K1160" s="387" t="str">
        <f>IF(B1160&lt;&gt;"",IF($D1160&lt;&gt;"ON ROCS/NOT ON FILE",IFERROR(_xlfn.XLOOKUP(LEFT($D1160,3),'STAT 77 Table'!$B:$B,'STAT 77 Table'!$A:$A),"ZZ"&amp;RIGHT($B1160,4)),""),"")</f>
        <v/>
      </c>
      <c r="L1160" s="396"/>
      <c r="O1160" s="388"/>
      <c r="P1160" s="388"/>
      <c r="AA1160" s="421">
        <f t="shared" si="18"/>
        <v>0</v>
      </c>
    </row>
    <row r="1161" spans="1:27" ht="16.5">
      <c r="A1161" s="387">
        <f>'STAT 77 Table'!$I$1160</f>
        <v>0</v>
      </c>
      <c r="B1161"/>
      <c r="C1161"/>
      <c r="D1161" s="387" t="str">
        <f>IF($B1161&lt;&gt;"",IFERROR(IF(LEFT($B1161,3)=$Z$2,VLOOKUP($C1161,Outbound!$B:$Z,4,FALSE),VLOOKUP($B1161,Outbound!$B:$Z,4,FALSE)),"ON ROCS/NOT ON FILE"),"")</f>
        <v/>
      </c>
      <c r="E1161" s="387" t="str">
        <f>IF($B1161&lt;&gt;"",IFERROR(IF(LEFT($B1161,4)=$Z$2,VLOOKUP($C1161,Outbound!$B:$Z,5,FALSE),VLOOKUP($B1161,Outbound!$B:$Z,5,FALSE)),"ON ROCS/NOT ON FILE"),"")</f>
        <v/>
      </c>
      <c r="F1161" s="387" t="str">
        <f>IF(B1161&lt;&gt;"",IFERROR(IF(LEFT($B1161,3)=$Z$2,VLOOKUP($C1161,Outbound!$B:$Z,11,FALSE),VLOOKUP($B1161,Outbound!$B:$Z,11,FALSE)),"NON TROVATO"),"")</f>
        <v/>
      </c>
      <c r="G1161" s="394" t="str">
        <f>IF(B1161&lt;&gt;"",IFERROR(IF(LEFT($B1161,3)=$Z$2,VLOOKUP($C1161,Outbound!$B:$AAZ,16,FALSE),VLOOKUP($B1161,Outbound!$B:$AAZ,16,FALSE)),"NON TROVATO"),"")</f>
        <v/>
      </c>
      <c r="H1161" s="394" t="str">
        <f>IF(B1161&lt;&gt;"",IFERROR(IF(LEFT($B1161,3)=$Z$2,VLOOKUP($C1161,Outbound!$B:$AAZ,6,FALSE),VLOOKUP($B1161,Outbound!$B:$AAZ,6,FALSE)),"NON TROVATO"),"")</f>
        <v/>
      </c>
      <c r="I1161" s="394" t="str">
        <f>IF(B1161&lt;&gt;"",IFERROR(IF(LEFT($B1161,3)=$Z$2,VLOOKUP($C1161,Outbound!$B:$AAZ,52,FALSE),VLOOKUP($B1161,Outbound!$B:$AAZ,52,FALSE)),"NON TROVATO"),"")</f>
        <v/>
      </c>
      <c r="J1161" s="396"/>
      <c r="K1161" s="387" t="str">
        <f>IF(B1161&lt;&gt;"",IF($D1161&lt;&gt;"ON ROCS/NOT ON FILE",IFERROR(_xlfn.XLOOKUP(LEFT($D1161,3),'STAT 77 Table'!$B:$B,'STAT 77 Table'!$A:$A),"ZZ"&amp;RIGHT($B1161,4)),""),"")</f>
        <v/>
      </c>
      <c r="L1161" s="396"/>
      <c r="O1161" s="388"/>
      <c r="P1161" s="388"/>
      <c r="AA1161" s="421">
        <f t="shared" si="18"/>
        <v>0</v>
      </c>
    </row>
    <row r="1162" spans="1:27" ht="16.5">
      <c r="A1162" s="387">
        <f>'STAT 77 Table'!$I$1161</f>
        <v>0</v>
      </c>
      <c r="B1162"/>
      <c r="C1162"/>
      <c r="D1162" s="387" t="str">
        <f>IF($B1162&lt;&gt;"",IFERROR(IF(LEFT($B1162,3)=$Z$2,VLOOKUP($C1162,Outbound!$B:$Z,4,FALSE),VLOOKUP($B1162,Outbound!$B:$Z,4,FALSE)),"ON ROCS/NOT ON FILE"),"")</f>
        <v/>
      </c>
      <c r="E1162" s="387" t="str">
        <f>IF($B1162&lt;&gt;"",IFERROR(IF(LEFT($B1162,4)=$Z$2,VLOOKUP($C1162,Outbound!$B:$Z,5,FALSE),VLOOKUP($B1162,Outbound!$B:$Z,5,FALSE)),"ON ROCS/NOT ON FILE"),"")</f>
        <v/>
      </c>
      <c r="F1162" s="387" t="str">
        <f>IF(B1162&lt;&gt;"",IFERROR(IF(LEFT($B1162,3)=$Z$2,VLOOKUP($C1162,Outbound!$B:$Z,11,FALSE),VLOOKUP($B1162,Outbound!$B:$Z,11,FALSE)),"NON TROVATO"),"")</f>
        <v/>
      </c>
      <c r="G1162" s="394" t="str">
        <f>IF(B1162&lt;&gt;"",IFERROR(IF(LEFT($B1162,3)=$Z$2,VLOOKUP($C1162,Outbound!$B:$AAZ,16,FALSE),VLOOKUP($B1162,Outbound!$B:$AAZ,16,FALSE)),"NON TROVATO"),"")</f>
        <v/>
      </c>
      <c r="H1162" s="394" t="str">
        <f>IF(B1162&lt;&gt;"",IFERROR(IF(LEFT($B1162,3)=$Z$2,VLOOKUP($C1162,Outbound!$B:$AAZ,6,FALSE),VLOOKUP($B1162,Outbound!$B:$AAZ,6,FALSE)),"NON TROVATO"),"")</f>
        <v/>
      </c>
      <c r="I1162" s="394" t="str">
        <f>IF(B1162&lt;&gt;"",IFERROR(IF(LEFT($B1162,3)=$Z$2,VLOOKUP($C1162,Outbound!$B:$AAZ,52,FALSE),VLOOKUP($B1162,Outbound!$B:$AAZ,52,FALSE)),"NON TROVATO"),"")</f>
        <v/>
      </c>
      <c r="J1162" s="396"/>
      <c r="K1162" s="387" t="str">
        <f>IF(B1162&lt;&gt;"",IF($D1162&lt;&gt;"ON ROCS/NOT ON FILE",IFERROR(_xlfn.XLOOKUP(LEFT($D1162,3),'STAT 77 Table'!$B:$B,'STAT 77 Table'!$A:$A),"ZZ"&amp;RIGHT($B1162,4)),""),"")</f>
        <v/>
      </c>
      <c r="L1162" s="396"/>
      <c r="O1162" s="388"/>
      <c r="P1162" s="388"/>
      <c r="AA1162" s="421">
        <f t="shared" si="18"/>
        <v>0</v>
      </c>
    </row>
    <row r="1163" spans="1:27" ht="16.5">
      <c r="A1163" s="387">
        <f>'STAT 77 Table'!$I$1162</f>
        <v>0</v>
      </c>
      <c r="B1163"/>
      <c r="C1163"/>
      <c r="D1163" s="387" t="str">
        <f>IF($B1163&lt;&gt;"",IFERROR(IF(LEFT($B1163,3)=$Z$2,VLOOKUP($C1163,Outbound!$B:$Z,4,FALSE),VLOOKUP($B1163,Outbound!$B:$Z,4,FALSE)),"ON ROCS/NOT ON FILE"),"")</f>
        <v/>
      </c>
      <c r="E1163" s="387" t="str">
        <f>IF($B1163&lt;&gt;"",IFERROR(IF(LEFT($B1163,4)=$Z$2,VLOOKUP($C1163,Outbound!$B:$Z,5,FALSE),VLOOKUP($B1163,Outbound!$B:$Z,5,FALSE)),"ON ROCS/NOT ON FILE"),"")</f>
        <v/>
      </c>
      <c r="F1163" s="387" t="str">
        <f>IF(B1163&lt;&gt;"",IFERROR(IF(LEFT($B1163,3)=$Z$2,VLOOKUP($C1163,Outbound!$B:$Z,11,FALSE),VLOOKUP($B1163,Outbound!$B:$Z,11,FALSE)),"NON TROVATO"),"")</f>
        <v/>
      </c>
      <c r="G1163" s="394" t="str">
        <f>IF(B1163&lt;&gt;"",IFERROR(IF(LEFT($B1163,3)=$Z$2,VLOOKUP($C1163,Outbound!$B:$AAZ,16,FALSE),VLOOKUP($B1163,Outbound!$B:$AAZ,16,FALSE)),"NON TROVATO"),"")</f>
        <v/>
      </c>
      <c r="H1163" s="394" t="str">
        <f>IF(B1163&lt;&gt;"",IFERROR(IF(LEFT($B1163,3)=$Z$2,VLOOKUP($C1163,Outbound!$B:$AAZ,6,FALSE),VLOOKUP($B1163,Outbound!$B:$AAZ,6,FALSE)),"NON TROVATO"),"")</f>
        <v/>
      </c>
      <c r="I1163" s="394" t="str">
        <f>IF(B1163&lt;&gt;"",IFERROR(IF(LEFT($B1163,3)=$Z$2,VLOOKUP($C1163,Outbound!$B:$AAZ,52,FALSE),VLOOKUP($B1163,Outbound!$B:$AAZ,52,FALSE)),"NON TROVATO"),"")</f>
        <v/>
      </c>
      <c r="J1163" s="396"/>
      <c r="K1163" s="387" t="str">
        <f>IF(B1163&lt;&gt;"",IF($D1163&lt;&gt;"ON ROCS/NOT ON FILE",IFERROR(_xlfn.XLOOKUP(LEFT($D1163,3),'STAT 77 Table'!$B:$B,'STAT 77 Table'!$A:$A),"ZZ"&amp;RIGHT($B1163,4)),""),"")</f>
        <v/>
      </c>
      <c r="L1163" s="396"/>
      <c r="O1163" s="388"/>
      <c r="P1163" s="388"/>
      <c r="AA1163" s="421">
        <f t="shared" si="18"/>
        <v>0</v>
      </c>
    </row>
    <row r="1164" spans="1:27" ht="16.5">
      <c r="A1164" s="387">
        <f>'STAT 77 Table'!$I$1163</f>
        <v>0</v>
      </c>
      <c r="B1164"/>
      <c r="C1164"/>
      <c r="D1164" s="387" t="str">
        <f>IF($B1164&lt;&gt;"",IFERROR(IF(LEFT($B1164,3)=$Z$2,VLOOKUP($C1164,Outbound!$B:$Z,4,FALSE),VLOOKUP($B1164,Outbound!$B:$Z,4,FALSE)),"ON ROCS/NOT ON FILE"),"")</f>
        <v/>
      </c>
      <c r="E1164" s="387" t="str">
        <f>IF($B1164&lt;&gt;"",IFERROR(IF(LEFT($B1164,4)=$Z$2,VLOOKUP($C1164,Outbound!$B:$Z,5,FALSE),VLOOKUP($B1164,Outbound!$B:$Z,5,FALSE)),"ON ROCS/NOT ON FILE"),"")</f>
        <v/>
      </c>
      <c r="F1164" s="387" t="str">
        <f>IF(B1164&lt;&gt;"",IFERROR(IF(LEFT($B1164,3)=$Z$2,VLOOKUP($C1164,Outbound!$B:$Z,11,FALSE),VLOOKUP($B1164,Outbound!$B:$Z,11,FALSE)),"NON TROVATO"),"")</f>
        <v/>
      </c>
      <c r="G1164" s="394" t="str">
        <f>IF(B1164&lt;&gt;"",IFERROR(IF(LEFT($B1164,3)=$Z$2,VLOOKUP($C1164,Outbound!$B:$AAZ,16,FALSE),VLOOKUP($B1164,Outbound!$B:$AAZ,16,FALSE)),"NON TROVATO"),"")</f>
        <v/>
      </c>
      <c r="H1164" s="394" t="str">
        <f>IF(B1164&lt;&gt;"",IFERROR(IF(LEFT($B1164,3)=$Z$2,VLOOKUP($C1164,Outbound!$B:$AAZ,6,FALSE),VLOOKUP($B1164,Outbound!$B:$AAZ,6,FALSE)),"NON TROVATO"),"")</f>
        <v/>
      </c>
      <c r="I1164" s="394" t="str">
        <f>IF(B1164&lt;&gt;"",IFERROR(IF(LEFT($B1164,3)=$Z$2,VLOOKUP($C1164,Outbound!$B:$AAZ,52,FALSE),VLOOKUP($B1164,Outbound!$B:$AAZ,52,FALSE)),"NON TROVATO"),"")</f>
        <v/>
      </c>
      <c r="J1164" s="396"/>
      <c r="K1164" s="387" t="str">
        <f>IF(B1164&lt;&gt;"",IF($D1164&lt;&gt;"ON ROCS/NOT ON FILE",IFERROR(_xlfn.XLOOKUP(LEFT($D1164,3),'STAT 77 Table'!$B:$B,'STAT 77 Table'!$A:$A),"ZZ"&amp;RIGHT($B1164,4)),""),"")</f>
        <v/>
      </c>
      <c r="L1164" s="396"/>
      <c r="O1164" s="388"/>
      <c r="P1164" s="388"/>
      <c r="AA1164" s="421">
        <f t="shared" si="18"/>
        <v>0</v>
      </c>
    </row>
    <row r="1165" spans="1:27" ht="16.5">
      <c r="A1165" s="387">
        <f>'STAT 77 Table'!$I$1164</f>
        <v>0</v>
      </c>
      <c r="B1165"/>
      <c r="C1165"/>
      <c r="D1165" s="387" t="str">
        <f>IF($B1165&lt;&gt;"",IFERROR(IF(LEFT($B1165,3)=$Z$2,VLOOKUP($C1165,Outbound!$B:$Z,4,FALSE),VLOOKUP($B1165,Outbound!$B:$Z,4,FALSE)),"ON ROCS/NOT ON FILE"),"")</f>
        <v/>
      </c>
      <c r="E1165" s="387" t="str">
        <f>IF($B1165&lt;&gt;"",IFERROR(IF(LEFT($B1165,4)=$Z$2,VLOOKUP($C1165,Outbound!$B:$Z,5,FALSE),VLOOKUP($B1165,Outbound!$B:$Z,5,FALSE)),"ON ROCS/NOT ON FILE"),"")</f>
        <v/>
      </c>
      <c r="F1165" s="387" t="str">
        <f>IF(B1165&lt;&gt;"",IFERROR(IF(LEFT($B1165,3)=$Z$2,VLOOKUP($C1165,Outbound!$B:$Z,11,FALSE),VLOOKUP($B1165,Outbound!$B:$Z,11,FALSE)),"NON TROVATO"),"")</f>
        <v/>
      </c>
      <c r="G1165" s="394" t="str">
        <f>IF(B1165&lt;&gt;"",IFERROR(IF(LEFT($B1165,3)=$Z$2,VLOOKUP($C1165,Outbound!$B:$AAZ,16,FALSE),VLOOKUP($B1165,Outbound!$B:$AAZ,16,FALSE)),"NON TROVATO"),"")</f>
        <v/>
      </c>
      <c r="H1165" s="394" t="str">
        <f>IF(B1165&lt;&gt;"",IFERROR(IF(LEFT($B1165,3)=$Z$2,VLOOKUP($C1165,Outbound!$B:$AAZ,6,FALSE),VLOOKUP($B1165,Outbound!$B:$AAZ,6,FALSE)),"NON TROVATO"),"")</f>
        <v/>
      </c>
      <c r="I1165" s="394" t="str">
        <f>IF(B1165&lt;&gt;"",IFERROR(IF(LEFT($B1165,3)=$Z$2,VLOOKUP($C1165,Outbound!$B:$AAZ,52,FALSE),VLOOKUP($B1165,Outbound!$B:$AAZ,52,FALSE)),"NON TROVATO"),"")</f>
        <v/>
      </c>
      <c r="J1165" s="396"/>
      <c r="K1165" s="387" t="str">
        <f>IF(B1165&lt;&gt;"",IF($D1165&lt;&gt;"ON ROCS/NOT ON FILE",IFERROR(_xlfn.XLOOKUP(LEFT($D1165,3),'STAT 77 Table'!$B:$B,'STAT 77 Table'!$A:$A),"ZZ"&amp;RIGHT($B1165,4)),""),"")</f>
        <v/>
      </c>
      <c r="L1165" s="396"/>
      <c r="O1165" s="388"/>
      <c r="P1165" s="388"/>
      <c r="AA1165" s="421">
        <f t="shared" si="18"/>
        <v>0</v>
      </c>
    </row>
    <row r="1166" spans="1:27" ht="16.5">
      <c r="A1166" s="387">
        <f>'STAT 77 Table'!$I$1165</f>
        <v>0</v>
      </c>
      <c r="B1166"/>
      <c r="C1166"/>
      <c r="D1166" s="387" t="str">
        <f>IF($B1166&lt;&gt;"",IFERROR(IF(LEFT($B1166,3)=$Z$2,VLOOKUP($C1166,Outbound!$B:$Z,4,FALSE),VLOOKUP($B1166,Outbound!$B:$Z,4,FALSE)),"ON ROCS/NOT ON FILE"),"")</f>
        <v/>
      </c>
      <c r="E1166" s="387" t="str">
        <f>IF($B1166&lt;&gt;"",IFERROR(IF(LEFT($B1166,4)=$Z$2,VLOOKUP($C1166,Outbound!$B:$Z,5,FALSE),VLOOKUP($B1166,Outbound!$B:$Z,5,FALSE)),"ON ROCS/NOT ON FILE"),"")</f>
        <v/>
      </c>
      <c r="F1166" s="387" t="str">
        <f>IF(B1166&lt;&gt;"",IFERROR(IF(LEFT($B1166,3)=$Z$2,VLOOKUP($C1166,Outbound!$B:$Z,11,FALSE),VLOOKUP($B1166,Outbound!$B:$Z,11,FALSE)),"NON TROVATO"),"")</f>
        <v/>
      </c>
      <c r="G1166" s="394" t="str">
        <f>IF(B1166&lt;&gt;"",IFERROR(IF(LEFT($B1166,3)=$Z$2,VLOOKUP($C1166,Outbound!$B:$AAZ,16,FALSE),VLOOKUP($B1166,Outbound!$B:$AAZ,16,FALSE)),"NON TROVATO"),"")</f>
        <v/>
      </c>
      <c r="H1166" s="394" t="str">
        <f>IF(B1166&lt;&gt;"",IFERROR(IF(LEFT($B1166,3)=$Z$2,VLOOKUP($C1166,Outbound!$B:$AAZ,6,FALSE),VLOOKUP($B1166,Outbound!$B:$AAZ,6,FALSE)),"NON TROVATO"),"")</f>
        <v/>
      </c>
      <c r="I1166" s="394" t="str">
        <f>IF(B1166&lt;&gt;"",IFERROR(IF(LEFT($B1166,3)=$Z$2,VLOOKUP($C1166,Outbound!$B:$AAZ,52,FALSE),VLOOKUP($B1166,Outbound!$B:$AAZ,52,FALSE)),"NON TROVATO"),"")</f>
        <v/>
      </c>
      <c r="J1166" s="396"/>
      <c r="K1166" s="387" t="str">
        <f>IF(B1166&lt;&gt;"",IF($D1166&lt;&gt;"ON ROCS/NOT ON FILE",IFERROR(_xlfn.XLOOKUP(LEFT($D1166,3),'STAT 77 Table'!$B:$B,'STAT 77 Table'!$A:$A),"ZZ"&amp;RIGHT($B1166,4)),""),"")</f>
        <v/>
      </c>
      <c r="L1166" s="396"/>
      <c r="O1166" s="388"/>
      <c r="P1166" s="388"/>
      <c r="AA1166" s="421">
        <f t="shared" si="18"/>
        <v>0</v>
      </c>
    </row>
    <row r="1167" spans="1:27" ht="16.5">
      <c r="A1167" s="387">
        <f>'STAT 77 Table'!$I$1166</f>
        <v>0</v>
      </c>
      <c r="B1167"/>
      <c r="C1167"/>
      <c r="D1167" s="387" t="str">
        <f>IF($B1167&lt;&gt;"",IFERROR(IF(LEFT($B1167,3)=$Z$2,VLOOKUP($C1167,Outbound!$B:$Z,4,FALSE),VLOOKUP($B1167,Outbound!$B:$Z,4,FALSE)),"ON ROCS/NOT ON FILE"),"")</f>
        <v/>
      </c>
      <c r="E1167" s="387" t="str">
        <f>IF($B1167&lt;&gt;"",IFERROR(IF(LEFT($B1167,4)=$Z$2,VLOOKUP($C1167,Outbound!$B:$Z,5,FALSE),VLOOKUP($B1167,Outbound!$B:$Z,5,FALSE)),"ON ROCS/NOT ON FILE"),"")</f>
        <v/>
      </c>
      <c r="F1167" s="387" t="str">
        <f>IF(B1167&lt;&gt;"",IFERROR(IF(LEFT($B1167,3)=$Z$2,VLOOKUP($C1167,Outbound!$B:$Z,11,FALSE),VLOOKUP($B1167,Outbound!$B:$Z,11,FALSE)),"NON TROVATO"),"")</f>
        <v/>
      </c>
      <c r="G1167" s="394" t="str">
        <f>IF(B1167&lt;&gt;"",IFERROR(IF(LEFT($B1167,3)=$Z$2,VLOOKUP($C1167,Outbound!$B:$AAZ,16,FALSE),VLOOKUP($B1167,Outbound!$B:$AAZ,16,FALSE)),"NON TROVATO"),"")</f>
        <v/>
      </c>
      <c r="H1167" s="394" t="str">
        <f>IF(B1167&lt;&gt;"",IFERROR(IF(LEFT($B1167,3)=$Z$2,VLOOKUP($C1167,Outbound!$B:$AAZ,6,FALSE),VLOOKUP($B1167,Outbound!$B:$AAZ,6,FALSE)),"NON TROVATO"),"")</f>
        <v/>
      </c>
      <c r="I1167" s="394" t="str">
        <f>IF(B1167&lt;&gt;"",IFERROR(IF(LEFT($B1167,3)=$Z$2,VLOOKUP($C1167,Outbound!$B:$AAZ,52,FALSE),VLOOKUP($B1167,Outbound!$B:$AAZ,52,FALSE)),"NON TROVATO"),"")</f>
        <v/>
      </c>
      <c r="J1167" s="396"/>
      <c r="K1167" s="387" t="str">
        <f>IF(B1167&lt;&gt;"",IF($D1167&lt;&gt;"ON ROCS/NOT ON FILE",IFERROR(_xlfn.XLOOKUP(LEFT($D1167,3),'STAT 77 Table'!$B:$B,'STAT 77 Table'!$A:$A),"ZZ"&amp;RIGHT($B1167,4)),""),"")</f>
        <v/>
      </c>
      <c r="L1167" s="396"/>
      <c r="O1167" s="388"/>
      <c r="P1167" s="388"/>
      <c r="AA1167" s="421">
        <f t="shared" si="18"/>
        <v>0</v>
      </c>
    </row>
    <row r="1168" spans="1:27" ht="16.5">
      <c r="A1168" s="387">
        <f>'STAT 77 Table'!$I$1167</f>
        <v>0</v>
      </c>
      <c r="B1168"/>
      <c r="C1168"/>
      <c r="D1168" s="387" t="str">
        <f>IF($B1168&lt;&gt;"",IFERROR(IF(LEFT($B1168,3)=$Z$2,VLOOKUP($C1168,Outbound!$B:$Z,4,FALSE),VLOOKUP($B1168,Outbound!$B:$Z,4,FALSE)),"ON ROCS/NOT ON FILE"),"")</f>
        <v/>
      </c>
      <c r="E1168" s="387" t="str">
        <f>IF($B1168&lt;&gt;"",IFERROR(IF(LEFT($B1168,4)=$Z$2,VLOOKUP($C1168,Outbound!$B:$Z,5,FALSE),VLOOKUP($B1168,Outbound!$B:$Z,5,FALSE)),"ON ROCS/NOT ON FILE"),"")</f>
        <v/>
      </c>
      <c r="F1168" s="387" t="str">
        <f>IF(B1168&lt;&gt;"",IFERROR(IF(LEFT($B1168,3)=$Z$2,VLOOKUP($C1168,Outbound!$B:$Z,11,FALSE),VLOOKUP($B1168,Outbound!$B:$Z,11,FALSE)),"NON TROVATO"),"")</f>
        <v/>
      </c>
      <c r="G1168" s="394" t="str">
        <f>IF(B1168&lt;&gt;"",IFERROR(IF(LEFT($B1168,3)=$Z$2,VLOOKUP($C1168,Outbound!$B:$AAZ,16,FALSE),VLOOKUP($B1168,Outbound!$B:$AAZ,16,FALSE)),"NON TROVATO"),"")</f>
        <v/>
      </c>
      <c r="H1168" s="394" t="str">
        <f>IF(B1168&lt;&gt;"",IFERROR(IF(LEFT($B1168,3)=$Z$2,VLOOKUP($C1168,Outbound!$B:$AAZ,6,FALSE),VLOOKUP($B1168,Outbound!$B:$AAZ,6,FALSE)),"NON TROVATO"),"")</f>
        <v/>
      </c>
      <c r="I1168" s="394" t="str">
        <f>IF(B1168&lt;&gt;"",IFERROR(IF(LEFT($B1168,3)=$Z$2,VLOOKUP($C1168,Outbound!$B:$AAZ,52,FALSE),VLOOKUP($B1168,Outbound!$B:$AAZ,52,FALSE)),"NON TROVATO"),"")</f>
        <v/>
      </c>
      <c r="J1168" s="396"/>
      <c r="K1168" s="387" t="str">
        <f>IF(B1168&lt;&gt;"",IF($D1168&lt;&gt;"ON ROCS/NOT ON FILE",IFERROR(_xlfn.XLOOKUP(LEFT($D1168,3),'STAT 77 Table'!$B:$B,'STAT 77 Table'!$A:$A),"ZZ"&amp;RIGHT($B1168,4)),""),"")</f>
        <v/>
      </c>
      <c r="L1168" s="396"/>
      <c r="O1168" s="388"/>
      <c r="P1168" s="388"/>
      <c r="AA1168" s="421">
        <f t="shared" si="18"/>
        <v>0</v>
      </c>
    </row>
    <row r="1169" spans="1:27" ht="16.5">
      <c r="A1169" s="387">
        <f>'STAT 77 Table'!$I$1168</f>
        <v>0</v>
      </c>
      <c r="B1169"/>
      <c r="C1169"/>
      <c r="D1169" s="387" t="str">
        <f>IF($B1169&lt;&gt;"",IFERROR(IF(LEFT($B1169,3)=$Z$2,VLOOKUP($C1169,Outbound!$B:$Z,4,FALSE),VLOOKUP($B1169,Outbound!$B:$Z,4,FALSE)),"ON ROCS/NOT ON FILE"),"")</f>
        <v/>
      </c>
      <c r="E1169" s="387" t="str">
        <f>IF($B1169&lt;&gt;"",IFERROR(IF(LEFT($B1169,4)=$Z$2,VLOOKUP($C1169,Outbound!$B:$Z,5,FALSE),VLOOKUP($B1169,Outbound!$B:$Z,5,FALSE)),"ON ROCS/NOT ON FILE"),"")</f>
        <v/>
      </c>
      <c r="F1169" s="387" t="str">
        <f>IF(B1169&lt;&gt;"",IFERROR(IF(LEFT($B1169,3)=$Z$2,VLOOKUP($C1169,Outbound!$B:$Z,11,FALSE),VLOOKUP($B1169,Outbound!$B:$Z,11,FALSE)),"NON TROVATO"),"")</f>
        <v/>
      </c>
      <c r="G1169" s="394" t="str">
        <f>IF(B1169&lt;&gt;"",IFERROR(IF(LEFT($B1169,3)=$Z$2,VLOOKUP($C1169,Outbound!$B:$AAZ,16,FALSE),VLOOKUP($B1169,Outbound!$B:$AAZ,16,FALSE)),"NON TROVATO"),"")</f>
        <v/>
      </c>
      <c r="H1169" s="394" t="str">
        <f>IF(B1169&lt;&gt;"",IFERROR(IF(LEFT($B1169,3)=$Z$2,VLOOKUP($C1169,Outbound!$B:$AAZ,6,FALSE),VLOOKUP($B1169,Outbound!$B:$AAZ,6,FALSE)),"NON TROVATO"),"")</f>
        <v/>
      </c>
      <c r="I1169" s="394" t="str">
        <f>IF(B1169&lt;&gt;"",IFERROR(IF(LEFT($B1169,3)=$Z$2,VLOOKUP($C1169,Outbound!$B:$AAZ,52,FALSE),VLOOKUP($B1169,Outbound!$B:$AAZ,52,FALSE)),"NON TROVATO"),"")</f>
        <v/>
      </c>
      <c r="J1169" s="396"/>
      <c r="K1169" s="387" t="str">
        <f>IF(B1169&lt;&gt;"",IF($D1169&lt;&gt;"ON ROCS/NOT ON FILE",IFERROR(_xlfn.XLOOKUP(LEFT($D1169,3),'STAT 77 Table'!$B:$B,'STAT 77 Table'!$A:$A),"ZZ"&amp;RIGHT($B1169,4)),""),"")</f>
        <v/>
      </c>
      <c r="L1169" s="396"/>
      <c r="O1169" s="388"/>
      <c r="P1169" s="388"/>
      <c r="AA1169" s="421">
        <f t="shared" si="18"/>
        <v>0</v>
      </c>
    </row>
    <row r="1170" spans="1:27" ht="16.5">
      <c r="A1170" s="387">
        <f>'STAT 77 Table'!$I$1169</f>
        <v>0</v>
      </c>
      <c r="B1170"/>
      <c r="C1170"/>
      <c r="D1170" s="387" t="str">
        <f>IF($B1170&lt;&gt;"",IFERROR(IF(LEFT($B1170,3)=$Z$2,VLOOKUP($C1170,Outbound!$B:$Z,4,FALSE),VLOOKUP($B1170,Outbound!$B:$Z,4,FALSE)),"ON ROCS/NOT ON FILE"),"")</f>
        <v/>
      </c>
      <c r="E1170" s="387" t="str">
        <f>IF($B1170&lt;&gt;"",IFERROR(IF(LEFT($B1170,4)=$Z$2,VLOOKUP($C1170,Outbound!$B:$Z,5,FALSE),VLOOKUP($B1170,Outbound!$B:$Z,5,FALSE)),"ON ROCS/NOT ON FILE"),"")</f>
        <v/>
      </c>
      <c r="F1170" s="387" t="str">
        <f>IF(B1170&lt;&gt;"",IFERROR(IF(LEFT($B1170,3)=$Z$2,VLOOKUP($C1170,Outbound!$B:$Z,11,FALSE),VLOOKUP($B1170,Outbound!$B:$Z,11,FALSE)),"NON TROVATO"),"")</f>
        <v/>
      </c>
      <c r="G1170" s="394" t="str">
        <f>IF(B1170&lt;&gt;"",IFERROR(IF(LEFT($B1170,3)=$Z$2,VLOOKUP($C1170,Outbound!$B:$AAZ,16,FALSE),VLOOKUP($B1170,Outbound!$B:$AAZ,16,FALSE)),"NON TROVATO"),"")</f>
        <v/>
      </c>
      <c r="H1170" s="394" t="str">
        <f>IF(B1170&lt;&gt;"",IFERROR(IF(LEFT($B1170,3)=$Z$2,VLOOKUP($C1170,Outbound!$B:$AAZ,6,FALSE),VLOOKUP($B1170,Outbound!$B:$AAZ,6,FALSE)),"NON TROVATO"),"")</f>
        <v/>
      </c>
      <c r="I1170" s="394" t="str">
        <f>IF(B1170&lt;&gt;"",IFERROR(IF(LEFT($B1170,3)=$Z$2,VLOOKUP($C1170,Outbound!$B:$AAZ,52,FALSE),VLOOKUP($B1170,Outbound!$B:$AAZ,52,FALSE)),"NON TROVATO"),"")</f>
        <v/>
      </c>
      <c r="J1170" s="396"/>
      <c r="K1170" s="387" t="str">
        <f>IF(B1170&lt;&gt;"",IF($D1170&lt;&gt;"ON ROCS/NOT ON FILE",IFERROR(_xlfn.XLOOKUP(LEFT($D1170,3),'STAT 77 Table'!$B:$B,'STAT 77 Table'!$A:$A),"ZZ"&amp;RIGHT($B1170,4)),""),"")</f>
        <v/>
      </c>
      <c r="L1170" s="396"/>
      <c r="O1170" s="388"/>
      <c r="P1170" s="388"/>
      <c r="AA1170" s="421">
        <f t="shared" si="18"/>
        <v>0</v>
      </c>
    </row>
    <row r="1171" spans="1:27" ht="16.5">
      <c r="A1171" s="387">
        <f>'STAT 77 Table'!$I$1170</f>
        <v>0</v>
      </c>
      <c r="B1171"/>
      <c r="C1171"/>
      <c r="D1171" s="387" t="str">
        <f>IF($B1171&lt;&gt;"",IFERROR(IF(LEFT($B1171,3)=$Z$2,VLOOKUP($C1171,Outbound!$B:$Z,4,FALSE),VLOOKUP($B1171,Outbound!$B:$Z,4,FALSE)),"ON ROCS/NOT ON FILE"),"")</f>
        <v/>
      </c>
      <c r="E1171" s="387" t="str">
        <f>IF($B1171&lt;&gt;"",IFERROR(IF(LEFT($B1171,4)=$Z$2,VLOOKUP($C1171,Outbound!$B:$Z,5,FALSE),VLOOKUP($B1171,Outbound!$B:$Z,5,FALSE)),"ON ROCS/NOT ON FILE"),"")</f>
        <v/>
      </c>
      <c r="F1171" s="387" t="str">
        <f>IF(B1171&lt;&gt;"",IFERROR(IF(LEFT($B1171,3)=$Z$2,VLOOKUP($C1171,Outbound!$B:$Z,11,FALSE),VLOOKUP($B1171,Outbound!$B:$Z,11,FALSE)),"NON TROVATO"),"")</f>
        <v/>
      </c>
      <c r="G1171" s="394" t="str">
        <f>IF(B1171&lt;&gt;"",IFERROR(IF(LEFT($B1171,3)=$Z$2,VLOOKUP($C1171,Outbound!$B:$AAZ,16,FALSE),VLOOKUP($B1171,Outbound!$B:$AAZ,16,FALSE)),"NON TROVATO"),"")</f>
        <v/>
      </c>
      <c r="H1171" s="394" t="str">
        <f>IF(B1171&lt;&gt;"",IFERROR(IF(LEFT($B1171,3)=$Z$2,VLOOKUP($C1171,Outbound!$B:$AAZ,6,FALSE),VLOOKUP($B1171,Outbound!$B:$AAZ,6,FALSE)),"NON TROVATO"),"")</f>
        <v/>
      </c>
      <c r="I1171" s="394" t="str">
        <f>IF(B1171&lt;&gt;"",IFERROR(IF(LEFT($B1171,3)=$Z$2,VLOOKUP($C1171,Outbound!$B:$AAZ,52,FALSE),VLOOKUP($B1171,Outbound!$B:$AAZ,52,FALSE)),"NON TROVATO"),"")</f>
        <v/>
      </c>
      <c r="J1171" s="396"/>
      <c r="K1171" s="387" t="str">
        <f>IF(B1171&lt;&gt;"",IF($D1171&lt;&gt;"ON ROCS/NOT ON FILE",IFERROR(_xlfn.XLOOKUP(LEFT($D1171,3),'STAT 77 Table'!$B:$B,'STAT 77 Table'!$A:$A),"ZZ"&amp;RIGHT($B1171,4)),""),"")</f>
        <v/>
      </c>
      <c r="L1171" s="396"/>
      <c r="O1171" s="388"/>
      <c r="P1171" s="388"/>
      <c r="AA1171" s="421">
        <f t="shared" si="18"/>
        <v>0</v>
      </c>
    </row>
    <row r="1172" spans="1:27" ht="16.5">
      <c r="A1172" s="387">
        <f>'STAT 77 Table'!$I$1171</f>
        <v>0</v>
      </c>
      <c r="B1172"/>
      <c r="C1172"/>
      <c r="D1172" s="387" t="str">
        <f>IF($B1172&lt;&gt;"",IFERROR(IF(LEFT($B1172,3)=$Z$2,VLOOKUP($C1172,Outbound!$B:$Z,4,FALSE),VLOOKUP($B1172,Outbound!$B:$Z,4,FALSE)),"ON ROCS/NOT ON FILE"),"")</f>
        <v/>
      </c>
      <c r="E1172" s="387" t="str">
        <f>IF($B1172&lt;&gt;"",IFERROR(IF(LEFT($B1172,4)=$Z$2,VLOOKUP($C1172,Outbound!$B:$Z,5,FALSE),VLOOKUP($B1172,Outbound!$B:$Z,5,FALSE)),"ON ROCS/NOT ON FILE"),"")</f>
        <v/>
      </c>
      <c r="F1172" s="387" t="str">
        <f>IF(B1172&lt;&gt;"",IFERROR(IF(LEFT($B1172,3)=$Z$2,VLOOKUP($C1172,Outbound!$B:$Z,11,FALSE),VLOOKUP($B1172,Outbound!$B:$Z,11,FALSE)),"NON TROVATO"),"")</f>
        <v/>
      </c>
      <c r="G1172" s="394" t="str">
        <f>IF(B1172&lt;&gt;"",IFERROR(IF(LEFT($B1172,3)=$Z$2,VLOOKUP($C1172,Outbound!$B:$AAZ,16,FALSE),VLOOKUP($B1172,Outbound!$B:$AAZ,16,FALSE)),"NON TROVATO"),"")</f>
        <v/>
      </c>
      <c r="H1172" s="394" t="str">
        <f>IF(B1172&lt;&gt;"",IFERROR(IF(LEFT($B1172,3)=$Z$2,VLOOKUP($C1172,Outbound!$B:$AAZ,6,FALSE),VLOOKUP($B1172,Outbound!$B:$AAZ,6,FALSE)),"NON TROVATO"),"")</f>
        <v/>
      </c>
      <c r="I1172" s="394" t="str">
        <f>IF(B1172&lt;&gt;"",IFERROR(IF(LEFT($B1172,3)=$Z$2,VLOOKUP($C1172,Outbound!$B:$AAZ,52,FALSE),VLOOKUP($B1172,Outbound!$B:$AAZ,52,FALSE)),"NON TROVATO"),"")</f>
        <v/>
      </c>
      <c r="J1172" s="396"/>
      <c r="K1172" s="387" t="str">
        <f>IF(B1172&lt;&gt;"",IF($D1172&lt;&gt;"ON ROCS/NOT ON FILE",IFERROR(_xlfn.XLOOKUP(LEFT($D1172,3),'STAT 77 Table'!$B:$B,'STAT 77 Table'!$A:$A),"ZZ"&amp;RIGHT($B1172,4)),""),"")</f>
        <v/>
      </c>
      <c r="L1172" s="396"/>
      <c r="O1172" s="388"/>
      <c r="P1172" s="388"/>
      <c r="AA1172" s="421">
        <f t="shared" si="18"/>
        <v>0</v>
      </c>
    </row>
    <row r="1173" spans="1:27" ht="16.5">
      <c r="A1173" s="387">
        <f>'STAT 77 Table'!$I$1172</f>
        <v>0</v>
      </c>
      <c r="B1173"/>
      <c r="C1173"/>
      <c r="D1173" s="387" t="str">
        <f>IF($B1173&lt;&gt;"",IFERROR(IF(LEFT($B1173,3)=$Z$2,VLOOKUP($C1173,Outbound!$B:$Z,4,FALSE),VLOOKUP($B1173,Outbound!$B:$Z,4,FALSE)),"ON ROCS/NOT ON FILE"),"")</f>
        <v/>
      </c>
      <c r="E1173" s="387" t="str">
        <f>IF($B1173&lt;&gt;"",IFERROR(IF(LEFT($B1173,4)=$Z$2,VLOOKUP($C1173,Outbound!$B:$Z,5,FALSE),VLOOKUP($B1173,Outbound!$B:$Z,5,FALSE)),"ON ROCS/NOT ON FILE"),"")</f>
        <v/>
      </c>
      <c r="F1173" s="387" t="str">
        <f>IF(B1173&lt;&gt;"",IFERROR(IF(LEFT($B1173,3)=$Z$2,VLOOKUP($C1173,Outbound!$B:$Z,11,FALSE),VLOOKUP($B1173,Outbound!$B:$Z,11,FALSE)),"NON TROVATO"),"")</f>
        <v/>
      </c>
      <c r="G1173" s="394" t="str">
        <f>IF(B1173&lt;&gt;"",IFERROR(IF(LEFT($B1173,3)=$Z$2,VLOOKUP($C1173,Outbound!$B:$AAZ,16,FALSE),VLOOKUP($B1173,Outbound!$B:$AAZ,16,FALSE)),"NON TROVATO"),"")</f>
        <v/>
      </c>
      <c r="H1173" s="394" t="str">
        <f>IF(B1173&lt;&gt;"",IFERROR(IF(LEFT($B1173,3)=$Z$2,VLOOKUP($C1173,Outbound!$B:$AAZ,6,FALSE),VLOOKUP($B1173,Outbound!$B:$AAZ,6,FALSE)),"NON TROVATO"),"")</f>
        <v/>
      </c>
      <c r="I1173" s="394" t="str">
        <f>IF(B1173&lt;&gt;"",IFERROR(IF(LEFT($B1173,3)=$Z$2,VLOOKUP($C1173,Outbound!$B:$AAZ,52,FALSE),VLOOKUP($B1173,Outbound!$B:$AAZ,52,FALSE)),"NON TROVATO"),"")</f>
        <v/>
      </c>
      <c r="J1173" s="396"/>
      <c r="K1173" s="387" t="str">
        <f>IF(B1173&lt;&gt;"",IF($D1173&lt;&gt;"ON ROCS/NOT ON FILE",IFERROR(_xlfn.XLOOKUP(LEFT($D1173,3),'STAT 77 Table'!$B:$B,'STAT 77 Table'!$A:$A),"ZZ"&amp;RIGHT($B1173,4)),""),"")</f>
        <v/>
      </c>
      <c r="L1173" s="396"/>
      <c r="O1173" s="388"/>
      <c r="P1173" s="388"/>
      <c r="AA1173" s="421">
        <f t="shared" si="18"/>
        <v>0</v>
      </c>
    </row>
    <row r="1174" spans="1:27" ht="16.5">
      <c r="A1174" s="387">
        <f>'STAT 77 Table'!$I$1173</f>
        <v>0</v>
      </c>
      <c r="B1174"/>
      <c r="C1174"/>
      <c r="D1174" s="387" t="str">
        <f>IF($B1174&lt;&gt;"",IFERROR(IF(LEFT($B1174,3)=$Z$2,VLOOKUP($C1174,Outbound!$B:$Z,4,FALSE),VLOOKUP($B1174,Outbound!$B:$Z,4,FALSE)),"ON ROCS/NOT ON FILE"),"")</f>
        <v/>
      </c>
      <c r="E1174" s="387" t="str">
        <f>IF($B1174&lt;&gt;"",IFERROR(IF(LEFT($B1174,4)=$Z$2,VLOOKUP($C1174,Outbound!$B:$Z,5,FALSE),VLOOKUP($B1174,Outbound!$B:$Z,5,FALSE)),"ON ROCS/NOT ON FILE"),"")</f>
        <v/>
      </c>
      <c r="F1174" s="387" t="str">
        <f>IF(B1174&lt;&gt;"",IFERROR(IF(LEFT($B1174,3)=$Z$2,VLOOKUP($C1174,Outbound!$B:$Z,11,FALSE),VLOOKUP($B1174,Outbound!$B:$Z,11,FALSE)),"NON TROVATO"),"")</f>
        <v/>
      </c>
      <c r="G1174" s="394" t="str">
        <f>IF(B1174&lt;&gt;"",IFERROR(IF(LEFT($B1174,3)=$Z$2,VLOOKUP($C1174,Outbound!$B:$AAZ,16,FALSE),VLOOKUP($B1174,Outbound!$B:$AAZ,16,FALSE)),"NON TROVATO"),"")</f>
        <v/>
      </c>
      <c r="H1174" s="394" t="str">
        <f>IF(B1174&lt;&gt;"",IFERROR(IF(LEFT($B1174,3)=$Z$2,VLOOKUP($C1174,Outbound!$B:$AAZ,6,FALSE),VLOOKUP($B1174,Outbound!$B:$AAZ,6,FALSE)),"NON TROVATO"),"")</f>
        <v/>
      </c>
      <c r="I1174" s="394" t="str">
        <f>IF(B1174&lt;&gt;"",IFERROR(IF(LEFT($B1174,3)=$Z$2,VLOOKUP($C1174,Outbound!$B:$AAZ,52,FALSE),VLOOKUP($B1174,Outbound!$B:$AAZ,52,FALSE)),"NON TROVATO"),"")</f>
        <v/>
      </c>
      <c r="J1174" s="396"/>
      <c r="K1174" s="387" t="str">
        <f>IF(B1174&lt;&gt;"",IF($D1174&lt;&gt;"ON ROCS/NOT ON FILE",IFERROR(_xlfn.XLOOKUP(LEFT($D1174,3),'STAT 77 Table'!$B:$B,'STAT 77 Table'!$A:$A),"ZZ"&amp;RIGHT($B1174,4)),""),"")</f>
        <v/>
      </c>
      <c r="L1174" s="396"/>
      <c r="O1174" s="388"/>
      <c r="P1174" s="388"/>
      <c r="AA1174" s="421">
        <f t="shared" si="18"/>
        <v>0</v>
      </c>
    </row>
    <row r="1175" spans="1:27" ht="16.5">
      <c r="A1175" s="387">
        <f>'STAT 77 Table'!$I$1174</f>
        <v>0</v>
      </c>
      <c r="B1175"/>
      <c r="C1175"/>
      <c r="D1175" s="387" t="str">
        <f>IF($B1175&lt;&gt;"",IFERROR(IF(LEFT($B1175,3)=$Z$2,VLOOKUP($C1175,Outbound!$B:$Z,4,FALSE),VLOOKUP($B1175,Outbound!$B:$Z,4,FALSE)),"ON ROCS/NOT ON FILE"),"")</f>
        <v/>
      </c>
      <c r="E1175" s="387" t="str">
        <f>IF($B1175&lt;&gt;"",IFERROR(IF(LEFT($B1175,4)=$Z$2,VLOOKUP($C1175,Outbound!$B:$Z,5,FALSE),VLOOKUP($B1175,Outbound!$B:$Z,5,FALSE)),"ON ROCS/NOT ON FILE"),"")</f>
        <v/>
      </c>
      <c r="F1175" s="387" t="str">
        <f>IF(B1175&lt;&gt;"",IFERROR(IF(LEFT($B1175,3)=$Z$2,VLOOKUP($C1175,Outbound!$B:$Z,11,FALSE),VLOOKUP($B1175,Outbound!$B:$Z,11,FALSE)),"NON TROVATO"),"")</f>
        <v/>
      </c>
      <c r="G1175" s="394" t="str">
        <f>IF(B1175&lt;&gt;"",IFERROR(IF(LEFT($B1175,3)=$Z$2,VLOOKUP($C1175,Outbound!$B:$AAZ,16,FALSE),VLOOKUP($B1175,Outbound!$B:$AAZ,16,FALSE)),"NON TROVATO"),"")</f>
        <v/>
      </c>
      <c r="H1175" s="394" t="str">
        <f>IF(B1175&lt;&gt;"",IFERROR(IF(LEFT($B1175,3)=$Z$2,VLOOKUP($C1175,Outbound!$B:$AAZ,6,FALSE),VLOOKUP($B1175,Outbound!$B:$AAZ,6,FALSE)),"NON TROVATO"),"")</f>
        <v/>
      </c>
      <c r="I1175" s="394" t="str">
        <f>IF(B1175&lt;&gt;"",IFERROR(IF(LEFT($B1175,3)=$Z$2,VLOOKUP($C1175,Outbound!$B:$AAZ,52,FALSE),VLOOKUP($B1175,Outbound!$B:$AAZ,52,FALSE)),"NON TROVATO"),"")</f>
        <v/>
      </c>
      <c r="J1175" s="396"/>
      <c r="K1175" s="387" t="str">
        <f>IF(B1175&lt;&gt;"",IF($D1175&lt;&gt;"ON ROCS/NOT ON FILE",IFERROR(_xlfn.XLOOKUP(LEFT($D1175,3),'STAT 77 Table'!$B:$B,'STAT 77 Table'!$A:$A),"ZZ"&amp;RIGHT($B1175,4)),""),"")</f>
        <v/>
      </c>
      <c r="L1175" s="396"/>
      <c r="O1175" s="388"/>
      <c r="P1175" s="388"/>
      <c r="AA1175" s="421">
        <f t="shared" si="18"/>
        <v>0</v>
      </c>
    </row>
    <row r="1176" spans="1:27" ht="16.5">
      <c r="A1176" s="387">
        <f>'STAT 77 Table'!$I$1175</f>
        <v>0</v>
      </c>
      <c r="B1176"/>
      <c r="C1176"/>
      <c r="D1176" s="387" t="str">
        <f>IF($B1176&lt;&gt;"",IFERROR(IF(LEFT($B1176,3)=$Z$2,VLOOKUP($C1176,Outbound!$B:$Z,4,FALSE),VLOOKUP($B1176,Outbound!$B:$Z,4,FALSE)),"ON ROCS/NOT ON FILE"),"")</f>
        <v/>
      </c>
      <c r="E1176" s="387" t="str">
        <f>IF($B1176&lt;&gt;"",IFERROR(IF(LEFT($B1176,4)=$Z$2,VLOOKUP($C1176,Outbound!$B:$Z,5,FALSE),VLOOKUP($B1176,Outbound!$B:$Z,5,FALSE)),"ON ROCS/NOT ON FILE"),"")</f>
        <v/>
      </c>
      <c r="F1176" s="387" t="str">
        <f>IF(B1176&lt;&gt;"",IFERROR(IF(LEFT($B1176,3)=$Z$2,VLOOKUP($C1176,Outbound!$B:$Z,11,FALSE),VLOOKUP($B1176,Outbound!$B:$Z,11,FALSE)),"NON TROVATO"),"")</f>
        <v/>
      </c>
      <c r="G1176" s="394" t="str">
        <f>IF(B1176&lt;&gt;"",IFERROR(IF(LEFT($B1176,3)=$Z$2,VLOOKUP($C1176,Outbound!$B:$AAZ,16,FALSE),VLOOKUP($B1176,Outbound!$B:$AAZ,16,FALSE)),"NON TROVATO"),"")</f>
        <v/>
      </c>
      <c r="H1176" s="394" t="str">
        <f>IF(B1176&lt;&gt;"",IFERROR(IF(LEFT($B1176,3)=$Z$2,VLOOKUP($C1176,Outbound!$B:$AAZ,6,FALSE),VLOOKUP($B1176,Outbound!$B:$AAZ,6,FALSE)),"NON TROVATO"),"")</f>
        <v/>
      </c>
      <c r="I1176" s="394" t="str">
        <f>IF(B1176&lt;&gt;"",IFERROR(IF(LEFT($B1176,3)=$Z$2,VLOOKUP($C1176,Outbound!$B:$AAZ,52,FALSE),VLOOKUP($B1176,Outbound!$B:$AAZ,52,FALSE)),"NON TROVATO"),"")</f>
        <v/>
      </c>
      <c r="J1176" s="396"/>
      <c r="K1176" s="387" t="str">
        <f>IF(B1176&lt;&gt;"",IF($D1176&lt;&gt;"ON ROCS/NOT ON FILE",IFERROR(_xlfn.XLOOKUP(LEFT($D1176,3),'STAT 77 Table'!$B:$B,'STAT 77 Table'!$A:$A),"ZZ"&amp;RIGHT($B1176,4)),""),"")</f>
        <v/>
      </c>
      <c r="L1176" s="396"/>
      <c r="O1176" s="388"/>
      <c r="P1176" s="388"/>
      <c r="AA1176" s="421">
        <f t="shared" si="18"/>
        <v>0</v>
      </c>
    </row>
    <row r="1177" spans="1:27" ht="16.5">
      <c r="A1177" s="387">
        <f>'STAT 77 Table'!$I$1176</f>
        <v>0</v>
      </c>
      <c r="B1177"/>
      <c r="C1177"/>
      <c r="D1177" s="387" t="str">
        <f>IF($B1177&lt;&gt;"",IFERROR(IF(LEFT($B1177,3)=$Z$2,VLOOKUP($C1177,Outbound!$B:$Z,4,FALSE),VLOOKUP($B1177,Outbound!$B:$Z,4,FALSE)),"ON ROCS/NOT ON FILE"),"")</f>
        <v/>
      </c>
      <c r="E1177" s="387" t="str">
        <f>IF($B1177&lt;&gt;"",IFERROR(IF(LEFT($B1177,4)=$Z$2,VLOOKUP($C1177,Outbound!$B:$Z,5,FALSE),VLOOKUP($B1177,Outbound!$B:$Z,5,FALSE)),"ON ROCS/NOT ON FILE"),"")</f>
        <v/>
      </c>
      <c r="F1177" s="387" t="str">
        <f>IF(B1177&lt;&gt;"",IFERROR(IF(LEFT($B1177,3)=$Z$2,VLOOKUP($C1177,Outbound!$B:$Z,11,FALSE),VLOOKUP($B1177,Outbound!$B:$Z,11,FALSE)),"NON TROVATO"),"")</f>
        <v/>
      </c>
      <c r="G1177" s="394" t="str">
        <f>IF(B1177&lt;&gt;"",IFERROR(IF(LEFT($B1177,3)=$Z$2,VLOOKUP($C1177,Outbound!$B:$AAZ,16,FALSE),VLOOKUP($B1177,Outbound!$B:$AAZ,16,FALSE)),"NON TROVATO"),"")</f>
        <v/>
      </c>
      <c r="H1177" s="394" t="str">
        <f>IF(B1177&lt;&gt;"",IFERROR(IF(LEFT($B1177,3)=$Z$2,VLOOKUP($C1177,Outbound!$B:$AAZ,6,FALSE),VLOOKUP($B1177,Outbound!$B:$AAZ,6,FALSE)),"NON TROVATO"),"")</f>
        <v/>
      </c>
      <c r="I1177" s="394" t="str">
        <f>IF(B1177&lt;&gt;"",IFERROR(IF(LEFT($B1177,3)=$Z$2,VLOOKUP($C1177,Outbound!$B:$AAZ,52,FALSE),VLOOKUP($B1177,Outbound!$B:$AAZ,52,FALSE)),"NON TROVATO"),"")</f>
        <v/>
      </c>
      <c r="J1177" s="396"/>
      <c r="K1177" s="387" t="str">
        <f>IF(B1177&lt;&gt;"",IF($D1177&lt;&gt;"ON ROCS/NOT ON FILE",IFERROR(_xlfn.XLOOKUP(LEFT($D1177,3),'STAT 77 Table'!$B:$B,'STAT 77 Table'!$A:$A),"ZZ"&amp;RIGHT($B1177,4)),""),"")</f>
        <v/>
      </c>
      <c r="L1177" s="396"/>
      <c r="O1177" s="388"/>
      <c r="P1177" s="388"/>
      <c r="AA1177" s="421">
        <f t="shared" si="18"/>
        <v>0</v>
      </c>
    </row>
    <row r="1178" spans="1:27" ht="16.5">
      <c r="A1178" s="387">
        <f>'STAT 77 Table'!$I$1177</f>
        <v>0</v>
      </c>
      <c r="B1178"/>
      <c r="C1178"/>
      <c r="D1178" s="387" t="str">
        <f>IF($B1178&lt;&gt;"",IFERROR(IF(LEFT($B1178,3)=$Z$2,VLOOKUP($C1178,Outbound!$B:$Z,4,FALSE),VLOOKUP($B1178,Outbound!$B:$Z,4,FALSE)),"ON ROCS/NOT ON FILE"),"")</f>
        <v/>
      </c>
      <c r="E1178" s="387" t="str">
        <f>IF($B1178&lt;&gt;"",IFERROR(IF(LEFT($B1178,4)=$Z$2,VLOOKUP($C1178,Outbound!$B:$Z,5,FALSE),VLOOKUP($B1178,Outbound!$B:$Z,5,FALSE)),"ON ROCS/NOT ON FILE"),"")</f>
        <v/>
      </c>
      <c r="F1178" s="387" t="str">
        <f>IF(B1178&lt;&gt;"",IFERROR(IF(LEFT($B1178,3)=$Z$2,VLOOKUP($C1178,Outbound!$B:$Z,11,FALSE),VLOOKUP($B1178,Outbound!$B:$Z,11,FALSE)),"NON TROVATO"),"")</f>
        <v/>
      </c>
      <c r="G1178" s="394" t="str">
        <f>IF(B1178&lt;&gt;"",IFERROR(IF(LEFT($B1178,3)=$Z$2,VLOOKUP($C1178,Outbound!$B:$AAZ,16,FALSE),VLOOKUP($B1178,Outbound!$B:$AAZ,16,FALSE)),"NON TROVATO"),"")</f>
        <v/>
      </c>
      <c r="H1178" s="394" t="str">
        <f>IF(B1178&lt;&gt;"",IFERROR(IF(LEFT($B1178,3)=$Z$2,VLOOKUP($C1178,Outbound!$B:$AAZ,6,FALSE),VLOOKUP($B1178,Outbound!$B:$AAZ,6,FALSE)),"NON TROVATO"),"")</f>
        <v/>
      </c>
      <c r="I1178" s="394" t="str">
        <f>IF(B1178&lt;&gt;"",IFERROR(IF(LEFT($B1178,3)=$Z$2,VLOOKUP($C1178,Outbound!$B:$AAZ,52,FALSE),VLOOKUP($B1178,Outbound!$B:$AAZ,52,FALSE)),"NON TROVATO"),"")</f>
        <v/>
      </c>
      <c r="J1178" s="396"/>
      <c r="K1178" s="387" t="str">
        <f>IF(B1178&lt;&gt;"",IF($D1178&lt;&gt;"ON ROCS/NOT ON FILE",IFERROR(_xlfn.XLOOKUP(LEFT($D1178,3),'STAT 77 Table'!$B:$B,'STAT 77 Table'!$A:$A),"ZZ"&amp;RIGHT($B1178,4)),""),"")</f>
        <v/>
      </c>
      <c r="L1178" s="396"/>
      <c r="O1178" s="388"/>
      <c r="P1178" s="388"/>
      <c r="AA1178" s="421">
        <f t="shared" si="18"/>
        <v>0</v>
      </c>
    </row>
    <row r="1179" spans="1:27" ht="16.5">
      <c r="A1179" s="387">
        <f>'STAT 77 Table'!$I$1178</f>
        <v>0</v>
      </c>
      <c r="B1179"/>
      <c r="C1179"/>
      <c r="D1179" s="387" t="str">
        <f>IF($B1179&lt;&gt;"",IFERROR(IF(LEFT($B1179,3)=$Z$2,VLOOKUP($C1179,Outbound!$B:$Z,4,FALSE),VLOOKUP($B1179,Outbound!$B:$Z,4,FALSE)),"ON ROCS/NOT ON FILE"),"")</f>
        <v/>
      </c>
      <c r="E1179" s="387" t="str">
        <f>IF($B1179&lt;&gt;"",IFERROR(IF(LEFT($B1179,4)=$Z$2,VLOOKUP($C1179,Outbound!$B:$Z,5,FALSE),VLOOKUP($B1179,Outbound!$B:$Z,5,FALSE)),"ON ROCS/NOT ON FILE"),"")</f>
        <v/>
      </c>
      <c r="F1179" s="387" t="str">
        <f>IF(B1179&lt;&gt;"",IFERROR(IF(LEFT($B1179,3)=$Z$2,VLOOKUP($C1179,Outbound!$B:$Z,11,FALSE),VLOOKUP($B1179,Outbound!$B:$Z,11,FALSE)),"NON TROVATO"),"")</f>
        <v/>
      </c>
      <c r="G1179" s="394" t="str">
        <f>IF(B1179&lt;&gt;"",IFERROR(IF(LEFT($B1179,3)=$Z$2,VLOOKUP($C1179,Outbound!$B:$AAZ,16,FALSE),VLOOKUP($B1179,Outbound!$B:$AAZ,16,FALSE)),"NON TROVATO"),"")</f>
        <v/>
      </c>
      <c r="H1179" s="394" t="str">
        <f>IF(B1179&lt;&gt;"",IFERROR(IF(LEFT($B1179,3)=$Z$2,VLOOKUP($C1179,Outbound!$B:$AAZ,6,FALSE),VLOOKUP($B1179,Outbound!$B:$AAZ,6,FALSE)),"NON TROVATO"),"")</f>
        <v/>
      </c>
      <c r="I1179" s="394" t="str">
        <f>IF(B1179&lt;&gt;"",IFERROR(IF(LEFT($B1179,3)=$Z$2,VLOOKUP($C1179,Outbound!$B:$AAZ,52,FALSE),VLOOKUP($B1179,Outbound!$B:$AAZ,52,FALSE)),"NON TROVATO"),"")</f>
        <v/>
      </c>
      <c r="J1179" s="396"/>
      <c r="K1179" s="387" t="str">
        <f>IF(B1179&lt;&gt;"",IF($D1179&lt;&gt;"ON ROCS/NOT ON FILE",IFERROR(_xlfn.XLOOKUP(LEFT($D1179,3),'STAT 77 Table'!$B:$B,'STAT 77 Table'!$A:$A),"ZZ"&amp;RIGHT($B1179,4)),""),"")</f>
        <v/>
      </c>
      <c r="L1179" s="396"/>
      <c r="O1179" s="388"/>
      <c r="P1179" s="388"/>
      <c r="AA1179" s="421">
        <f t="shared" si="18"/>
        <v>0</v>
      </c>
    </row>
    <row r="1180" spans="1:27" ht="16.5">
      <c r="A1180" s="387">
        <f>'STAT 77 Table'!$I$1179</f>
        <v>0</v>
      </c>
      <c r="B1180"/>
      <c r="C1180"/>
      <c r="D1180" s="387" t="str">
        <f>IF($B1180&lt;&gt;"",IFERROR(IF(LEFT($B1180,3)=$Z$2,VLOOKUP($C1180,Outbound!$B:$Z,4,FALSE),VLOOKUP($B1180,Outbound!$B:$Z,4,FALSE)),"ON ROCS/NOT ON FILE"),"")</f>
        <v/>
      </c>
      <c r="E1180" s="387" t="str">
        <f>IF($B1180&lt;&gt;"",IFERROR(IF(LEFT($B1180,4)=$Z$2,VLOOKUP($C1180,Outbound!$B:$Z,5,FALSE),VLOOKUP($B1180,Outbound!$B:$Z,5,FALSE)),"ON ROCS/NOT ON FILE"),"")</f>
        <v/>
      </c>
      <c r="F1180" s="387" t="str">
        <f>IF(B1180&lt;&gt;"",IFERROR(IF(LEFT($B1180,3)=$Z$2,VLOOKUP($C1180,Outbound!$B:$Z,11,FALSE),VLOOKUP($B1180,Outbound!$B:$Z,11,FALSE)),"NON TROVATO"),"")</f>
        <v/>
      </c>
      <c r="G1180" s="394" t="str">
        <f>IF(B1180&lt;&gt;"",IFERROR(IF(LEFT($B1180,3)=$Z$2,VLOOKUP($C1180,Outbound!$B:$AAZ,16,FALSE),VLOOKUP($B1180,Outbound!$B:$AAZ,16,FALSE)),"NON TROVATO"),"")</f>
        <v/>
      </c>
      <c r="H1180" s="394" t="str">
        <f>IF(B1180&lt;&gt;"",IFERROR(IF(LEFT($B1180,3)=$Z$2,VLOOKUP($C1180,Outbound!$B:$AAZ,6,FALSE),VLOOKUP($B1180,Outbound!$B:$AAZ,6,FALSE)),"NON TROVATO"),"")</f>
        <v/>
      </c>
      <c r="I1180" s="394" t="str">
        <f>IF(B1180&lt;&gt;"",IFERROR(IF(LEFT($B1180,3)=$Z$2,VLOOKUP($C1180,Outbound!$B:$AAZ,52,FALSE),VLOOKUP($B1180,Outbound!$B:$AAZ,52,FALSE)),"NON TROVATO"),"")</f>
        <v/>
      </c>
      <c r="J1180" s="396"/>
      <c r="K1180" s="387" t="str">
        <f>IF(B1180&lt;&gt;"",IF($D1180&lt;&gt;"ON ROCS/NOT ON FILE",IFERROR(_xlfn.XLOOKUP(LEFT($D1180,3),'STAT 77 Table'!$B:$B,'STAT 77 Table'!$A:$A),"ZZ"&amp;RIGHT($B1180,4)),""),"")</f>
        <v/>
      </c>
      <c r="L1180" s="396"/>
      <c r="O1180" s="388"/>
      <c r="P1180" s="388"/>
      <c r="AA1180" s="421">
        <f t="shared" si="18"/>
        <v>0</v>
      </c>
    </row>
    <row r="1181" spans="1:27" ht="16.5">
      <c r="A1181" s="387">
        <f>'STAT 77 Table'!$I$1180</f>
        <v>0</v>
      </c>
      <c r="B1181"/>
      <c r="C1181"/>
      <c r="D1181" s="387" t="str">
        <f>IF($B1181&lt;&gt;"",IFERROR(IF(LEFT($B1181,3)=$Z$2,VLOOKUP($C1181,Outbound!$B:$Z,4,FALSE),VLOOKUP($B1181,Outbound!$B:$Z,4,FALSE)),"ON ROCS/NOT ON FILE"),"")</f>
        <v/>
      </c>
      <c r="E1181" s="387" t="str">
        <f>IF($B1181&lt;&gt;"",IFERROR(IF(LEFT($B1181,4)=$Z$2,VLOOKUP($C1181,Outbound!$B:$Z,5,FALSE),VLOOKUP($B1181,Outbound!$B:$Z,5,FALSE)),"ON ROCS/NOT ON FILE"),"")</f>
        <v/>
      </c>
      <c r="F1181" s="387" t="str">
        <f>IF(B1181&lt;&gt;"",IFERROR(IF(LEFT($B1181,3)=$Z$2,VLOOKUP($C1181,Outbound!$B:$Z,11,FALSE),VLOOKUP($B1181,Outbound!$B:$Z,11,FALSE)),"NON TROVATO"),"")</f>
        <v/>
      </c>
      <c r="G1181" s="394" t="str">
        <f>IF(B1181&lt;&gt;"",IFERROR(IF(LEFT($B1181,3)=$Z$2,VLOOKUP($C1181,Outbound!$B:$AAZ,16,FALSE),VLOOKUP($B1181,Outbound!$B:$AAZ,16,FALSE)),"NON TROVATO"),"")</f>
        <v/>
      </c>
      <c r="H1181" s="394" t="str">
        <f>IF(B1181&lt;&gt;"",IFERROR(IF(LEFT($B1181,3)=$Z$2,VLOOKUP($C1181,Outbound!$B:$AAZ,6,FALSE),VLOOKUP($B1181,Outbound!$B:$AAZ,6,FALSE)),"NON TROVATO"),"")</f>
        <v/>
      </c>
      <c r="I1181" s="394" t="str">
        <f>IF(B1181&lt;&gt;"",IFERROR(IF(LEFT($B1181,3)=$Z$2,VLOOKUP($C1181,Outbound!$B:$AAZ,52,FALSE),VLOOKUP($B1181,Outbound!$B:$AAZ,52,FALSE)),"NON TROVATO"),"")</f>
        <v/>
      </c>
      <c r="J1181" s="396"/>
      <c r="K1181" s="387" t="str">
        <f>IF(B1181&lt;&gt;"",IF($D1181&lt;&gt;"ON ROCS/NOT ON FILE",IFERROR(_xlfn.XLOOKUP(LEFT($D1181,3),'STAT 77 Table'!$B:$B,'STAT 77 Table'!$A:$A),"ZZ"&amp;RIGHT($B1181,4)),""),"")</f>
        <v/>
      </c>
      <c r="L1181" s="396"/>
      <c r="O1181" s="388"/>
      <c r="P1181" s="388"/>
      <c r="AA1181" s="421">
        <f t="shared" si="18"/>
        <v>0</v>
      </c>
    </row>
    <row r="1182" spans="1:27" ht="16.5">
      <c r="A1182" s="387">
        <f>'STAT 77 Table'!$I$1181</f>
        <v>0</v>
      </c>
      <c r="B1182"/>
      <c r="C1182"/>
      <c r="D1182" s="387" t="str">
        <f>IF($B1182&lt;&gt;"",IFERROR(IF(LEFT($B1182,3)=$Z$2,VLOOKUP($C1182,Outbound!$B:$Z,4,FALSE),VLOOKUP($B1182,Outbound!$B:$Z,4,FALSE)),"ON ROCS/NOT ON FILE"),"")</f>
        <v/>
      </c>
      <c r="E1182" s="387" t="str">
        <f>IF($B1182&lt;&gt;"",IFERROR(IF(LEFT($B1182,4)=$Z$2,VLOOKUP($C1182,Outbound!$B:$Z,5,FALSE),VLOOKUP($B1182,Outbound!$B:$Z,5,FALSE)),"ON ROCS/NOT ON FILE"),"")</f>
        <v/>
      </c>
      <c r="F1182" s="387" t="str">
        <f>IF(B1182&lt;&gt;"",IFERROR(IF(LEFT($B1182,3)=$Z$2,VLOOKUP($C1182,Outbound!$B:$Z,11,FALSE),VLOOKUP($B1182,Outbound!$B:$Z,11,FALSE)),"NON TROVATO"),"")</f>
        <v/>
      </c>
      <c r="G1182" s="394" t="str">
        <f>IF(B1182&lt;&gt;"",IFERROR(IF(LEFT($B1182,3)=$Z$2,VLOOKUP($C1182,Outbound!$B:$AAZ,16,FALSE),VLOOKUP($B1182,Outbound!$B:$AAZ,16,FALSE)),"NON TROVATO"),"")</f>
        <v/>
      </c>
      <c r="H1182" s="394" t="str">
        <f>IF(B1182&lt;&gt;"",IFERROR(IF(LEFT($B1182,3)=$Z$2,VLOOKUP($C1182,Outbound!$B:$AAZ,6,FALSE),VLOOKUP($B1182,Outbound!$B:$AAZ,6,FALSE)),"NON TROVATO"),"")</f>
        <v/>
      </c>
      <c r="I1182" s="394" t="str">
        <f>IF(B1182&lt;&gt;"",IFERROR(IF(LEFT($B1182,3)=$Z$2,VLOOKUP($C1182,Outbound!$B:$AAZ,52,FALSE),VLOOKUP($B1182,Outbound!$B:$AAZ,52,FALSE)),"NON TROVATO"),"")</f>
        <v/>
      </c>
      <c r="J1182" s="396"/>
      <c r="K1182" s="387" t="str">
        <f>IF(B1182&lt;&gt;"",IF($D1182&lt;&gt;"ON ROCS/NOT ON FILE",IFERROR(_xlfn.XLOOKUP(LEFT($D1182,3),'STAT 77 Table'!$B:$B,'STAT 77 Table'!$A:$A),"ZZ"&amp;RIGHT($B1182,4)),""),"")</f>
        <v/>
      </c>
      <c r="L1182" s="396"/>
      <c r="O1182" s="388"/>
      <c r="P1182" s="388"/>
      <c r="AA1182" s="421">
        <f t="shared" si="18"/>
        <v>0</v>
      </c>
    </row>
    <row r="1183" spans="1:27" ht="16.5">
      <c r="A1183" s="387">
        <f>'STAT 77 Table'!$I$1182</f>
        <v>0</v>
      </c>
      <c r="B1183"/>
      <c r="C1183"/>
      <c r="D1183" s="387" t="str">
        <f>IF($B1183&lt;&gt;"",IFERROR(IF(LEFT($B1183,3)=$Z$2,VLOOKUP($C1183,Outbound!$B:$Z,4,FALSE),VLOOKUP($B1183,Outbound!$B:$Z,4,FALSE)),"ON ROCS/NOT ON FILE"),"")</f>
        <v/>
      </c>
      <c r="E1183" s="387" t="str">
        <f>IF($B1183&lt;&gt;"",IFERROR(IF(LEFT($B1183,4)=$Z$2,VLOOKUP($C1183,Outbound!$B:$Z,5,FALSE),VLOOKUP($B1183,Outbound!$B:$Z,5,FALSE)),"ON ROCS/NOT ON FILE"),"")</f>
        <v/>
      </c>
      <c r="F1183" s="387" t="str">
        <f>IF(B1183&lt;&gt;"",IFERROR(IF(LEFT($B1183,3)=$Z$2,VLOOKUP($C1183,Outbound!$B:$Z,11,FALSE),VLOOKUP($B1183,Outbound!$B:$Z,11,FALSE)),"NON TROVATO"),"")</f>
        <v/>
      </c>
      <c r="G1183" s="394" t="str">
        <f>IF(B1183&lt;&gt;"",IFERROR(IF(LEFT($B1183,3)=$Z$2,VLOOKUP($C1183,Outbound!$B:$AAZ,16,FALSE),VLOOKUP($B1183,Outbound!$B:$AAZ,16,FALSE)),"NON TROVATO"),"")</f>
        <v/>
      </c>
      <c r="H1183" s="394" t="str">
        <f>IF(B1183&lt;&gt;"",IFERROR(IF(LEFT($B1183,3)=$Z$2,VLOOKUP($C1183,Outbound!$B:$AAZ,6,FALSE),VLOOKUP($B1183,Outbound!$B:$AAZ,6,FALSE)),"NON TROVATO"),"")</f>
        <v/>
      </c>
      <c r="I1183" s="394" t="str">
        <f>IF(B1183&lt;&gt;"",IFERROR(IF(LEFT($B1183,3)=$Z$2,VLOOKUP($C1183,Outbound!$B:$AAZ,52,FALSE),VLOOKUP($B1183,Outbound!$B:$AAZ,52,FALSE)),"NON TROVATO"),"")</f>
        <v/>
      </c>
      <c r="J1183" s="396"/>
      <c r="K1183" s="387" t="str">
        <f>IF(B1183&lt;&gt;"",IF($D1183&lt;&gt;"ON ROCS/NOT ON FILE",IFERROR(_xlfn.XLOOKUP(LEFT($D1183,3),'STAT 77 Table'!$B:$B,'STAT 77 Table'!$A:$A),"ZZ"&amp;RIGHT($B1183,4)),""),"")</f>
        <v/>
      </c>
      <c r="L1183" s="396"/>
      <c r="O1183" s="388"/>
      <c r="P1183" s="388"/>
      <c r="AA1183" s="421">
        <f t="shared" si="18"/>
        <v>0</v>
      </c>
    </row>
    <row r="1184" spans="1:27" ht="16.5">
      <c r="A1184" s="387">
        <f>'STAT 77 Table'!$I$1183</f>
        <v>0</v>
      </c>
      <c r="B1184"/>
      <c r="C1184"/>
      <c r="D1184" s="387" t="str">
        <f>IF($B1184&lt;&gt;"",IFERROR(IF(LEFT($B1184,3)=$Z$2,VLOOKUP($C1184,Outbound!$B:$Z,4,FALSE),VLOOKUP($B1184,Outbound!$B:$Z,4,FALSE)),"ON ROCS/NOT ON FILE"),"")</f>
        <v/>
      </c>
      <c r="E1184" s="387" t="str">
        <f>IF($B1184&lt;&gt;"",IFERROR(IF(LEFT($B1184,4)=$Z$2,VLOOKUP($C1184,Outbound!$B:$Z,5,FALSE),VLOOKUP($B1184,Outbound!$B:$Z,5,FALSE)),"ON ROCS/NOT ON FILE"),"")</f>
        <v/>
      </c>
      <c r="F1184" s="387" t="str">
        <f>IF(B1184&lt;&gt;"",IFERROR(IF(LEFT($B1184,3)=$Z$2,VLOOKUP($C1184,Outbound!$B:$Z,11,FALSE),VLOOKUP($B1184,Outbound!$B:$Z,11,FALSE)),"NON TROVATO"),"")</f>
        <v/>
      </c>
      <c r="G1184" s="394" t="str">
        <f>IF(B1184&lt;&gt;"",IFERROR(IF(LEFT($B1184,3)=$Z$2,VLOOKUP($C1184,Outbound!$B:$AAZ,16,FALSE),VLOOKUP($B1184,Outbound!$B:$AAZ,16,FALSE)),"NON TROVATO"),"")</f>
        <v/>
      </c>
      <c r="H1184" s="394" t="str">
        <f>IF(B1184&lt;&gt;"",IFERROR(IF(LEFT($B1184,3)=$Z$2,VLOOKUP($C1184,Outbound!$B:$AAZ,6,FALSE),VLOOKUP($B1184,Outbound!$B:$AAZ,6,FALSE)),"NON TROVATO"),"")</f>
        <v/>
      </c>
      <c r="I1184" s="394" t="str">
        <f>IF(B1184&lt;&gt;"",IFERROR(IF(LEFT($B1184,3)=$Z$2,VLOOKUP($C1184,Outbound!$B:$AAZ,52,FALSE),VLOOKUP($B1184,Outbound!$B:$AAZ,52,FALSE)),"NON TROVATO"),"")</f>
        <v/>
      </c>
      <c r="J1184" s="396"/>
      <c r="K1184" s="387" t="str">
        <f>IF(B1184&lt;&gt;"",IF($D1184&lt;&gt;"ON ROCS/NOT ON FILE",IFERROR(_xlfn.XLOOKUP(LEFT($D1184,3),'STAT 77 Table'!$B:$B,'STAT 77 Table'!$A:$A),"ZZ"&amp;RIGHT($B1184,4)),""),"")</f>
        <v/>
      </c>
      <c r="L1184" s="396"/>
      <c r="O1184" s="388"/>
      <c r="P1184" s="388"/>
      <c r="AA1184" s="421">
        <f t="shared" si="18"/>
        <v>0</v>
      </c>
    </row>
    <row r="1185" spans="1:27" ht="16.5">
      <c r="A1185" s="387">
        <f>'STAT 77 Table'!$I$1184</f>
        <v>0</v>
      </c>
      <c r="B1185"/>
      <c r="C1185"/>
      <c r="D1185" s="387" t="str">
        <f>IF($B1185&lt;&gt;"",IFERROR(IF(LEFT($B1185,3)=$Z$2,VLOOKUP($C1185,Outbound!$B:$Z,4,FALSE),VLOOKUP($B1185,Outbound!$B:$Z,4,FALSE)),"ON ROCS/NOT ON FILE"),"")</f>
        <v/>
      </c>
      <c r="E1185" s="387" t="str">
        <f>IF($B1185&lt;&gt;"",IFERROR(IF(LEFT($B1185,4)=$Z$2,VLOOKUP($C1185,Outbound!$B:$Z,5,FALSE),VLOOKUP($B1185,Outbound!$B:$Z,5,FALSE)),"ON ROCS/NOT ON FILE"),"")</f>
        <v/>
      </c>
      <c r="F1185" s="387" t="str">
        <f>IF(B1185&lt;&gt;"",IFERROR(IF(LEFT($B1185,3)=$Z$2,VLOOKUP($C1185,Outbound!$B:$Z,11,FALSE),VLOOKUP($B1185,Outbound!$B:$Z,11,FALSE)),"NON TROVATO"),"")</f>
        <v/>
      </c>
      <c r="G1185" s="394" t="str">
        <f>IF(B1185&lt;&gt;"",IFERROR(IF(LEFT($B1185,3)=$Z$2,VLOOKUP($C1185,Outbound!$B:$AAZ,16,FALSE),VLOOKUP($B1185,Outbound!$B:$AAZ,16,FALSE)),"NON TROVATO"),"")</f>
        <v/>
      </c>
      <c r="H1185" s="394" t="str">
        <f>IF(B1185&lt;&gt;"",IFERROR(IF(LEFT($B1185,3)=$Z$2,VLOOKUP($C1185,Outbound!$B:$AAZ,6,FALSE),VLOOKUP($B1185,Outbound!$B:$AAZ,6,FALSE)),"NON TROVATO"),"")</f>
        <v/>
      </c>
      <c r="I1185" s="394" t="str">
        <f>IF(B1185&lt;&gt;"",IFERROR(IF(LEFT($B1185,3)=$Z$2,VLOOKUP($C1185,Outbound!$B:$AAZ,52,FALSE),VLOOKUP($B1185,Outbound!$B:$AAZ,52,FALSE)),"NON TROVATO"),"")</f>
        <v/>
      </c>
      <c r="J1185" s="396"/>
      <c r="K1185" s="387" t="str">
        <f>IF(B1185&lt;&gt;"",IF($D1185&lt;&gt;"ON ROCS/NOT ON FILE",IFERROR(_xlfn.XLOOKUP(LEFT($D1185,3),'STAT 77 Table'!$B:$B,'STAT 77 Table'!$A:$A),"ZZ"&amp;RIGHT($B1185,4)),""),"")</f>
        <v/>
      </c>
      <c r="L1185" s="396"/>
      <c r="O1185" s="388"/>
      <c r="P1185" s="388"/>
      <c r="AA1185" s="421">
        <f t="shared" si="18"/>
        <v>0</v>
      </c>
    </row>
    <row r="1186" spans="1:27" ht="16.5">
      <c r="A1186" s="387">
        <f>'STAT 77 Table'!$I$1185</f>
        <v>0</v>
      </c>
      <c r="B1186"/>
      <c r="C1186"/>
      <c r="D1186" s="387" t="str">
        <f>IF($B1186&lt;&gt;"",IFERROR(IF(LEFT($B1186,3)=$Z$2,VLOOKUP($C1186,Outbound!$B:$Z,4,FALSE),VLOOKUP($B1186,Outbound!$B:$Z,4,FALSE)),"ON ROCS/NOT ON FILE"),"")</f>
        <v/>
      </c>
      <c r="E1186" s="387" t="str">
        <f>IF($B1186&lt;&gt;"",IFERROR(IF(LEFT($B1186,4)=$Z$2,VLOOKUP($C1186,Outbound!$B:$Z,5,FALSE),VLOOKUP($B1186,Outbound!$B:$Z,5,FALSE)),"ON ROCS/NOT ON FILE"),"")</f>
        <v/>
      </c>
      <c r="F1186" s="387" t="str">
        <f>IF(B1186&lt;&gt;"",IFERROR(IF(LEFT($B1186,3)=$Z$2,VLOOKUP($C1186,Outbound!$B:$Z,11,FALSE),VLOOKUP($B1186,Outbound!$B:$Z,11,FALSE)),"NON TROVATO"),"")</f>
        <v/>
      </c>
      <c r="G1186" s="394" t="str">
        <f>IF(B1186&lt;&gt;"",IFERROR(IF(LEFT($B1186,3)=$Z$2,VLOOKUP($C1186,Outbound!$B:$AAZ,16,FALSE),VLOOKUP($B1186,Outbound!$B:$AAZ,16,FALSE)),"NON TROVATO"),"")</f>
        <v/>
      </c>
      <c r="H1186" s="394" t="str">
        <f>IF(B1186&lt;&gt;"",IFERROR(IF(LEFT($B1186,3)=$Z$2,VLOOKUP($C1186,Outbound!$B:$AAZ,6,FALSE),VLOOKUP($B1186,Outbound!$B:$AAZ,6,FALSE)),"NON TROVATO"),"")</f>
        <v/>
      </c>
      <c r="I1186" s="394" t="str">
        <f>IF(B1186&lt;&gt;"",IFERROR(IF(LEFT($B1186,3)=$Z$2,VLOOKUP($C1186,Outbound!$B:$AAZ,52,FALSE),VLOOKUP($B1186,Outbound!$B:$AAZ,52,FALSE)),"NON TROVATO"),"")</f>
        <v/>
      </c>
      <c r="J1186" s="396"/>
      <c r="K1186" s="387" t="str">
        <f>IF(B1186&lt;&gt;"",IF($D1186&lt;&gt;"ON ROCS/NOT ON FILE",IFERROR(_xlfn.XLOOKUP(LEFT($D1186,3),'STAT 77 Table'!$B:$B,'STAT 77 Table'!$A:$A),"ZZ"&amp;RIGHT($B1186,4)),""),"")</f>
        <v/>
      </c>
      <c r="L1186" s="396"/>
      <c r="O1186" s="388"/>
      <c r="P1186" s="388"/>
      <c r="AA1186" s="421">
        <f t="shared" si="18"/>
        <v>0</v>
      </c>
    </row>
    <row r="1187" spans="1:27" ht="16.5">
      <c r="A1187" s="387">
        <f>'STAT 77 Table'!$I$1186</f>
        <v>0</v>
      </c>
      <c r="B1187"/>
      <c r="C1187"/>
      <c r="D1187" s="387" t="str">
        <f>IF($B1187&lt;&gt;"",IFERROR(IF(LEFT($B1187,3)=$Z$2,VLOOKUP($C1187,Outbound!$B:$Z,4,FALSE),VLOOKUP($B1187,Outbound!$B:$Z,4,FALSE)),"ON ROCS/NOT ON FILE"),"")</f>
        <v/>
      </c>
      <c r="E1187" s="387" t="str">
        <f>IF($B1187&lt;&gt;"",IFERROR(IF(LEFT($B1187,4)=$Z$2,VLOOKUP($C1187,Outbound!$B:$Z,5,FALSE),VLOOKUP($B1187,Outbound!$B:$Z,5,FALSE)),"ON ROCS/NOT ON FILE"),"")</f>
        <v/>
      </c>
      <c r="F1187" s="387" t="str">
        <f>IF(B1187&lt;&gt;"",IFERROR(IF(LEFT($B1187,3)=$Z$2,VLOOKUP($C1187,Outbound!$B:$Z,11,FALSE),VLOOKUP($B1187,Outbound!$B:$Z,11,FALSE)),"NON TROVATO"),"")</f>
        <v/>
      </c>
      <c r="G1187" s="394" t="str">
        <f>IF(B1187&lt;&gt;"",IFERROR(IF(LEFT($B1187,3)=$Z$2,VLOOKUP($C1187,Outbound!$B:$AAZ,16,FALSE),VLOOKUP($B1187,Outbound!$B:$AAZ,16,FALSE)),"NON TROVATO"),"")</f>
        <v/>
      </c>
      <c r="H1187" s="394" t="str">
        <f>IF(B1187&lt;&gt;"",IFERROR(IF(LEFT($B1187,3)=$Z$2,VLOOKUP($C1187,Outbound!$B:$AAZ,6,FALSE),VLOOKUP($B1187,Outbound!$B:$AAZ,6,FALSE)),"NON TROVATO"),"")</f>
        <v/>
      </c>
      <c r="I1187" s="394" t="str">
        <f>IF(B1187&lt;&gt;"",IFERROR(IF(LEFT($B1187,3)=$Z$2,VLOOKUP($C1187,Outbound!$B:$AAZ,52,FALSE),VLOOKUP($B1187,Outbound!$B:$AAZ,52,FALSE)),"NON TROVATO"),"")</f>
        <v/>
      </c>
      <c r="J1187" s="396"/>
      <c r="K1187" s="387" t="str">
        <f>IF(B1187&lt;&gt;"",IF($D1187&lt;&gt;"ON ROCS/NOT ON FILE",IFERROR(_xlfn.XLOOKUP(LEFT($D1187,3),'STAT 77 Table'!$B:$B,'STAT 77 Table'!$A:$A),"ZZ"&amp;RIGHT($B1187,4)),""),"")</f>
        <v/>
      </c>
      <c r="L1187" s="396"/>
      <c r="O1187" s="388"/>
      <c r="P1187" s="388"/>
      <c r="AA1187" s="421">
        <f t="shared" si="18"/>
        <v>0</v>
      </c>
    </row>
    <row r="1188" spans="1:27" ht="16.5">
      <c r="A1188" s="387">
        <f>'STAT 77 Table'!$I$1187</f>
        <v>0</v>
      </c>
      <c r="B1188"/>
      <c r="C1188"/>
      <c r="D1188" s="387" t="str">
        <f>IF($B1188&lt;&gt;"",IFERROR(IF(LEFT($B1188,3)=$Z$2,VLOOKUP($C1188,Outbound!$B:$Z,4,FALSE),VLOOKUP($B1188,Outbound!$B:$Z,4,FALSE)),"ON ROCS/NOT ON FILE"),"")</f>
        <v/>
      </c>
      <c r="E1188" s="387" t="str">
        <f>IF($B1188&lt;&gt;"",IFERROR(IF(LEFT($B1188,4)=$Z$2,VLOOKUP($C1188,Outbound!$B:$Z,5,FALSE),VLOOKUP($B1188,Outbound!$B:$Z,5,FALSE)),"ON ROCS/NOT ON FILE"),"")</f>
        <v/>
      </c>
      <c r="F1188" s="387" t="str">
        <f>IF(B1188&lt;&gt;"",IFERROR(IF(LEFT($B1188,3)=$Z$2,VLOOKUP($C1188,Outbound!$B:$Z,11,FALSE),VLOOKUP($B1188,Outbound!$B:$Z,11,FALSE)),"NON TROVATO"),"")</f>
        <v/>
      </c>
      <c r="G1188" s="394" t="str">
        <f>IF(B1188&lt;&gt;"",IFERROR(IF(LEFT($B1188,3)=$Z$2,VLOOKUP($C1188,Outbound!$B:$AAZ,16,FALSE),VLOOKUP($B1188,Outbound!$B:$AAZ,16,FALSE)),"NON TROVATO"),"")</f>
        <v/>
      </c>
      <c r="H1188" s="394" t="str">
        <f>IF(B1188&lt;&gt;"",IFERROR(IF(LEFT($B1188,3)=$Z$2,VLOOKUP($C1188,Outbound!$B:$AAZ,6,FALSE),VLOOKUP($B1188,Outbound!$B:$AAZ,6,FALSE)),"NON TROVATO"),"")</f>
        <v/>
      </c>
      <c r="I1188" s="394" t="str">
        <f>IF(B1188&lt;&gt;"",IFERROR(IF(LEFT($B1188,3)=$Z$2,VLOOKUP($C1188,Outbound!$B:$AAZ,52,FALSE),VLOOKUP($B1188,Outbound!$B:$AAZ,52,FALSE)),"NON TROVATO"),"")</f>
        <v/>
      </c>
      <c r="J1188" s="396"/>
      <c r="K1188" s="387" t="str">
        <f>IF(B1188&lt;&gt;"",IF($D1188&lt;&gt;"ON ROCS/NOT ON FILE",IFERROR(_xlfn.XLOOKUP(LEFT($D1188,3),'STAT 77 Table'!$B:$B,'STAT 77 Table'!$A:$A),"ZZ"&amp;RIGHT($B1188,4)),""),"")</f>
        <v/>
      </c>
      <c r="L1188" s="396"/>
      <c r="O1188" s="388"/>
      <c r="P1188" s="388"/>
      <c r="AA1188" s="421">
        <f t="shared" si="18"/>
        <v>0</v>
      </c>
    </row>
    <row r="1189" spans="1:27" ht="16.5">
      <c r="A1189" s="387">
        <f>'STAT 77 Table'!$I$1188</f>
        <v>0</v>
      </c>
      <c r="B1189"/>
      <c r="C1189"/>
      <c r="D1189" s="387" t="str">
        <f>IF($B1189&lt;&gt;"",IFERROR(IF(LEFT($B1189,3)=$Z$2,VLOOKUP($C1189,Outbound!$B:$Z,4,FALSE),VLOOKUP($B1189,Outbound!$B:$Z,4,FALSE)),"ON ROCS/NOT ON FILE"),"")</f>
        <v/>
      </c>
      <c r="E1189" s="387" t="str">
        <f>IF($B1189&lt;&gt;"",IFERROR(IF(LEFT($B1189,4)=$Z$2,VLOOKUP($C1189,Outbound!$B:$Z,5,FALSE),VLOOKUP($B1189,Outbound!$B:$Z,5,FALSE)),"ON ROCS/NOT ON FILE"),"")</f>
        <v/>
      </c>
      <c r="F1189" s="387" t="str">
        <f>IF(B1189&lt;&gt;"",IFERROR(IF(LEFT($B1189,3)=$Z$2,VLOOKUP($C1189,Outbound!$B:$Z,11,FALSE),VLOOKUP($B1189,Outbound!$B:$Z,11,FALSE)),"NON TROVATO"),"")</f>
        <v/>
      </c>
      <c r="G1189" s="394" t="str">
        <f>IF(B1189&lt;&gt;"",IFERROR(IF(LEFT($B1189,3)=$Z$2,VLOOKUP($C1189,Outbound!$B:$AAZ,16,FALSE),VLOOKUP($B1189,Outbound!$B:$AAZ,16,FALSE)),"NON TROVATO"),"")</f>
        <v/>
      </c>
      <c r="H1189" s="394" t="str">
        <f>IF(B1189&lt;&gt;"",IFERROR(IF(LEFT($B1189,3)=$Z$2,VLOOKUP($C1189,Outbound!$B:$AAZ,6,FALSE),VLOOKUP($B1189,Outbound!$B:$AAZ,6,FALSE)),"NON TROVATO"),"")</f>
        <v/>
      </c>
      <c r="I1189" s="394" t="str">
        <f>IF(B1189&lt;&gt;"",IFERROR(IF(LEFT($B1189,3)=$Z$2,VLOOKUP($C1189,Outbound!$B:$AAZ,52,FALSE),VLOOKUP($B1189,Outbound!$B:$AAZ,52,FALSE)),"NON TROVATO"),"")</f>
        <v/>
      </c>
      <c r="J1189" s="396"/>
      <c r="K1189" s="387" t="str">
        <f>IF(B1189&lt;&gt;"",IF($D1189&lt;&gt;"ON ROCS/NOT ON FILE",IFERROR(_xlfn.XLOOKUP(LEFT($D1189,3),'STAT 77 Table'!$B:$B,'STAT 77 Table'!$A:$A),"ZZ"&amp;RIGHT($B1189,4)),""),"")</f>
        <v/>
      </c>
      <c r="L1189" s="396"/>
      <c r="O1189" s="388"/>
      <c r="P1189" s="388"/>
      <c r="AA1189" s="421">
        <f t="shared" si="18"/>
        <v>0</v>
      </c>
    </row>
    <row r="1190" spans="1:27" ht="16.5">
      <c r="A1190" s="387">
        <f>'STAT 77 Table'!$I$1189</f>
        <v>0</v>
      </c>
      <c r="B1190"/>
      <c r="C1190"/>
      <c r="D1190" s="387" t="str">
        <f>IF($B1190&lt;&gt;"",IFERROR(IF(LEFT($B1190,3)=$Z$2,VLOOKUP($C1190,Outbound!$B:$Z,4,FALSE),VLOOKUP($B1190,Outbound!$B:$Z,4,FALSE)),"ON ROCS/NOT ON FILE"),"")</f>
        <v/>
      </c>
      <c r="E1190" s="387" t="str">
        <f>IF($B1190&lt;&gt;"",IFERROR(IF(LEFT($B1190,4)=$Z$2,VLOOKUP($C1190,Outbound!$B:$Z,5,FALSE),VLOOKUP($B1190,Outbound!$B:$Z,5,FALSE)),"ON ROCS/NOT ON FILE"),"")</f>
        <v/>
      </c>
      <c r="F1190" s="387" t="str">
        <f>IF(B1190&lt;&gt;"",IFERROR(IF(LEFT($B1190,3)=$Z$2,VLOOKUP($C1190,Outbound!$B:$Z,11,FALSE),VLOOKUP($B1190,Outbound!$B:$Z,11,FALSE)),"NON TROVATO"),"")</f>
        <v/>
      </c>
      <c r="G1190" s="394" t="str">
        <f>IF(B1190&lt;&gt;"",IFERROR(IF(LEFT($B1190,3)=$Z$2,VLOOKUP($C1190,Outbound!$B:$AAZ,16,FALSE),VLOOKUP($B1190,Outbound!$B:$AAZ,16,FALSE)),"NON TROVATO"),"")</f>
        <v/>
      </c>
      <c r="H1190" s="394" t="str">
        <f>IF(B1190&lt;&gt;"",IFERROR(IF(LEFT($B1190,3)=$Z$2,VLOOKUP($C1190,Outbound!$B:$AAZ,6,FALSE),VLOOKUP($B1190,Outbound!$B:$AAZ,6,FALSE)),"NON TROVATO"),"")</f>
        <v/>
      </c>
      <c r="I1190" s="394" t="str">
        <f>IF(B1190&lt;&gt;"",IFERROR(IF(LEFT($B1190,3)=$Z$2,VLOOKUP($C1190,Outbound!$B:$AAZ,52,FALSE),VLOOKUP($B1190,Outbound!$B:$AAZ,52,FALSE)),"NON TROVATO"),"")</f>
        <v/>
      </c>
      <c r="J1190" s="396"/>
      <c r="K1190" s="387" t="str">
        <f>IF(B1190&lt;&gt;"",IF($D1190&lt;&gt;"ON ROCS/NOT ON FILE",IFERROR(_xlfn.XLOOKUP(LEFT($D1190,3),'STAT 77 Table'!$B:$B,'STAT 77 Table'!$A:$A),"ZZ"&amp;RIGHT($B1190,4)),""),"")</f>
        <v/>
      </c>
      <c r="L1190" s="396"/>
      <c r="O1190" s="388"/>
      <c r="P1190" s="388"/>
      <c r="AA1190" s="421">
        <f t="shared" si="18"/>
        <v>0</v>
      </c>
    </row>
    <row r="1191" spans="1:27" ht="16.5">
      <c r="A1191" s="387">
        <f>'STAT 77 Table'!$I$1190</f>
        <v>0</v>
      </c>
      <c r="B1191"/>
      <c r="C1191"/>
      <c r="D1191" s="387" t="str">
        <f>IF($B1191&lt;&gt;"",IFERROR(IF(LEFT($B1191,3)=$Z$2,VLOOKUP($C1191,Outbound!$B:$Z,4,FALSE),VLOOKUP($B1191,Outbound!$B:$Z,4,FALSE)),"ON ROCS/NOT ON FILE"),"")</f>
        <v/>
      </c>
      <c r="E1191" s="387" t="str">
        <f>IF($B1191&lt;&gt;"",IFERROR(IF(LEFT($B1191,4)=$Z$2,VLOOKUP($C1191,Outbound!$B:$Z,5,FALSE),VLOOKUP($B1191,Outbound!$B:$Z,5,FALSE)),"ON ROCS/NOT ON FILE"),"")</f>
        <v/>
      </c>
      <c r="F1191" s="387" t="str">
        <f>IF(B1191&lt;&gt;"",IFERROR(IF(LEFT($B1191,3)=$Z$2,VLOOKUP($C1191,Outbound!$B:$Z,11,FALSE),VLOOKUP($B1191,Outbound!$B:$Z,11,FALSE)),"NON TROVATO"),"")</f>
        <v/>
      </c>
      <c r="G1191" s="394" t="str">
        <f>IF(B1191&lt;&gt;"",IFERROR(IF(LEFT($B1191,3)=$Z$2,VLOOKUP($C1191,Outbound!$B:$AAZ,16,FALSE),VLOOKUP($B1191,Outbound!$B:$AAZ,16,FALSE)),"NON TROVATO"),"")</f>
        <v/>
      </c>
      <c r="H1191" s="394" t="str">
        <f>IF(B1191&lt;&gt;"",IFERROR(IF(LEFT($B1191,3)=$Z$2,VLOOKUP($C1191,Outbound!$B:$AAZ,6,FALSE),VLOOKUP($B1191,Outbound!$B:$AAZ,6,FALSE)),"NON TROVATO"),"")</f>
        <v/>
      </c>
      <c r="I1191" s="394" t="str">
        <f>IF(B1191&lt;&gt;"",IFERROR(IF(LEFT($B1191,3)=$Z$2,VLOOKUP($C1191,Outbound!$B:$AAZ,52,FALSE),VLOOKUP($B1191,Outbound!$B:$AAZ,52,FALSE)),"NON TROVATO"),"")</f>
        <v/>
      </c>
      <c r="J1191" s="396"/>
      <c r="K1191" s="387" t="str">
        <f>IF(B1191&lt;&gt;"",IF($D1191&lt;&gt;"ON ROCS/NOT ON FILE",IFERROR(_xlfn.XLOOKUP(LEFT($D1191,3),'STAT 77 Table'!$B:$B,'STAT 77 Table'!$A:$A),"ZZ"&amp;RIGHT($B1191,4)),""),"")</f>
        <v/>
      </c>
      <c r="L1191" s="396"/>
      <c r="O1191" s="388"/>
      <c r="P1191" s="388"/>
      <c r="AA1191" s="421">
        <f t="shared" si="18"/>
        <v>0</v>
      </c>
    </row>
    <row r="1192" spans="1:27" ht="16.5">
      <c r="A1192" s="387">
        <f>'STAT 77 Table'!$I$1191</f>
        <v>0</v>
      </c>
      <c r="B1192"/>
      <c r="C1192"/>
      <c r="D1192" s="387" t="str">
        <f>IF($B1192&lt;&gt;"",IFERROR(IF(LEFT($B1192,3)=$Z$2,VLOOKUP($C1192,Outbound!$B:$Z,4,FALSE),VLOOKUP($B1192,Outbound!$B:$Z,4,FALSE)),"ON ROCS/NOT ON FILE"),"")</f>
        <v/>
      </c>
      <c r="E1192" s="387" t="str">
        <f>IF($B1192&lt;&gt;"",IFERROR(IF(LEFT($B1192,4)=$Z$2,VLOOKUP($C1192,Outbound!$B:$Z,5,FALSE),VLOOKUP($B1192,Outbound!$B:$Z,5,FALSE)),"ON ROCS/NOT ON FILE"),"")</f>
        <v/>
      </c>
      <c r="F1192" s="387" t="str">
        <f>IF(B1192&lt;&gt;"",IFERROR(IF(LEFT($B1192,3)=$Z$2,VLOOKUP($C1192,Outbound!$B:$Z,11,FALSE),VLOOKUP($B1192,Outbound!$B:$Z,11,FALSE)),"NON TROVATO"),"")</f>
        <v/>
      </c>
      <c r="G1192" s="394" t="str">
        <f>IF(B1192&lt;&gt;"",IFERROR(IF(LEFT($B1192,3)=$Z$2,VLOOKUP($C1192,Outbound!$B:$AAZ,16,FALSE),VLOOKUP($B1192,Outbound!$B:$AAZ,16,FALSE)),"NON TROVATO"),"")</f>
        <v/>
      </c>
      <c r="H1192" s="394" t="str">
        <f>IF(B1192&lt;&gt;"",IFERROR(IF(LEFT($B1192,3)=$Z$2,VLOOKUP($C1192,Outbound!$B:$AAZ,6,FALSE),VLOOKUP($B1192,Outbound!$B:$AAZ,6,FALSE)),"NON TROVATO"),"")</f>
        <v/>
      </c>
      <c r="I1192" s="394" t="str">
        <f>IF(B1192&lt;&gt;"",IFERROR(IF(LEFT($B1192,3)=$Z$2,VLOOKUP($C1192,Outbound!$B:$AAZ,52,FALSE),VLOOKUP($B1192,Outbound!$B:$AAZ,52,FALSE)),"NON TROVATO"),"")</f>
        <v/>
      </c>
      <c r="J1192" s="396"/>
      <c r="K1192" s="387" t="str">
        <f>IF(B1192&lt;&gt;"",IF($D1192&lt;&gt;"ON ROCS/NOT ON FILE",IFERROR(_xlfn.XLOOKUP(LEFT($D1192,3),'STAT 77 Table'!$B:$B,'STAT 77 Table'!$A:$A),"ZZ"&amp;RIGHT($B1192,4)),""),"")</f>
        <v/>
      </c>
      <c r="L1192" s="396"/>
      <c r="O1192" s="388"/>
      <c r="P1192" s="388"/>
      <c r="AA1192" s="421">
        <f t="shared" si="18"/>
        <v>0</v>
      </c>
    </row>
    <row r="1193" spans="1:27" ht="16.5">
      <c r="A1193" s="387">
        <f>'STAT 77 Table'!$I$1192</f>
        <v>0</v>
      </c>
      <c r="B1193"/>
      <c r="C1193"/>
      <c r="D1193" s="387" t="str">
        <f>IF($B1193&lt;&gt;"",IFERROR(IF(LEFT($B1193,3)=$Z$2,VLOOKUP($C1193,Outbound!$B:$Z,4,FALSE),VLOOKUP($B1193,Outbound!$B:$Z,4,FALSE)),"ON ROCS/NOT ON FILE"),"")</f>
        <v/>
      </c>
      <c r="E1193" s="387" t="str">
        <f>IF($B1193&lt;&gt;"",IFERROR(IF(LEFT($B1193,4)=$Z$2,VLOOKUP($C1193,Outbound!$B:$Z,5,FALSE),VLOOKUP($B1193,Outbound!$B:$Z,5,FALSE)),"ON ROCS/NOT ON FILE"),"")</f>
        <v/>
      </c>
      <c r="F1193" s="387" t="str">
        <f>IF(B1193&lt;&gt;"",IFERROR(IF(LEFT($B1193,3)=$Z$2,VLOOKUP($C1193,Outbound!$B:$Z,11,FALSE),VLOOKUP($B1193,Outbound!$B:$Z,11,FALSE)),"NON TROVATO"),"")</f>
        <v/>
      </c>
      <c r="G1193" s="394" t="str">
        <f>IF(B1193&lt;&gt;"",IFERROR(IF(LEFT($B1193,3)=$Z$2,VLOOKUP($C1193,Outbound!$B:$AAZ,16,FALSE),VLOOKUP($B1193,Outbound!$B:$AAZ,16,FALSE)),"NON TROVATO"),"")</f>
        <v/>
      </c>
      <c r="H1193" s="394" t="str">
        <f>IF(B1193&lt;&gt;"",IFERROR(IF(LEFT($B1193,3)=$Z$2,VLOOKUP($C1193,Outbound!$B:$AAZ,6,FALSE),VLOOKUP($B1193,Outbound!$B:$AAZ,6,FALSE)),"NON TROVATO"),"")</f>
        <v/>
      </c>
      <c r="I1193" s="394" t="str">
        <f>IF(B1193&lt;&gt;"",IFERROR(IF(LEFT($B1193,3)=$Z$2,VLOOKUP($C1193,Outbound!$B:$AAZ,52,FALSE),VLOOKUP($B1193,Outbound!$B:$AAZ,52,FALSE)),"NON TROVATO"),"")</f>
        <v/>
      </c>
      <c r="J1193" s="396"/>
      <c r="K1193" s="387" t="str">
        <f>IF(B1193&lt;&gt;"",IF($D1193&lt;&gt;"ON ROCS/NOT ON FILE",IFERROR(_xlfn.XLOOKUP(LEFT($D1193,3),'STAT 77 Table'!$B:$B,'STAT 77 Table'!$A:$A),"ZZ"&amp;RIGHT($B1193,4)),""),"")</f>
        <v/>
      </c>
      <c r="L1193" s="396"/>
      <c r="O1193" s="388"/>
      <c r="P1193" s="388"/>
      <c r="AA1193" s="421">
        <f t="shared" si="18"/>
        <v>0</v>
      </c>
    </row>
    <row r="1194" spans="1:27" ht="16.5">
      <c r="A1194" s="387">
        <f>'STAT 77 Table'!$I$1193</f>
        <v>0</v>
      </c>
      <c r="B1194"/>
      <c r="C1194"/>
      <c r="D1194" s="387" t="str">
        <f>IF($B1194&lt;&gt;"",IFERROR(IF(LEFT($B1194,3)=$Z$2,VLOOKUP($C1194,Outbound!$B:$Z,4,FALSE),VLOOKUP($B1194,Outbound!$B:$Z,4,FALSE)),"ON ROCS/NOT ON FILE"),"")</f>
        <v/>
      </c>
      <c r="E1194" s="387" t="str">
        <f>IF($B1194&lt;&gt;"",IFERROR(IF(LEFT($B1194,4)=$Z$2,VLOOKUP($C1194,Outbound!$B:$Z,5,FALSE),VLOOKUP($B1194,Outbound!$B:$Z,5,FALSE)),"ON ROCS/NOT ON FILE"),"")</f>
        <v/>
      </c>
      <c r="F1194" s="387" t="str">
        <f>IF(B1194&lt;&gt;"",IFERROR(IF(LEFT($B1194,3)=$Z$2,VLOOKUP($C1194,Outbound!$B:$Z,11,FALSE),VLOOKUP($B1194,Outbound!$B:$Z,11,FALSE)),"NON TROVATO"),"")</f>
        <v/>
      </c>
      <c r="G1194" s="394" t="str">
        <f>IF(B1194&lt;&gt;"",IFERROR(IF(LEFT($B1194,3)=$Z$2,VLOOKUP($C1194,Outbound!$B:$AAZ,16,FALSE),VLOOKUP($B1194,Outbound!$B:$AAZ,16,FALSE)),"NON TROVATO"),"")</f>
        <v/>
      </c>
      <c r="H1194" s="394" t="str">
        <f>IF(B1194&lt;&gt;"",IFERROR(IF(LEFT($B1194,3)=$Z$2,VLOOKUP($C1194,Outbound!$B:$AAZ,6,FALSE),VLOOKUP($B1194,Outbound!$B:$AAZ,6,FALSE)),"NON TROVATO"),"")</f>
        <v/>
      </c>
      <c r="I1194" s="394" t="str">
        <f>IF(B1194&lt;&gt;"",IFERROR(IF(LEFT($B1194,3)=$Z$2,VLOOKUP($C1194,Outbound!$B:$AAZ,52,FALSE),VLOOKUP($B1194,Outbound!$B:$AAZ,52,FALSE)),"NON TROVATO"),"")</f>
        <v/>
      </c>
      <c r="J1194" s="396"/>
      <c r="K1194" s="387" t="str">
        <f>IF(B1194&lt;&gt;"",IF($D1194&lt;&gt;"ON ROCS/NOT ON FILE",IFERROR(_xlfn.XLOOKUP(LEFT($D1194,3),'STAT 77 Table'!$B:$B,'STAT 77 Table'!$A:$A),"ZZ"&amp;RIGHT($B1194,4)),""),"")</f>
        <v/>
      </c>
      <c r="L1194" s="396"/>
      <c r="O1194" s="388"/>
      <c r="P1194" s="388"/>
      <c r="AA1194" s="421">
        <f t="shared" si="18"/>
        <v>0</v>
      </c>
    </row>
    <row r="1195" spans="1:27" ht="16.5">
      <c r="A1195" s="387">
        <f>'STAT 77 Table'!$I$1194</f>
        <v>0</v>
      </c>
      <c r="B1195"/>
      <c r="C1195"/>
      <c r="D1195" s="387" t="str">
        <f>IF($B1195&lt;&gt;"",IFERROR(IF(LEFT($B1195,3)=$Z$2,VLOOKUP($C1195,Outbound!$B:$Z,4,FALSE),VLOOKUP($B1195,Outbound!$B:$Z,4,FALSE)),"ON ROCS/NOT ON FILE"),"")</f>
        <v/>
      </c>
      <c r="E1195" s="387" t="str">
        <f>IF($B1195&lt;&gt;"",IFERROR(IF(LEFT($B1195,4)=$Z$2,VLOOKUP($C1195,Outbound!$B:$Z,5,FALSE),VLOOKUP($B1195,Outbound!$B:$Z,5,FALSE)),"ON ROCS/NOT ON FILE"),"")</f>
        <v/>
      </c>
      <c r="F1195" s="387" t="str">
        <f>IF(B1195&lt;&gt;"",IFERROR(IF(LEFT($B1195,3)=$Z$2,VLOOKUP($C1195,Outbound!$B:$Z,11,FALSE),VLOOKUP($B1195,Outbound!$B:$Z,11,FALSE)),"NON TROVATO"),"")</f>
        <v/>
      </c>
      <c r="G1195" s="394" t="str">
        <f>IF(B1195&lt;&gt;"",IFERROR(IF(LEFT($B1195,3)=$Z$2,VLOOKUP($C1195,Outbound!$B:$AAZ,16,FALSE),VLOOKUP($B1195,Outbound!$B:$AAZ,16,FALSE)),"NON TROVATO"),"")</f>
        <v/>
      </c>
      <c r="H1195" s="394" t="str">
        <f>IF(B1195&lt;&gt;"",IFERROR(IF(LEFT($B1195,3)=$Z$2,VLOOKUP($C1195,Outbound!$B:$AAZ,6,FALSE),VLOOKUP($B1195,Outbound!$B:$AAZ,6,FALSE)),"NON TROVATO"),"")</f>
        <v/>
      </c>
      <c r="I1195" s="394" t="str">
        <f>IF(B1195&lt;&gt;"",IFERROR(IF(LEFT($B1195,3)=$Z$2,VLOOKUP($C1195,Outbound!$B:$AAZ,52,FALSE),VLOOKUP($B1195,Outbound!$B:$AAZ,52,FALSE)),"NON TROVATO"),"")</f>
        <v/>
      </c>
      <c r="J1195" s="396"/>
      <c r="K1195" s="387" t="str">
        <f>IF(B1195&lt;&gt;"",IF($D1195&lt;&gt;"ON ROCS/NOT ON FILE",IFERROR(_xlfn.XLOOKUP(LEFT($D1195,3),'STAT 77 Table'!$B:$B,'STAT 77 Table'!$A:$A),"ZZ"&amp;RIGHT($B1195,4)),""),"")</f>
        <v/>
      </c>
      <c r="L1195" s="396"/>
      <c r="O1195" s="388"/>
      <c r="P1195" s="388"/>
      <c r="AA1195" s="421">
        <f t="shared" si="18"/>
        <v>0</v>
      </c>
    </row>
    <row r="1196" spans="1:27" ht="16.5">
      <c r="A1196" s="387">
        <f>'STAT 77 Table'!$I$1195</f>
        <v>0</v>
      </c>
      <c r="B1196"/>
      <c r="C1196"/>
      <c r="D1196" s="387" t="str">
        <f>IF($B1196&lt;&gt;"",IFERROR(IF(LEFT($B1196,3)=$Z$2,VLOOKUP($C1196,Outbound!$B:$Z,4,FALSE),VLOOKUP($B1196,Outbound!$B:$Z,4,FALSE)),"ON ROCS/NOT ON FILE"),"")</f>
        <v/>
      </c>
      <c r="E1196" s="387" t="str">
        <f>IF($B1196&lt;&gt;"",IFERROR(IF(LEFT($B1196,4)=$Z$2,VLOOKUP($C1196,Outbound!$B:$Z,5,FALSE),VLOOKUP($B1196,Outbound!$B:$Z,5,FALSE)),"ON ROCS/NOT ON FILE"),"")</f>
        <v/>
      </c>
      <c r="F1196" s="387" t="str">
        <f>IF(B1196&lt;&gt;"",IFERROR(IF(LEFT($B1196,3)=$Z$2,VLOOKUP($C1196,Outbound!$B:$Z,11,FALSE),VLOOKUP($B1196,Outbound!$B:$Z,11,FALSE)),"NON TROVATO"),"")</f>
        <v/>
      </c>
      <c r="G1196" s="394" t="str">
        <f>IF(B1196&lt;&gt;"",IFERROR(IF(LEFT($B1196,3)=$Z$2,VLOOKUP($C1196,Outbound!$B:$AAZ,16,FALSE),VLOOKUP($B1196,Outbound!$B:$AAZ,16,FALSE)),"NON TROVATO"),"")</f>
        <v/>
      </c>
      <c r="H1196" s="394" t="str">
        <f>IF(B1196&lt;&gt;"",IFERROR(IF(LEFT($B1196,3)=$Z$2,VLOOKUP($C1196,Outbound!$B:$AAZ,6,FALSE),VLOOKUP($B1196,Outbound!$B:$AAZ,6,FALSE)),"NON TROVATO"),"")</f>
        <v/>
      </c>
      <c r="I1196" s="394" t="str">
        <f>IF(B1196&lt;&gt;"",IFERROR(IF(LEFT($B1196,3)=$Z$2,VLOOKUP($C1196,Outbound!$B:$AAZ,52,FALSE),VLOOKUP($B1196,Outbound!$B:$AAZ,52,FALSE)),"NON TROVATO"),"")</f>
        <v/>
      </c>
      <c r="J1196" s="396"/>
      <c r="K1196" s="387" t="str">
        <f>IF(B1196&lt;&gt;"",IF($D1196&lt;&gt;"ON ROCS/NOT ON FILE",IFERROR(_xlfn.XLOOKUP(LEFT($D1196,3),'STAT 77 Table'!$B:$B,'STAT 77 Table'!$A:$A),"ZZ"&amp;RIGHT($B1196,4)),""),"")</f>
        <v/>
      </c>
      <c r="L1196" s="396"/>
      <c r="O1196" s="388"/>
      <c r="P1196" s="388"/>
      <c r="AA1196" s="421">
        <f t="shared" si="18"/>
        <v>0</v>
      </c>
    </row>
    <row r="1197" spans="1:27" ht="16.5">
      <c r="A1197" s="387">
        <f>'STAT 77 Table'!$I$1196</f>
        <v>0</v>
      </c>
      <c r="B1197"/>
      <c r="C1197"/>
      <c r="D1197" s="387" t="str">
        <f>IF($B1197&lt;&gt;"",IFERROR(IF(LEFT($B1197,3)=$Z$2,VLOOKUP($C1197,Outbound!$B:$Z,4,FALSE),VLOOKUP($B1197,Outbound!$B:$Z,4,FALSE)),"ON ROCS/NOT ON FILE"),"")</f>
        <v/>
      </c>
      <c r="E1197" s="387" t="str">
        <f>IF($B1197&lt;&gt;"",IFERROR(IF(LEFT($B1197,4)=$Z$2,VLOOKUP($C1197,Outbound!$B:$Z,5,FALSE),VLOOKUP($B1197,Outbound!$B:$Z,5,FALSE)),"ON ROCS/NOT ON FILE"),"")</f>
        <v/>
      </c>
      <c r="F1197" s="387" t="str">
        <f>IF(B1197&lt;&gt;"",IFERROR(IF(LEFT($B1197,3)=$Z$2,VLOOKUP($C1197,Outbound!$B:$Z,11,FALSE),VLOOKUP($B1197,Outbound!$B:$Z,11,FALSE)),"NON TROVATO"),"")</f>
        <v/>
      </c>
      <c r="G1197" s="394" t="str">
        <f>IF(B1197&lt;&gt;"",IFERROR(IF(LEFT($B1197,3)=$Z$2,VLOOKUP($C1197,Outbound!$B:$AAZ,16,FALSE),VLOOKUP($B1197,Outbound!$B:$AAZ,16,FALSE)),"NON TROVATO"),"")</f>
        <v/>
      </c>
      <c r="H1197" s="394" t="str">
        <f>IF(B1197&lt;&gt;"",IFERROR(IF(LEFT($B1197,3)=$Z$2,VLOOKUP($C1197,Outbound!$B:$AAZ,6,FALSE),VLOOKUP($B1197,Outbound!$B:$AAZ,6,FALSE)),"NON TROVATO"),"")</f>
        <v/>
      </c>
      <c r="I1197" s="394" t="str">
        <f>IF(B1197&lt;&gt;"",IFERROR(IF(LEFT($B1197,3)=$Z$2,VLOOKUP($C1197,Outbound!$B:$AAZ,52,FALSE),VLOOKUP($B1197,Outbound!$B:$AAZ,52,FALSE)),"NON TROVATO"),"")</f>
        <v/>
      </c>
      <c r="J1197" s="396"/>
      <c r="K1197" s="387" t="str">
        <f>IF(B1197&lt;&gt;"",IF($D1197&lt;&gt;"ON ROCS/NOT ON FILE",IFERROR(_xlfn.XLOOKUP(LEFT($D1197,3),'STAT 77 Table'!$B:$B,'STAT 77 Table'!$A:$A),"ZZ"&amp;RIGHT($B1197,4)),""),"")</f>
        <v/>
      </c>
      <c r="L1197" s="396"/>
      <c r="O1197" s="388"/>
      <c r="P1197" s="388"/>
      <c r="AA1197" s="421">
        <f t="shared" si="18"/>
        <v>0</v>
      </c>
    </row>
    <row r="1198" spans="1:27" ht="16.5">
      <c r="A1198" s="387">
        <f>'STAT 77 Table'!$I$1197</f>
        <v>0</v>
      </c>
      <c r="B1198"/>
      <c r="C1198"/>
      <c r="D1198" s="387" t="str">
        <f>IF($B1198&lt;&gt;"",IFERROR(IF(LEFT($B1198,3)=$Z$2,VLOOKUP($C1198,Outbound!$B:$Z,4,FALSE),VLOOKUP($B1198,Outbound!$B:$Z,4,FALSE)),"ON ROCS/NOT ON FILE"),"")</f>
        <v/>
      </c>
      <c r="E1198" s="387" t="str">
        <f>IF($B1198&lt;&gt;"",IFERROR(IF(LEFT($B1198,4)=$Z$2,VLOOKUP($C1198,Outbound!$B:$Z,5,FALSE),VLOOKUP($B1198,Outbound!$B:$Z,5,FALSE)),"ON ROCS/NOT ON FILE"),"")</f>
        <v/>
      </c>
      <c r="F1198" s="387" t="str">
        <f>IF(B1198&lt;&gt;"",IFERROR(IF(LEFT($B1198,3)=$Z$2,VLOOKUP($C1198,Outbound!$B:$Z,11,FALSE),VLOOKUP($B1198,Outbound!$B:$Z,11,FALSE)),"NON TROVATO"),"")</f>
        <v/>
      </c>
      <c r="G1198" s="394" t="str">
        <f>IF(B1198&lt;&gt;"",IFERROR(IF(LEFT($B1198,3)=$Z$2,VLOOKUP($C1198,Outbound!$B:$AAZ,16,FALSE),VLOOKUP($B1198,Outbound!$B:$AAZ,16,FALSE)),"NON TROVATO"),"")</f>
        <v/>
      </c>
      <c r="H1198" s="394" t="str">
        <f>IF(B1198&lt;&gt;"",IFERROR(IF(LEFT($B1198,3)=$Z$2,VLOOKUP($C1198,Outbound!$B:$AAZ,6,FALSE),VLOOKUP($B1198,Outbound!$B:$AAZ,6,FALSE)),"NON TROVATO"),"")</f>
        <v/>
      </c>
      <c r="I1198" s="394" t="str">
        <f>IF(B1198&lt;&gt;"",IFERROR(IF(LEFT($B1198,3)=$Z$2,VLOOKUP($C1198,Outbound!$B:$AAZ,52,FALSE),VLOOKUP($B1198,Outbound!$B:$AAZ,52,FALSE)),"NON TROVATO"),"")</f>
        <v/>
      </c>
      <c r="J1198" s="396"/>
      <c r="K1198" s="387" t="str">
        <f>IF(B1198&lt;&gt;"",IF($D1198&lt;&gt;"ON ROCS/NOT ON FILE",IFERROR(_xlfn.XLOOKUP(LEFT($D1198,3),'STAT 77 Table'!$B:$B,'STAT 77 Table'!$A:$A),"ZZ"&amp;RIGHT($B1198,4)),""),"")</f>
        <v/>
      </c>
      <c r="L1198" s="396"/>
      <c r="O1198" s="388"/>
      <c r="P1198" s="388"/>
      <c r="AA1198" s="421">
        <f t="shared" si="18"/>
        <v>0</v>
      </c>
    </row>
    <row r="1199" spans="1:27" ht="16.5">
      <c r="A1199" s="387">
        <f>'STAT 77 Table'!$I$1198</f>
        <v>0</v>
      </c>
      <c r="B1199"/>
      <c r="C1199"/>
      <c r="D1199" s="387" t="str">
        <f>IF($B1199&lt;&gt;"",IFERROR(IF(LEFT($B1199,3)=$Z$2,VLOOKUP($C1199,Outbound!$B:$Z,4,FALSE),VLOOKUP($B1199,Outbound!$B:$Z,4,FALSE)),"ON ROCS/NOT ON FILE"),"")</f>
        <v/>
      </c>
      <c r="E1199" s="387" t="str">
        <f>IF($B1199&lt;&gt;"",IFERROR(IF(LEFT($B1199,4)=$Z$2,VLOOKUP($C1199,Outbound!$B:$Z,5,FALSE),VLOOKUP($B1199,Outbound!$B:$Z,5,FALSE)),"ON ROCS/NOT ON FILE"),"")</f>
        <v/>
      </c>
      <c r="F1199" s="387" t="str">
        <f>IF(B1199&lt;&gt;"",IFERROR(IF(LEFT($B1199,3)=$Z$2,VLOOKUP($C1199,Outbound!$B:$Z,11,FALSE),VLOOKUP($B1199,Outbound!$B:$Z,11,FALSE)),"NON TROVATO"),"")</f>
        <v/>
      </c>
      <c r="G1199" s="394" t="str">
        <f>IF(B1199&lt;&gt;"",IFERROR(IF(LEFT($B1199,3)=$Z$2,VLOOKUP($C1199,Outbound!$B:$AAZ,16,FALSE),VLOOKUP($B1199,Outbound!$B:$AAZ,16,FALSE)),"NON TROVATO"),"")</f>
        <v/>
      </c>
      <c r="H1199" s="394" t="str">
        <f>IF(B1199&lt;&gt;"",IFERROR(IF(LEFT($B1199,3)=$Z$2,VLOOKUP($C1199,Outbound!$B:$AAZ,6,FALSE),VLOOKUP($B1199,Outbound!$B:$AAZ,6,FALSE)),"NON TROVATO"),"")</f>
        <v/>
      </c>
      <c r="I1199" s="394" t="str">
        <f>IF(B1199&lt;&gt;"",IFERROR(IF(LEFT($B1199,3)=$Z$2,VLOOKUP($C1199,Outbound!$B:$AAZ,52,FALSE),VLOOKUP($B1199,Outbound!$B:$AAZ,52,FALSE)),"NON TROVATO"),"")</f>
        <v/>
      </c>
      <c r="J1199" s="396"/>
      <c r="K1199" s="387" t="str">
        <f>IF(B1199&lt;&gt;"",IF($D1199&lt;&gt;"ON ROCS/NOT ON FILE",IFERROR(_xlfn.XLOOKUP(LEFT($D1199,3),'STAT 77 Table'!$B:$B,'STAT 77 Table'!$A:$A),"ZZ"&amp;RIGHT($B1199,4)),""),"")</f>
        <v/>
      </c>
      <c r="L1199" s="396"/>
      <c r="O1199" s="388"/>
      <c r="P1199" s="388"/>
      <c r="AA1199" s="421">
        <f t="shared" si="18"/>
        <v>0</v>
      </c>
    </row>
    <row r="1200" spans="1:27" ht="16.5">
      <c r="A1200" s="387">
        <f>'STAT 77 Table'!$I$1199</f>
        <v>0</v>
      </c>
      <c r="B1200"/>
      <c r="C1200"/>
      <c r="D1200" s="387" t="str">
        <f>IF($B1200&lt;&gt;"",IFERROR(IF(LEFT($B1200,3)=$Z$2,VLOOKUP($C1200,Outbound!$B:$Z,4,FALSE),VLOOKUP($B1200,Outbound!$B:$Z,4,FALSE)),"ON ROCS/NOT ON FILE"),"")</f>
        <v/>
      </c>
      <c r="E1200" s="387" t="str">
        <f>IF($B1200&lt;&gt;"",IFERROR(IF(LEFT($B1200,4)=$Z$2,VLOOKUP($C1200,Outbound!$B:$Z,5,FALSE),VLOOKUP($B1200,Outbound!$B:$Z,5,FALSE)),"ON ROCS/NOT ON FILE"),"")</f>
        <v/>
      </c>
      <c r="F1200" s="387" t="str">
        <f>IF(B1200&lt;&gt;"",IFERROR(IF(LEFT($B1200,3)=$Z$2,VLOOKUP($C1200,Outbound!$B:$Z,11,FALSE),VLOOKUP($B1200,Outbound!$B:$Z,11,FALSE)),"NON TROVATO"),"")</f>
        <v/>
      </c>
      <c r="G1200" s="394" t="str">
        <f>IF(B1200&lt;&gt;"",IFERROR(IF(LEFT($B1200,3)=$Z$2,VLOOKUP($C1200,Outbound!$B:$AAZ,16,FALSE),VLOOKUP($B1200,Outbound!$B:$AAZ,16,FALSE)),"NON TROVATO"),"")</f>
        <v/>
      </c>
      <c r="H1200" s="394" t="str">
        <f>IF(B1200&lt;&gt;"",IFERROR(IF(LEFT($B1200,3)=$Z$2,VLOOKUP($C1200,Outbound!$B:$AAZ,6,FALSE),VLOOKUP($B1200,Outbound!$B:$AAZ,6,FALSE)),"NON TROVATO"),"")</f>
        <v/>
      </c>
      <c r="I1200" s="394" t="str">
        <f>IF(B1200&lt;&gt;"",IFERROR(IF(LEFT($B1200,3)=$Z$2,VLOOKUP($C1200,Outbound!$B:$AAZ,52,FALSE),VLOOKUP($B1200,Outbound!$B:$AAZ,52,FALSE)),"NON TROVATO"),"")</f>
        <v/>
      </c>
      <c r="J1200" s="396"/>
      <c r="K1200" s="387" t="str">
        <f>IF(B1200&lt;&gt;"",IF($D1200&lt;&gt;"ON ROCS/NOT ON FILE",IFERROR(_xlfn.XLOOKUP(LEFT($D1200,3),'STAT 77 Table'!$B:$B,'STAT 77 Table'!$A:$A),"ZZ"&amp;RIGHT($B1200,4)),""),"")</f>
        <v/>
      </c>
      <c r="L1200" s="396"/>
      <c r="O1200" s="388"/>
      <c r="P1200" s="388"/>
      <c r="AA1200" s="421">
        <f t="shared" si="18"/>
        <v>0</v>
      </c>
    </row>
    <row r="1201" spans="1:27" ht="16.5">
      <c r="A1201" s="387">
        <f>'STAT 77 Table'!$I$1200</f>
        <v>0</v>
      </c>
      <c r="B1201"/>
      <c r="C1201"/>
      <c r="D1201" s="387" t="str">
        <f>IF($B1201&lt;&gt;"",IFERROR(IF(LEFT($B1201,3)=$Z$2,VLOOKUP($C1201,Outbound!$B:$Z,4,FALSE),VLOOKUP($B1201,Outbound!$B:$Z,4,FALSE)),"ON ROCS/NOT ON FILE"),"")</f>
        <v/>
      </c>
      <c r="E1201" s="387" t="str">
        <f>IF($B1201&lt;&gt;"",IFERROR(IF(LEFT($B1201,4)=$Z$2,VLOOKUP($C1201,Outbound!$B:$Z,5,FALSE),VLOOKUP($B1201,Outbound!$B:$Z,5,FALSE)),"ON ROCS/NOT ON FILE"),"")</f>
        <v/>
      </c>
      <c r="F1201" s="387" t="str">
        <f>IF(B1201&lt;&gt;"",IFERROR(IF(LEFT($B1201,3)=$Z$2,VLOOKUP($C1201,Outbound!$B:$Z,11,FALSE),VLOOKUP($B1201,Outbound!$B:$Z,11,FALSE)),"NON TROVATO"),"")</f>
        <v/>
      </c>
      <c r="G1201" s="394" t="str">
        <f>IF(B1201&lt;&gt;"",IFERROR(IF(LEFT($B1201,3)=$Z$2,VLOOKUP($C1201,Outbound!$B:$AAZ,16,FALSE),VLOOKUP($B1201,Outbound!$B:$AAZ,16,FALSE)),"NON TROVATO"),"")</f>
        <v/>
      </c>
      <c r="H1201" s="394" t="str">
        <f>IF(B1201&lt;&gt;"",IFERROR(IF(LEFT($B1201,3)=$Z$2,VLOOKUP($C1201,Outbound!$B:$AAZ,6,FALSE),VLOOKUP($B1201,Outbound!$B:$AAZ,6,FALSE)),"NON TROVATO"),"")</f>
        <v/>
      </c>
      <c r="I1201" s="394" t="str">
        <f>IF(B1201&lt;&gt;"",IFERROR(IF(LEFT($B1201,3)=$Z$2,VLOOKUP($C1201,Outbound!$B:$AAZ,52,FALSE),VLOOKUP($B1201,Outbound!$B:$AAZ,52,FALSE)),"NON TROVATO"),"")</f>
        <v/>
      </c>
      <c r="J1201" s="396"/>
      <c r="K1201" s="387" t="str">
        <f>IF(B1201&lt;&gt;"",IF($D1201&lt;&gt;"ON ROCS/NOT ON FILE",IFERROR(_xlfn.XLOOKUP(LEFT($D1201,3),'STAT 77 Table'!$B:$B,'STAT 77 Table'!$A:$A),"ZZ"&amp;RIGHT($B1201,4)),""),"")</f>
        <v/>
      </c>
      <c r="L1201" s="396"/>
      <c r="O1201" s="388"/>
      <c r="P1201" s="388"/>
      <c r="AA1201" s="421">
        <f t="shared" si="18"/>
        <v>0</v>
      </c>
    </row>
    <row r="1202" spans="1:27" ht="16.5">
      <c r="A1202" s="387">
        <f>'STAT 77 Table'!$I$1201</f>
        <v>0</v>
      </c>
      <c r="B1202"/>
      <c r="C1202"/>
      <c r="D1202" s="387" t="str">
        <f>IF($B1202&lt;&gt;"",IFERROR(IF(LEFT($B1202,3)=$Z$2,VLOOKUP($C1202,Outbound!$B:$Z,4,FALSE),VLOOKUP($B1202,Outbound!$B:$Z,4,FALSE)),"ON ROCS/NOT ON FILE"),"")</f>
        <v/>
      </c>
      <c r="E1202" s="387" t="str">
        <f>IF($B1202&lt;&gt;"",IFERROR(IF(LEFT($B1202,4)=$Z$2,VLOOKUP($C1202,Outbound!$B:$Z,5,FALSE),VLOOKUP($B1202,Outbound!$B:$Z,5,FALSE)),"ON ROCS/NOT ON FILE"),"")</f>
        <v/>
      </c>
      <c r="F1202" s="387" t="str">
        <f>IF(B1202&lt;&gt;"",IFERROR(IF(LEFT($B1202,3)=$Z$2,VLOOKUP($C1202,Outbound!$B:$Z,11,FALSE),VLOOKUP($B1202,Outbound!$B:$Z,11,FALSE)),"NON TROVATO"),"")</f>
        <v/>
      </c>
      <c r="G1202" s="394" t="str">
        <f>IF(B1202&lt;&gt;"",IFERROR(IF(LEFT($B1202,3)=$Z$2,VLOOKUP($C1202,Outbound!$B:$AAZ,16,FALSE),VLOOKUP($B1202,Outbound!$B:$AAZ,16,FALSE)),"NON TROVATO"),"")</f>
        <v/>
      </c>
      <c r="H1202" s="394" t="str">
        <f>IF(B1202&lt;&gt;"",IFERROR(IF(LEFT($B1202,3)=$Z$2,VLOOKUP($C1202,Outbound!$B:$AAZ,6,FALSE),VLOOKUP($B1202,Outbound!$B:$AAZ,6,FALSE)),"NON TROVATO"),"")</f>
        <v/>
      </c>
      <c r="I1202" s="394" t="str">
        <f>IF(B1202&lt;&gt;"",IFERROR(IF(LEFT($B1202,3)=$Z$2,VLOOKUP($C1202,Outbound!$B:$AAZ,52,FALSE),VLOOKUP($B1202,Outbound!$B:$AAZ,52,FALSE)),"NON TROVATO"),"")</f>
        <v/>
      </c>
      <c r="J1202" s="396"/>
      <c r="K1202" s="387" t="str">
        <f>IF(B1202&lt;&gt;"",IF($D1202&lt;&gt;"ON ROCS/NOT ON FILE",IFERROR(_xlfn.XLOOKUP(LEFT($D1202,3),'STAT 77 Table'!$B:$B,'STAT 77 Table'!$A:$A),"ZZ"&amp;RIGHT($B1202,4)),""),"")</f>
        <v/>
      </c>
      <c r="L1202" s="396"/>
      <c r="O1202" s="388"/>
      <c r="P1202" s="388"/>
      <c r="AA1202" s="421">
        <f t="shared" si="18"/>
        <v>0</v>
      </c>
    </row>
    <row r="1203" spans="1:27" ht="16.5">
      <c r="A1203" s="387">
        <f>'STAT 77 Table'!$I$1202</f>
        <v>0</v>
      </c>
      <c r="B1203"/>
      <c r="C1203"/>
      <c r="D1203" s="387" t="str">
        <f>IF($B1203&lt;&gt;"",IFERROR(IF(LEFT($B1203,3)=$Z$2,VLOOKUP($C1203,Outbound!$B:$Z,4,FALSE),VLOOKUP($B1203,Outbound!$B:$Z,4,FALSE)),"ON ROCS/NOT ON FILE"),"")</f>
        <v/>
      </c>
      <c r="E1203" s="387" t="str">
        <f>IF($B1203&lt;&gt;"",IFERROR(IF(LEFT($B1203,4)=$Z$2,VLOOKUP($C1203,Outbound!$B:$Z,5,FALSE),VLOOKUP($B1203,Outbound!$B:$Z,5,FALSE)),"ON ROCS/NOT ON FILE"),"")</f>
        <v/>
      </c>
      <c r="F1203" s="387" t="str">
        <f>IF(B1203&lt;&gt;"",IFERROR(IF(LEFT($B1203,3)=$Z$2,VLOOKUP($C1203,Outbound!$B:$Z,11,FALSE),VLOOKUP($B1203,Outbound!$B:$Z,11,FALSE)),"NON TROVATO"),"")</f>
        <v/>
      </c>
      <c r="G1203" s="394" t="str">
        <f>IF(B1203&lt;&gt;"",IFERROR(IF(LEFT($B1203,3)=$Z$2,VLOOKUP($C1203,Outbound!$B:$AAZ,16,FALSE),VLOOKUP($B1203,Outbound!$B:$AAZ,16,FALSE)),"NON TROVATO"),"")</f>
        <v/>
      </c>
      <c r="H1203" s="394" t="str">
        <f>IF(B1203&lt;&gt;"",IFERROR(IF(LEFT($B1203,3)=$Z$2,VLOOKUP($C1203,Outbound!$B:$AAZ,6,FALSE),VLOOKUP($B1203,Outbound!$B:$AAZ,6,FALSE)),"NON TROVATO"),"")</f>
        <v/>
      </c>
      <c r="I1203" s="394" t="str">
        <f>IF(B1203&lt;&gt;"",IFERROR(IF(LEFT($B1203,3)=$Z$2,VLOOKUP($C1203,Outbound!$B:$AAZ,52,FALSE),VLOOKUP($B1203,Outbound!$B:$AAZ,52,FALSE)),"NON TROVATO"),"")</f>
        <v/>
      </c>
      <c r="J1203" s="397"/>
      <c r="K1203" s="387" t="str">
        <f>IF(B1203&lt;&gt;"",IF($D1203&lt;&gt;"ON ROCS/NOT ON FILE",IFERROR(_xlfn.XLOOKUP(LEFT($D1203,3),'STAT 77 Table'!$B:$B,'STAT 77 Table'!$A:$A),"ZZ"&amp;RIGHT($B1203,4)),""),"")</f>
        <v/>
      </c>
      <c r="L1203" s="397"/>
      <c r="O1203" s="388"/>
      <c r="P1203" s="388"/>
      <c r="AA1203" s="421">
        <f t="shared" si="18"/>
        <v>0</v>
      </c>
    </row>
  </sheetData>
  <protectedRanges>
    <protectedRange sqref="G198" name="Range6"/>
    <protectedRange sqref="G198" name="Range1"/>
    <protectedRange sqref="B260" name="Range6_2"/>
    <protectedRange sqref="B260" name="Range1_2"/>
    <protectedRange sqref="G260" name="Range6_3"/>
    <protectedRange sqref="G260" name="Range1_3"/>
    <protectedRange sqref="H260" name="Range6_4"/>
    <protectedRange sqref="H260" name="Range1_4"/>
  </protectedRanges>
  <mergeCells count="1">
    <mergeCell ref="R2:U2"/>
  </mergeCells>
  <conditionalFormatting sqref="G2 G4:K7 G3:J3 I2:L2 L2:L1203 G9:K14 G8:I8 K8 G199:K201 G198:I198 K198 G210:K210 G211:I211 K211 G205:K207 G208:I209 K208:K209 G202:I204 K202:K204 G21:K21 G20:I20 K20 G17:K19 G15:I16 K15:K16 G26:K28 G22:I25 K22:K25 G30:K46 G29:I29 K29 G48:K59 G47:I47 K47 G61:K197 G60:I60 K60 G212:K1203">
    <cfRule type="containsText" dxfId="48" priority="13" operator="containsText" text="NON TROVATO">
      <formula>NOT(ISERROR(SEARCH("NON TROVATO",G2)))</formula>
    </cfRule>
  </conditionalFormatting>
  <conditionalFormatting sqref="F3:F1203">
    <cfRule type="containsText" dxfId="47" priority="12" operator="containsText" text="NON TROVATO">
      <formula>NOT(ISERROR(SEARCH("NON TROVATO",F3)))</formula>
    </cfRule>
  </conditionalFormatting>
  <conditionalFormatting sqref="D3:E1203">
    <cfRule type="containsText" dxfId="46" priority="11" operator="containsText" text="NON TROVATO">
      <formula>NOT(ISERROR(SEARCH("NON TROVATO",D3)))</formula>
    </cfRule>
  </conditionalFormatting>
  <conditionalFormatting sqref="K3:K1203">
    <cfRule type="containsText" dxfId="45" priority="9" operator="containsText" text="NON TROVATO">
      <formula>NOT(ISERROR(SEARCH("NON TROVATO",K3)))</formula>
    </cfRule>
  </conditionalFormatting>
  <conditionalFormatting sqref="H2">
    <cfRule type="containsText" dxfId="44" priority="8" operator="containsText" text="NON TROVATO">
      <formula>NOT(ISERROR(SEARCH("NON TROVATO",H2)))</formula>
    </cfRule>
  </conditionalFormatting>
  <conditionalFormatting sqref="K1:K1048576">
    <cfRule type="containsText" dxfId="43" priority="7" operator="containsText" text="cancellata">
      <formula>NOT(ISERROR(SEARCH("cancellata",K1)))</formula>
    </cfRule>
  </conditionalFormatting>
  <conditionalFormatting sqref="I3:I1203">
    <cfRule type="notContainsBlanks" dxfId="42" priority="15">
      <formula>LEN(TRIM(I3))&gt;0</formula>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8A08D-16E6-4BC5-9203-618899BFD317}">
  <dimension ref="A1"/>
  <sheetViews>
    <sheetView workbookViewId="0"/>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0B0CD-07EF-40A4-9DF2-99D00904C056}">
  <dimension ref="A1"/>
  <sheetViews>
    <sheetView workbookViewId="0"/>
  </sheetViews>
  <sheetFormatPr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65BD8-4F28-4D7C-95A2-581E7AF376D0}">
  <dimension ref="A1:I1072"/>
  <sheetViews>
    <sheetView topLeftCell="A12" workbookViewId="0">
      <selection activeCell="C41" sqref="A41:C41"/>
    </sheetView>
  </sheetViews>
  <sheetFormatPr defaultRowHeight="15"/>
  <cols>
    <col min="1" max="1" width="12.28515625" style="382" customWidth="1"/>
    <col min="2" max="2" width="16.28515625" style="382" customWidth="1"/>
    <col min="3" max="3" width="14.85546875" style="382" customWidth="1"/>
    <col min="4" max="4" width="12.85546875" style="382" customWidth="1"/>
    <col min="9" max="9" width="22.85546875" bestFit="1" customWidth="1"/>
  </cols>
  <sheetData>
    <row r="1" spans="1:9" ht="27">
      <c r="A1" s="379" t="s">
        <v>1803</v>
      </c>
      <c r="B1" s="379" t="s">
        <v>1804</v>
      </c>
      <c r="C1" s="379" t="s">
        <v>1805</v>
      </c>
      <c r="D1" s="379" t="s">
        <v>1806</v>
      </c>
      <c r="I1" t="s">
        <v>1807</v>
      </c>
    </row>
    <row r="2" spans="1:9">
      <c r="A2" s="380" t="s">
        <v>1808</v>
      </c>
      <c r="B2" s="381" t="s">
        <v>65</v>
      </c>
      <c r="C2" s="381" t="s">
        <v>65</v>
      </c>
      <c r="D2" s="381"/>
      <c r="I2" s="393" t="str">
        <f>Outbound!$B2</f>
        <v>ITD12165</v>
      </c>
    </row>
    <row r="3" spans="1:9">
      <c r="A3" s="380" t="s">
        <v>1809</v>
      </c>
      <c r="B3" s="381" t="s">
        <v>81</v>
      </c>
      <c r="C3" s="381" t="s">
        <v>1810</v>
      </c>
      <c r="D3" s="381"/>
      <c r="I3" s="393" t="str">
        <f>Outbound!$B3</f>
        <v>ITD12409</v>
      </c>
    </row>
    <row r="4" spans="1:9">
      <c r="A4" s="380" t="s">
        <v>1811</v>
      </c>
      <c r="B4" s="381" t="s">
        <v>480</v>
      </c>
      <c r="C4" s="381" t="s">
        <v>1812</v>
      </c>
      <c r="D4" s="381"/>
      <c r="I4" s="393" t="str">
        <f>Outbound!$B4</f>
        <v>ITD11811</v>
      </c>
    </row>
    <row r="5" spans="1:9">
      <c r="A5" s="380" t="s">
        <v>1811</v>
      </c>
      <c r="B5" s="381" t="s">
        <v>691</v>
      </c>
      <c r="C5" s="381" t="s">
        <v>1813</v>
      </c>
      <c r="D5" s="381"/>
      <c r="I5" s="393" t="str">
        <f>Outbound!$B5</f>
        <v>ITD12256</v>
      </c>
    </row>
    <row r="6" spans="1:9">
      <c r="A6" s="380" t="s">
        <v>1811</v>
      </c>
      <c r="B6" s="381" t="s">
        <v>126</v>
      </c>
      <c r="C6" s="381" t="s">
        <v>1814</v>
      </c>
      <c r="D6" s="381"/>
      <c r="I6" s="393" t="str">
        <f>Outbound!$B6</f>
        <v>ITD12254</v>
      </c>
    </row>
    <row r="7" spans="1:9">
      <c r="A7" s="380" t="s">
        <v>1811</v>
      </c>
      <c r="B7" s="381" t="s">
        <v>568</v>
      </c>
      <c r="C7" s="381" t="s">
        <v>1815</v>
      </c>
      <c r="D7" s="381"/>
      <c r="I7" s="393" t="str">
        <f>Outbound!$B7</f>
        <v>ITD12250</v>
      </c>
    </row>
    <row r="8" spans="1:9">
      <c r="A8" s="380" t="s">
        <v>1811</v>
      </c>
      <c r="B8" s="381" t="s">
        <v>686</v>
      </c>
      <c r="C8" s="381" t="s">
        <v>686</v>
      </c>
      <c r="D8" s="381"/>
      <c r="I8" s="393" t="str">
        <f>Outbound!$B8</f>
        <v>ITD12243</v>
      </c>
    </row>
    <row r="9" spans="1:9">
      <c r="A9" s="380" t="s">
        <v>1816</v>
      </c>
      <c r="B9" s="381" t="s">
        <v>134</v>
      </c>
      <c r="C9" s="381" t="s">
        <v>1817</v>
      </c>
      <c r="D9" s="381"/>
      <c r="I9" s="393" t="str">
        <f>Outbound!$B9</f>
        <v>ITD12668</v>
      </c>
    </row>
    <row r="10" spans="1:9">
      <c r="A10" s="380" t="s">
        <v>1818</v>
      </c>
      <c r="B10" s="381" t="s">
        <v>49</v>
      </c>
      <c r="C10" s="381" t="s">
        <v>1819</v>
      </c>
      <c r="D10" s="381"/>
      <c r="I10" s="393" t="str">
        <f>Outbound!$B10</f>
        <v>ITD12746</v>
      </c>
    </row>
    <row r="11" spans="1:9">
      <c r="A11" s="380" t="s">
        <v>1820</v>
      </c>
      <c r="B11" s="381" t="s">
        <v>610</v>
      </c>
      <c r="C11" s="381" t="s">
        <v>610</v>
      </c>
      <c r="D11" s="381"/>
      <c r="I11" s="393" t="str">
        <f>Outbound!$B11</f>
        <v>ITD12358</v>
      </c>
    </row>
    <row r="12" spans="1:9">
      <c r="A12" s="380" t="s">
        <v>1821</v>
      </c>
      <c r="B12" s="381" t="s">
        <v>1574</v>
      </c>
      <c r="C12" s="381" t="s">
        <v>1822</v>
      </c>
      <c r="D12" s="381"/>
      <c r="I12" s="393" t="str">
        <f>Outbound!$B12</f>
        <v>ITD12317</v>
      </c>
    </row>
    <row r="13" spans="1:9">
      <c r="A13" s="380" t="s">
        <v>1823</v>
      </c>
      <c r="B13" s="381" t="s">
        <v>124</v>
      </c>
      <c r="C13" s="381" t="s">
        <v>1824</v>
      </c>
      <c r="D13" s="381"/>
      <c r="I13" s="393" t="str">
        <f>Outbound!$B13</f>
        <v>ITD12747</v>
      </c>
    </row>
    <row r="14" spans="1:9">
      <c r="A14" s="380" t="s">
        <v>1825</v>
      </c>
      <c r="B14" s="381" t="s">
        <v>150</v>
      </c>
      <c r="C14" s="381" t="s">
        <v>1826</v>
      </c>
      <c r="D14" s="381"/>
      <c r="I14" s="393" t="str">
        <f>Outbound!$B14</f>
        <v>ITD12753</v>
      </c>
    </row>
    <row r="15" spans="1:9">
      <c r="A15" s="380" t="s">
        <v>1827</v>
      </c>
      <c r="B15" s="381" t="s">
        <v>1438</v>
      </c>
      <c r="C15" s="381" t="s">
        <v>1828</v>
      </c>
      <c r="D15" s="381"/>
      <c r="I15" s="393" t="str">
        <f>Outbound!$B15</f>
        <v>ITD12284</v>
      </c>
    </row>
    <row r="16" spans="1:9">
      <c r="A16" s="380" t="s">
        <v>1829</v>
      </c>
      <c r="B16" s="381" t="s">
        <v>191</v>
      </c>
      <c r="C16" s="381" t="s">
        <v>1830</v>
      </c>
      <c r="D16" s="381"/>
      <c r="I16" s="393" t="str">
        <f>Outbound!$B16</f>
        <v>ITD12285</v>
      </c>
    </row>
    <row r="17" spans="1:9">
      <c r="A17" s="380" t="s">
        <v>1831</v>
      </c>
      <c r="B17" s="381" t="s">
        <v>197</v>
      </c>
      <c r="C17" s="381" t="s">
        <v>1832</v>
      </c>
      <c r="D17" s="381"/>
      <c r="I17" s="393" t="str">
        <f>Outbound!$B17</f>
        <v>ERN04125</v>
      </c>
    </row>
    <row r="18" spans="1:9">
      <c r="A18" s="380" t="s">
        <v>1833</v>
      </c>
      <c r="B18" s="381" t="s">
        <v>85</v>
      </c>
      <c r="C18" s="381" t="s">
        <v>1834</v>
      </c>
      <c r="D18" s="381"/>
      <c r="I18" s="393" t="str">
        <f>Outbound!$B18</f>
        <v>ERN07482</v>
      </c>
    </row>
    <row r="19" spans="1:9">
      <c r="A19" s="380" t="s">
        <v>1835</v>
      </c>
      <c r="B19" s="381" t="s">
        <v>211</v>
      </c>
      <c r="C19" s="381" t="s">
        <v>1836</v>
      </c>
      <c r="D19" s="381"/>
      <c r="I19" s="393" t="str">
        <f>Outbound!$B19</f>
        <v>ERN18882</v>
      </c>
    </row>
    <row r="20" spans="1:9">
      <c r="A20" s="380" t="s">
        <v>1837</v>
      </c>
      <c r="B20" s="381" t="s">
        <v>238</v>
      </c>
      <c r="C20" s="381" t="s">
        <v>238</v>
      </c>
      <c r="D20" s="381"/>
      <c r="I20" s="393" t="str">
        <f>Outbound!$B20</f>
        <v>ERN19613</v>
      </c>
    </row>
    <row r="21" spans="1:9">
      <c r="A21" s="380" t="s">
        <v>1837</v>
      </c>
      <c r="B21" s="381" t="s">
        <v>644</v>
      </c>
      <c r="C21" s="381" t="s">
        <v>1838</v>
      </c>
      <c r="D21" s="381"/>
      <c r="I21" s="393" t="str">
        <f>Outbound!$B21</f>
        <v>ERN11076</v>
      </c>
    </row>
    <row r="22" spans="1:9">
      <c r="A22" s="380" t="s">
        <v>1837</v>
      </c>
      <c r="B22" s="381" t="s">
        <v>450</v>
      </c>
      <c r="C22" s="381" t="s">
        <v>450</v>
      </c>
      <c r="D22" s="381"/>
      <c r="I22" s="393" t="str">
        <f>Outbound!$B22</f>
        <v>ERN16607</v>
      </c>
    </row>
    <row r="23" spans="1:9">
      <c r="A23" s="380" t="s">
        <v>1837</v>
      </c>
      <c r="B23" s="381" t="s">
        <v>855</v>
      </c>
      <c r="C23" s="381" t="s">
        <v>1839</v>
      </c>
      <c r="D23" s="381"/>
      <c r="I23" s="393" t="str">
        <f>Outbound!$B23</f>
        <v>ERN14443</v>
      </c>
    </row>
    <row r="24" spans="1:9">
      <c r="A24" s="380" t="s">
        <v>1837</v>
      </c>
      <c r="B24" s="381" t="s">
        <v>602</v>
      </c>
      <c r="C24" s="381" t="s">
        <v>1840</v>
      </c>
      <c r="D24" s="381"/>
      <c r="I24" s="393" t="str">
        <f>Outbound!$B24</f>
        <v>ERN20137</v>
      </c>
    </row>
    <row r="25" spans="1:9">
      <c r="A25" s="380" t="s">
        <v>1837</v>
      </c>
      <c r="B25" s="381" t="s">
        <v>874</v>
      </c>
      <c r="C25" s="381" t="s">
        <v>1841</v>
      </c>
      <c r="D25" s="381"/>
      <c r="I25" s="393" t="str">
        <f>Outbound!$B25</f>
        <v>ERN02218</v>
      </c>
    </row>
    <row r="26" spans="1:9">
      <c r="A26" s="380" t="s">
        <v>1837</v>
      </c>
      <c r="B26" s="381" t="s">
        <v>456</v>
      </c>
      <c r="C26" s="381" t="s">
        <v>1842</v>
      </c>
      <c r="D26" s="381"/>
      <c r="I26" s="393" t="str">
        <f>Outbound!$B26</f>
        <v>ERN19161</v>
      </c>
    </row>
    <row r="27" spans="1:9">
      <c r="A27" s="380" t="s">
        <v>1843</v>
      </c>
      <c r="B27" s="381" t="s">
        <v>241</v>
      </c>
      <c r="C27" s="381" t="s">
        <v>241</v>
      </c>
      <c r="D27" s="381"/>
      <c r="I27" s="393" t="str">
        <f>Outbound!$B27</f>
        <v>ERN14512</v>
      </c>
    </row>
    <row r="28" spans="1:9">
      <c r="A28" s="380" t="s">
        <v>1844</v>
      </c>
      <c r="B28" s="381" t="s">
        <v>264</v>
      </c>
      <c r="C28" s="381" t="s">
        <v>264</v>
      </c>
      <c r="D28" s="381"/>
      <c r="I28" s="393" t="str">
        <f>Outbound!$B28</f>
        <v>ERN14441</v>
      </c>
    </row>
    <row r="29" spans="1:9">
      <c r="A29" s="380" t="s">
        <v>1845</v>
      </c>
      <c r="B29" s="381" t="s">
        <v>616</v>
      </c>
      <c r="C29" s="381" t="s">
        <v>134</v>
      </c>
      <c r="D29" s="381"/>
      <c r="I29" s="393" t="str">
        <f>Outbound!$B29</f>
        <v>ERN00921</v>
      </c>
    </row>
    <row r="30" spans="1:9">
      <c r="A30" s="380" t="s">
        <v>1845</v>
      </c>
      <c r="B30" s="381" t="s">
        <v>681</v>
      </c>
      <c r="C30" s="381" t="s">
        <v>681</v>
      </c>
      <c r="D30" s="381"/>
      <c r="I30" s="393" t="str">
        <f>Outbound!$B30</f>
        <v>ERN14393</v>
      </c>
    </row>
    <row r="31" spans="1:9">
      <c r="A31" s="380" t="s">
        <v>1845</v>
      </c>
      <c r="B31" s="381" t="s">
        <v>845</v>
      </c>
      <c r="C31" s="381" t="s">
        <v>845</v>
      </c>
      <c r="D31" s="381" t="s">
        <v>1846</v>
      </c>
      <c r="I31" s="393" t="str">
        <f>Outbound!$B31</f>
        <v>ERN17451</v>
      </c>
    </row>
    <row r="32" spans="1:9">
      <c r="A32" s="380" t="s">
        <v>1847</v>
      </c>
      <c r="B32" s="381" t="s">
        <v>285</v>
      </c>
      <c r="C32" s="381" t="s">
        <v>1848</v>
      </c>
      <c r="D32" s="381"/>
      <c r="I32" s="393" t="str">
        <f>Outbound!$B32</f>
        <v>ERN18812</v>
      </c>
    </row>
    <row r="33" spans="1:9">
      <c r="A33" s="380" t="s">
        <v>1849</v>
      </c>
      <c r="B33" s="381" t="s">
        <v>247</v>
      </c>
      <c r="C33" s="381" t="s">
        <v>1850</v>
      </c>
      <c r="D33" s="381"/>
      <c r="I33" s="393" t="str">
        <f>Outbound!$B33</f>
        <v>ERN19145</v>
      </c>
    </row>
    <row r="34" spans="1:9">
      <c r="A34" s="380" t="s">
        <v>1851</v>
      </c>
      <c r="B34" s="381" t="s">
        <v>1550</v>
      </c>
      <c r="C34" s="381" t="s">
        <v>1550</v>
      </c>
      <c r="D34" s="381"/>
      <c r="I34" s="393" t="str">
        <f>Outbound!$B34</f>
        <v>ERN16770</v>
      </c>
    </row>
    <row r="35" spans="1:9">
      <c r="A35" s="380" t="s">
        <v>1852</v>
      </c>
      <c r="B35" s="381" t="s">
        <v>214</v>
      </c>
      <c r="C35" s="381" t="s">
        <v>1853</v>
      </c>
      <c r="D35" s="381"/>
      <c r="I35" s="393" t="str">
        <f>Outbound!$B35</f>
        <v>ERN18646</v>
      </c>
    </row>
    <row r="36" spans="1:9">
      <c r="A36" s="380" t="s">
        <v>1854</v>
      </c>
      <c r="B36" s="381" t="s">
        <v>308</v>
      </c>
      <c r="C36" s="381" t="s">
        <v>1855</v>
      </c>
      <c r="D36" s="381"/>
      <c r="I36" s="393" t="str">
        <f>Outbound!$B36</f>
        <v>ERN16768</v>
      </c>
    </row>
    <row r="37" spans="1:9">
      <c r="A37" s="380" t="s">
        <v>1854</v>
      </c>
      <c r="B37" s="381" t="s">
        <v>283</v>
      </c>
      <c r="C37" s="381" t="s">
        <v>1855</v>
      </c>
      <c r="I37" s="393" t="str">
        <f>Outbound!$B37</f>
        <v>ITD12655</v>
      </c>
    </row>
    <row r="38" spans="1:9">
      <c r="A38" s="380" t="s">
        <v>1843</v>
      </c>
      <c r="B38" s="381" t="s">
        <v>246</v>
      </c>
      <c r="C38" s="381" t="s">
        <v>246</v>
      </c>
      <c r="I38" s="393" t="str">
        <f>Outbound!$B38</f>
        <v>ITD12362</v>
      </c>
    </row>
    <row r="39" spans="1:9">
      <c r="A39" s="380" t="s">
        <v>1843</v>
      </c>
      <c r="B39" s="381" t="s">
        <v>1537</v>
      </c>
      <c r="C39" s="381" t="s">
        <v>1537</v>
      </c>
      <c r="I39" s="393" t="str">
        <f>Outbound!$B39</f>
        <v>ITD12622</v>
      </c>
    </row>
    <row r="40" spans="1:9">
      <c r="A40" s="380" t="s">
        <v>1808</v>
      </c>
      <c r="B40" s="381" t="s">
        <v>187</v>
      </c>
      <c r="C40" s="381" t="s">
        <v>187</v>
      </c>
      <c r="I40" s="393" t="str">
        <f>Outbound!$B40</f>
        <v>ERN05729</v>
      </c>
    </row>
    <row r="41" spans="1:9">
      <c r="A41" s="405" t="s">
        <v>1818</v>
      </c>
      <c r="B41" s="382" t="s">
        <v>1856</v>
      </c>
      <c r="C41" s="382" t="s">
        <v>1856</v>
      </c>
      <c r="I41" s="393" t="str">
        <f>Outbound!$B41</f>
        <v>ERN13502</v>
      </c>
    </row>
    <row r="42" spans="1:9">
      <c r="I42" s="393" t="str">
        <f>Outbound!$B42</f>
        <v>ERN15902</v>
      </c>
    </row>
    <row r="43" spans="1:9">
      <c r="I43" s="393" t="str">
        <f>Outbound!$B43</f>
        <v>ERN92396</v>
      </c>
    </row>
    <row r="44" spans="1:9">
      <c r="I44" s="393" t="str">
        <f>Outbound!$B44</f>
        <v>ERN19135</v>
      </c>
    </row>
    <row r="45" spans="1:9">
      <c r="I45" s="393" t="str">
        <f>Outbound!$B45</f>
        <v>ERN15904</v>
      </c>
    </row>
    <row r="46" spans="1:9">
      <c r="I46" s="393" t="str">
        <f>Outbound!$B46</f>
        <v>ERN92347</v>
      </c>
    </row>
    <row r="47" spans="1:9">
      <c r="I47" s="393" t="str">
        <f>Outbound!$B47</f>
        <v>ERN9XXX</v>
      </c>
    </row>
    <row r="48" spans="1:9">
      <c r="I48" s="393" t="str">
        <f>Outbound!$B48</f>
        <v>ERN92353</v>
      </c>
    </row>
    <row r="49" spans="9:9">
      <c r="I49" s="393" t="str">
        <f>Outbound!$B49</f>
        <v>ERN17085</v>
      </c>
    </row>
    <row r="50" spans="9:9">
      <c r="I50" s="393" t="str">
        <f>Outbound!$B50</f>
        <v>ERN19361</v>
      </c>
    </row>
    <row r="51" spans="9:9">
      <c r="I51" s="393" t="str">
        <f>Outbound!$B51</f>
        <v>ITD12287</v>
      </c>
    </row>
    <row r="52" spans="9:9">
      <c r="I52" s="393" t="str">
        <f>Outbound!$B52</f>
        <v>ITD12263</v>
      </c>
    </row>
    <row r="53" spans="9:9">
      <c r="I53" s="393" t="str">
        <f>Outbound!$B53</f>
        <v>ITD12885</v>
      </c>
    </row>
    <row r="54" spans="9:9">
      <c r="I54" s="393" t="str">
        <f>Outbound!$B54</f>
        <v>ITD12415</v>
      </c>
    </row>
    <row r="55" spans="9:9">
      <c r="I55" s="393" t="str">
        <f>Outbound!$B55</f>
        <v>ITD12337</v>
      </c>
    </row>
    <row r="56" spans="9:9">
      <c r="I56" s="393" t="str">
        <f>Outbound!$B56</f>
        <v>ITD12413</v>
      </c>
    </row>
    <row r="57" spans="9:9">
      <c r="I57" s="393" t="str">
        <f>Outbound!$B57</f>
        <v>ITD12403</v>
      </c>
    </row>
    <row r="58" spans="9:9">
      <c r="I58" s="393" t="str">
        <f>Outbound!$B58</f>
        <v>ITD12402</v>
      </c>
    </row>
    <row r="59" spans="9:9">
      <c r="I59" s="393" t="str">
        <f>Outbound!$B59</f>
        <v>ITD12098</v>
      </c>
    </row>
    <row r="60" spans="9:9">
      <c r="I60" s="393" t="str">
        <f>Outbound!$B60</f>
        <v>ITD12238</v>
      </c>
    </row>
    <row r="61" spans="9:9">
      <c r="I61" s="393" t="str">
        <f>Outbound!$B61</f>
        <v>ITD12617</v>
      </c>
    </row>
    <row r="62" spans="9:9">
      <c r="I62" s="393" t="str">
        <f>Outbound!$B62</f>
        <v>ITD12162</v>
      </c>
    </row>
    <row r="63" spans="9:9">
      <c r="I63" s="393" t="str">
        <f>Outbound!$B63</f>
        <v>ITD12299</v>
      </c>
    </row>
    <row r="64" spans="9:9">
      <c r="I64" s="393" t="str">
        <f>Outbound!$B64</f>
        <v>ERN16946</v>
      </c>
    </row>
    <row r="65" spans="9:9">
      <c r="I65" s="393" t="str">
        <f>Outbound!$B65</f>
        <v>ITD12367</v>
      </c>
    </row>
    <row r="66" spans="9:9">
      <c r="I66" s="393" t="str">
        <f>Outbound!$B66</f>
        <v>ITD12368</v>
      </c>
    </row>
    <row r="67" spans="9:9">
      <c r="I67" s="393" t="str">
        <f>Outbound!$B67</f>
        <v>ITD12369</v>
      </c>
    </row>
    <row r="68" spans="9:9">
      <c r="I68" s="393" t="str">
        <f>Outbound!$B68</f>
        <v>ITD12411</v>
      </c>
    </row>
    <row r="69" spans="9:9">
      <c r="I69" s="393" t="str">
        <f>Outbound!$B69</f>
        <v>ITD12800</v>
      </c>
    </row>
    <row r="70" spans="9:9">
      <c r="I70" s="393" t="str">
        <f>Outbound!$B70</f>
        <v>ITD12261</v>
      </c>
    </row>
    <row r="71" spans="9:9">
      <c r="I71" s="393" t="str">
        <f>Outbound!$B71</f>
        <v>ITD12761</v>
      </c>
    </row>
    <row r="72" spans="9:9">
      <c r="I72" s="393" t="str">
        <f>Outbound!$B72</f>
        <v>ITD12385</v>
      </c>
    </row>
    <row r="73" spans="9:9">
      <c r="I73" s="393" t="str">
        <f>Outbound!$B73</f>
        <v>ITD12802</v>
      </c>
    </row>
    <row r="74" spans="9:9">
      <c r="I74" s="393" t="str">
        <f>Outbound!$B74</f>
        <v>ITD12362</v>
      </c>
    </row>
    <row r="75" spans="9:9">
      <c r="I75" s="393" t="str">
        <f>Outbound!$B75</f>
        <v>ITD12364</v>
      </c>
    </row>
    <row r="76" spans="9:9">
      <c r="I76" s="393" t="str">
        <f>Outbound!$B76</f>
        <v>ITD12669</v>
      </c>
    </row>
    <row r="77" spans="9:9">
      <c r="I77" s="393" t="str">
        <f>Outbound!$B77</f>
        <v>ITD12283</v>
      </c>
    </row>
    <row r="78" spans="9:9">
      <c r="I78" s="393" t="str">
        <f>Outbound!$B78</f>
        <v>ITD12176</v>
      </c>
    </row>
    <row r="79" spans="9:9">
      <c r="I79" s="393" t="str">
        <f>Outbound!$B79</f>
        <v>ITD12387</v>
      </c>
    </row>
    <row r="80" spans="9:9">
      <c r="I80" s="393" t="str">
        <f>Outbound!$B80</f>
        <v>ITD12174</v>
      </c>
    </row>
    <row r="81" spans="9:9">
      <c r="I81" s="393" t="str">
        <f>Outbound!$B81</f>
        <v>ITD12716</v>
      </c>
    </row>
    <row r="82" spans="9:9">
      <c r="I82" s="393" t="str">
        <f>Outbound!$B82</f>
        <v>ITD12748</v>
      </c>
    </row>
    <row r="83" spans="9:9">
      <c r="I83" s="393" t="str">
        <f>Outbound!$B83</f>
        <v>ITD12001</v>
      </c>
    </row>
    <row r="84" spans="9:9">
      <c r="I84" s="393" t="str">
        <f>Outbound!$B84</f>
        <v>ITD12005</v>
      </c>
    </row>
    <row r="85" spans="9:9">
      <c r="I85" s="393" t="str">
        <f>Outbound!$B85</f>
        <v>ITD12738</v>
      </c>
    </row>
    <row r="86" spans="9:9">
      <c r="I86" s="393" t="str">
        <f>Outbound!$B86</f>
        <v>ITD12262</v>
      </c>
    </row>
    <row r="87" spans="9:9">
      <c r="I87" s="393" t="str">
        <f>Outbound!$B87</f>
        <v>ITD12258</v>
      </c>
    </row>
    <row r="88" spans="9:9">
      <c r="I88" s="393" t="str">
        <f>Outbound!$B88</f>
        <v>ITD12376</v>
      </c>
    </row>
    <row r="89" spans="9:9">
      <c r="I89" s="393" t="str">
        <f>Outbound!$B89</f>
        <v>ITD12736</v>
      </c>
    </row>
    <row r="90" spans="9:9">
      <c r="I90" s="393" t="str">
        <f>Outbound!$B90</f>
        <v>ITD12864</v>
      </c>
    </row>
    <row r="91" spans="9:9">
      <c r="I91" s="393" t="str">
        <f>Outbound!$B91</f>
        <v>ITD12253</v>
      </c>
    </row>
    <row r="92" spans="9:9">
      <c r="I92" s="393" t="str">
        <f>Outbound!$B92</f>
        <v>ITD12764</v>
      </c>
    </row>
    <row r="93" spans="9:9">
      <c r="I93" s="393" t="str">
        <f>Outbound!$B93</f>
        <v>ITD12302</v>
      </c>
    </row>
    <row r="94" spans="9:9">
      <c r="I94" s="393" t="str">
        <f>Outbound!$B94</f>
        <v>ITD12868</v>
      </c>
    </row>
    <row r="95" spans="9:9">
      <c r="I95" s="393" t="str">
        <f>Outbound!$B95</f>
        <v>ITD12208</v>
      </c>
    </row>
    <row r="96" spans="9:9">
      <c r="I96" s="393" t="str">
        <f>Outbound!$B96</f>
        <v>ITD12220</v>
      </c>
    </row>
    <row r="97" spans="9:9">
      <c r="I97" s="393" t="str">
        <f>Outbound!$B97</f>
        <v>ITD12784</v>
      </c>
    </row>
    <row r="98" spans="9:9">
      <c r="I98" s="393" t="str">
        <f>Outbound!$B98</f>
        <v>ERN18191</v>
      </c>
    </row>
    <row r="99" spans="9:9">
      <c r="I99" s="393" t="str">
        <f>Outbound!$B99</f>
        <v>ITD12876</v>
      </c>
    </row>
    <row r="100" spans="9:9">
      <c r="I100" s="393" t="str">
        <f>Outbound!$B100</f>
        <v>ITD12094</v>
      </c>
    </row>
    <row r="101" spans="9:9">
      <c r="I101" s="393" t="str">
        <f>Outbound!$B101</f>
        <v>ITD12101</v>
      </c>
    </row>
    <row r="102" spans="9:9">
      <c r="I102" s="393" t="str">
        <f>Outbound!$B102</f>
        <v>ITD12097</v>
      </c>
    </row>
    <row r="103" spans="9:9">
      <c r="I103" s="393" t="str">
        <f>Outbound!$B103</f>
        <v>ITD12731</v>
      </c>
    </row>
    <row r="104" spans="9:9">
      <c r="I104" s="393" t="str">
        <f>Outbound!$B104</f>
        <v>ITD12879</v>
      </c>
    </row>
    <row r="105" spans="9:9">
      <c r="I105" s="393" t="str">
        <f>Outbound!$B105</f>
        <v>ITD12023</v>
      </c>
    </row>
    <row r="106" spans="9:9">
      <c r="I106" s="393" t="str">
        <f>Outbound!$B106</f>
        <v>ITD12017</v>
      </c>
    </row>
    <row r="107" spans="9:9">
      <c r="I107" s="393" t="str">
        <f>Outbound!$B107</f>
        <v>ITD12061</v>
      </c>
    </row>
    <row r="108" spans="9:9">
      <c r="I108" s="393" t="str">
        <f>Outbound!$B108</f>
        <v>ITD12073</v>
      </c>
    </row>
    <row r="109" spans="9:9">
      <c r="I109" s="393" t="str">
        <f>Outbound!$B109</f>
        <v>ITD12241</v>
      </c>
    </row>
    <row r="110" spans="9:9">
      <c r="I110" s="393" t="str">
        <f>Outbound!$B110</f>
        <v>ITD12247</v>
      </c>
    </row>
    <row r="111" spans="9:9">
      <c r="I111" s="393" t="str">
        <f>Outbound!$B111</f>
        <v>ITD12171</v>
      </c>
    </row>
    <row r="112" spans="9:9">
      <c r="I112" s="393" t="str">
        <f>Outbound!$B112</f>
        <v>ITD12164</v>
      </c>
    </row>
    <row r="113" spans="9:9">
      <c r="I113" s="393" t="str">
        <f>Outbound!$B113</f>
        <v>ITD12279</v>
      </c>
    </row>
    <row r="114" spans="9:9">
      <c r="I114" s="393" t="str">
        <f>Outbound!$B114</f>
        <v>ITD12244</v>
      </c>
    </row>
    <row r="115" spans="9:9">
      <c r="I115" s="393" t="str">
        <f>Outbound!$B115</f>
        <v>ITD12259</v>
      </c>
    </row>
    <row r="116" spans="9:9">
      <c r="I116" s="393" t="str">
        <f>Outbound!$B116</f>
        <v>ITD12300</v>
      </c>
    </row>
    <row r="117" spans="9:9">
      <c r="I117" s="393" t="str">
        <f>Outbound!$B117</f>
        <v>ITD12393</v>
      </c>
    </row>
    <row r="118" spans="9:9">
      <c r="I118" s="393" t="str">
        <f>Outbound!$B118</f>
        <v>ITD12763</v>
      </c>
    </row>
    <row r="119" spans="9:9">
      <c r="I119" s="393" t="str">
        <f>Outbound!$B119</f>
        <v>ITD12207</v>
      </c>
    </row>
    <row r="120" spans="9:9">
      <c r="I120" s="393" t="str">
        <f>Outbound!$B120</f>
        <v>ITD12388</v>
      </c>
    </row>
    <row r="121" spans="9:9">
      <c r="I121" s="393" t="str">
        <f>Outbound!$B121</f>
        <v>ITD12719</v>
      </c>
    </row>
    <row r="122" spans="9:9">
      <c r="I122" s="393" t="str">
        <f>Outbound!$B122</f>
        <v>ITD12389</v>
      </c>
    </row>
    <row r="123" spans="9:9">
      <c r="I123" s="393" t="str">
        <f>Outbound!$B123</f>
        <v>ERN17420</v>
      </c>
    </row>
    <row r="124" spans="9:9">
      <c r="I124" s="393" t="str">
        <f>Outbound!$B124</f>
        <v>ERN03542</v>
      </c>
    </row>
    <row r="125" spans="9:9">
      <c r="I125" s="393" t="str">
        <f>Outbound!$B125</f>
        <v>ITD12286</v>
      </c>
    </row>
    <row r="126" spans="9:9">
      <c r="I126" s="393" t="str">
        <f>Outbound!$B126</f>
        <v>ITD12252</v>
      </c>
    </row>
    <row r="127" spans="9:9">
      <c r="I127" s="393" t="str">
        <f>Outbound!$B127</f>
        <v>ITD12803</v>
      </c>
    </row>
    <row r="128" spans="9:9">
      <c r="I128" s="393" t="str">
        <f>Outbound!$B128</f>
        <v>ERN16616</v>
      </c>
    </row>
    <row r="129" spans="9:9">
      <c r="I129" s="393" t="str">
        <f>Outbound!$B129</f>
        <v>ERN01518</v>
      </c>
    </row>
    <row r="130" spans="9:9">
      <c r="I130" s="393" t="str">
        <f>Outbound!$B130</f>
        <v>ITD12071</v>
      </c>
    </row>
    <row r="131" spans="9:9">
      <c r="I131" s="393" t="str">
        <f>Outbound!$B131</f>
        <v>ERN19164</v>
      </c>
    </row>
    <row r="132" spans="9:9">
      <c r="I132" s="393" t="str">
        <f>Outbound!$B132</f>
        <v>ITD12886</v>
      </c>
    </row>
    <row r="133" spans="9:9">
      <c r="I133" s="393" t="str">
        <f>Outbound!$B133</f>
        <v>ITD12854</v>
      </c>
    </row>
    <row r="134" spans="9:9">
      <c r="I134" s="393" t="str">
        <f>Outbound!$B134</f>
        <v>ITD12359</v>
      </c>
    </row>
    <row r="135" spans="9:9">
      <c r="I135" s="393" t="str">
        <f>Outbound!$B135</f>
        <v>ITD12361</v>
      </c>
    </row>
    <row r="136" spans="9:9">
      <c r="I136" s="393" t="str">
        <f>Outbound!$B136</f>
        <v>ITD12242</v>
      </c>
    </row>
    <row r="137" spans="9:9">
      <c r="I137" s="393" t="str">
        <f>Outbound!$B137</f>
        <v>ITD12310</v>
      </c>
    </row>
    <row r="138" spans="9:9">
      <c r="I138" s="393" t="str">
        <f>Outbound!$B138</f>
        <v>ITD12245</v>
      </c>
    </row>
    <row r="139" spans="9:9">
      <c r="I139" s="393" t="str">
        <f>Outbound!$B139</f>
        <v>ITD12239</v>
      </c>
    </row>
    <row r="140" spans="9:9">
      <c r="I140" s="393" t="str">
        <f>Outbound!$B140</f>
        <v>ITD90226</v>
      </c>
    </row>
    <row r="141" spans="9:9">
      <c r="I141" s="393" t="str">
        <f>Outbound!$B141</f>
        <v>ITD12743</v>
      </c>
    </row>
    <row r="142" spans="9:9">
      <c r="I142" s="393" t="str">
        <f>Outbound!$B142</f>
        <v>ITD12078</v>
      </c>
    </row>
    <row r="143" spans="9:9">
      <c r="I143" s="393" t="str">
        <f>Outbound!$B143</f>
        <v>ITD12089</v>
      </c>
    </row>
    <row r="144" spans="9:9">
      <c r="I144" s="393" t="str">
        <f>Outbound!$B144</f>
        <v>ITD12099</v>
      </c>
    </row>
    <row r="145" spans="9:9">
      <c r="I145" s="393" t="str">
        <f>Outbound!$B145</f>
        <v>ITD12762</v>
      </c>
    </row>
    <row r="146" spans="9:9">
      <c r="I146" s="393" t="str">
        <f>Outbound!$B146</f>
        <v>ITD12210</v>
      </c>
    </row>
    <row r="147" spans="9:9">
      <c r="I147" s="393" t="str">
        <f>Outbound!$B147</f>
        <v>ITD12304</v>
      </c>
    </row>
    <row r="148" spans="9:9">
      <c r="I148" s="393" t="str">
        <f>Outbound!$B148</f>
        <v>ITD12218</v>
      </c>
    </row>
    <row r="149" spans="9:9">
      <c r="I149" s="393" t="str">
        <f>Outbound!$B149</f>
        <v>ITD12667</v>
      </c>
    </row>
    <row r="150" spans="9:9">
      <c r="I150" s="393" t="str">
        <f>Outbound!$B150</f>
        <v>ITD12412</v>
      </c>
    </row>
    <row r="151" spans="9:9">
      <c r="I151" s="393" t="str">
        <f>Outbound!$B151</f>
        <v>ITD12720</v>
      </c>
    </row>
    <row r="152" spans="9:9">
      <c r="I152" s="393" t="str">
        <f>Outbound!$B152</f>
        <v>ERN06793</v>
      </c>
    </row>
    <row r="153" spans="9:9">
      <c r="I153" s="393" t="str">
        <f>Outbound!$B153</f>
        <v>ITD12408</v>
      </c>
    </row>
    <row r="154" spans="9:9">
      <c r="I154" s="393" t="str">
        <f>Outbound!$B154</f>
        <v>ITD12410</v>
      </c>
    </row>
    <row r="155" spans="9:9">
      <c r="I155" s="393" t="str">
        <f>Outbound!$B155</f>
        <v>ERN92365</v>
      </c>
    </row>
    <row r="156" spans="9:9">
      <c r="I156" s="393" t="str">
        <f>Outbound!$B156</f>
        <v>ERN15952</v>
      </c>
    </row>
    <row r="157" spans="9:9">
      <c r="I157" s="393" t="str">
        <f>Outbound!$B157</f>
        <v>ERN18726</v>
      </c>
    </row>
    <row r="158" spans="9:9">
      <c r="I158" s="393" t="str">
        <f>Outbound!$B158</f>
        <v>ERN90414</v>
      </c>
    </row>
    <row r="159" spans="9:9">
      <c r="I159" s="393" t="str">
        <f>Outbound!$B159</f>
        <v>ERN12476</v>
      </c>
    </row>
    <row r="160" spans="9:9">
      <c r="I160" s="393" t="str">
        <f>Outbound!$B160</f>
        <v>ERN13137</v>
      </c>
    </row>
    <row r="161" spans="9:9">
      <c r="I161" s="393" t="str">
        <f>Outbound!$B161</f>
        <v>ERN19354</v>
      </c>
    </row>
    <row r="162" spans="9:9">
      <c r="I162" s="393" t="str">
        <f>Outbound!$B162</f>
        <v>ERN92357</v>
      </c>
    </row>
    <row r="163" spans="9:9">
      <c r="I163" s="393" t="str">
        <f>Outbound!$B163</f>
        <v>ERN16950</v>
      </c>
    </row>
    <row r="164" spans="9:9">
      <c r="I164" s="393" t="str">
        <f>Outbound!$B164</f>
        <v>ERN15398</v>
      </c>
    </row>
    <row r="165" spans="9:9">
      <c r="I165" s="393" t="str">
        <f>Outbound!$B165</f>
        <v>ERN16946</v>
      </c>
    </row>
    <row r="166" spans="9:9">
      <c r="I166" s="393" t="str">
        <f>Outbound!$B166</f>
        <v>ERN17430</v>
      </c>
    </row>
    <row r="167" spans="9:9">
      <c r="I167" s="393" t="str">
        <f>Outbound!$B167</f>
        <v>ERN18917</v>
      </c>
    </row>
    <row r="168" spans="9:9">
      <c r="I168" s="393" t="str">
        <f>Outbound!$B168</f>
        <v>ERN16682</v>
      </c>
    </row>
    <row r="169" spans="9:9">
      <c r="I169" s="393" t="str">
        <f>Outbound!$B169</f>
        <v>ITD12246</v>
      </c>
    </row>
    <row r="170" spans="9:9">
      <c r="I170" s="393" t="str">
        <f>Outbound!$B170</f>
        <v>ITD12282</v>
      </c>
    </row>
    <row r="171" spans="9:9">
      <c r="I171" s="393" t="str">
        <f>Outbound!$B171</f>
        <v>ITD12170</v>
      </c>
    </row>
    <row r="172" spans="9:9">
      <c r="I172" s="393" t="str">
        <f>Outbound!$B172</f>
        <v>ITD12240</v>
      </c>
    </row>
    <row r="173" spans="9:9">
      <c r="I173" s="393" t="str">
        <f>Outbound!$B173</f>
        <v>ITD12217</v>
      </c>
    </row>
    <row r="174" spans="9:9">
      <c r="I174" s="393" t="str">
        <f>Outbound!$B174</f>
        <v>ITD12737</v>
      </c>
    </row>
    <row r="175" spans="9:9">
      <c r="I175" s="393" t="str">
        <f>Outbound!$B175</f>
        <v>ERN14458</v>
      </c>
    </row>
    <row r="176" spans="9:9">
      <c r="I176" s="393" t="str">
        <f>Outbound!$B176</f>
        <v>ERN02712</v>
      </c>
    </row>
    <row r="177" spans="9:9">
      <c r="I177" s="393" t="str">
        <f>Outbound!$B177</f>
        <v>ERN18810</v>
      </c>
    </row>
    <row r="178" spans="9:9">
      <c r="I178" s="393" t="str">
        <f>Outbound!$B178</f>
        <v>ERN16731</v>
      </c>
    </row>
    <row r="179" spans="9:9">
      <c r="I179" s="393" t="str">
        <f>Outbound!$B179</f>
        <v>ITD12416</v>
      </c>
    </row>
    <row r="180" spans="9:9">
      <c r="I180" s="393" t="str">
        <f>Outbound!$B180</f>
        <v>ITD12003</v>
      </c>
    </row>
    <row r="181" spans="9:9">
      <c r="I181" s="393" t="str">
        <f>Outbound!$B181</f>
        <v>ITD12024</v>
      </c>
    </row>
    <row r="182" spans="9:9">
      <c r="I182" s="393" t="str">
        <f>Outbound!$B182</f>
        <v>ITD12013</v>
      </c>
    </row>
    <row r="183" spans="9:9">
      <c r="I183" s="393" t="str">
        <f>Outbound!$B183</f>
        <v>ITD12072</v>
      </c>
    </row>
    <row r="184" spans="9:9">
      <c r="I184" s="393" t="str">
        <f>Outbound!$B184</f>
        <v>ITD12074</v>
      </c>
    </row>
    <row r="185" spans="9:9">
      <c r="I185" s="393" t="str">
        <f>Outbound!$B185</f>
        <v>ITD12338</v>
      </c>
    </row>
    <row r="186" spans="9:9">
      <c r="I186" s="393" t="str">
        <f>Outbound!$B186</f>
        <v>ITD12336</v>
      </c>
    </row>
    <row r="187" spans="9:9">
      <c r="I187" s="393" t="str">
        <f>Outbound!$B187</f>
        <v>ITD12177</v>
      </c>
    </row>
    <row r="188" spans="9:9">
      <c r="I188" s="393" t="str">
        <f>Outbound!$B188</f>
        <v>ITD12884</v>
      </c>
    </row>
    <row r="189" spans="9:9">
      <c r="I189" s="393" t="str">
        <f>Outbound!$B189</f>
        <v>ITD12417</v>
      </c>
    </row>
    <row r="190" spans="9:9">
      <c r="I190" s="393" t="str">
        <f>Outbound!$B190</f>
        <v>ITD12353</v>
      </c>
    </row>
    <row r="191" spans="9:9">
      <c r="I191" s="393" t="str">
        <f>Outbound!$B191</f>
        <v>ERN19820</v>
      </c>
    </row>
    <row r="192" spans="9:9">
      <c r="I192" s="393" t="str">
        <f>Outbound!$B192</f>
        <v>ERN19818</v>
      </c>
    </row>
    <row r="193" spans="9:9">
      <c r="I193" s="393" t="str">
        <f>Outbound!$B193</f>
        <v>ITD12386</v>
      </c>
    </row>
    <row r="194" spans="9:9">
      <c r="I194" s="393" t="str">
        <f>Outbound!$B194</f>
        <v>ITD12366</v>
      </c>
    </row>
    <row r="195" spans="9:9">
      <c r="I195" s="393" t="str">
        <f>Outbound!$B195</f>
        <v>ITD12384</v>
      </c>
    </row>
    <row r="196" spans="9:9">
      <c r="I196" s="393" t="str">
        <f>Outbound!$B196</f>
        <v>ITD12172</v>
      </c>
    </row>
    <row r="197" spans="9:9">
      <c r="I197" s="393" t="str">
        <f>Outbound!$B197</f>
        <v>ITD12251</v>
      </c>
    </row>
    <row r="198" spans="9:9">
      <c r="I198" s="393" t="str">
        <f>Outbound!$B198</f>
        <v>ITD12173</v>
      </c>
    </row>
    <row r="199" spans="9:9">
      <c r="I199" s="393" t="str">
        <f>Outbound!$B199</f>
        <v>ITD12010</v>
      </c>
    </row>
    <row r="200" spans="9:9">
      <c r="I200" s="393" t="str">
        <f>Outbound!$B200</f>
        <v>ITD12255</v>
      </c>
    </row>
    <row r="201" spans="9:9">
      <c r="I201" s="393" t="str">
        <f>Outbound!$B201</f>
        <v>ITD12260</v>
      </c>
    </row>
    <row r="202" spans="9:9">
      <c r="I202" s="393" t="str">
        <f>Outbound!$B202</f>
        <v>ERN92398</v>
      </c>
    </row>
    <row r="203" spans="9:9">
      <c r="I203" s="393" t="str">
        <f>Outbound!$B203</f>
        <v>ERN17082</v>
      </c>
    </row>
    <row r="204" spans="9:9">
      <c r="I204" s="393" t="str">
        <f>Outbound!$B204</f>
        <v>ERN17079</v>
      </c>
    </row>
    <row r="205" spans="9:9">
      <c r="I205" s="393" t="str">
        <f>Outbound!$B205</f>
        <v>ITD12219</v>
      </c>
    </row>
    <row r="206" spans="9:9">
      <c r="I206" s="393" t="str">
        <f>Outbound!$B206</f>
        <v>ITD12209</v>
      </c>
    </row>
    <row r="207" spans="9:9">
      <c r="I207" s="393" t="str">
        <f>Outbound!$B207</f>
        <v>ITD12888</v>
      </c>
    </row>
    <row r="208" spans="9:9">
      <c r="I208" s="393" t="str">
        <f>Outbound!$B208</f>
        <v>ITD12266</v>
      </c>
    </row>
    <row r="209" spans="9:9">
      <c r="I209" s="393" t="str">
        <f>Outbound!$B209</f>
        <v>ITD12420</v>
      </c>
    </row>
    <row r="210" spans="9:9">
      <c r="I210" s="393" t="str">
        <f>Outbound!$B210</f>
        <v>ITD12382</v>
      </c>
    </row>
    <row r="211" spans="9:9">
      <c r="I211" s="393" t="str">
        <f>Outbound!$B211</f>
        <v>ITD12363</v>
      </c>
    </row>
    <row r="212" spans="9:9">
      <c r="I212" s="393" t="str">
        <f>Outbound!$B212</f>
        <v>ITD12798</v>
      </c>
    </row>
    <row r="213" spans="9:9">
      <c r="I213" s="393" t="str">
        <f>Outbound!$B213</f>
        <v>ITD12019</v>
      </c>
    </row>
    <row r="214" spans="9:9">
      <c r="I214" s="393" t="str">
        <f>Outbound!$B214</f>
        <v>ITD12022</v>
      </c>
    </row>
    <row r="215" spans="9:9">
      <c r="I215" s="393" t="str">
        <f>Outbound!$B215</f>
        <v>ITD12021</v>
      </c>
    </row>
    <row r="216" spans="9:9">
      <c r="I216" s="393" t="str">
        <f>Outbound!$B216</f>
        <v>ITD12175</v>
      </c>
    </row>
    <row r="217" spans="9:9">
      <c r="I217" s="393" t="str">
        <f>Outbound!$B217</f>
        <v>ITD12749</v>
      </c>
    </row>
    <row r="218" spans="9:9">
      <c r="I218" s="393" t="str">
        <f>Outbound!$B218</f>
        <v>ITD12280</v>
      </c>
    </row>
    <row r="219" spans="9:9">
      <c r="I219" s="393" t="str">
        <f>Outbound!$B219</f>
        <v>ERN20363</v>
      </c>
    </row>
    <row r="220" spans="9:9">
      <c r="I220" s="393" t="str">
        <f>Outbound!$B220</f>
        <v/>
      </c>
    </row>
    <row r="221" spans="9:9">
      <c r="I221" s="393" t="str">
        <f>Outbound!$B221</f>
        <v/>
      </c>
    </row>
    <row r="222" spans="9:9">
      <c r="I222" s="393" t="str">
        <f>Outbound!$B222</f>
        <v/>
      </c>
    </row>
    <row r="223" spans="9:9">
      <c r="I223" s="393" t="str">
        <f>Outbound!$B223</f>
        <v/>
      </c>
    </row>
    <row r="224" spans="9:9">
      <c r="I224" s="393" t="str">
        <f>Outbound!$B224</f>
        <v/>
      </c>
    </row>
    <row r="225" spans="9:9">
      <c r="I225" s="393" t="str">
        <f>Outbound!$B225</f>
        <v/>
      </c>
    </row>
    <row r="226" spans="9:9">
      <c r="I226" s="393" t="str">
        <f>Outbound!$B226</f>
        <v/>
      </c>
    </row>
    <row r="227" spans="9:9">
      <c r="I227" s="393" t="str">
        <f>Outbound!$B227</f>
        <v/>
      </c>
    </row>
    <row r="228" spans="9:9">
      <c r="I228" s="393" t="str">
        <f>Outbound!$B228</f>
        <v/>
      </c>
    </row>
    <row r="229" spans="9:9">
      <c r="I229" s="393" t="str">
        <f>Outbound!$B229</f>
        <v/>
      </c>
    </row>
    <row r="230" spans="9:9">
      <c r="I230" s="393" t="str">
        <f>Outbound!$B230</f>
        <v/>
      </c>
    </row>
    <row r="231" spans="9:9">
      <c r="I231" s="393" t="str">
        <f>Outbound!$B231</f>
        <v/>
      </c>
    </row>
    <row r="232" spans="9:9">
      <c r="I232" s="393" t="str">
        <f>Outbound!$B232</f>
        <v/>
      </c>
    </row>
    <row r="233" spans="9:9">
      <c r="I233" s="393" t="str">
        <f>Outbound!$B233</f>
        <v/>
      </c>
    </row>
    <row r="234" spans="9:9">
      <c r="I234" s="393" t="str">
        <f>Outbound!$B234</f>
        <v/>
      </c>
    </row>
    <row r="235" spans="9:9">
      <c r="I235" s="393" t="str">
        <f>Outbound!$B235</f>
        <v/>
      </c>
    </row>
    <row r="236" spans="9:9">
      <c r="I236" s="393" t="str">
        <f>Outbound!$B236</f>
        <v/>
      </c>
    </row>
    <row r="237" spans="9:9">
      <c r="I237" s="393" t="str">
        <f>Outbound!$B237</f>
        <v/>
      </c>
    </row>
    <row r="238" spans="9:9">
      <c r="I238" s="393" t="str">
        <f>Outbound!$B238</f>
        <v/>
      </c>
    </row>
    <row r="239" spans="9:9">
      <c r="I239" s="393" t="str">
        <f>Outbound!$B239</f>
        <v/>
      </c>
    </row>
    <row r="240" spans="9:9">
      <c r="I240" s="393" t="str">
        <f>Outbound!$B240</f>
        <v/>
      </c>
    </row>
    <row r="241" spans="9:9">
      <c r="I241" s="393" t="str">
        <f>Outbound!$B241</f>
        <v/>
      </c>
    </row>
    <row r="242" spans="9:9">
      <c r="I242" s="393" t="str">
        <f>Outbound!$B242</f>
        <v/>
      </c>
    </row>
    <row r="243" spans="9:9">
      <c r="I243" s="393" t="str">
        <f>Outbound!$B243</f>
        <v/>
      </c>
    </row>
    <row r="244" spans="9:9">
      <c r="I244" s="393" t="str">
        <f>Outbound!$B244</f>
        <v/>
      </c>
    </row>
    <row r="245" spans="9:9">
      <c r="I245" s="393" t="str">
        <f>Outbound!$B245</f>
        <v/>
      </c>
    </row>
    <row r="246" spans="9:9">
      <c r="I246" s="393" t="str">
        <f>Outbound!$B246</f>
        <v/>
      </c>
    </row>
    <row r="247" spans="9:9">
      <c r="I247" s="393" t="str">
        <f>Outbound!$B247</f>
        <v/>
      </c>
    </row>
    <row r="248" spans="9:9">
      <c r="I248" s="393" t="str">
        <f>Outbound!$B248</f>
        <v/>
      </c>
    </row>
    <row r="249" spans="9:9">
      <c r="I249" s="393" t="str">
        <f>Outbound!$B249</f>
        <v/>
      </c>
    </row>
    <row r="250" spans="9:9">
      <c r="I250" s="393" t="str">
        <f>Outbound!$B250</f>
        <v/>
      </c>
    </row>
    <row r="251" spans="9:9">
      <c r="I251" s="393" t="str">
        <f>Outbound!$B251</f>
        <v/>
      </c>
    </row>
    <row r="252" spans="9:9">
      <c r="I252" s="393" t="str">
        <f>Outbound!$B252</f>
        <v/>
      </c>
    </row>
    <row r="253" spans="9:9">
      <c r="I253" s="393" t="str">
        <f>Outbound!$B253</f>
        <v/>
      </c>
    </row>
    <row r="254" spans="9:9">
      <c r="I254" s="393" t="str">
        <f>Outbound!$B254</f>
        <v/>
      </c>
    </row>
    <row r="255" spans="9:9">
      <c r="I255" s="393" t="str">
        <f>Outbound!$B255</f>
        <v/>
      </c>
    </row>
    <row r="256" spans="9:9">
      <c r="I256" s="393" t="str">
        <f>Outbound!$B256</f>
        <v/>
      </c>
    </row>
    <row r="257" spans="9:9">
      <c r="I257" s="393" t="str">
        <f>Outbound!$B257</f>
        <v/>
      </c>
    </row>
    <row r="258" spans="9:9">
      <c r="I258" s="393" t="str">
        <f>Outbound!$B258</f>
        <v/>
      </c>
    </row>
    <row r="259" spans="9:9">
      <c r="I259" s="393" t="str">
        <f>Outbound!$B259</f>
        <v/>
      </c>
    </row>
    <row r="260" spans="9:9">
      <c r="I260" s="393" t="str">
        <f>Outbound!$B260</f>
        <v/>
      </c>
    </row>
    <row r="261" spans="9:9">
      <c r="I261" s="393" t="str">
        <f>Outbound!$B261</f>
        <v/>
      </c>
    </row>
    <row r="262" spans="9:9">
      <c r="I262" s="393" t="str">
        <f>Outbound!$B262</f>
        <v/>
      </c>
    </row>
    <row r="263" spans="9:9">
      <c r="I263" s="393" t="str">
        <f>Outbound!$B263</f>
        <v/>
      </c>
    </row>
    <row r="264" spans="9:9">
      <c r="I264" s="393" t="str">
        <f>Outbound!$B264</f>
        <v/>
      </c>
    </row>
    <row r="265" spans="9:9">
      <c r="I265" s="393" t="str">
        <f>Outbound!$B265</f>
        <v/>
      </c>
    </row>
    <row r="266" spans="9:9">
      <c r="I266" s="393" t="str">
        <f>Outbound!$B266</f>
        <v/>
      </c>
    </row>
    <row r="267" spans="9:9">
      <c r="I267" s="393" t="str">
        <f>Outbound!$B267</f>
        <v/>
      </c>
    </row>
    <row r="268" spans="9:9">
      <c r="I268" s="393" t="str">
        <f>Outbound!$B268</f>
        <v/>
      </c>
    </row>
    <row r="269" spans="9:9">
      <c r="I269" s="393" t="str">
        <f>Outbound!$B269</f>
        <v/>
      </c>
    </row>
    <row r="270" spans="9:9">
      <c r="I270" s="393" t="str">
        <f>Outbound!$B270</f>
        <v/>
      </c>
    </row>
    <row r="271" spans="9:9">
      <c r="I271" s="393" t="str">
        <f>Outbound!$B271</f>
        <v/>
      </c>
    </row>
    <row r="272" spans="9:9">
      <c r="I272" s="393" t="str">
        <f>Outbound!$B272</f>
        <v/>
      </c>
    </row>
    <row r="273" spans="9:9">
      <c r="I273" s="393">
        <f>Outbound!$B273</f>
        <v>0</v>
      </c>
    </row>
    <row r="274" spans="9:9">
      <c r="I274" s="393">
        <f>Outbound!$B274</f>
        <v>0</v>
      </c>
    </row>
    <row r="275" spans="9:9">
      <c r="I275" s="393">
        <f>Outbound!$B275</f>
        <v>0</v>
      </c>
    </row>
    <row r="276" spans="9:9">
      <c r="I276" s="393">
        <f>Outbound!$B276</f>
        <v>0</v>
      </c>
    </row>
    <row r="277" spans="9:9">
      <c r="I277" s="393">
        <f>Outbound!$B277</f>
        <v>0</v>
      </c>
    </row>
    <row r="278" spans="9:9">
      <c r="I278" s="393">
        <f>Outbound!$B278</f>
        <v>0</v>
      </c>
    </row>
    <row r="279" spans="9:9">
      <c r="I279" s="393">
        <f>Outbound!$B279</f>
        <v>0</v>
      </c>
    </row>
    <row r="280" spans="9:9">
      <c r="I280" s="393">
        <f>Outbound!$B280</f>
        <v>0</v>
      </c>
    </row>
    <row r="281" spans="9:9">
      <c r="I281" s="393">
        <f>Outbound!$B281</f>
        <v>0</v>
      </c>
    </row>
    <row r="282" spans="9:9">
      <c r="I282" s="393">
        <f>Outbound!$B282</f>
        <v>0</v>
      </c>
    </row>
    <row r="283" spans="9:9">
      <c r="I283" s="393">
        <f>Outbound!$B283</f>
        <v>0</v>
      </c>
    </row>
    <row r="284" spans="9:9">
      <c r="I284" s="393">
        <f>Outbound!$B284</f>
        <v>0</v>
      </c>
    </row>
    <row r="285" spans="9:9">
      <c r="I285" s="393">
        <f>Outbound!$B285</f>
        <v>0</v>
      </c>
    </row>
    <row r="286" spans="9:9">
      <c r="I286" s="393">
        <f>Outbound!$B286</f>
        <v>0</v>
      </c>
    </row>
    <row r="287" spans="9:9">
      <c r="I287" s="393">
        <f>Outbound!$B287</f>
        <v>0</v>
      </c>
    </row>
    <row r="288" spans="9:9">
      <c r="I288" s="393">
        <f>Outbound!$B288</f>
        <v>0</v>
      </c>
    </row>
    <row r="289" spans="9:9">
      <c r="I289" s="393">
        <f>Outbound!$B289</f>
        <v>0</v>
      </c>
    </row>
    <row r="290" spans="9:9">
      <c r="I290" s="393">
        <f>Outbound!$B290</f>
        <v>0</v>
      </c>
    </row>
    <row r="291" spans="9:9">
      <c r="I291" s="393">
        <f>Outbound!$B291</f>
        <v>0</v>
      </c>
    </row>
    <row r="292" spans="9:9">
      <c r="I292" s="393">
        <f>Outbound!$B292</f>
        <v>0</v>
      </c>
    </row>
    <row r="293" spans="9:9">
      <c r="I293" s="393">
        <f>Outbound!$B293</f>
        <v>0</v>
      </c>
    </row>
    <row r="294" spans="9:9">
      <c r="I294" s="393">
        <f>Outbound!$B294</f>
        <v>0</v>
      </c>
    </row>
    <row r="295" spans="9:9">
      <c r="I295" s="393">
        <f>Outbound!$B295</f>
        <v>0</v>
      </c>
    </row>
    <row r="296" spans="9:9">
      <c r="I296" s="393">
        <f>Outbound!$B296</f>
        <v>0</v>
      </c>
    </row>
    <row r="297" spans="9:9">
      <c r="I297" s="393">
        <f>Outbound!$B297</f>
        <v>0</v>
      </c>
    </row>
    <row r="298" spans="9:9">
      <c r="I298" s="393">
        <f>Outbound!$B298</f>
        <v>0</v>
      </c>
    </row>
    <row r="299" spans="9:9">
      <c r="I299" s="393">
        <f>Outbound!$B299</f>
        <v>0</v>
      </c>
    </row>
    <row r="300" spans="9:9">
      <c r="I300" s="393">
        <f>Outbound!$B300</f>
        <v>0</v>
      </c>
    </row>
    <row r="301" spans="9:9">
      <c r="I301" s="393">
        <f>Outbound!$B301</f>
        <v>0</v>
      </c>
    </row>
    <row r="302" spans="9:9">
      <c r="I302" s="393">
        <f>Outbound!$B302</f>
        <v>0</v>
      </c>
    </row>
    <row r="303" spans="9:9">
      <c r="I303" s="393">
        <f>Outbound!$B303</f>
        <v>0</v>
      </c>
    </row>
    <row r="304" spans="9:9">
      <c r="I304" s="393">
        <f>Outbound!$B304</f>
        <v>0</v>
      </c>
    </row>
    <row r="305" spans="9:9">
      <c r="I305" s="393">
        <f>Outbound!$B305</f>
        <v>0</v>
      </c>
    </row>
    <row r="306" spans="9:9">
      <c r="I306" s="393">
        <f>Outbound!$B306</f>
        <v>0</v>
      </c>
    </row>
    <row r="307" spans="9:9">
      <c r="I307" s="393">
        <f>Outbound!$B307</f>
        <v>0</v>
      </c>
    </row>
    <row r="308" spans="9:9">
      <c r="I308" s="393">
        <f>Outbound!$B308</f>
        <v>0</v>
      </c>
    </row>
    <row r="309" spans="9:9">
      <c r="I309" s="393">
        <f>Outbound!$B309</f>
        <v>0</v>
      </c>
    </row>
    <row r="310" spans="9:9">
      <c r="I310" s="393">
        <f>Outbound!$B310</f>
        <v>0</v>
      </c>
    </row>
    <row r="311" spans="9:9">
      <c r="I311" s="393">
        <f>Outbound!$B311</f>
        <v>0</v>
      </c>
    </row>
    <row r="312" spans="9:9">
      <c r="I312" s="393">
        <f>Outbound!$B312</f>
        <v>0</v>
      </c>
    </row>
    <row r="313" spans="9:9">
      <c r="I313" s="393">
        <f>Outbound!$B313</f>
        <v>0</v>
      </c>
    </row>
    <row r="314" spans="9:9">
      <c r="I314" s="393">
        <f>Outbound!$B314</f>
        <v>0</v>
      </c>
    </row>
    <row r="315" spans="9:9">
      <c r="I315" s="393">
        <f>Outbound!$B315</f>
        <v>0</v>
      </c>
    </row>
    <row r="316" spans="9:9">
      <c r="I316" s="393">
        <f>Outbound!$B316</f>
        <v>0</v>
      </c>
    </row>
    <row r="317" spans="9:9">
      <c r="I317" s="393">
        <f>Outbound!$B317</f>
        <v>0</v>
      </c>
    </row>
    <row r="318" spans="9:9">
      <c r="I318" s="393">
        <f>Outbound!$B318</f>
        <v>0</v>
      </c>
    </row>
    <row r="319" spans="9:9">
      <c r="I319" s="393">
        <f>Outbound!$B319</f>
        <v>0</v>
      </c>
    </row>
    <row r="320" spans="9:9">
      <c r="I320" s="393">
        <f>Outbound!$B320</f>
        <v>0</v>
      </c>
    </row>
    <row r="321" spans="9:9">
      <c r="I321" s="393">
        <f>Outbound!$B321</f>
        <v>0</v>
      </c>
    </row>
    <row r="322" spans="9:9">
      <c r="I322" s="393">
        <f>Outbound!$B322</f>
        <v>0</v>
      </c>
    </row>
    <row r="323" spans="9:9">
      <c r="I323" s="393">
        <f>Outbound!$B323</f>
        <v>0</v>
      </c>
    </row>
    <row r="324" spans="9:9">
      <c r="I324" s="393">
        <f>Outbound!$B324</f>
        <v>0</v>
      </c>
    </row>
    <row r="325" spans="9:9">
      <c r="I325" s="393">
        <f>Outbound!$B325</f>
        <v>0</v>
      </c>
    </row>
    <row r="326" spans="9:9">
      <c r="I326" s="393">
        <f>Outbound!$B326</f>
        <v>0</v>
      </c>
    </row>
    <row r="327" spans="9:9">
      <c r="I327" s="393">
        <f>Outbound!$B327</f>
        <v>0</v>
      </c>
    </row>
    <row r="328" spans="9:9">
      <c r="I328" s="393">
        <f>Outbound!$B328</f>
        <v>0</v>
      </c>
    </row>
    <row r="329" spans="9:9">
      <c r="I329" s="393">
        <f>Outbound!$B329</f>
        <v>0</v>
      </c>
    </row>
    <row r="330" spans="9:9">
      <c r="I330" s="393">
        <f>Outbound!$B330</f>
        <v>0</v>
      </c>
    </row>
    <row r="331" spans="9:9">
      <c r="I331" s="393">
        <f>Outbound!$B331</f>
        <v>0</v>
      </c>
    </row>
    <row r="332" spans="9:9">
      <c r="I332" s="393">
        <f>Outbound!$B332</f>
        <v>0</v>
      </c>
    </row>
    <row r="333" spans="9:9">
      <c r="I333" s="393">
        <f>Outbound!$B333</f>
        <v>0</v>
      </c>
    </row>
    <row r="334" spans="9:9">
      <c r="I334" s="393">
        <f>Outbound!$B334</f>
        <v>0</v>
      </c>
    </row>
    <row r="335" spans="9:9">
      <c r="I335" s="393">
        <f>Outbound!$B335</f>
        <v>0</v>
      </c>
    </row>
    <row r="336" spans="9:9">
      <c r="I336" s="393">
        <f>Outbound!$B336</f>
        <v>0</v>
      </c>
    </row>
    <row r="337" spans="9:9">
      <c r="I337" s="393">
        <f>Outbound!$B337</f>
        <v>0</v>
      </c>
    </row>
    <row r="338" spans="9:9">
      <c r="I338" s="393">
        <f>Outbound!$B338</f>
        <v>0</v>
      </c>
    </row>
    <row r="339" spans="9:9">
      <c r="I339" s="393">
        <f>Outbound!$B339</f>
        <v>0</v>
      </c>
    </row>
    <row r="340" spans="9:9">
      <c r="I340" s="393">
        <f>Outbound!$B340</f>
        <v>0</v>
      </c>
    </row>
    <row r="341" spans="9:9">
      <c r="I341" s="393">
        <f>Outbound!$B341</f>
        <v>0</v>
      </c>
    </row>
    <row r="342" spans="9:9">
      <c r="I342" s="393">
        <f>Outbound!$B342</f>
        <v>0</v>
      </c>
    </row>
    <row r="343" spans="9:9">
      <c r="I343" s="393">
        <f>Outbound!$B343</f>
        <v>0</v>
      </c>
    </row>
    <row r="344" spans="9:9">
      <c r="I344" s="393">
        <f>Outbound!$B344</f>
        <v>0</v>
      </c>
    </row>
    <row r="345" spans="9:9">
      <c r="I345" s="393">
        <f>Outbound!$B345</f>
        <v>0</v>
      </c>
    </row>
    <row r="346" spans="9:9">
      <c r="I346" s="393">
        <f>Outbound!$B346</f>
        <v>0</v>
      </c>
    </row>
    <row r="347" spans="9:9">
      <c r="I347" s="393">
        <f>Outbound!$B347</f>
        <v>0</v>
      </c>
    </row>
    <row r="348" spans="9:9">
      <c r="I348" s="393">
        <f>Outbound!$B348</f>
        <v>0</v>
      </c>
    </row>
    <row r="349" spans="9:9">
      <c r="I349" s="393">
        <f>Outbound!$B349</f>
        <v>0</v>
      </c>
    </row>
    <row r="350" spans="9:9">
      <c r="I350" s="393">
        <f>Outbound!$B350</f>
        <v>0</v>
      </c>
    </row>
    <row r="351" spans="9:9">
      <c r="I351" s="393">
        <f>Outbound!$B351</f>
        <v>0</v>
      </c>
    </row>
    <row r="352" spans="9:9">
      <c r="I352" s="393">
        <f>Outbound!$B352</f>
        <v>0</v>
      </c>
    </row>
    <row r="353" spans="9:9">
      <c r="I353" s="393">
        <f>Outbound!$B353</f>
        <v>0</v>
      </c>
    </row>
    <row r="354" spans="9:9">
      <c r="I354" s="393">
        <f>Outbound!$B354</f>
        <v>0</v>
      </c>
    </row>
    <row r="355" spans="9:9">
      <c r="I355" s="393">
        <f>Outbound!$B355</f>
        <v>0</v>
      </c>
    </row>
    <row r="356" spans="9:9">
      <c r="I356" s="393">
        <f>Outbound!$B356</f>
        <v>0</v>
      </c>
    </row>
    <row r="357" spans="9:9">
      <c r="I357" s="393">
        <f>Outbound!$B357</f>
        <v>0</v>
      </c>
    </row>
    <row r="358" spans="9:9">
      <c r="I358" s="393">
        <f>Outbound!$B358</f>
        <v>0</v>
      </c>
    </row>
    <row r="359" spans="9:9">
      <c r="I359" s="393">
        <f>Outbound!$B359</f>
        <v>0</v>
      </c>
    </row>
    <row r="360" spans="9:9">
      <c r="I360" s="393">
        <f>Outbound!$B360</f>
        <v>0</v>
      </c>
    </row>
    <row r="361" spans="9:9">
      <c r="I361" s="393">
        <f>Outbound!$B361</f>
        <v>0</v>
      </c>
    </row>
    <row r="362" spans="9:9">
      <c r="I362" s="393">
        <f>Outbound!$B362</f>
        <v>0</v>
      </c>
    </row>
    <row r="363" spans="9:9">
      <c r="I363" s="393">
        <f>Outbound!$B363</f>
        <v>0</v>
      </c>
    </row>
    <row r="364" spans="9:9">
      <c r="I364" s="393">
        <f>Outbound!$B364</f>
        <v>0</v>
      </c>
    </row>
    <row r="365" spans="9:9">
      <c r="I365" s="393">
        <f>Outbound!$B365</f>
        <v>0</v>
      </c>
    </row>
    <row r="366" spans="9:9">
      <c r="I366" s="393">
        <f>Outbound!$B366</f>
        <v>0</v>
      </c>
    </row>
    <row r="367" spans="9:9">
      <c r="I367" s="393">
        <f>Outbound!$B367</f>
        <v>0</v>
      </c>
    </row>
    <row r="368" spans="9:9">
      <c r="I368" s="393" t="str">
        <f>Outbound!$B368</f>
        <v>ITD12267</v>
      </c>
    </row>
    <row r="369" spans="9:9">
      <c r="I369" s="393" t="str">
        <f>Outbound!$B369</f>
        <v>ITD12075</v>
      </c>
    </row>
    <row r="370" spans="9:9">
      <c r="I370" s="393" t="str">
        <f>Outbound!$B370</f>
        <v>ITD12281</v>
      </c>
    </row>
    <row r="371" spans="9:9">
      <c r="I371" s="393" t="str">
        <f>Outbound!$B371</f>
        <v>ITD12340</v>
      </c>
    </row>
    <row r="372" spans="9:9">
      <c r="I372" s="393" t="str">
        <f>Outbound!$B372</f>
        <v>ITD12360</v>
      </c>
    </row>
    <row r="373" spans="9:9">
      <c r="I373" s="393" t="str">
        <f>Outbound!$B373</f>
        <v>ITD12278</v>
      </c>
    </row>
    <row r="374" spans="9:9">
      <c r="I374" s="393" t="str">
        <f>Outbound!$B374</f>
        <v>ITD12096</v>
      </c>
    </row>
    <row r="375" spans="9:9">
      <c r="I375" s="393" t="str">
        <f>Outbound!$B375</f>
        <v>ITD12665</v>
      </c>
    </row>
    <row r="376" spans="9:9">
      <c r="I376" s="393" t="str">
        <f>Outbound!$B376</f>
        <v>ITD12752</v>
      </c>
    </row>
    <row r="377" spans="9:9">
      <c r="I377" s="393" t="str">
        <f>Outbound!$B377</f>
        <v>ITD12365</v>
      </c>
    </row>
    <row r="378" spans="9:9">
      <c r="I378" s="393" t="str">
        <f>Outbound!$B378</f>
        <v>ITD12006</v>
      </c>
    </row>
    <row r="379" spans="9:9">
      <c r="I379" s="393" t="str">
        <f>Outbound!$B379</f>
        <v>ITD12257</v>
      </c>
    </row>
    <row r="380" spans="9:9">
      <c r="I380" s="393" t="str">
        <f>Outbound!$B380</f>
        <v>ERN92518</v>
      </c>
    </row>
    <row r="381" spans="9:9">
      <c r="I381" s="393" t="str">
        <f>Outbound!$B381</f>
        <v>ERN10067</v>
      </c>
    </row>
    <row r="382" spans="9:9">
      <c r="I382" s="393" t="str">
        <f>Outbound!$B382</f>
        <v>ERN18033</v>
      </c>
    </row>
    <row r="383" spans="9:9">
      <c r="I383" s="393" t="str">
        <f>Outbound!$B383</f>
        <v>ERN18370</v>
      </c>
    </row>
    <row r="384" spans="9:9">
      <c r="I384" s="393" t="str">
        <f>Outbound!$B384</f>
        <v>ERN92354</v>
      </c>
    </row>
    <row r="385" spans="9:9">
      <c r="I385" s="393" t="str">
        <f>Outbound!$B385</f>
        <v>ERN92355</v>
      </c>
    </row>
    <row r="386" spans="9:9">
      <c r="I386" s="393" t="str">
        <f>Outbound!$B386</f>
        <v>ERN04154</v>
      </c>
    </row>
    <row r="387" spans="9:9">
      <c r="I387" s="393" t="str">
        <f>Outbound!$B387</f>
        <v>ERN92400</v>
      </c>
    </row>
    <row r="388" spans="9:9">
      <c r="I388" s="393" t="str">
        <f>Outbound!$B388</f>
        <v>ERN92358</v>
      </c>
    </row>
    <row r="389" spans="9:9">
      <c r="I389" s="393" t="str">
        <f>Outbound!$B389</f>
        <v>ERN08176</v>
      </c>
    </row>
    <row r="390" spans="9:9">
      <c r="I390" s="393" t="str">
        <f>Outbound!$B390</f>
        <v>ERN92385</v>
      </c>
    </row>
    <row r="391" spans="9:9">
      <c r="I391" s="393" t="str">
        <f>Outbound!$B391</f>
        <v>ERN92361</v>
      </c>
    </row>
    <row r="392" spans="9:9">
      <c r="I392" s="393" t="str">
        <f>Outbound!$B392</f>
        <v>ERN92363</v>
      </c>
    </row>
    <row r="393" spans="9:9">
      <c r="I393" s="393" t="str">
        <f>Outbound!$B393</f>
        <v>ERN92348</v>
      </c>
    </row>
    <row r="394" spans="9:9">
      <c r="I394" s="393" t="str">
        <f>Outbound!$B394</f>
        <v>Mezzo a disposizione 1</v>
      </c>
    </row>
    <row r="395" spans="9:9">
      <c r="I395" s="393" t="str">
        <f>Outbound!$B395</f>
        <v>ITD90230</v>
      </c>
    </row>
    <row r="396" spans="9:9">
      <c r="I396" s="393" t="str">
        <f>Outbound!$B396</f>
        <v>Mezzo a disposizione 11</v>
      </c>
    </row>
    <row r="397" spans="9:9">
      <c r="I397" s="393" t="str">
        <f>Outbound!$B397</f>
        <v>Mezzo a disposizione 12</v>
      </c>
    </row>
    <row r="398" spans="9:9">
      <c r="I398" s="393" t="str">
        <f>Outbound!$B398</f>
        <v>Mezzo a disposizione 13</v>
      </c>
    </row>
    <row r="399" spans="9:9">
      <c r="I399" s="393" t="str">
        <f>Outbound!$B399</f>
        <v>Mezzo a disposizione 14</v>
      </c>
    </row>
    <row r="400" spans="9:9">
      <c r="I400" s="393" t="str">
        <f>Outbound!$B400</f>
        <v>Mezzo a disposizione 15</v>
      </c>
    </row>
    <row r="401" spans="9:9">
      <c r="I401" s="393" t="str">
        <f>Outbound!$B401</f>
        <v>Mezzo a disposizione 16</v>
      </c>
    </row>
    <row r="402" spans="9:9">
      <c r="I402" s="393" t="str">
        <f>Outbound!$B402</f>
        <v>Mezzo a disposizione 17</v>
      </c>
    </row>
    <row r="403" spans="9:9">
      <c r="I403" s="393" t="str">
        <f>Outbound!$B403</f>
        <v>Mezzo a disposizione 18</v>
      </c>
    </row>
    <row r="404" spans="9:9">
      <c r="I404" s="393" t="str">
        <f>Outbound!$B404</f>
        <v>Mezzo a disposizione 19</v>
      </c>
    </row>
    <row r="405" spans="9:9">
      <c r="I405" s="393" t="str">
        <f>Outbound!$B405</f>
        <v>Mezzo a disposizione 3</v>
      </c>
    </row>
    <row r="406" spans="9:9">
      <c r="I406" s="393" t="str">
        <f>Outbound!$B406</f>
        <v>Mezzo a disposizione 4</v>
      </c>
    </row>
    <row r="407" spans="9:9">
      <c r="I407" s="393" t="str">
        <f>Outbound!$B407</f>
        <v>Mezzo a disposizione 5</v>
      </c>
    </row>
    <row r="408" spans="9:9">
      <c r="I408" s="393" t="str">
        <f>Outbound!$B408</f>
        <v>Mezzo a disposizione 6</v>
      </c>
    </row>
    <row r="409" spans="9:9">
      <c r="I409" s="393" t="str">
        <f>Outbound!$B409</f>
        <v>Mezzo a disposizione 7</v>
      </c>
    </row>
    <row r="410" spans="9:9">
      <c r="I410" s="393" t="str">
        <f>Outbound!$B410</f>
        <v>Mezzo a disposizione 8</v>
      </c>
    </row>
    <row r="411" spans="9:9">
      <c r="I411" s="393" t="str">
        <f>Outbound!$B411</f>
        <v>Mezzo a disposizione 9</v>
      </c>
    </row>
    <row r="412" spans="9:9">
      <c r="I412" s="393">
        <f>Outbound!$B412</f>
        <v>0</v>
      </c>
    </row>
    <row r="413" spans="9:9">
      <c r="I413" s="393">
        <f>Outbound!$B413</f>
        <v>0</v>
      </c>
    </row>
    <row r="414" spans="9:9">
      <c r="I414" s="393">
        <f>Outbound!$B414</f>
        <v>0</v>
      </c>
    </row>
    <row r="415" spans="9:9">
      <c r="I415" s="393">
        <f>Outbound!$B415</f>
        <v>0</v>
      </c>
    </row>
    <row r="416" spans="9:9">
      <c r="I416" s="393">
        <f>Outbound!$B416</f>
        <v>0</v>
      </c>
    </row>
    <row r="417" spans="9:9">
      <c r="I417" s="393">
        <f>Outbound!$B417</f>
        <v>0</v>
      </c>
    </row>
    <row r="418" spans="9:9">
      <c r="I418" s="393">
        <f>Outbound!$B418</f>
        <v>0</v>
      </c>
    </row>
    <row r="419" spans="9:9">
      <c r="I419" s="393">
        <f>Outbound!$B419</f>
        <v>0</v>
      </c>
    </row>
    <row r="420" spans="9:9">
      <c r="I420" s="393">
        <f>Outbound!$B420</f>
        <v>0</v>
      </c>
    </row>
    <row r="421" spans="9:9">
      <c r="I421" s="393">
        <f>Outbound!$B421</f>
        <v>0</v>
      </c>
    </row>
    <row r="422" spans="9:9">
      <c r="I422" s="393">
        <f>Outbound!$B422</f>
        <v>0</v>
      </c>
    </row>
    <row r="423" spans="9:9">
      <c r="I423" s="393">
        <f>Outbound!$B423</f>
        <v>0</v>
      </c>
    </row>
    <row r="424" spans="9:9">
      <c r="I424" s="393">
        <f>Outbound!$B424</f>
        <v>0</v>
      </c>
    </row>
    <row r="425" spans="9:9">
      <c r="I425" s="393">
        <f>Outbound!$B425</f>
        <v>0</v>
      </c>
    </row>
    <row r="426" spans="9:9">
      <c r="I426" s="393">
        <f>Outbound!$B426</f>
        <v>0</v>
      </c>
    </row>
    <row r="427" spans="9:9">
      <c r="I427" s="393">
        <f>Outbound!$B427</f>
        <v>0</v>
      </c>
    </row>
    <row r="428" spans="9:9">
      <c r="I428" s="393">
        <f>Outbound!$B428</f>
        <v>0</v>
      </c>
    </row>
    <row r="429" spans="9:9">
      <c r="I429" s="393">
        <f>Outbound!$B429</f>
        <v>0</v>
      </c>
    </row>
    <row r="430" spans="9:9">
      <c r="I430" s="393">
        <f>Outbound!$B430</f>
        <v>0</v>
      </c>
    </row>
    <row r="431" spans="9:9">
      <c r="I431" s="393">
        <f>Outbound!$B431</f>
        <v>0</v>
      </c>
    </row>
    <row r="432" spans="9:9">
      <c r="I432" s="393">
        <f>Outbound!$B432</f>
        <v>0</v>
      </c>
    </row>
    <row r="433" spans="9:9">
      <c r="I433" s="393">
        <f>Outbound!$B433</f>
        <v>0</v>
      </c>
    </row>
    <row r="434" spans="9:9">
      <c r="I434" s="393">
        <f>Outbound!$B434</f>
        <v>0</v>
      </c>
    </row>
    <row r="435" spans="9:9">
      <c r="I435" s="393">
        <f>Outbound!$B435</f>
        <v>0</v>
      </c>
    </row>
    <row r="436" spans="9:9">
      <c r="I436" s="393">
        <f>Outbound!$B436</f>
        <v>0</v>
      </c>
    </row>
    <row r="437" spans="9:9">
      <c r="I437" s="393">
        <f>Outbound!$B437</f>
        <v>0</v>
      </c>
    </row>
    <row r="438" spans="9:9">
      <c r="I438" s="393">
        <f>Outbound!$B438</f>
        <v>0</v>
      </c>
    </row>
    <row r="439" spans="9:9">
      <c r="I439" s="393">
        <f>Outbound!$B439</f>
        <v>0</v>
      </c>
    </row>
    <row r="440" spans="9:9">
      <c r="I440" s="393">
        <f>Outbound!$B440</f>
        <v>0</v>
      </c>
    </row>
    <row r="441" spans="9:9">
      <c r="I441" s="393">
        <f>Outbound!$B441</f>
        <v>0</v>
      </c>
    </row>
    <row r="442" spans="9:9">
      <c r="I442" s="393">
        <f>Outbound!$B442</f>
        <v>0</v>
      </c>
    </row>
    <row r="443" spans="9:9">
      <c r="I443" s="393">
        <f>Outbound!$B443</f>
        <v>0</v>
      </c>
    </row>
    <row r="444" spans="9:9">
      <c r="I444" s="393">
        <f>Outbound!$B444</f>
        <v>0</v>
      </c>
    </row>
    <row r="445" spans="9:9">
      <c r="I445" s="393">
        <f>Outbound!$B445</f>
        <v>0</v>
      </c>
    </row>
    <row r="446" spans="9:9">
      <c r="I446" s="393">
        <f>Outbound!$B446</f>
        <v>0</v>
      </c>
    </row>
    <row r="447" spans="9:9">
      <c r="I447" s="393">
        <f>Outbound!$B447</f>
        <v>0</v>
      </c>
    </row>
    <row r="448" spans="9:9">
      <c r="I448" s="393">
        <f>Outbound!$B448</f>
        <v>0</v>
      </c>
    </row>
    <row r="449" spans="9:9">
      <c r="I449" s="393">
        <f>Outbound!$B449</f>
        <v>0</v>
      </c>
    </row>
    <row r="450" spans="9:9">
      <c r="I450" s="393">
        <f>Outbound!$B450</f>
        <v>0</v>
      </c>
    </row>
    <row r="451" spans="9:9">
      <c r="I451" s="393">
        <f>Outbound!$B451</f>
        <v>0</v>
      </c>
    </row>
    <row r="452" spans="9:9">
      <c r="I452" s="393">
        <f>Outbound!$B452</f>
        <v>0</v>
      </c>
    </row>
    <row r="453" spans="9:9">
      <c r="I453" s="393">
        <f>Outbound!$B453</f>
        <v>0</v>
      </c>
    </row>
    <row r="454" spans="9:9">
      <c r="I454" s="393">
        <f>Outbound!$B454</f>
        <v>0</v>
      </c>
    </row>
    <row r="455" spans="9:9">
      <c r="I455" s="393">
        <f>Outbound!$B455</f>
        <v>0</v>
      </c>
    </row>
    <row r="456" spans="9:9">
      <c r="I456" s="393">
        <f>Outbound!$B456</f>
        <v>0</v>
      </c>
    </row>
    <row r="457" spans="9:9">
      <c r="I457" s="393">
        <f>Outbound!$B457</f>
        <v>0</v>
      </c>
    </row>
    <row r="458" spans="9:9">
      <c r="I458" s="393">
        <f>Outbound!$B458</f>
        <v>0</v>
      </c>
    </row>
    <row r="459" spans="9:9">
      <c r="I459" s="393">
        <f>Outbound!$B459</f>
        <v>0</v>
      </c>
    </row>
    <row r="460" spans="9:9">
      <c r="I460" s="393">
        <f>Outbound!$B460</f>
        <v>0</v>
      </c>
    </row>
    <row r="461" spans="9:9">
      <c r="I461" s="393">
        <f>Outbound!$B461</f>
        <v>0</v>
      </c>
    </row>
    <row r="462" spans="9:9">
      <c r="I462" s="393">
        <f>Outbound!$B462</f>
        <v>0</v>
      </c>
    </row>
    <row r="463" spans="9:9">
      <c r="I463" s="393">
        <f>Outbound!$B463</f>
        <v>0</v>
      </c>
    </row>
    <row r="464" spans="9:9">
      <c r="I464" s="393">
        <f>Outbound!$B464</f>
        <v>0</v>
      </c>
    </row>
    <row r="465" spans="9:9">
      <c r="I465" s="393">
        <f>Outbound!$B465</f>
        <v>0</v>
      </c>
    </row>
    <row r="466" spans="9:9">
      <c r="I466" s="393">
        <f>Outbound!$B466</f>
        <v>0</v>
      </c>
    </row>
    <row r="467" spans="9:9">
      <c r="I467" s="393">
        <f>Outbound!$B467</f>
        <v>0</v>
      </c>
    </row>
    <row r="468" spans="9:9">
      <c r="I468" s="393">
        <f>Outbound!$B468</f>
        <v>0</v>
      </c>
    </row>
    <row r="469" spans="9:9">
      <c r="I469" s="393">
        <f>Outbound!$B469</f>
        <v>0</v>
      </c>
    </row>
    <row r="470" spans="9:9">
      <c r="I470" s="393">
        <f>Outbound!$B470</f>
        <v>0</v>
      </c>
    </row>
    <row r="471" spans="9:9">
      <c r="I471" s="393">
        <f>Outbound!$B471</f>
        <v>0</v>
      </c>
    </row>
    <row r="472" spans="9:9">
      <c r="I472" s="393">
        <f>Outbound!$B472</f>
        <v>0</v>
      </c>
    </row>
    <row r="473" spans="9:9">
      <c r="I473" s="393">
        <f>Outbound!$B473</f>
        <v>0</v>
      </c>
    </row>
    <row r="474" spans="9:9">
      <c r="I474" s="393">
        <f>Outbound!$B474</f>
        <v>0</v>
      </c>
    </row>
    <row r="475" spans="9:9">
      <c r="I475" s="393">
        <f>Outbound!$B475</f>
        <v>0</v>
      </c>
    </row>
    <row r="476" spans="9:9">
      <c r="I476" s="393">
        <f>Outbound!$B476</f>
        <v>0</v>
      </c>
    </row>
    <row r="477" spans="9:9">
      <c r="I477" s="393">
        <f>Outbound!$B477</f>
        <v>0</v>
      </c>
    </row>
    <row r="478" spans="9:9">
      <c r="I478" s="393">
        <f>Outbound!$B478</f>
        <v>0</v>
      </c>
    </row>
    <row r="479" spans="9:9">
      <c r="I479" s="393">
        <f>Outbound!$B479</f>
        <v>0</v>
      </c>
    </row>
    <row r="480" spans="9:9">
      <c r="I480" s="393">
        <f>Outbound!$B480</f>
        <v>0</v>
      </c>
    </row>
    <row r="481" spans="9:9">
      <c r="I481" s="393">
        <f>Outbound!$B481</f>
        <v>0</v>
      </c>
    </row>
    <row r="482" spans="9:9">
      <c r="I482" s="393">
        <f>Outbound!$B482</f>
        <v>0</v>
      </c>
    </row>
    <row r="483" spans="9:9">
      <c r="I483" s="393">
        <f>Outbound!$B483</f>
        <v>0</v>
      </c>
    </row>
    <row r="484" spans="9:9">
      <c r="I484" s="393">
        <f>Outbound!$B484</f>
        <v>0</v>
      </c>
    </row>
    <row r="485" spans="9:9">
      <c r="I485" s="393">
        <f>Outbound!$B485</f>
        <v>0</v>
      </c>
    </row>
    <row r="486" spans="9:9">
      <c r="I486" s="393">
        <f>Outbound!$B486</f>
        <v>0</v>
      </c>
    </row>
    <row r="487" spans="9:9">
      <c r="I487" s="393">
        <f>Outbound!$B487</f>
        <v>0</v>
      </c>
    </row>
    <row r="488" spans="9:9">
      <c r="I488" s="393">
        <f>Outbound!$B488</f>
        <v>0</v>
      </c>
    </row>
    <row r="489" spans="9:9">
      <c r="I489" s="393">
        <f>Outbound!$B489</f>
        <v>0</v>
      </c>
    </row>
    <row r="490" spans="9:9">
      <c r="I490" s="393">
        <f>Outbound!$B490</f>
        <v>0</v>
      </c>
    </row>
    <row r="491" spans="9:9">
      <c r="I491" s="393">
        <f>Outbound!$B491</f>
        <v>0</v>
      </c>
    </row>
    <row r="492" spans="9:9">
      <c r="I492" s="393">
        <f>Outbound!$B492</f>
        <v>0</v>
      </c>
    </row>
    <row r="493" spans="9:9">
      <c r="I493" s="393">
        <f>Outbound!$B493</f>
        <v>0</v>
      </c>
    </row>
    <row r="494" spans="9:9">
      <c r="I494" s="393">
        <f>Outbound!$B494</f>
        <v>0</v>
      </c>
    </row>
    <row r="495" spans="9:9">
      <c r="I495" s="393">
        <f>Outbound!$B495</f>
        <v>0</v>
      </c>
    </row>
    <row r="496" spans="9:9">
      <c r="I496" s="393">
        <f>Outbound!$B496</f>
        <v>0</v>
      </c>
    </row>
    <row r="497" spans="9:9">
      <c r="I497" s="393">
        <f>Outbound!$B497</f>
        <v>0</v>
      </c>
    </row>
    <row r="498" spans="9:9">
      <c r="I498" s="393">
        <f>Outbound!$B498</f>
        <v>0</v>
      </c>
    </row>
    <row r="499" spans="9:9">
      <c r="I499" s="393">
        <f>Outbound!$B499</f>
        <v>0</v>
      </c>
    </row>
    <row r="500" spans="9:9">
      <c r="I500" s="393">
        <f>Outbound!$B500</f>
        <v>0</v>
      </c>
    </row>
    <row r="501" spans="9:9">
      <c r="I501" s="393">
        <f>Outbound!$B501</f>
        <v>0</v>
      </c>
    </row>
    <row r="502" spans="9:9">
      <c r="I502" s="393">
        <f>Outbound!$B502</f>
        <v>0</v>
      </c>
    </row>
    <row r="503" spans="9:9">
      <c r="I503" s="393">
        <f>Outbound!$B503</f>
        <v>0</v>
      </c>
    </row>
    <row r="504" spans="9:9">
      <c r="I504" s="393">
        <f>Outbound!$B504</f>
        <v>0</v>
      </c>
    </row>
    <row r="505" spans="9:9">
      <c r="I505" s="393">
        <f>Outbound!$B505</f>
        <v>0</v>
      </c>
    </row>
    <row r="506" spans="9:9">
      <c r="I506" s="393">
        <f>Outbound!$B506</f>
        <v>0</v>
      </c>
    </row>
    <row r="507" spans="9:9">
      <c r="I507" s="393">
        <f>Outbound!$B507</f>
        <v>0</v>
      </c>
    </row>
    <row r="508" spans="9:9">
      <c r="I508" s="393">
        <f>Outbound!$B508</f>
        <v>0</v>
      </c>
    </row>
    <row r="509" spans="9:9">
      <c r="I509" s="393">
        <f>Outbound!$B509</f>
        <v>0</v>
      </c>
    </row>
    <row r="510" spans="9:9">
      <c r="I510" s="393">
        <f>Outbound!$B510</f>
        <v>0</v>
      </c>
    </row>
    <row r="511" spans="9:9">
      <c r="I511" s="393">
        <f>Outbound!$B511</f>
        <v>0</v>
      </c>
    </row>
    <row r="512" spans="9:9">
      <c r="I512" s="393">
        <f>Outbound!$B512</f>
        <v>0</v>
      </c>
    </row>
    <row r="513" spans="9:9">
      <c r="I513" s="393">
        <f>Outbound!$B513</f>
        <v>0</v>
      </c>
    </row>
    <row r="514" spans="9:9">
      <c r="I514" s="393">
        <f>Outbound!$B514</f>
        <v>0</v>
      </c>
    </row>
    <row r="515" spans="9:9">
      <c r="I515" s="393">
        <f>Outbound!$B515</f>
        <v>0</v>
      </c>
    </row>
    <row r="516" spans="9:9">
      <c r="I516" s="393">
        <f>Outbound!$B516</f>
        <v>0</v>
      </c>
    </row>
    <row r="517" spans="9:9">
      <c r="I517" s="393">
        <f>Outbound!$B517</f>
        <v>0</v>
      </c>
    </row>
    <row r="518" spans="9:9">
      <c r="I518" s="393">
        <f>Outbound!$B518</f>
        <v>0</v>
      </c>
    </row>
    <row r="519" spans="9:9">
      <c r="I519" s="393">
        <f>Outbound!$B519</f>
        <v>0</v>
      </c>
    </row>
    <row r="520" spans="9:9">
      <c r="I520" s="393">
        <f>Outbound!$B520</f>
        <v>0</v>
      </c>
    </row>
    <row r="521" spans="9:9">
      <c r="I521" s="393">
        <f>Outbound!$B521</f>
        <v>0</v>
      </c>
    </row>
    <row r="522" spans="9:9">
      <c r="I522" s="393">
        <f>Outbound!$B522</f>
        <v>0</v>
      </c>
    </row>
    <row r="523" spans="9:9">
      <c r="I523" s="393">
        <f>Outbound!$B523</f>
        <v>0</v>
      </c>
    </row>
    <row r="524" spans="9:9">
      <c r="I524" s="393">
        <f>Outbound!$B524</f>
        <v>0</v>
      </c>
    </row>
    <row r="525" spans="9:9">
      <c r="I525" s="393">
        <f>Outbound!$B525</f>
        <v>0</v>
      </c>
    </row>
    <row r="526" spans="9:9">
      <c r="I526" s="393">
        <f>Outbound!$B526</f>
        <v>0</v>
      </c>
    </row>
    <row r="527" spans="9:9">
      <c r="I527" s="393">
        <f>Outbound!$B527</f>
        <v>0</v>
      </c>
    </row>
    <row r="528" spans="9:9">
      <c r="I528" s="393">
        <f>Outbound!$B528</f>
        <v>0</v>
      </c>
    </row>
    <row r="529" spans="9:9">
      <c r="I529" s="393">
        <f>Outbound!$B529</f>
        <v>0</v>
      </c>
    </row>
    <row r="530" spans="9:9">
      <c r="I530" s="393">
        <f>Outbound!$B530</f>
        <v>0</v>
      </c>
    </row>
    <row r="531" spans="9:9">
      <c r="I531" s="393">
        <f>Outbound!$B531</f>
        <v>0</v>
      </c>
    </row>
    <row r="532" spans="9:9">
      <c r="I532" s="393">
        <f>Outbound!$B532</f>
        <v>0</v>
      </c>
    </row>
    <row r="533" spans="9:9">
      <c r="I533" s="393">
        <f>Outbound!$B533</f>
        <v>0</v>
      </c>
    </row>
    <row r="534" spans="9:9">
      <c r="I534" s="393">
        <f>Outbound!$B534</f>
        <v>0</v>
      </c>
    </row>
    <row r="535" spans="9:9">
      <c r="I535" s="393">
        <f>Outbound!$B535</f>
        <v>0</v>
      </c>
    </row>
    <row r="536" spans="9:9">
      <c r="I536" s="393">
        <f>Outbound!$B536</f>
        <v>0</v>
      </c>
    </row>
    <row r="537" spans="9:9">
      <c r="I537" s="393">
        <f>Outbound!$B537</f>
        <v>0</v>
      </c>
    </row>
    <row r="538" spans="9:9">
      <c r="I538" s="393">
        <f>Outbound!$B538</f>
        <v>0</v>
      </c>
    </row>
    <row r="539" spans="9:9">
      <c r="I539" s="393">
        <f>Outbound!$B539</f>
        <v>0</v>
      </c>
    </row>
    <row r="540" spans="9:9">
      <c r="I540" s="393">
        <f>Outbound!$B540</f>
        <v>0</v>
      </c>
    </row>
    <row r="541" spans="9:9">
      <c r="I541" s="393">
        <f>Outbound!$B541</f>
        <v>0</v>
      </c>
    </row>
    <row r="542" spans="9:9">
      <c r="I542" s="393">
        <f>Outbound!$B542</f>
        <v>0</v>
      </c>
    </row>
    <row r="543" spans="9:9">
      <c r="I543" s="393">
        <f>Outbound!$B543</f>
        <v>0</v>
      </c>
    </row>
    <row r="544" spans="9:9">
      <c r="I544" s="393">
        <f>Outbound!$B544</f>
        <v>0</v>
      </c>
    </row>
    <row r="545" spans="9:9">
      <c r="I545" s="393">
        <f>Outbound!$B545</f>
        <v>0</v>
      </c>
    </row>
    <row r="546" spans="9:9">
      <c r="I546" s="393">
        <f>Outbound!$B546</f>
        <v>0</v>
      </c>
    </row>
    <row r="547" spans="9:9">
      <c r="I547" s="393">
        <f>Outbound!$B547</f>
        <v>0</v>
      </c>
    </row>
    <row r="548" spans="9:9">
      <c r="I548" s="393">
        <f>Outbound!$B548</f>
        <v>0</v>
      </c>
    </row>
    <row r="549" spans="9:9">
      <c r="I549" s="393">
        <f>Outbound!$B549</f>
        <v>0</v>
      </c>
    </row>
    <row r="550" spans="9:9">
      <c r="I550" s="393">
        <f>Outbound!$B550</f>
        <v>0</v>
      </c>
    </row>
    <row r="551" spans="9:9">
      <c r="I551" s="393">
        <f>Outbound!$B551</f>
        <v>0</v>
      </c>
    </row>
    <row r="552" spans="9:9">
      <c r="I552" s="393">
        <f>Outbound!$B552</f>
        <v>0</v>
      </c>
    </row>
    <row r="553" spans="9:9">
      <c r="I553" s="393">
        <f>Outbound!$B553</f>
        <v>0</v>
      </c>
    </row>
    <row r="554" spans="9:9">
      <c r="I554" s="393">
        <f>Outbound!$B554</f>
        <v>0</v>
      </c>
    </row>
    <row r="555" spans="9:9">
      <c r="I555" s="393">
        <f>Outbound!$B555</f>
        <v>0</v>
      </c>
    </row>
    <row r="556" spans="9:9">
      <c r="I556" s="393">
        <f>Outbound!$B556</f>
        <v>0</v>
      </c>
    </row>
    <row r="557" spans="9:9">
      <c r="I557" s="393">
        <f>Outbound!$B557</f>
        <v>0</v>
      </c>
    </row>
    <row r="558" spans="9:9">
      <c r="I558" s="393">
        <f>Outbound!$B558</f>
        <v>0</v>
      </c>
    </row>
    <row r="559" spans="9:9">
      <c r="I559" s="393">
        <f>Outbound!$B559</f>
        <v>0</v>
      </c>
    </row>
    <row r="560" spans="9:9">
      <c r="I560" s="393">
        <f>Outbound!$B560</f>
        <v>0</v>
      </c>
    </row>
    <row r="561" spans="9:9">
      <c r="I561" s="393">
        <f>Outbound!$B561</f>
        <v>0</v>
      </c>
    </row>
    <row r="562" spans="9:9">
      <c r="I562" s="393">
        <f>Outbound!$B562</f>
        <v>0</v>
      </c>
    </row>
    <row r="563" spans="9:9">
      <c r="I563" s="393">
        <f>Outbound!$B563</f>
        <v>0</v>
      </c>
    </row>
    <row r="564" spans="9:9">
      <c r="I564" s="393">
        <f>Outbound!$B564</f>
        <v>0</v>
      </c>
    </row>
    <row r="565" spans="9:9">
      <c r="I565" s="393">
        <f>Outbound!$B565</f>
        <v>0</v>
      </c>
    </row>
    <row r="566" spans="9:9">
      <c r="I566" s="393">
        <f>Outbound!$B566</f>
        <v>0</v>
      </c>
    </row>
    <row r="567" spans="9:9">
      <c r="I567" s="393">
        <f>Outbound!$B567</f>
        <v>0</v>
      </c>
    </row>
    <row r="568" spans="9:9">
      <c r="I568" s="393">
        <f>Outbound!$B568</f>
        <v>0</v>
      </c>
    </row>
    <row r="569" spans="9:9">
      <c r="I569" s="393">
        <f>Outbound!$B569</f>
        <v>0</v>
      </c>
    </row>
    <row r="570" spans="9:9">
      <c r="I570" s="393">
        <f>Outbound!$B570</f>
        <v>0</v>
      </c>
    </row>
    <row r="571" spans="9:9">
      <c r="I571" s="393">
        <f>Outbound!$B571</f>
        <v>0</v>
      </c>
    </row>
    <row r="572" spans="9:9">
      <c r="I572" s="393">
        <f>Outbound!$B572</f>
        <v>0</v>
      </c>
    </row>
    <row r="573" spans="9:9">
      <c r="I573" s="393">
        <f>Outbound!$B573</f>
        <v>0</v>
      </c>
    </row>
    <row r="574" spans="9:9">
      <c r="I574" s="393">
        <f>Outbound!$B574</f>
        <v>0</v>
      </c>
    </row>
    <row r="575" spans="9:9">
      <c r="I575" s="393">
        <f>Outbound!$B575</f>
        <v>0</v>
      </c>
    </row>
    <row r="576" spans="9:9">
      <c r="I576" s="393">
        <f>Outbound!$B576</f>
        <v>0</v>
      </c>
    </row>
    <row r="577" spans="9:9">
      <c r="I577" s="393">
        <f>Outbound!$B577</f>
        <v>0</v>
      </c>
    </row>
    <row r="578" spans="9:9">
      <c r="I578" s="393">
        <f>Outbound!$B578</f>
        <v>0</v>
      </c>
    </row>
    <row r="579" spans="9:9">
      <c r="I579" s="393">
        <f>Outbound!$B579</f>
        <v>0</v>
      </c>
    </row>
    <row r="580" spans="9:9">
      <c r="I580" s="393">
        <f>Outbound!$B580</f>
        <v>0</v>
      </c>
    </row>
    <row r="581" spans="9:9">
      <c r="I581" s="393">
        <f>Outbound!$B581</f>
        <v>0</v>
      </c>
    </row>
    <row r="582" spans="9:9">
      <c r="I582" s="393">
        <f>Outbound!$B582</f>
        <v>0</v>
      </c>
    </row>
    <row r="583" spans="9:9">
      <c r="I583" s="393">
        <f>Outbound!$B583</f>
        <v>0</v>
      </c>
    </row>
    <row r="584" spans="9:9">
      <c r="I584" s="393">
        <f>Outbound!$B584</f>
        <v>0</v>
      </c>
    </row>
    <row r="585" spans="9:9">
      <c r="I585" s="393">
        <f>Outbound!$B585</f>
        <v>0</v>
      </c>
    </row>
    <row r="586" spans="9:9">
      <c r="I586" s="393">
        <f>Outbound!$B586</f>
        <v>0</v>
      </c>
    </row>
    <row r="587" spans="9:9">
      <c r="I587" s="393">
        <f>Outbound!$B587</f>
        <v>0</v>
      </c>
    </row>
    <row r="588" spans="9:9">
      <c r="I588" s="393">
        <f>Outbound!$B588</f>
        <v>0</v>
      </c>
    </row>
    <row r="589" spans="9:9">
      <c r="I589" s="393">
        <f>Outbound!$B589</f>
        <v>0</v>
      </c>
    </row>
    <row r="590" spans="9:9">
      <c r="I590" s="393">
        <f>Outbound!$B590</f>
        <v>0</v>
      </c>
    </row>
    <row r="591" spans="9:9">
      <c r="I591" s="393">
        <f>Outbound!$B591</f>
        <v>0</v>
      </c>
    </row>
    <row r="592" spans="9:9">
      <c r="I592" s="393">
        <f>Outbound!$B592</f>
        <v>0</v>
      </c>
    </row>
    <row r="593" spans="9:9">
      <c r="I593" s="393">
        <f>Outbound!$B593</f>
        <v>0</v>
      </c>
    </row>
    <row r="594" spans="9:9">
      <c r="I594" s="393">
        <f>Outbound!$B594</f>
        <v>0</v>
      </c>
    </row>
    <row r="595" spans="9:9">
      <c r="I595" s="393">
        <f>Outbound!$B595</f>
        <v>0</v>
      </c>
    </row>
    <row r="596" spans="9:9">
      <c r="I596" s="393">
        <f>Outbound!$B596</f>
        <v>0</v>
      </c>
    </row>
    <row r="597" spans="9:9">
      <c r="I597" s="393">
        <f>Outbound!$B597</f>
        <v>0</v>
      </c>
    </row>
    <row r="598" spans="9:9">
      <c r="I598" s="393">
        <f>Outbound!$B598</f>
        <v>0</v>
      </c>
    </row>
    <row r="599" spans="9:9">
      <c r="I599" s="393">
        <f>Outbound!$B599</f>
        <v>0</v>
      </c>
    </row>
    <row r="600" spans="9:9">
      <c r="I600" s="393">
        <f>Outbound!$B600</f>
        <v>0</v>
      </c>
    </row>
    <row r="601" spans="9:9">
      <c r="I601" s="393">
        <f>Outbound!$B601</f>
        <v>0</v>
      </c>
    </row>
    <row r="602" spans="9:9">
      <c r="I602" s="393">
        <f>Outbound!$B602</f>
        <v>0</v>
      </c>
    </row>
    <row r="603" spans="9:9">
      <c r="I603" s="393">
        <f>Outbound!$B603</f>
        <v>0</v>
      </c>
    </row>
    <row r="604" spans="9:9">
      <c r="I604" s="393">
        <f>Outbound!$B604</f>
        <v>0</v>
      </c>
    </row>
    <row r="605" spans="9:9">
      <c r="I605" s="393">
        <f>Outbound!$B605</f>
        <v>0</v>
      </c>
    </row>
    <row r="606" spans="9:9">
      <c r="I606" s="393">
        <f>Outbound!$B606</f>
        <v>0</v>
      </c>
    </row>
    <row r="607" spans="9:9">
      <c r="I607" s="393">
        <f>Outbound!$B607</f>
        <v>0</v>
      </c>
    </row>
    <row r="608" spans="9:9">
      <c r="I608" s="393">
        <f>Outbound!$B608</f>
        <v>0</v>
      </c>
    </row>
    <row r="609" spans="9:9">
      <c r="I609" s="393">
        <f>Outbound!$B609</f>
        <v>0</v>
      </c>
    </row>
    <row r="610" spans="9:9">
      <c r="I610" s="393">
        <f>Outbound!$B610</f>
        <v>0</v>
      </c>
    </row>
    <row r="611" spans="9:9">
      <c r="I611" s="393">
        <f>Outbound!$B611</f>
        <v>0</v>
      </c>
    </row>
    <row r="612" spans="9:9">
      <c r="I612" s="393">
        <f>Outbound!$B612</f>
        <v>0</v>
      </c>
    </row>
    <row r="613" spans="9:9">
      <c r="I613" s="393">
        <f>Outbound!$B613</f>
        <v>0</v>
      </c>
    </row>
    <row r="614" spans="9:9">
      <c r="I614" s="393">
        <f>Outbound!$B614</f>
        <v>0</v>
      </c>
    </row>
    <row r="615" spans="9:9">
      <c r="I615" s="393">
        <f>Outbound!$B615</f>
        <v>0</v>
      </c>
    </row>
    <row r="616" spans="9:9">
      <c r="I616" s="393">
        <f>Outbound!$B616</f>
        <v>0</v>
      </c>
    </row>
    <row r="617" spans="9:9">
      <c r="I617" s="393">
        <f>Outbound!$B617</f>
        <v>0</v>
      </c>
    </row>
    <row r="618" spans="9:9">
      <c r="I618" s="393">
        <f>Outbound!$B618</f>
        <v>0</v>
      </c>
    </row>
    <row r="619" spans="9:9">
      <c r="I619" s="393">
        <f>Outbound!$B619</f>
        <v>0</v>
      </c>
    </row>
    <row r="620" spans="9:9">
      <c r="I620" s="393">
        <f>Outbound!$B620</f>
        <v>0</v>
      </c>
    </row>
    <row r="621" spans="9:9">
      <c r="I621" s="393">
        <f>Outbound!$B621</f>
        <v>0</v>
      </c>
    </row>
    <row r="622" spans="9:9">
      <c r="I622" s="393">
        <f>Outbound!$B622</f>
        <v>0</v>
      </c>
    </row>
    <row r="623" spans="9:9">
      <c r="I623" s="393">
        <f>Outbound!$B623</f>
        <v>0</v>
      </c>
    </row>
    <row r="624" spans="9:9">
      <c r="I624" s="393">
        <f>Outbound!$B624</f>
        <v>0</v>
      </c>
    </row>
    <row r="625" spans="9:9">
      <c r="I625" s="393">
        <f>Outbound!$B625</f>
        <v>0</v>
      </c>
    </row>
    <row r="626" spans="9:9">
      <c r="I626" s="393">
        <f>Outbound!$B626</f>
        <v>0</v>
      </c>
    </row>
    <row r="627" spans="9:9">
      <c r="I627" s="393">
        <f>Outbound!$B627</f>
        <v>0</v>
      </c>
    </row>
    <row r="628" spans="9:9">
      <c r="I628" s="393">
        <f>Outbound!$B628</f>
        <v>0</v>
      </c>
    </row>
    <row r="629" spans="9:9">
      <c r="I629" s="393">
        <f>Outbound!$B629</f>
        <v>0</v>
      </c>
    </row>
    <row r="630" spans="9:9">
      <c r="I630" s="393">
        <f>Outbound!$B630</f>
        <v>0</v>
      </c>
    </row>
    <row r="631" spans="9:9">
      <c r="I631" s="393">
        <f>Outbound!$B631</f>
        <v>0</v>
      </c>
    </row>
    <row r="632" spans="9:9">
      <c r="I632" s="393">
        <f>Outbound!$B632</f>
        <v>0</v>
      </c>
    </row>
    <row r="633" spans="9:9">
      <c r="I633" s="393">
        <f>Outbound!$B633</f>
        <v>0</v>
      </c>
    </row>
    <row r="634" spans="9:9">
      <c r="I634" s="393">
        <f>Outbound!$B634</f>
        <v>0</v>
      </c>
    </row>
    <row r="635" spans="9:9">
      <c r="I635" s="393">
        <f>Outbound!$B635</f>
        <v>0</v>
      </c>
    </row>
    <row r="636" spans="9:9">
      <c r="I636" s="393">
        <f>Outbound!$B636</f>
        <v>0</v>
      </c>
    </row>
    <row r="637" spans="9:9">
      <c r="I637" s="393">
        <f>Outbound!$B637</f>
        <v>0</v>
      </c>
    </row>
    <row r="638" spans="9:9">
      <c r="I638" s="393">
        <f>Outbound!$B638</f>
        <v>0</v>
      </c>
    </row>
    <row r="639" spans="9:9">
      <c r="I639" s="393">
        <f>Outbound!$B639</f>
        <v>0</v>
      </c>
    </row>
    <row r="640" spans="9:9">
      <c r="I640" s="393">
        <f>Outbound!$B640</f>
        <v>0</v>
      </c>
    </row>
    <row r="641" spans="9:9">
      <c r="I641" s="393">
        <f>Outbound!$B641</f>
        <v>0</v>
      </c>
    </row>
    <row r="642" spans="9:9">
      <c r="I642" s="393">
        <f>Outbound!$B642</f>
        <v>0</v>
      </c>
    </row>
    <row r="643" spans="9:9">
      <c r="I643" s="393">
        <f>Outbound!$B643</f>
        <v>0</v>
      </c>
    </row>
    <row r="644" spans="9:9">
      <c r="I644" s="393">
        <f>Outbound!$B644</f>
        <v>0</v>
      </c>
    </row>
    <row r="645" spans="9:9">
      <c r="I645" s="393">
        <f>Outbound!$B645</f>
        <v>0</v>
      </c>
    </row>
    <row r="646" spans="9:9">
      <c r="I646" s="393">
        <f>Outbound!$B646</f>
        <v>0</v>
      </c>
    </row>
    <row r="647" spans="9:9">
      <c r="I647" s="393">
        <f>Outbound!$B647</f>
        <v>0</v>
      </c>
    </row>
    <row r="648" spans="9:9">
      <c r="I648" s="393">
        <f>Outbound!$B648</f>
        <v>0</v>
      </c>
    </row>
    <row r="649" spans="9:9">
      <c r="I649" s="393">
        <f>Outbound!$B649</f>
        <v>0</v>
      </c>
    </row>
    <row r="650" spans="9:9">
      <c r="I650" s="393">
        <f>Outbound!$B650</f>
        <v>0</v>
      </c>
    </row>
    <row r="651" spans="9:9">
      <c r="I651" s="393">
        <f>Outbound!$B651</f>
        <v>0</v>
      </c>
    </row>
    <row r="652" spans="9:9">
      <c r="I652" s="393">
        <f>Outbound!$B652</f>
        <v>0</v>
      </c>
    </row>
    <row r="653" spans="9:9">
      <c r="I653" s="393">
        <f>Outbound!$B653</f>
        <v>0</v>
      </c>
    </row>
    <row r="654" spans="9:9">
      <c r="I654" s="393">
        <f>Outbound!$B654</f>
        <v>0</v>
      </c>
    </row>
    <row r="655" spans="9:9">
      <c r="I655" s="393">
        <f>Outbound!$B655</f>
        <v>0</v>
      </c>
    </row>
    <row r="656" spans="9:9">
      <c r="I656" s="393">
        <f>Outbound!$B656</f>
        <v>0</v>
      </c>
    </row>
    <row r="657" spans="9:9">
      <c r="I657" s="393">
        <f>Outbound!$B657</f>
        <v>0</v>
      </c>
    </row>
    <row r="658" spans="9:9">
      <c r="I658" s="393">
        <f>Outbound!$B658</f>
        <v>0</v>
      </c>
    </row>
    <row r="659" spans="9:9">
      <c r="I659" s="393">
        <f>Outbound!$B659</f>
        <v>0</v>
      </c>
    </row>
    <row r="660" spans="9:9">
      <c r="I660" s="393">
        <f>Outbound!$B660</f>
        <v>0</v>
      </c>
    </row>
    <row r="661" spans="9:9">
      <c r="I661" s="393">
        <f>Outbound!$B661</f>
        <v>0</v>
      </c>
    </row>
    <row r="662" spans="9:9">
      <c r="I662" s="393">
        <f>Outbound!$B662</f>
        <v>0</v>
      </c>
    </row>
    <row r="663" spans="9:9">
      <c r="I663" s="393">
        <f>Outbound!$B663</f>
        <v>0</v>
      </c>
    </row>
    <row r="664" spans="9:9">
      <c r="I664" s="393">
        <f>Outbound!$B664</f>
        <v>0</v>
      </c>
    </row>
    <row r="665" spans="9:9">
      <c r="I665" s="393">
        <f>Outbound!$B665</f>
        <v>0</v>
      </c>
    </row>
    <row r="666" spans="9:9">
      <c r="I666" s="393">
        <f>Outbound!$B666</f>
        <v>0</v>
      </c>
    </row>
    <row r="667" spans="9:9">
      <c r="I667" s="393">
        <f>Outbound!$B667</f>
        <v>0</v>
      </c>
    </row>
    <row r="668" spans="9:9">
      <c r="I668" s="393">
        <f>Outbound!$B668</f>
        <v>0</v>
      </c>
    </row>
    <row r="669" spans="9:9">
      <c r="I669" s="393">
        <f>Outbound!$B669</f>
        <v>0</v>
      </c>
    </row>
    <row r="670" spans="9:9">
      <c r="I670" s="393">
        <f>Outbound!$B670</f>
        <v>0</v>
      </c>
    </row>
    <row r="671" spans="9:9">
      <c r="I671" s="393">
        <f>Outbound!$B671</f>
        <v>0</v>
      </c>
    </row>
    <row r="672" spans="9:9">
      <c r="I672" s="393">
        <f>Outbound!$B672</f>
        <v>0</v>
      </c>
    </row>
    <row r="673" spans="9:9">
      <c r="I673" s="393">
        <f>Outbound!$B673</f>
        <v>0</v>
      </c>
    </row>
    <row r="674" spans="9:9">
      <c r="I674" s="393">
        <f>Outbound!$B674</f>
        <v>0</v>
      </c>
    </row>
    <row r="675" spans="9:9">
      <c r="I675" s="393">
        <f>Outbound!$B675</f>
        <v>0</v>
      </c>
    </row>
    <row r="676" spans="9:9">
      <c r="I676" s="393">
        <f>Outbound!$B676</f>
        <v>0</v>
      </c>
    </row>
    <row r="677" spans="9:9">
      <c r="I677" s="393">
        <f>Outbound!$B677</f>
        <v>0</v>
      </c>
    </row>
    <row r="678" spans="9:9">
      <c r="I678" s="393">
        <f>Outbound!$B678</f>
        <v>0</v>
      </c>
    </row>
    <row r="679" spans="9:9">
      <c r="I679" s="393">
        <f>Outbound!$B679</f>
        <v>0</v>
      </c>
    </row>
    <row r="680" spans="9:9">
      <c r="I680" s="393">
        <f>Outbound!$B680</f>
        <v>0</v>
      </c>
    </row>
    <row r="681" spans="9:9">
      <c r="I681" s="393">
        <f>Outbound!$B681</f>
        <v>0</v>
      </c>
    </row>
    <row r="682" spans="9:9">
      <c r="I682" s="393">
        <f>Outbound!$B682</f>
        <v>0</v>
      </c>
    </row>
    <row r="683" spans="9:9">
      <c r="I683" s="393">
        <f>Outbound!$B683</f>
        <v>0</v>
      </c>
    </row>
    <row r="684" spans="9:9">
      <c r="I684" s="393">
        <f>Outbound!$B684</f>
        <v>0</v>
      </c>
    </row>
    <row r="685" spans="9:9">
      <c r="I685" s="393">
        <f>Outbound!$B685</f>
        <v>0</v>
      </c>
    </row>
    <row r="686" spans="9:9">
      <c r="I686" s="393">
        <f>Outbound!$B686</f>
        <v>0</v>
      </c>
    </row>
    <row r="687" spans="9:9">
      <c r="I687" s="393">
        <f>Outbound!$B687</f>
        <v>0</v>
      </c>
    </row>
    <row r="688" spans="9:9">
      <c r="I688" s="393">
        <f>Outbound!$B688</f>
        <v>0</v>
      </c>
    </row>
    <row r="689" spans="9:9">
      <c r="I689" s="393">
        <f>Outbound!$B689</f>
        <v>0</v>
      </c>
    </row>
    <row r="690" spans="9:9">
      <c r="I690" s="393">
        <f>Outbound!$B690</f>
        <v>0</v>
      </c>
    </row>
    <row r="691" spans="9:9">
      <c r="I691" s="393">
        <f>Outbound!$B691</f>
        <v>0</v>
      </c>
    </row>
    <row r="692" spans="9:9">
      <c r="I692" s="393">
        <f>Outbound!$B692</f>
        <v>0</v>
      </c>
    </row>
    <row r="693" spans="9:9">
      <c r="I693" s="393">
        <f>Outbound!$B693</f>
        <v>0</v>
      </c>
    </row>
    <row r="694" spans="9:9">
      <c r="I694" s="393">
        <f>Outbound!$B694</f>
        <v>0</v>
      </c>
    </row>
    <row r="695" spans="9:9">
      <c r="I695" s="393">
        <f>Outbound!$B695</f>
        <v>0</v>
      </c>
    </row>
    <row r="696" spans="9:9">
      <c r="I696" s="393">
        <f>Outbound!$B696</f>
        <v>0</v>
      </c>
    </row>
    <row r="697" spans="9:9">
      <c r="I697" s="393">
        <f>Outbound!$B697</f>
        <v>0</v>
      </c>
    </row>
    <row r="698" spans="9:9">
      <c r="I698" s="393">
        <f>Outbound!$B698</f>
        <v>0</v>
      </c>
    </row>
    <row r="699" spans="9:9">
      <c r="I699" s="393">
        <f>Outbound!$B699</f>
        <v>0</v>
      </c>
    </row>
    <row r="700" spans="9:9">
      <c r="I700" s="393">
        <f>Outbound!$B700</f>
        <v>0</v>
      </c>
    </row>
    <row r="701" spans="9:9">
      <c r="I701" s="393">
        <f>Outbound!$B701</f>
        <v>0</v>
      </c>
    </row>
    <row r="702" spans="9:9">
      <c r="I702" s="393">
        <f>Outbound!$B702</f>
        <v>0</v>
      </c>
    </row>
    <row r="703" spans="9:9">
      <c r="I703" s="393">
        <f>Outbound!$B703</f>
        <v>0</v>
      </c>
    </row>
    <row r="704" spans="9:9">
      <c r="I704" s="393">
        <f>Outbound!$B704</f>
        <v>0</v>
      </c>
    </row>
    <row r="705" spans="9:9">
      <c r="I705" s="393">
        <f>Outbound!$B705</f>
        <v>0</v>
      </c>
    </row>
    <row r="706" spans="9:9">
      <c r="I706" s="393">
        <f>Outbound!$B706</f>
        <v>0</v>
      </c>
    </row>
    <row r="707" spans="9:9">
      <c r="I707" s="393">
        <f>Outbound!$B707</f>
        <v>0</v>
      </c>
    </row>
    <row r="708" spans="9:9">
      <c r="I708" s="393">
        <f>Outbound!$B708</f>
        <v>0</v>
      </c>
    </row>
    <row r="709" spans="9:9">
      <c r="I709" s="393">
        <f>Outbound!$B709</f>
        <v>0</v>
      </c>
    </row>
    <row r="710" spans="9:9">
      <c r="I710" s="393">
        <f>Outbound!$B710</f>
        <v>0</v>
      </c>
    </row>
    <row r="711" spans="9:9">
      <c r="I711" s="393">
        <f>Outbound!$B711</f>
        <v>0</v>
      </c>
    </row>
    <row r="712" spans="9:9">
      <c r="I712" s="393">
        <f>Outbound!$B712</f>
        <v>0</v>
      </c>
    </row>
    <row r="713" spans="9:9">
      <c r="I713" s="393">
        <f>Outbound!$B713</f>
        <v>0</v>
      </c>
    </row>
    <row r="714" spans="9:9">
      <c r="I714" s="393">
        <f>Outbound!$B714</f>
        <v>0</v>
      </c>
    </row>
    <row r="715" spans="9:9">
      <c r="I715" s="393">
        <f>Outbound!$B715</f>
        <v>0</v>
      </c>
    </row>
    <row r="716" spans="9:9">
      <c r="I716" s="393">
        <f>Outbound!$B716</f>
        <v>0</v>
      </c>
    </row>
    <row r="717" spans="9:9">
      <c r="I717" s="393">
        <f>Outbound!$B717</f>
        <v>0</v>
      </c>
    </row>
    <row r="718" spans="9:9">
      <c r="I718" s="393">
        <f>Outbound!$B718</f>
        <v>0</v>
      </c>
    </row>
    <row r="719" spans="9:9">
      <c r="I719" s="393">
        <f>Outbound!$B719</f>
        <v>0</v>
      </c>
    </row>
    <row r="720" spans="9:9">
      <c r="I720" s="393">
        <f>Outbound!$B720</f>
        <v>0</v>
      </c>
    </row>
    <row r="721" spans="9:9">
      <c r="I721" s="393">
        <f>Outbound!$B721</f>
        <v>0</v>
      </c>
    </row>
    <row r="722" spans="9:9">
      <c r="I722" s="393">
        <f>Outbound!$B722</f>
        <v>0</v>
      </c>
    </row>
    <row r="723" spans="9:9">
      <c r="I723" s="393">
        <f>Outbound!$B723</f>
        <v>0</v>
      </c>
    </row>
    <row r="724" spans="9:9">
      <c r="I724" s="393">
        <f>Outbound!$B724</f>
        <v>0</v>
      </c>
    </row>
    <row r="725" spans="9:9">
      <c r="I725" s="393">
        <f>Outbound!$B725</f>
        <v>0</v>
      </c>
    </row>
    <row r="726" spans="9:9">
      <c r="I726" s="393">
        <f>Outbound!$B726</f>
        <v>0</v>
      </c>
    </row>
    <row r="727" spans="9:9">
      <c r="I727" s="393">
        <f>Outbound!$B727</f>
        <v>0</v>
      </c>
    </row>
    <row r="728" spans="9:9">
      <c r="I728" s="393">
        <f>Outbound!$B728</f>
        <v>0</v>
      </c>
    </row>
    <row r="729" spans="9:9">
      <c r="I729" s="393">
        <f>Outbound!$B729</f>
        <v>0</v>
      </c>
    </row>
    <row r="730" spans="9:9">
      <c r="I730" s="393">
        <f>Outbound!$B730</f>
        <v>0</v>
      </c>
    </row>
    <row r="731" spans="9:9">
      <c r="I731" s="393">
        <f>Outbound!$B731</f>
        <v>0</v>
      </c>
    </row>
    <row r="732" spans="9:9">
      <c r="I732" s="393">
        <f>Outbound!$B732</f>
        <v>0</v>
      </c>
    </row>
    <row r="733" spans="9:9">
      <c r="I733" s="393">
        <f>Outbound!$B733</f>
        <v>0</v>
      </c>
    </row>
    <row r="734" spans="9:9">
      <c r="I734" s="393">
        <f>Outbound!$B734</f>
        <v>0</v>
      </c>
    </row>
    <row r="735" spans="9:9">
      <c r="I735" s="393">
        <f>Outbound!$B735</f>
        <v>0</v>
      </c>
    </row>
    <row r="736" spans="9:9">
      <c r="I736" s="393">
        <f>Outbound!$B736</f>
        <v>0</v>
      </c>
    </row>
    <row r="737" spans="9:9">
      <c r="I737" s="393">
        <f>Outbound!$B737</f>
        <v>0</v>
      </c>
    </row>
    <row r="738" spans="9:9">
      <c r="I738" s="393">
        <f>Outbound!$B738</f>
        <v>0</v>
      </c>
    </row>
    <row r="739" spans="9:9">
      <c r="I739" s="393">
        <f>Outbound!$B739</f>
        <v>0</v>
      </c>
    </row>
    <row r="740" spans="9:9">
      <c r="I740" s="393">
        <f>Outbound!$B740</f>
        <v>0</v>
      </c>
    </row>
    <row r="741" spans="9:9">
      <c r="I741" s="393">
        <f>Outbound!$B741</f>
        <v>0</v>
      </c>
    </row>
    <row r="742" spans="9:9">
      <c r="I742" s="393">
        <f>Outbound!$B742</f>
        <v>0</v>
      </c>
    </row>
    <row r="743" spans="9:9">
      <c r="I743" s="393">
        <f>Outbound!$B743</f>
        <v>0</v>
      </c>
    </row>
    <row r="744" spans="9:9">
      <c r="I744" s="393">
        <f>Outbound!$B744</f>
        <v>0</v>
      </c>
    </row>
    <row r="745" spans="9:9">
      <c r="I745" s="393">
        <f>Outbound!$B745</f>
        <v>0</v>
      </c>
    </row>
    <row r="746" spans="9:9">
      <c r="I746" s="393">
        <f>Outbound!$B746</f>
        <v>0</v>
      </c>
    </row>
    <row r="747" spans="9:9">
      <c r="I747" s="393">
        <f>Outbound!$B747</f>
        <v>0</v>
      </c>
    </row>
    <row r="748" spans="9:9">
      <c r="I748" s="393">
        <f>Outbound!$B748</f>
        <v>0</v>
      </c>
    </row>
    <row r="749" spans="9:9">
      <c r="I749" s="393">
        <f>Outbound!$B749</f>
        <v>0</v>
      </c>
    </row>
    <row r="750" spans="9:9">
      <c r="I750" s="393">
        <f>Outbound!$B750</f>
        <v>0</v>
      </c>
    </row>
    <row r="751" spans="9:9">
      <c r="I751" s="393">
        <f>Outbound!$B751</f>
        <v>0</v>
      </c>
    </row>
    <row r="752" spans="9:9">
      <c r="I752" s="393">
        <f>Outbound!$B752</f>
        <v>0</v>
      </c>
    </row>
    <row r="753" spans="9:9">
      <c r="I753" s="393">
        <f>Outbound!$B753</f>
        <v>0</v>
      </c>
    </row>
    <row r="754" spans="9:9">
      <c r="I754" s="393">
        <f>Outbound!$B754</f>
        <v>0</v>
      </c>
    </row>
    <row r="755" spans="9:9">
      <c r="I755" s="393">
        <f>Outbound!$B755</f>
        <v>0</v>
      </c>
    </row>
    <row r="756" spans="9:9">
      <c r="I756" s="393">
        <f>Outbound!$B756</f>
        <v>0</v>
      </c>
    </row>
    <row r="757" spans="9:9">
      <c r="I757" s="393">
        <f>Outbound!$B757</f>
        <v>0</v>
      </c>
    </row>
    <row r="758" spans="9:9">
      <c r="I758" s="393">
        <f>Outbound!$B758</f>
        <v>0</v>
      </c>
    </row>
    <row r="759" spans="9:9">
      <c r="I759" s="393">
        <f>Outbound!$B759</f>
        <v>0</v>
      </c>
    </row>
    <row r="760" spans="9:9">
      <c r="I760" s="393">
        <f>Outbound!$B760</f>
        <v>0</v>
      </c>
    </row>
    <row r="761" spans="9:9">
      <c r="I761" s="393">
        <f>Outbound!$B761</f>
        <v>0</v>
      </c>
    </row>
    <row r="762" spans="9:9">
      <c r="I762" s="393">
        <f>Outbound!$B762</f>
        <v>0</v>
      </c>
    </row>
    <row r="763" spans="9:9">
      <c r="I763" s="393">
        <f>Outbound!$B763</f>
        <v>0</v>
      </c>
    </row>
    <row r="764" spans="9:9">
      <c r="I764" s="393">
        <f>Outbound!$B764</f>
        <v>0</v>
      </c>
    </row>
    <row r="765" spans="9:9">
      <c r="I765" s="393">
        <f>Outbound!$B765</f>
        <v>0</v>
      </c>
    </row>
    <row r="766" spans="9:9">
      <c r="I766" s="393">
        <f>Outbound!$B766</f>
        <v>0</v>
      </c>
    </row>
    <row r="767" spans="9:9">
      <c r="I767" s="393">
        <f>Outbound!$B767</f>
        <v>0</v>
      </c>
    </row>
    <row r="768" spans="9:9">
      <c r="I768" s="393">
        <f>Outbound!$B768</f>
        <v>0</v>
      </c>
    </row>
    <row r="769" spans="9:9">
      <c r="I769" s="393">
        <f>Outbound!$B769</f>
        <v>0</v>
      </c>
    </row>
    <row r="770" spans="9:9">
      <c r="I770" s="393">
        <f>Outbound!$B770</f>
        <v>0</v>
      </c>
    </row>
    <row r="771" spans="9:9">
      <c r="I771" s="393">
        <f>Outbound!$B771</f>
        <v>0</v>
      </c>
    </row>
    <row r="772" spans="9:9">
      <c r="I772" s="393">
        <f>Outbound!$B772</f>
        <v>0</v>
      </c>
    </row>
    <row r="773" spans="9:9">
      <c r="I773" s="393">
        <f>Outbound!$B773</f>
        <v>0</v>
      </c>
    </row>
    <row r="774" spans="9:9">
      <c r="I774" s="393">
        <f>Outbound!$B774</f>
        <v>0</v>
      </c>
    </row>
    <row r="775" spans="9:9">
      <c r="I775" s="393">
        <f>Outbound!$B775</f>
        <v>0</v>
      </c>
    </row>
    <row r="776" spans="9:9">
      <c r="I776" s="393">
        <f>Outbound!$B776</f>
        <v>0</v>
      </c>
    </row>
    <row r="777" spans="9:9">
      <c r="I777" s="393">
        <f>Outbound!$B777</f>
        <v>0</v>
      </c>
    </row>
    <row r="778" spans="9:9">
      <c r="I778" s="393">
        <f>Outbound!$B778</f>
        <v>0</v>
      </c>
    </row>
    <row r="779" spans="9:9">
      <c r="I779" s="393">
        <f>Outbound!$B779</f>
        <v>0</v>
      </c>
    </row>
    <row r="780" spans="9:9">
      <c r="I780" s="393">
        <f>Outbound!$B780</f>
        <v>0</v>
      </c>
    </row>
    <row r="781" spans="9:9">
      <c r="I781" s="393">
        <f>Outbound!$B781</f>
        <v>0</v>
      </c>
    </row>
    <row r="782" spans="9:9">
      <c r="I782" s="393">
        <f>Outbound!$B782</f>
        <v>0</v>
      </c>
    </row>
    <row r="783" spans="9:9">
      <c r="I783" s="393">
        <f>Outbound!$B783</f>
        <v>0</v>
      </c>
    </row>
    <row r="784" spans="9:9">
      <c r="I784" s="393">
        <f>Outbound!$B784</f>
        <v>0</v>
      </c>
    </row>
    <row r="785" spans="9:9">
      <c r="I785" s="393">
        <f>Outbound!$B785</f>
        <v>0</v>
      </c>
    </row>
    <row r="786" spans="9:9">
      <c r="I786" s="393">
        <f>Outbound!$B786</f>
        <v>0</v>
      </c>
    </row>
    <row r="787" spans="9:9">
      <c r="I787" s="393">
        <f>Outbound!$B787</f>
        <v>0</v>
      </c>
    </row>
    <row r="788" spans="9:9">
      <c r="I788" s="393">
        <f>Outbound!$B788</f>
        <v>0</v>
      </c>
    </row>
    <row r="789" spans="9:9">
      <c r="I789" s="393">
        <f>Outbound!$B789</f>
        <v>0</v>
      </c>
    </row>
    <row r="790" spans="9:9">
      <c r="I790" s="393">
        <f>Outbound!$B790</f>
        <v>0</v>
      </c>
    </row>
    <row r="791" spans="9:9">
      <c r="I791" s="393">
        <f>Outbound!$B791</f>
        <v>0</v>
      </c>
    </row>
    <row r="792" spans="9:9">
      <c r="I792" s="393">
        <f>Outbound!$B792</f>
        <v>0</v>
      </c>
    </row>
    <row r="793" spans="9:9">
      <c r="I793" s="393">
        <f>Outbound!$B793</f>
        <v>0</v>
      </c>
    </row>
    <row r="794" spans="9:9">
      <c r="I794" s="393">
        <f>Outbound!$B794</f>
        <v>0</v>
      </c>
    </row>
    <row r="795" spans="9:9">
      <c r="I795" s="393">
        <f>Outbound!$B795</f>
        <v>0</v>
      </c>
    </row>
    <row r="796" spans="9:9">
      <c r="I796" s="393">
        <f>Outbound!$B796</f>
        <v>0</v>
      </c>
    </row>
    <row r="797" spans="9:9">
      <c r="I797" s="393">
        <f>Outbound!$B797</f>
        <v>0</v>
      </c>
    </row>
    <row r="798" spans="9:9">
      <c r="I798" s="393">
        <f>Outbound!$B798</f>
        <v>0</v>
      </c>
    </row>
    <row r="799" spans="9:9">
      <c r="I799" s="393">
        <f>Outbound!$B799</f>
        <v>0</v>
      </c>
    </row>
    <row r="800" spans="9:9">
      <c r="I800" s="393">
        <f>Outbound!$B800</f>
        <v>0</v>
      </c>
    </row>
    <row r="801" spans="9:9">
      <c r="I801" s="393">
        <f>Outbound!$B801</f>
        <v>0</v>
      </c>
    </row>
    <row r="802" spans="9:9">
      <c r="I802" s="393">
        <f>Outbound!$B802</f>
        <v>0</v>
      </c>
    </row>
    <row r="803" spans="9:9">
      <c r="I803" s="393">
        <f>Outbound!$B803</f>
        <v>0</v>
      </c>
    </row>
    <row r="804" spans="9:9">
      <c r="I804" s="393">
        <f>Outbound!$B804</f>
        <v>0</v>
      </c>
    </row>
    <row r="805" spans="9:9">
      <c r="I805" s="393">
        <f>Outbound!$B805</f>
        <v>0</v>
      </c>
    </row>
    <row r="806" spans="9:9">
      <c r="I806" s="393">
        <f>Outbound!$B806</f>
        <v>0</v>
      </c>
    </row>
    <row r="807" spans="9:9">
      <c r="I807" s="393">
        <f>Outbound!$B807</f>
        <v>0</v>
      </c>
    </row>
    <row r="808" spans="9:9">
      <c r="I808" s="393">
        <f>Outbound!$B808</f>
        <v>0</v>
      </c>
    </row>
    <row r="809" spans="9:9">
      <c r="I809" s="393">
        <f>Outbound!$B809</f>
        <v>0</v>
      </c>
    </row>
    <row r="810" spans="9:9">
      <c r="I810" s="393">
        <f>Outbound!$B810</f>
        <v>0</v>
      </c>
    </row>
    <row r="811" spans="9:9">
      <c r="I811" s="393">
        <f>Outbound!$B811</f>
        <v>0</v>
      </c>
    </row>
    <row r="812" spans="9:9">
      <c r="I812" s="393">
        <f>Outbound!$B812</f>
        <v>0</v>
      </c>
    </row>
    <row r="813" spans="9:9">
      <c r="I813" s="393">
        <f>Outbound!$B813</f>
        <v>0</v>
      </c>
    </row>
    <row r="814" spans="9:9">
      <c r="I814" s="393">
        <f>Outbound!$B814</f>
        <v>0</v>
      </c>
    </row>
    <row r="815" spans="9:9">
      <c r="I815" s="393">
        <f>Outbound!$B815</f>
        <v>0</v>
      </c>
    </row>
    <row r="816" spans="9:9">
      <c r="I816" s="393">
        <f>Outbound!$B816</f>
        <v>0</v>
      </c>
    </row>
    <row r="817" spans="9:9">
      <c r="I817" s="393">
        <f>Outbound!$B817</f>
        <v>0</v>
      </c>
    </row>
    <row r="818" spans="9:9">
      <c r="I818" s="393">
        <f>Outbound!$B818</f>
        <v>0</v>
      </c>
    </row>
    <row r="819" spans="9:9">
      <c r="I819" s="393">
        <f>Outbound!$B819</f>
        <v>0</v>
      </c>
    </row>
    <row r="820" spans="9:9">
      <c r="I820" s="393">
        <f>Outbound!$B820</f>
        <v>0</v>
      </c>
    </row>
    <row r="821" spans="9:9">
      <c r="I821" s="393">
        <f>Outbound!$B821</f>
        <v>0</v>
      </c>
    </row>
    <row r="822" spans="9:9">
      <c r="I822" s="393">
        <f>Outbound!$B822</f>
        <v>0</v>
      </c>
    </row>
    <row r="823" spans="9:9">
      <c r="I823" s="393">
        <f>Outbound!$B823</f>
        <v>0</v>
      </c>
    </row>
    <row r="824" spans="9:9">
      <c r="I824" s="393">
        <f>Outbound!$B824</f>
        <v>0</v>
      </c>
    </row>
    <row r="825" spans="9:9">
      <c r="I825" s="393">
        <f>Outbound!$B825</f>
        <v>0</v>
      </c>
    </row>
    <row r="826" spans="9:9">
      <c r="I826" s="393">
        <f>Outbound!$B826</f>
        <v>0</v>
      </c>
    </row>
    <row r="827" spans="9:9">
      <c r="I827" s="393">
        <f>Outbound!$B827</f>
        <v>0</v>
      </c>
    </row>
    <row r="828" spans="9:9">
      <c r="I828" s="393">
        <f>Outbound!$B828</f>
        <v>0</v>
      </c>
    </row>
    <row r="829" spans="9:9">
      <c r="I829" s="393">
        <f>Outbound!$B829</f>
        <v>0</v>
      </c>
    </row>
    <row r="830" spans="9:9">
      <c r="I830" s="393">
        <f>Outbound!$B830</f>
        <v>0</v>
      </c>
    </row>
    <row r="831" spans="9:9">
      <c r="I831" s="393">
        <f>Outbound!$B831</f>
        <v>0</v>
      </c>
    </row>
    <row r="832" spans="9:9">
      <c r="I832" s="393">
        <f>Outbound!$B832</f>
        <v>0</v>
      </c>
    </row>
    <row r="833" spans="9:9">
      <c r="I833" s="393">
        <f>Outbound!$B833</f>
        <v>0</v>
      </c>
    </row>
    <row r="834" spans="9:9">
      <c r="I834" s="393">
        <f>Outbound!$B834</f>
        <v>0</v>
      </c>
    </row>
    <row r="835" spans="9:9">
      <c r="I835" s="393">
        <f>Outbound!$B835</f>
        <v>0</v>
      </c>
    </row>
    <row r="836" spans="9:9">
      <c r="I836" s="393">
        <f>Outbound!$B836</f>
        <v>0</v>
      </c>
    </row>
    <row r="837" spans="9:9">
      <c r="I837" s="393">
        <f>Outbound!$B837</f>
        <v>0</v>
      </c>
    </row>
    <row r="838" spans="9:9">
      <c r="I838" s="393">
        <f>Outbound!$B838</f>
        <v>0</v>
      </c>
    </row>
    <row r="839" spans="9:9">
      <c r="I839" s="393">
        <f>Outbound!$B839</f>
        <v>0</v>
      </c>
    </row>
    <row r="840" spans="9:9">
      <c r="I840" s="393">
        <f>Outbound!$B840</f>
        <v>0</v>
      </c>
    </row>
    <row r="841" spans="9:9">
      <c r="I841" s="393">
        <f>Outbound!$B841</f>
        <v>0</v>
      </c>
    </row>
    <row r="842" spans="9:9">
      <c r="I842" s="393">
        <f>Outbound!$B842</f>
        <v>0</v>
      </c>
    </row>
    <row r="843" spans="9:9">
      <c r="I843" s="393">
        <f>Outbound!$B843</f>
        <v>0</v>
      </c>
    </row>
    <row r="844" spans="9:9">
      <c r="I844" s="393">
        <f>Outbound!$B844</f>
        <v>0</v>
      </c>
    </row>
    <row r="845" spans="9:9">
      <c r="I845" s="393">
        <f>Outbound!$B845</f>
        <v>0</v>
      </c>
    </row>
    <row r="846" spans="9:9">
      <c r="I846" s="393">
        <f>Outbound!$B846</f>
        <v>0</v>
      </c>
    </row>
    <row r="847" spans="9:9">
      <c r="I847" s="393">
        <f>Outbound!$B847</f>
        <v>0</v>
      </c>
    </row>
    <row r="848" spans="9:9">
      <c r="I848" s="393">
        <f>Outbound!$B848</f>
        <v>0</v>
      </c>
    </row>
    <row r="849" spans="9:9">
      <c r="I849" s="393">
        <f>Outbound!$B849</f>
        <v>0</v>
      </c>
    </row>
    <row r="850" spans="9:9">
      <c r="I850" s="393">
        <f>Outbound!$B850</f>
        <v>0</v>
      </c>
    </row>
    <row r="851" spans="9:9">
      <c r="I851" s="393">
        <f>Outbound!$B851</f>
        <v>0</v>
      </c>
    </row>
    <row r="852" spans="9:9">
      <c r="I852" s="393">
        <f>Outbound!$B852</f>
        <v>0</v>
      </c>
    </row>
    <row r="853" spans="9:9">
      <c r="I853" s="393">
        <f>Outbound!$B853</f>
        <v>0</v>
      </c>
    </row>
    <row r="854" spans="9:9">
      <c r="I854" s="393">
        <f>Outbound!$B854</f>
        <v>0</v>
      </c>
    </row>
    <row r="855" spans="9:9">
      <c r="I855" s="393">
        <f>Outbound!$B855</f>
        <v>0</v>
      </c>
    </row>
    <row r="856" spans="9:9">
      <c r="I856" s="393">
        <f>Outbound!$B856</f>
        <v>0</v>
      </c>
    </row>
    <row r="857" spans="9:9">
      <c r="I857" s="393">
        <f>Outbound!$B857</f>
        <v>0</v>
      </c>
    </row>
    <row r="858" spans="9:9">
      <c r="I858" s="393">
        <f>Outbound!$B858</f>
        <v>0</v>
      </c>
    </row>
    <row r="859" spans="9:9">
      <c r="I859" s="393">
        <f>Outbound!$B859</f>
        <v>0</v>
      </c>
    </row>
    <row r="860" spans="9:9">
      <c r="I860" s="393">
        <f>Outbound!$B860</f>
        <v>0</v>
      </c>
    </row>
    <row r="861" spans="9:9">
      <c r="I861" s="393">
        <f>Outbound!$B861</f>
        <v>0</v>
      </c>
    </row>
    <row r="862" spans="9:9">
      <c r="I862" s="393">
        <f>Outbound!$B862</f>
        <v>0</v>
      </c>
    </row>
    <row r="863" spans="9:9">
      <c r="I863" s="393">
        <f>Outbound!$B863</f>
        <v>0</v>
      </c>
    </row>
    <row r="864" spans="9:9">
      <c r="I864" s="393">
        <f>Outbound!$B864</f>
        <v>0</v>
      </c>
    </row>
    <row r="865" spans="9:9">
      <c r="I865" s="393">
        <f>Outbound!$B865</f>
        <v>0</v>
      </c>
    </row>
    <row r="866" spans="9:9">
      <c r="I866" s="393">
        <f>Outbound!$B866</f>
        <v>0</v>
      </c>
    </row>
    <row r="867" spans="9:9">
      <c r="I867" s="393">
        <f>Outbound!$B867</f>
        <v>0</v>
      </c>
    </row>
    <row r="868" spans="9:9">
      <c r="I868" s="393">
        <f>Outbound!$B868</f>
        <v>0</v>
      </c>
    </row>
    <row r="869" spans="9:9">
      <c r="I869" s="393">
        <f>Outbound!$B869</f>
        <v>0</v>
      </c>
    </row>
    <row r="870" spans="9:9">
      <c r="I870" s="393">
        <f>Outbound!$B870</f>
        <v>0</v>
      </c>
    </row>
    <row r="871" spans="9:9">
      <c r="I871" s="393">
        <f>Outbound!$B871</f>
        <v>0</v>
      </c>
    </row>
    <row r="872" spans="9:9">
      <c r="I872" s="393">
        <f>Outbound!$B872</f>
        <v>0</v>
      </c>
    </row>
    <row r="873" spans="9:9">
      <c r="I873" s="393">
        <f>Outbound!$B873</f>
        <v>0</v>
      </c>
    </row>
    <row r="874" spans="9:9">
      <c r="I874" s="393">
        <f>Outbound!$B874</f>
        <v>0</v>
      </c>
    </row>
    <row r="875" spans="9:9">
      <c r="I875" s="393">
        <f>Outbound!$B875</f>
        <v>0</v>
      </c>
    </row>
    <row r="876" spans="9:9">
      <c r="I876" s="393">
        <f>Outbound!$B876</f>
        <v>0</v>
      </c>
    </row>
    <row r="877" spans="9:9">
      <c r="I877" s="393">
        <f>Outbound!$B877</f>
        <v>0</v>
      </c>
    </row>
    <row r="878" spans="9:9">
      <c r="I878" s="393">
        <f>Outbound!$B878</f>
        <v>0</v>
      </c>
    </row>
    <row r="879" spans="9:9">
      <c r="I879" s="393">
        <f>Outbound!$B879</f>
        <v>0</v>
      </c>
    </row>
    <row r="880" spans="9:9">
      <c r="I880" s="393">
        <f>Outbound!$B880</f>
        <v>0</v>
      </c>
    </row>
    <row r="881" spans="9:9">
      <c r="I881" s="393">
        <f>Outbound!$B881</f>
        <v>0</v>
      </c>
    </row>
    <row r="882" spans="9:9">
      <c r="I882" s="393">
        <f>Outbound!$B882</f>
        <v>0</v>
      </c>
    </row>
    <row r="883" spans="9:9">
      <c r="I883" s="393">
        <f>Outbound!$B883</f>
        <v>0</v>
      </c>
    </row>
    <row r="884" spans="9:9">
      <c r="I884" s="393">
        <f>Outbound!$B884</f>
        <v>0</v>
      </c>
    </row>
    <row r="885" spans="9:9">
      <c r="I885" s="393">
        <f>Outbound!$B885</f>
        <v>0</v>
      </c>
    </row>
    <row r="886" spans="9:9">
      <c r="I886" s="393">
        <f>Outbound!$B886</f>
        <v>0</v>
      </c>
    </row>
    <row r="887" spans="9:9">
      <c r="I887" s="393">
        <f>Outbound!$B887</f>
        <v>0</v>
      </c>
    </row>
    <row r="888" spans="9:9">
      <c r="I888" s="393">
        <f>Outbound!$B888</f>
        <v>0</v>
      </c>
    </row>
    <row r="889" spans="9:9">
      <c r="I889" s="393">
        <f>Outbound!$B889</f>
        <v>0</v>
      </c>
    </row>
    <row r="890" spans="9:9">
      <c r="I890" s="393">
        <f>Outbound!$B890</f>
        <v>0</v>
      </c>
    </row>
    <row r="891" spans="9:9">
      <c r="I891" s="393">
        <f>Outbound!$B891</f>
        <v>0</v>
      </c>
    </row>
    <row r="892" spans="9:9">
      <c r="I892" s="393">
        <f>Outbound!$B892</f>
        <v>0</v>
      </c>
    </row>
    <row r="893" spans="9:9">
      <c r="I893" s="393">
        <f>Outbound!$B893</f>
        <v>0</v>
      </c>
    </row>
    <row r="894" spans="9:9">
      <c r="I894" s="393">
        <f>Outbound!$B894</f>
        <v>0</v>
      </c>
    </row>
    <row r="895" spans="9:9">
      <c r="I895" s="393">
        <f>Outbound!$B895</f>
        <v>0</v>
      </c>
    </row>
    <row r="896" spans="9:9">
      <c r="I896" s="393">
        <f>Outbound!$B896</f>
        <v>0</v>
      </c>
    </row>
    <row r="897" spans="9:9">
      <c r="I897" s="393">
        <f>Outbound!$B897</f>
        <v>0</v>
      </c>
    </row>
    <row r="898" spans="9:9">
      <c r="I898" s="393">
        <f>Outbound!$B898</f>
        <v>0</v>
      </c>
    </row>
    <row r="899" spans="9:9">
      <c r="I899" s="393">
        <f>Outbound!$B899</f>
        <v>0</v>
      </c>
    </row>
    <row r="900" spans="9:9">
      <c r="I900" s="393">
        <f>Outbound!$B900</f>
        <v>0</v>
      </c>
    </row>
    <row r="901" spans="9:9">
      <c r="I901" s="393">
        <f>Outbound!$B901</f>
        <v>0</v>
      </c>
    </row>
    <row r="902" spans="9:9">
      <c r="I902" s="393">
        <f>Outbound!$B902</f>
        <v>0</v>
      </c>
    </row>
    <row r="903" spans="9:9">
      <c r="I903" s="393">
        <f>Outbound!$B903</f>
        <v>0</v>
      </c>
    </row>
    <row r="904" spans="9:9">
      <c r="I904" s="393">
        <f>Outbound!$B904</f>
        <v>0</v>
      </c>
    </row>
    <row r="905" spans="9:9">
      <c r="I905" s="393">
        <f>Outbound!$B905</f>
        <v>0</v>
      </c>
    </row>
    <row r="906" spans="9:9">
      <c r="I906" s="393">
        <f>Outbound!$B906</f>
        <v>0</v>
      </c>
    </row>
    <row r="907" spans="9:9">
      <c r="I907" s="393">
        <f>Outbound!$B907</f>
        <v>0</v>
      </c>
    </row>
    <row r="908" spans="9:9">
      <c r="I908" s="393">
        <f>Outbound!$B908</f>
        <v>0</v>
      </c>
    </row>
    <row r="909" spans="9:9">
      <c r="I909" s="393">
        <f>Outbound!$B909</f>
        <v>0</v>
      </c>
    </row>
    <row r="910" spans="9:9">
      <c r="I910" s="393">
        <f>Outbound!$B910</f>
        <v>0</v>
      </c>
    </row>
    <row r="911" spans="9:9">
      <c r="I911" s="393">
        <f>Outbound!$B911</f>
        <v>0</v>
      </c>
    </row>
    <row r="912" spans="9:9">
      <c r="I912" s="393">
        <f>Outbound!$B912</f>
        <v>0</v>
      </c>
    </row>
    <row r="913" spans="9:9">
      <c r="I913" s="393">
        <f>Outbound!$B913</f>
        <v>0</v>
      </c>
    </row>
    <row r="914" spans="9:9">
      <c r="I914" s="393">
        <f>Outbound!$B914</f>
        <v>0</v>
      </c>
    </row>
    <row r="915" spans="9:9">
      <c r="I915" s="393">
        <f>Outbound!$B915</f>
        <v>0</v>
      </c>
    </row>
    <row r="916" spans="9:9">
      <c r="I916" s="393">
        <f>Outbound!$B916</f>
        <v>0</v>
      </c>
    </row>
    <row r="917" spans="9:9">
      <c r="I917" s="393">
        <f>Outbound!$B917</f>
        <v>0</v>
      </c>
    </row>
    <row r="918" spans="9:9">
      <c r="I918" s="393">
        <f>Outbound!$B918</f>
        <v>0</v>
      </c>
    </row>
    <row r="919" spans="9:9">
      <c r="I919" s="393">
        <f>Outbound!$B919</f>
        <v>0</v>
      </c>
    </row>
    <row r="920" spans="9:9">
      <c r="I920" s="393">
        <f>Outbound!$B920</f>
        <v>0</v>
      </c>
    </row>
    <row r="921" spans="9:9">
      <c r="I921" s="393">
        <f>Outbound!$B921</f>
        <v>0</v>
      </c>
    </row>
    <row r="922" spans="9:9">
      <c r="I922" s="393">
        <f>Outbound!$B922</f>
        <v>0</v>
      </c>
    </row>
    <row r="923" spans="9:9">
      <c r="I923" s="393">
        <f>Outbound!$B923</f>
        <v>0</v>
      </c>
    </row>
    <row r="924" spans="9:9">
      <c r="I924" s="393">
        <f>Outbound!$B924</f>
        <v>0</v>
      </c>
    </row>
    <row r="925" spans="9:9">
      <c r="I925" s="393">
        <f>Outbound!$B925</f>
        <v>0</v>
      </c>
    </row>
    <row r="926" spans="9:9">
      <c r="I926" s="393">
        <f>Outbound!$B926</f>
        <v>0</v>
      </c>
    </row>
    <row r="927" spans="9:9">
      <c r="I927" s="393">
        <f>Outbound!$B927</f>
        <v>0</v>
      </c>
    </row>
    <row r="928" spans="9:9">
      <c r="I928" s="393">
        <f>Outbound!$B928</f>
        <v>0</v>
      </c>
    </row>
    <row r="929" spans="9:9">
      <c r="I929" s="393">
        <f>Outbound!$B929</f>
        <v>0</v>
      </c>
    </row>
    <row r="930" spans="9:9">
      <c r="I930" s="393">
        <f>Outbound!$B930</f>
        <v>0</v>
      </c>
    </row>
    <row r="931" spans="9:9">
      <c r="I931" s="393">
        <f>Outbound!$B931</f>
        <v>0</v>
      </c>
    </row>
    <row r="932" spans="9:9">
      <c r="I932" s="393">
        <f>Outbound!$B932</f>
        <v>0</v>
      </c>
    </row>
    <row r="933" spans="9:9">
      <c r="I933" s="393">
        <f>Outbound!$B933</f>
        <v>0</v>
      </c>
    </row>
    <row r="934" spans="9:9">
      <c r="I934" s="393">
        <f>Outbound!$B934</f>
        <v>0</v>
      </c>
    </row>
    <row r="935" spans="9:9">
      <c r="I935" s="393">
        <f>Outbound!$B935</f>
        <v>0</v>
      </c>
    </row>
    <row r="936" spans="9:9">
      <c r="I936" s="393">
        <f>Outbound!$B936</f>
        <v>0</v>
      </c>
    </row>
    <row r="937" spans="9:9">
      <c r="I937" s="393">
        <f>Outbound!$B937</f>
        <v>0</v>
      </c>
    </row>
    <row r="938" spans="9:9">
      <c r="I938" s="393">
        <f>Outbound!$B938</f>
        <v>0</v>
      </c>
    </row>
    <row r="939" spans="9:9">
      <c r="I939" s="393">
        <f>Outbound!$B939</f>
        <v>0</v>
      </c>
    </row>
    <row r="940" spans="9:9">
      <c r="I940" s="393">
        <f>Outbound!$B940</f>
        <v>0</v>
      </c>
    </row>
    <row r="941" spans="9:9">
      <c r="I941" s="393">
        <f>Outbound!$B941</f>
        <v>0</v>
      </c>
    </row>
    <row r="942" spans="9:9">
      <c r="I942" s="393">
        <f>Outbound!$B942</f>
        <v>0</v>
      </c>
    </row>
    <row r="943" spans="9:9">
      <c r="I943" s="393">
        <f>Outbound!$B943</f>
        <v>0</v>
      </c>
    </row>
    <row r="944" spans="9:9">
      <c r="I944" s="393">
        <f>Outbound!$B944</f>
        <v>0</v>
      </c>
    </row>
    <row r="945" spans="9:9">
      <c r="I945" s="393">
        <f>Outbound!$B945</f>
        <v>0</v>
      </c>
    </row>
    <row r="946" spans="9:9">
      <c r="I946" s="393">
        <f>Outbound!$B946</f>
        <v>0</v>
      </c>
    </row>
    <row r="947" spans="9:9">
      <c r="I947" s="393">
        <f>Outbound!$B947</f>
        <v>0</v>
      </c>
    </row>
    <row r="948" spans="9:9">
      <c r="I948" s="393">
        <f>Outbound!$B948</f>
        <v>0</v>
      </c>
    </row>
    <row r="949" spans="9:9">
      <c r="I949" s="393">
        <f>Outbound!$B949</f>
        <v>0</v>
      </c>
    </row>
    <row r="950" spans="9:9">
      <c r="I950" s="393">
        <f>Outbound!$B950</f>
        <v>0</v>
      </c>
    </row>
    <row r="951" spans="9:9">
      <c r="I951" s="393">
        <f>Outbound!$B951</f>
        <v>0</v>
      </c>
    </row>
    <row r="952" spans="9:9">
      <c r="I952" s="393">
        <f>Outbound!$B952</f>
        <v>0</v>
      </c>
    </row>
    <row r="953" spans="9:9">
      <c r="I953" s="393">
        <f>Outbound!$B953</f>
        <v>0</v>
      </c>
    </row>
    <row r="954" spans="9:9">
      <c r="I954" s="393">
        <f>Outbound!$B954</f>
        <v>0</v>
      </c>
    </row>
    <row r="955" spans="9:9">
      <c r="I955" s="393">
        <f>Outbound!$B955</f>
        <v>0</v>
      </c>
    </row>
    <row r="956" spans="9:9">
      <c r="I956" s="393">
        <f>Outbound!$B956</f>
        <v>0</v>
      </c>
    </row>
    <row r="957" spans="9:9">
      <c r="I957" s="393">
        <f>Outbound!$B957</f>
        <v>0</v>
      </c>
    </row>
    <row r="958" spans="9:9">
      <c r="I958" s="393">
        <f>Outbound!$B958</f>
        <v>0</v>
      </c>
    </row>
    <row r="959" spans="9:9">
      <c r="I959" s="393">
        <f>Outbound!$B959</f>
        <v>0</v>
      </c>
    </row>
    <row r="960" spans="9:9">
      <c r="I960" s="393">
        <f>Outbound!$B960</f>
        <v>0</v>
      </c>
    </row>
    <row r="961" spans="9:9">
      <c r="I961" s="393">
        <f>Outbound!$B961</f>
        <v>0</v>
      </c>
    </row>
    <row r="962" spans="9:9">
      <c r="I962" s="393">
        <f>Outbound!$B962</f>
        <v>0</v>
      </c>
    </row>
    <row r="963" spans="9:9">
      <c r="I963" s="393">
        <f>Outbound!$B963</f>
        <v>0</v>
      </c>
    </row>
    <row r="964" spans="9:9">
      <c r="I964" s="393">
        <f>Outbound!$B964</f>
        <v>0</v>
      </c>
    </row>
    <row r="965" spans="9:9">
      <c r="I965" s="393">
        <f>Outbound!$B965</f>
        <v>0</v>
      </c>
    </row>
    <row r="966" spans="9:9">
      <c r="I966" s="393">
        <f>Outbound!$B966</f>
        <v>0</v>
      </c>
    </row>
    <row r="967" spans="9:9">
      <c r="I967" s="393">
        <f>Outbound!$B967</f>
        <v>0</v>
      </c>
    </row>
    <row r="968" spans="9:9">
      <c r="I968" s="393">
        <f>Outbound!$B968</f>
        <v>0</v>
      </c>
    </row>
    <row r="969" spans="9:9">
      <c r="I969" s="393">
        <f>Outbound!$B969</f>
        <v>0</v>
      </c>
    </row>
    <row r="970" spans="9:9">
      <c r="I970" s="393">
        <f>Outbound!$B970</f>
        <v>0</v>
      </c>
    </row>
    <row r="971" spans="9:9">
      <c r="I971" s="393">
        <f>Outbound!$B971</f>
        <v>0</v>
      </c>
    </row>
    <row r="972" spans="9:9">
      <c r="I972" s="393">
        <f>Outbound!$B972</f>
        <v>0</v>
      </c>
    </row>
    <row r="973" spans="9:9">
      <c r="I973" s="393">
        <f>Outbound!$B973</f>
        <v>0</v>
      </c>
    </row>
    <row r="974" spans="9:9">
      <c r="I974" s="393">
        <f>Outbound!$B974</f>
        <v>0</v>
      </c>
    </row>
    <row r="975" spans="9:9">
      <c r="I975" s="393">
        <f>Outbound!$B975</f>
        <v>0</v>
      </c>
    </row>
    <row r="976" spans="9:9">
      <c r="I976" s="393">
        <f>Outbound!$B976</f>
        <v>0</v>
      </c>
    </row>
    <row r="977" spans="9:9">
      <c r="I977" s="393">
        <f>Outbound!$B977</f>
        <v>0</v>
      </c>
    </row>
    <row r="978" spans="9:9">
      <c r="I978" s="393">
        <f>Outbound!$B978</f>
        <v>0</v>
      </c>
    </row>
    <row r="979" spans="9:9">
      <c r="I979" s="393">
        <f>Outbound!$B979</f>
        <v>0</v>
      </c>
    </row>
    <row r="980" spans="9:9">
      <c r="I980" s="393">
        <f>Outbound!$B980</f>
        <v>0</v>
      </c>
    </row>
    <row r="981" spans="9:9">
      <c r="I981" s="393">
        <f>Outbound!$B981</f>
        <v>0</v>
      </c>
    </row>
    <row r="982" spans="9:9">
      <c r="I982" s="393">
        <f>Outbound!$B982</f>
        <v>0</v>
      </c>
    </row>
    <row r="983" spans="9:9">
      <c r="I983" s="393">
        <f>Outbound!$B983</f>
        <v>0</v>
      </c>
    </row>
    <row r="984" spans="9:9">
      <c r="I984" s="393">
        <f>Outbound!$B984</f>
        <v>0</v>
      </c>
    </row>
    <row r="985" spans="9:9">
      <c r="I985" s="393">
        <f>Outbound!$B985</f>
        <v>0</v>
      </c>
    </row>
    <row r="986" spans="9:9">
      <c r="I986" s="393">
        <f>Outbound!$B986</f>
        <v>0</v>
      </c>
    </row>
    <row r="987" spans="9:9">
      <c r="I987" s="393">
        <f>Outbound!$B987</f>
        <v>0</v>
      </c>
    </row>
    <row r="988" spans="9:9">
      <c r="I988" s="393">
        <f>Outbound!$B988</f>
        <v>0</v>
      </c>
    </row>
    <row r="989" spans="9:9">
      <c r="I989" s="393">
        <f>Outbound!$B989</f>
        <v>0</v>
      </c>
    </row>
    <row r="990" spans="9:9">
      <c r="I990" s="393">
        <f>Outbound!$B990</f>
        <v>0</v>
      </c>
    </row>
    <row r="991" spans="9:9">
      <c r="I991" s="393">
        <f>Outbound!$B991</f>
        <v>0</v>
      </c>
    </row>
    <row r="992" spans="9:9">
      <c r="I992" s="393">
        <f>Outbound!$B992</f>
        <v>0</v>
      </c>
    </row>
    <row r="993" spans="9:9">
      <c r="I993" s="393">
        <f>Outbound!$B993</f>
        <v>0</v>
      </c>
    </row>
    <row r="994" spans="9:9">
      <c r="I994" s="393">
        <f>Outbound!$B994</f>
        <v>0</v>
      </c>
    </row>
    <row r="995" spans="9:9">
      <c r="I995" s="393">
        <f>Outbound!$B995</f>
        <v>0</v>
      </c>
    </row>
    <row r="996" spans="9:9">
      <c r="I996" s="393">
        <f>Outbound!$B996</f>
        <v>0</v>
      </c>
    </row>
    <row r="997" spans="9:9">
      <c r="I997" s="393">
        <f>Outbound!$B997</f>
        <v>0</v>
      </c>
    </row>
    <row r="998" spans="9:9">
      <c r="I998" s="393">
        <f>Outbound!$B998</f>
        <v>0</v>
      </c>
    </row>
    <row r="999" spans="9:9">
      <c r="I999" s="393">
        <f>Outbound!$B999</f>
        <v>0</v>
      </c>
    </row>
    <row r="1000" spans="9:9">
      <c r="I1000" s="393">
        <f>Outbound!$B1000</f>
        <v>0</v>
      </c>
    </row>
    <row r="1001" spans="9:9">
      <c r="I1001" s="393">
        <f>Outbound!$B1001</f>
        <v>0</v>
      </c>
    </row>
    <row r="1002" spans="9:9">
      <c r="I1002" s="393">
        <f>Outbound!$B1002</f>
        <v>0</v>
      </c>
    </row>
    <row r="1003" spans="9:9">
      <c r="I1003" s="393">
        <f>Outbound!$B1003</f>
        <v>0</v>
      </c>
    </row>
    <row r="1004" spans="9:9">
      <c r="I1004" s="393">
        <f>Outbound!$B1004</f>
        <v>0</v>
      </c>
    </row>
    <row r="1005" spans="9:9">
      <c r="I1005" s="393">
        <f>Outbound!$B1005</f>
        <v>0</v>
      </c>
    </row>
    <row r="1006" spans="9:9">
      <c r="I1006" s="393">
        <f>Outbound!$B1006</f>
        <v>0</v>
      </c>
    </row>
    <row r="1007" spans="9:9">
      <c r="I1007" s="393">
        <f>Outbound!$B1007</f>
        <v>0</v>
      </c>
    </row>
    <row r="1008" spans="9:9">
      <c r="I1008" s="393">
        <f>Outbound!$B1008</f>
        <v>0</v>
      </c>
    </row>
    <row r="1009" spans="9:9">
      <c r="I1009" s="393">
        <f>Outbound!$B1009</f>
        <v>0</v>
      </c>
    </row>
    <row r="1010" spans="9:9">
      <c r="I1010" s="393">
        <f>Outbound!$B1010</f>
        <v>0</v>
      </c>
    </row>
    <row r="1011" spans="9:9">
      <c r="I1011" s="393">
        <f>Outbound!$B1011</f>
        <v>0</v>
      </c>
    </row>
    <row r="1012" spans="9:9">
      <c r="I1012" s="393">
        <f>Outbound!$B1012</f>
        <v>0</v>
      </c>
    </row>
    <row r="1013" spans="9:9">
      <c r="I1013" s="393">
        <f>Outbound!$B1013</f>
        <v>0</v>
      </c>
    </row>
    <row r="1014" spans="9:9">
      <c r="I1014" s="393">
        <f>Outbound!$B1014</f>
        <v>0</v>
      </c>
    </row>
    <row r="1015" spans="9:9">
      <c r="I1015" s="393">
        <f>Outbound!$B1015</f>
        <v>0</v>
      </c>
    </row>
    <row r="1016" spans="9:9">
      <c r="I1016" s="393">
        <f>Outbound!$B1016</f>
        <v>0</v>
      </c>
    </row>
    <row r="1017" spans="9:9">
      <c r="I1017" s="393">
        <f>Outbound!$B1017</f>
        <v>0</v>
      </c>
    </row>
    <row r="1018" spans="9:9">
      <c r="I1018" s="393">
        <f>Outbound!$B1018</f>
        <v>0</v>
      </c>
    </row>
    <row r="1019" spans="9:9">
      <c r="I1019" s="393">
        <f>Outbound!$B1019</f>
        <v>0</v>
      </c>
    </row>
    <row r="1020" spans="9:9">
      <c r="I1020" s="393">
        <f>Outbound!$B1020</f>
        <v>0</v>
      </c>
    </row>
    <row r="1021" spans="9:9">
      <c r="I1021" s="393">
        <f>Outbound!$B1021</f>
        <v>0</v>
      </c>
    </row>
    <row r="1022" spans="9:9">
      <c r="I1022" s="393">
        <f>Outbound!$B1022</f>
        <v>0</v>
      </c>
    </row>
    <row r="1023" spans="9:9">
      <c r="I1023" s="393">
        <f>Outbound!$B1023</f>
        <v>0</v>
      </c>
    </row>
    <row r="1024" spans="9:9">
      <c r="I1024" s="393">
        <f>Outbound!$B1024</f>
        <v>0</v>
      </c>
    </row>
    <row r="1025" spans="9:9">
      <c r="I1025" s="393">
        <f>Outbound!$B1025</f>
        <v>0</v>
      </c>
    </row>
    <row r="1026" spans="9:9">
      <c r="I1026" s="393">
        <f>Outbound!$B1026</f>
        <v>0</v>
      </c>
    </row>
    <row r="1027" spans="9:9">
      <c r="I1027" s="393">
        <f>Outbound!$B1027</f>
        <v>0</v>
      </c>
    </row>
    <row r="1028" spans="9:9">
      <c r="I1028" s="393">
        <f>Outbound!$B1028</f>
        <v>0</v>
      </c>
    </row>
    <row r="1029" spans="9:9">
      <c r="I1029" s="393">
        <f>Outbound!$B1029</f>
        <v>0</v>
      </c>
    </row>
    <row r="1030" spans="9:9">
      <c r="I1030" s="393">
        <f>Outbound!$B1030</f>
        <v>0</v>
      </c>
    </row>
    <row r="1031" spans="9:9">
      <c r="I1031" s="393">
        <f>Outbound!$B1031</f>
        <v>0</v>
      </c>
    </row>
    <row r="1032" spans="9:9">
      <c r="I1032" s="393">
        <f>Outbound!$B1032</f>
        <v>0</v>
      </c>
    </row>
    <row r="1033" spans="9:9">
      <c r="I1033" s="393">
        <f>Outbound!$B1033</f>
        <v>0</v>
      </c>
    </row>
    <row r="1034" spans="9:9">
      <c r="I1034" s="393">
        <f>Outbound!$B1034</f>
        <v>0</v>
      </c>
    </row>
    <row r="1035" spans="9:9">
      <c r="I1035" s="393">
        <f>Outbound!$B1035</f>
        <v>0</v>
      </c>
    </row>
    <row r="1036" spans="9:9">
      <c r="I1036" s="393">
        <f>Outbound!$B1036</f>
        <v>0</v>
      </c>
    </row>
    <row r="1037" spans="9:9">
      <c r="I1037" s="393">
        <f>Outbound!$B1037</f>
        <v>0</v>
      </c>
    </row>
    <row r="1038" spans="9:9">
      <c r="I1038" s="393">
        <f>Outbound!$B1038</f>
        <v>0</v>
      </c>
    </row>
    <row r="1039" spans="9:9">
      <c r="I1039" s="393">
        <f>Outbound!$B1039</f>
        <v>0</v>
      </c>
    </row>
    <row r="1040" spans="9:9">
      <c r="I1040" s="393">
        <f>Outbound!$B1040</f>
        <v>0</v>
      </c>
    </row>
    <row r="1041" spans="9:9">
      <c r="I1041" s="393">
        <f>Outbound!$B1041</f>
        <v>0</v>
      </c>
    </row>
    <row r="1042" spans="9:9">
      <c r="I1042" s="393">
        <f>Outbound!$B1042</f>
        <v>0</v>
      </c>
    </row>
    <row r="1043" spans="9:9">
      <c r="I1043" s="393">
        <f>Outbound!$B1043</f>
        <v>0</v>
      </c>
    </row>
    <row r="1044" spans="9:9">
      <c r="I1044" s="393">
        <f>Outbound!$B1044</f>
        <v>0</v>
      </c>
    </row>
    <row r="1045" spans="9:9">
      <c r="I1045" s="393">
        <f>Outbound!$B1045</f>
        <v>0</v>
      </c>
    </row>
    <row r="1046" spans="9:9">
      <c r="I1046" s="393">
        <f>Outbound!$B1046</f>
        <v>0</v>
      </c>
    </row>
    <row r="1047" spans="9:9">
      <c r="I1047" s="393">
        <f>Outbound!$B1047</f>
        <v>0</v>
      </c>
    </row>
    <row r="1048" spans="9:9">
      <c r="I1048" s="393">
        <f>Outbound!$B1048</f>
        <v>0</v>
      </c>
    </row>
    <row r="1049" spans="9:9">
      <c r="I1049" s="393">
        <f>Outbound!$B1049</f>
        <v>0</v>
      </c>
    </row>
    <row r="1050" spans="9:9">
      <c r="I1050" s="393">
        <f>Outbound!$B1050</f>
        <v>0</v>
      </c>
    </row>
    <row r="1051" spans="9:9">
      <c r="I1051" s="393">
        <f>Outbound!$B1051</f>
        <v>0</v>
      </c>
    </row>
    <row r="1052" spans="9:9">
      <c r="I1052" s="393">
        <f>Outbound!$B1052</f>
        <v>0</v>
      </c>
    </row>
    <row r="1053" spans="9:9">
      <c r="I1053" s="393">
        <f>Outbound!$B1053</f>
        <v>0</v>
      </c>
    </row>
    <row r="1054" spans="9:9">
      <c r="I1054" s="393">
        <f>Outbound!$B1054</f>
        <v>0</v>
      </c>
    </row>
    <row r="1055" spans="9:9">
      <c r="I1055" s="393">
        <f>Outbound!$B1055</f>
        <v>0</v>
      </c>
    </row>
    <row r="1056" spans="9:9">
      <c r="I1056" s="393">
        <f>Outbound!$B1056</f>
        <v>0</v>
      </c>
    </row>
    <row r="1057" spans="9:9">
      <c r="I1057" s="393">
        <f>Outbound!$B1057</f>
        <v>0</v>
      </c>
    </row>
    <row r="1058" spans="9:9">
      <c r="I1058" s="393">
        <f>Outbound!$B1058</f>
        <v>0</v>
      </c>
    </row>
    <row r="1059" spans="9:9">
      <c r="I1059" s="393">
        <f>Outbound!$B1059</f>
        <v>0</v>
      </c>
    </row>
    <row r="1060" spans="9:9">
      <c r="I1060" s="393">
        <f>Outbound!$B1060</f>
        <v>0</v>
      </c>
    </row>
    <row r="1061" spans="9:9">
      <c r="I1061" s="393">
        <f>Outbound!$B1061</f>
        <v>0</v>
      </c>
    </row>
    <row r="1062" spans="9:9">
      <c r="I1062" s="393">
        <f>Outbound!$B1062</f>
        <v>0</v>
      </c>
    </row>
    <row r="1063" spans="9:9">
      <c r="I1063" s="393">
        <f>Outbound!$B1063</f>
        <v>0</v>
      </c>
    </row>
    <row r="1064" spans="9:9">
      <c r="I1064" s="393">
        <f>Outbound!$B1064</f>
        <v>0</v>
      </c>
    </row>
    <row r="1065" spans="9:9">
      <c r="I1065" s="393">
        <f>Outbound!$B1065</f>
        <v>0</v>
      </c>
    </row>
    <row r="1066" spans="9:9">
      <c r="I1066" s="393">
        <f>Outbound!$B1066</f>
        <v>0</v>
      </c>
    </row>
    <row r="1067" spans="9:9">
      <c r="I1067" s="393">
        <f>Outbound!$B1067</f>
        <v>0</v>
      </c>
    </row>
    <row r="1068" spans="9:9">
      <c r="I1068" s="393">
        <f>Outbound!$B1068</f>
        <v>0</v>
      </c>
    </row>
    <row r="1069" spans="9:9">
      <c r="I1069" s="393">
        <f>Outbound!$B1069</f>
        <v>0</v>
      </c>
    </row>
    <row r="1070" spans="9:9">
      <c r="I1070" s="393">
        <f>Outbound!$B1070</f>
        <v>0</v>
      </c>
    </row>
    <row r="1071" spans="9:9">
      <c r="I1071" s="393">
        <f>Outbound!$B1071</f>
        <v>0</v>
      </c>
    </row>
    <row r="1072" spans="9:9">
      <c r="I1072" s="393">
        <f>Outbound!$B1072</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E160A-3B01-45EE-9415-99FD0CAE7A13}">
  <sheetPr codeName="Foglio5"/>
  <dimension ref="D2:Z26"/>
  <sheetViews>
    <sheetView workbookViewId="0">
      <selection activeCell="W4" sqref="W4:Z13"/>
    </sheetView>
  </sheetViews>
  <sheetFormatPr defaultRowHeight="15"/>
  <cols>
    <col min="4" max="4" width="29.85546875" bestFit="1" customWidth="1"/>
    <col min="5" max="5" width="8.85546875" bestFit="1" customWidth="1"/>
    <col min="6" max="6" width="7.5703125" style="5" bestFit="1" customWidth="1"/>
    <col min="7" max="7" width="9.5703125" style="5" bestFit="1" customWidth="1"/>
    <col min="8" max="8" width="7.85546875" style="5" bestFit="1" customWidth="1"/>
    <col min="9" max="9" width="10.5703125" style="5" customWidth="1"/>
    <col min="10" max="10" width="14.42578125" style="5" bestFit="1" customWidth="1"/>
    <col min="11" max="18" width="8.5703125" style="5"/>
    <col min="23" max="23" width="14.140625" bestFit="1" customWidth="1"/>
    <col min="25" max="25" width="21.5703125" bestFit="1" customWidth="1"/>
    <col min="26" max="26" width="69.140625" bestFit="1" customWidth="1"/>
  </cols>
  <sheetData>
    <row r="2" spans="4:26">
      <c r="D2" s="537" t="s">
        <v>1857</v>
      </c>
      <c r="E2" s="538"/>
      <c r="F2" s="538"/>
      <c r="G2" s="538"/>
      <c r="H2" s="538"/>
      <c r="I2" s="538"/>
      <c r="J2" s="539"/>
      <c r="M2" s="536" t="s">
        <v>1858</v>
      </c>
      <c r="N2" s="536"/>
      <c r="O2" s="536"/>
      <c r="P2" s="536"/>
      <c r="Q2" s="536"/>
      <c r="R2" s="536"/>
      <c r="T2" s="317" t="s">
        <v>1859</v>
      </c>
    </row>
    <row r="3" spans="4:26">
      <c r="D3" s="66" t="s">
        <v>1267</v>
      </c>
      <c r="E3" s="66" t="s">
        <v>1860</v>
      </c>
      <c r="F3" s="66" t="s">
        <v>381</v>
      </c>
      <c r="G3" s="67" t="s">
        <v>1861</v>
      </c>
      <c r="H3" s="67" t="s">
        <v>1862</v>
      </c>
      <c r="I3" s="67" t="s">
        <v>1863</v>
      </c>
      <c r="J3" s="409" t="s">
        <v>1864</v>
      </c>
      <c r="M3" s="64" t="s">
        <v>1865</v>
      </c>
      <c r="N3" s="64" t="s">
        <v>1866</v>
      </c>
      <c r="O3" s="64" t="s">
        <v>1867</v>
      </c>
      <c r="P3" s="68" t="s">
        <v>1868</v>
      </c>
      <c r="R3" s="68" t="s">
        <v>1869</v>
      </c>
      <c r="T3" s="66" t="s">
        <v>1870</v>
      </c>
    </row>
    <row r="4" spans="4:26">
      <c r="D4" s="65" t="s">
        <v>472</v>
      </c>
      <c r="E4" s="4" t="s">
        <v>0</v>
      </c>
      <c r="F4" s="4">
        <f>T4-G4</f>
        <v>2</v>
      </c>
      <c r="G4" s="4">
        <f>COUNTIFS(Outbound!$B:$B,"ITD*",Outbound!$S:$S,"Y",Outbound!$D:$D,"IMR*",Outbound!$L:$L,'Mezzi STBY'!D4)</f>
        <v>0</v>
      </c>
      <c r="H4" s="4">
        <v>2</v>
      </c>
      <c r="I4" s="408"/>
      <c r="J4" s="407">
        <f>H4-I4-G4-F4</f>
        <v>0</v>
      </c>
      <c r="M4" s="4"/>
      <c r="N4" s="4"/>
      <c r="O4" s="4"/>
      <c r="P4" s="4">
        <f>H4-I4</f>
        <v>2</v>
      </c>
      <c r="R4" s="4" t="str">
        <f>IF(P4-O4&gt;=0,"ok","NO")</f>
        <v>ok</v>
      </c>
      <c r="T4" s="31">
        <f>COUNTIFS(Outbound!$B:$B,"ITD*",Outbound!$S:$S,"Y",Outbound!$L:$L,'Mezzi STBY'!D4)</f>
        <v>2</v>
      </c>
      <c r="W4" s="417" t="s">
        <v>1871</v>
      </c>
      <c r="X4" s="417" t="s">
        <v>1872</v>
      </c>
      <c r="Y4" s="417" t="s">
        <v>1873</v>
      </c>
      <c r="Z4" s="417" t="s">
        <v>1874</v>
      </c>
    </row>
    <row r="5" spans="4:26">
      <c r="D5" s="65" t="s">
        <v>800</v>
      </c>
      <c r="E5" s="4" t="s">
        <v>0</v>
      </c>
      <c r="F5" s="4">
        <f t="shared" ref="F5:F26" si="0">T5-G5</f>
        <v>1</v>
      </c>
      <c r="G5" s="4">
        <f>COUNTIFS(Outbound!$B:$B,"ITD*",Outbound!$S:$S,"Y",Outbound!$D:$D,"IMR*",Outbound!$L:$L,'Mezzi STBY'!D5)</f>
        <v>1</v>
      </c>
      <c r="H5" s="4">
        <v>2</v>
      </c>
      <c r="I5" s="408"/>
      <c r="J5" s="407">
        <f>H5-I5-G5-F5</f>
        <v>0</v>
      </c>
      <c r="K5" s="406"/>
      <c r="M5" s="4"/>
      <c r="N5" s="4"/>
      <c r="O5" s="4"/>
      <c r="P5" s="4">
        <f>H5-I5</f>
        <v>2</v>
      </c>
      <c r="R5" s="4" t="str">
        <f>IF(P5-O5&gt;=0,"ok","NO")</f>
        <v>ok</v>
      </c>
      <c r="T5" s="31">
        <f>COUNTIFS(Outbound!$B:$B,"ITD*",Outbound!$S:$S,"Y",Outbound!$L:$L,'Mezzi STBY'!D5)</f>
        <v>2</v>
      </c>
      <c r="W5" s="417" t="s">
        <v>1875</v>
      </c>
      <c r="X5" s="417" t="s">
        <v>1876</v>
      </c>
      <c r="Y5" s="417" t="s">
        <v>720</v>
      </c>
      <c r="Z5" s="417" t="s">
        <v>1877</v>
      </c>
    </row>
    <row r="6" spans="4:26">
      <c r="D6" s="65" t="s">
        <v>1878</v>
      </c>
      <c r="E6" s="4" t="s">
        <v>0</v>
      </c>
      <c r="F6" s="4">
        <f t="shared" si="0"/>
        <v>0</v>
      </c>
      <c r="G6" s="4">
        <f>COUNTIFS(Outbound!$B:$B,"ITD*",Outbound!$S:$S,"Y",Outbound!$D:$D,"IMR*",Outbound!$L:$L,'Mezzi STBY'!D6)</f>
        <v>0</v>
      </c>
      <c r="H6" s="4">
        <v>2</v>
      </c>
      <c r="I6" s="408"/>
      <c r="J6" s="407">
        <f t="shared" ref="J6:J8" si="1">H6-I6-G6-F6</f>
        <v>2</v>
      </c>
      <c r="M6" s="4"/>
      <c r="N6" s="4"/>
      <c r="O6" s="4"/>
      <c r="P6" s="4">
        <f t="shared" ref="P6:P7" si="2">H6-I6</f>
        <v>2</v>
      </c>
      <c r="R6" s="4" t="str">
        <f t="shared" ref="R6:R7" si="3">IF(P6-O6&gt;=0,"ok","NO")</f>
        <v>ok</v>
      </c>
      <c r="T6" s="31">
        <f>COUNTIFS(Outbound!$B:$B,"ITD*",Outbound!$S:$S,"Y",Outbound!$L:$L,'Mezzi STBY'!D6)</f>
        <v>0</v>
      </c>
      <c r="W6" s="417" t="s">
        <v>1879</v>
      </c>
      <c r="X6" s="417" t="s">
        <v>1880</v>
      </c>
      <c r="Y6" s="417" t="s">
        <v>720</v>
      </c>
      <c r="Z6" s="417" t="s">
        <v>1881</v>
      </c>
    </row>
    <row r="7" spans="4:26">
      <c r="D7" s="65" t="s">
        <v>692</v>
      </c>
      <c r="E7" s="4" t="s">
        <v>0</v>
      </c>
      <c r="F7" s="4">
        <f t="shared" si="0"/>
        <v>6</v>
      </c>
      <c r="G7" s="4">
        <f>COUNTIFS(Outbound!$B:$B,"ITD*",Outbound!$S:$S,"Y",Outbound!$D:$D,"IMR*",Outbound!$L:$L,'Mezzi STBY'!D7)</f>
        <v>7</v>
      </c>
      <c r="H7" s="4">
        <v>17</v>
      </c>
      <c r="I7" s="408">
        <v>1</v>
      </c>
      <c r="J7" s="407">
        <f t="shared" si="1"/>
        <v>3</v>
      </c>
      <c r="M7" s="4"/>
      <c r="N7" s="4"/>
      <c r="O7" s="4"/>
      <c r="P7" s="4">
        <f t="shared" si="2"/>
        <v>16</v>
      </c>
      <c r="R7" s="4" t="str">
        <f t="shared" si="3"/>
        <v>ok</v>
      </c>
      <c r="T7" s="31">
        <f>COUNTIFS(Outbound!$B:$B,"ITD*",Outbound!$S:$S,"Y",Outbound!$L:$L,'Mezzi STBY'!D7)</f>
        <v>13</v>
      </c>
      <c r="W7" s="417" t="s">
        <v>1882</v>
      </c>
      <c r="X7" s="417" t="s">
        <v>1883</v>
      </c>
      <c r="Y7" s="417" t="s">
        <v>451</v>
      </c>
      <c r="Z7" s="417" t="s">
        <v>1884</v>
      </c>
    </row>
    <row r="8" spans="4:26">
      <c r="D8" s="65" t="s">
        <v>791</v>
      </c>
      <c r="E8" s="4" t="s">
        <v>0</v>
      </c>
      <c r="F8" s="4">
        <f t="shared" si="0"/>
        <v>1</v>
      </c>
      <c r="G8" s="4">
        <f>COUNTIFS(Outbound!$B:$B,"ITD*",Outbound!$S:$S,"Y",Outbound!$D:$D,"IMR*",Outbound!$L:$L,'Mezzi STBY'!D8)</f>
        <v>2</v>
      </c>
      <c r="H8" s="4">
        <v>5</v>
      </c>
      <c r="I8" s="408"/>
      <c r="J8" s="407">
        <f t="shared" si="1"/>
        <v>2</v>
      </c>
      <c r="M8" s="4"/>
      <c r="N8" s="4"/>
      <c r="O8" s="4"/>
      <c r="P8" s="4">
        <f t="shared" ref="P8:P19" si="4">H8-I8</f>
        <v>5</v>
      </c>
      <c r="R8" s="4" t="str">
        <f t="shared" ref="R8:R19" si="5">IF(P8-O8&gt;=0,"ok","NO")</f>
        <v>ok</v>
      </c>
      <c r="T8" s="31">
        <f>COUNTIFS(Outbound!$B:$B,"ITD*",Outbound!$S:$S,"Y",Outbound!$L:$L,'Mezzi STBY'!D8)</f>
        <v>3</v>
      </c>
      <c r="W8" s="417" t="s">
        <v>1885</v>
      </c>
      <c r="X8" s="417" t="s">
        <v>1886</v>
      </c>
      <c r="Y8" s="417" t="s">
        <v>52</v>
      </c>
      <c r="Z8" s="417" t="s">
        <v>1887</v>
      </c>
    </row>
    <row r="9" spans="4:26">
      <c r="D9" s="65" t="s">
        <v>709</v>
      </c>
      <c r="E9" s="4" t="s">
        <v>0</v>
      </c>
      <c r="F9" s="4">
        <f t="shared" si="0"/>
        <v>0</v>
      </c>
      <c r="G9" s="4">
        <f>COUNTIFS(Outbound!$B:$B,"ITD*",Outbound!$S:$S,"Y",Outbound!$D:$D,"IMR*",Outbound!$L:$L,'Mezzi STBY'!D9)</f>
        <v>1</v>
      </c>
      <c r="H9" s="4">
        <v>2</v>
      </c>
      <c r="I9" s="408"/>
      <c r="J9" s="407">
        <f t="shared" ref="J9:J19" si="6">H9-I9-G9-F9</f>
        <v>1</v>
      </c>
      <c r="M9" s="4"/>
      <c r="N9" s="4"/>
      <c r="O9" s="4"/>
      <c r="P9" s="4">
        <f t="shared" si="4"/>
        <v>2</v>
      </c>
      <c r="R9" s="4" t="str">
        <f t="shared" si="5"/>
        <v>ok</v>
      </c>
      <c r="T9" s="31">
        <f>COUNTIFS(Outbound!$B:$B,"ITD*",Outbound!$S:$S,"Y",Outbound!$L:$L,'Mezzi STBY'!D9)</f>
        <v>1</v>
      </c>
      <c r="W9" s="417" t="s">
        <v>1888</v>
      </c>
      <c r="X9" s="417" t="s">
        <v>1889</v>
      </c>
      <c r="Y9" s="417" t="s">
        <v>1890</v>
      </c>
      <c r="Z9" s="417" t="s">
        <v>1891</v>
      </c>
    </row>
    <row r="10" spans="4:26">
      <c r="D10" s="65" t="s">
        <v>436</v>
      </c>
      <c r="E10" s="4" t="s">
        <v>0</v>
      </c>
      <c r="F10" s="4">
        <f t="shared" si="0"/>
        <v>9</v>
      </c>
      <c r="G10" s="4">
        <f>COUNTIFS(Outbound!$B:$B,"ITD*",Outbound!$S:$S,"Y",Outbound!$D:$D,"IMR*",Outbound!$L:$L,'Mezzi STBY'!D10)</f>
        <v>0</v>
      </c>
      <c r="H10" s="4">
        <v>7</v>
      </c>
      <c r="I10" s="4"/>
      <c r="J10" s="410">
        <f t="shared" si="6"/>
        <v>-2</v>
      </c>
      <c r="M10" s="4"/>
      <c r="N10" s="4"/>
      <c r="O10" s="4"/>
      <c r="P10" s="4">
        <f t="shared" si="4"/>
        <v>7</v>
      </c>
      <c r="R10" s="4" t="str">
        <f t="shared" si="5"/>
        <v>ok</v>
      </c>
      <c r="T10" s="31">
        <f>COUNTIFS(Outbound!$B:$B,"ITD*",Outbound!$S:$S,"Y",Outbound!$L:$L,'Mezzi STBY'!D10)</f>
        <v>9</v>
      </c>
      <c r="W10" s="417" t="s">
        <v>1892</v>
      </c>
      <c r="X10" s="417" t="s">
        <v>1893</v>
      </c>
      <c r="Y10" s="417" t="s">
        <v>1894</v>
      </c>
      <c r="Z10" s="417" t="s">
        <v>1895</v>
      </c>
    </row>
    <row r="11" spans="4:26">
      <c r="D11" s="65" t="s">
        <v>720</v>
      </c>
      <c r="E11" s="4" t="s">
        <v>0</v>
      </c>
      <c r="F11" s="4">
        <f t="shared" si="0"/>
        <v>2</v>
      </c>
      <c r="G11" s="4">
        <f>COUNTIFS(Outbound!$B:$B,"ITD*",Outbound!$S:$S,"Y",Outbound!$D:$D,"IMR*",Outbound!$L:$L,'Mezzi STBY'!D11)</f>
        <v>0</v>
      </c>
      <c r="H11" s="4">
        <v>3</v>
      </c>
      <c r="I11" s="4">
        <v>2</v>
      </c>
      <c r="J11" s="31">
        <f t="shared" si="6"/>
        <v>-1</v>
      </c>
      <c r="M11" s="4"/>
      <c r="N11" s="4"/>
      <c r="O11" s="4"/>
      <c r="P11" s="4">
        <f t="shared" si="4"/>
        <v>1</v>
      </c>
      <c r="R11" s="4" t="str">
        <f t="shared" si="5"/>
        <v>ok</v>
      </c>
      <c r="T11" s="31">
        <f>COUNTIFS(Outbound!$B:$B,"ITD*",Outbound!$S:$S,"Y",Outbound!$L:$L,'Mezzi STBY'!D11)</f>
        <v>2</v>
      </c>
      <c r="W11" s="417" t="s">
        <v>1896</v>
      </c>
      <c r="X11" s="417" t="s">
        <v>1897</v>
      </c>
      <c r="Y11" s="417" t="s">
        <v>430</v>
      </c>
      <c r="Z11" s="417" t="s">
        <v>1898</v>
      </c>
    </row>
    <row r="12" spans="4:26">
      <c r="D12" s="65" t="s">
        <v>451</v>
      </c>
      <c r="E12" s="4" t="s">
        <v>0</v>
      </c>
      <c r="F12" s="4">
        <f t="shared" si="0"/>
        <v>14</v>
      </c>
      <c r="G12" s="4">
        <f>COUNTIFS(Outbound!$B:$B,"ITD*",Outbound!$S:$S,"Y",Outbound!$D:$D,"IMR*",Outbound!$L:$L,'Mezzi STBY'!D12)</f>
        <v>1</v>
      </c>
      <c r="H12" s="4">
        <v>19</v>
      </c>
      <c r="I12" s="4">
        <v>1</v>
      </c>
      <c r="J12" s="31">
        <f t="shared" si="6"/>
        <v>3</v>
      </c>
      <c r="M12" s="4"/>
      <c r="N12" s="4"/>
      <c r="O12" s="4"/>
      <c r="P12" s="4">
        <f t="shared" si="4"/>
        <v>18</v>
      </c>
      <c r="R12" s="4" t="str">
        <f t="shared" si="5"/>
        <v>ok</v>
      </c>
      <c r="T12" s="31">
        <f>COUNTIFS(Outbound!$B:$B,"ITD*",Outbound!$S:$S,"Y",Outbound!$L:$L,'Mezzi STBY'!D12)</f>
        <v>15</v>
      </c>
      <c r="W12" s="417" t="s">
        <v>1899</v>
      </c>
      <c r="X12" s="417" t="s">
        <v>1900</v>
      </c>
      <c r="Y12" s="417" t="s">
        <v>1901</v>
      </c>
      <c r="Z12" s="417" t="s">
        <v>1902</v>
      </c>
    </row>
    <row r="13" spans="4:26">
      <c r="D13" s="65" t="s">
        <v>417</v>
      </c>
      <c r="E13" s="4" t="s">
        <v>0</v>
      </c>
      <c r="F13" s="4">
        <f t="shared" si="0"/>
        <v>5</v>
      </c>
      <c r="G13" s="4">
        <f>COUNTIFS(Outbound!$B:$B,"ITD*",Outbound!$S:$S,"Y",Outbound!$D:$D,"IMR*",Outbound!$L:$L,'Mezzi STBY'!D13)</f>
        <v>0</v>
      </c>
      <c r="H13" s="4">
        <v>5</v>
      </c>
      <c r="I13" s="4"/>
      <c r="J13" s="31">
        <f t="shared" si="6"/>
        <v>0</v>
      </c>
      <c r="M13" s="4"/>
      <c r="N13" s="4"/>
      <c r="O13" s="4"/>
      <c r="P13" s="4">
        <f t="shared" si="4"/>
        <v>5</v>
      </c>
      <c r="R13" s="4" t="str">
        <f t="shared" si="5"/>
        <v>ok</v>
      </c>
      <c r="T13" s="31">
        <f>COUNTIFS(Outbound!$B:$B,"ITD*",Outbound!$S:$S,"Y",Outbound!$L:$L,'Mezzi STBY'!D13)</f>
        <v>5</v>
      </c>
      <c r="W13" s="417" t="s">
        <v>1903</v>
      </c>
      <c r="X13" s="417" t="s">
        <v>1904</v>
      </c>
      <c r="Y13" s="417" t="s">
        <v>427</v>
      </c>
      <c r="Z13" s="417" t="s">
        <v>1905</v>
      </c>
    </row>
    <row r="14" spans="4:26">
      <c r="D14" s="65" t="s">
        <v>658</v>
      </c>
      <c r="E14" s="4" t="s">
        <v>0</v>
      </c>
      <c r="F14" s="4">
        <f t="shared" si="0"/>
        <v>2</v>
      </c>
      <c r="G14" s="4">
        <f>COUNTIFS(Outbound!$B:$B,"ITD*",Outbound!$S:$S,"Y",Outbound!$D:$D,"IMR*",Outbound!$L:$L,'Mezzi STBY'!D14)</f>
        <v>0</v>
      </c>
      <c r="H14" s="4">
        <v>6</v>
      </c>
      <c r="I14" s="4"/>
      <c r="J14" s="31">
        <f t="shared" si="6"/>
        <v>4</v>
      </c>
      <c r="M14" s="4"/>
      <c r="N14" s="4"/>
      <c r="O14" s="4"/>
      <c r="P14" s="4">
        <f t="shared" si="4"/>
        <v>6</v>
      </c>
      <c r="R14" s="4" t="str">
        <f t="shared" si="5"/>
        <v>ok</v>
      </c>
      <c r="T14" s="31">
        <f>COUNTIFS(Outbound!$B:$B,"ITD*",Outbound!$S:$S,"Y",Outbound!$L:$L,'Mezzi STBY'!D14)</f>
        <v>2</v>
      </c>
    </row>
    <row r="15" spans="4:26">
      <c r="D15" s="65" t="s">
        <v>52</v>
      </c>
      <c r="E15" s="4" t="s">
        <v>0</v>
      </c>
      <c r="F15" s="4">
        <f t="shared" si="0"/>
        <v>12</v>
      </c>
      <c r="G15" s="4">
        <f>COUNTIFS(Outbound!$B:$B,"ITD*",Outbound!$S:$S,"Y",Outbound!$D:$D,"IMR*",Outbound!$L:$L,'Mezzi STBY'!D15)</f>
        <v>0</v>
      </c>
      <c r="H15" s="4">
        <v>9</v>
      </c>
      <c r="I15" s="4">
        <v>1</v>
      </c>
      <c r="J15" s="31">
        <f t="shared" si="6"/>
        <v>-4</v>
      </c>
      <c r="M15" s="4"/>
      <c r="N15" s="4"/>
      <c r="O15" s="4"/>
      <c r="P15" s="4">
        <f t="shared" si="4"/>
        <v>8</v>
      </c>
      <c r="R15" s="4" t="str">
        <f t="shared" si="5"/>
        <v>ok</v>
      </c>
      <c r="T15" s="31">
        <f>COUNTIFS(Outbound!$B:$B,"ITD*",Outbound!$S:$S,"Y",Outbound!$L:$L,'Mezzi STBY'!D15)</f>
        <v>12</v>
      </c>
    </row>
    <row r="16" spans="4:26">
      <c r="D16" s="65" t="s">
        <v>1115</v>
      </c>
      <c r="E16" s="4" t="s">
        <v>0</v>
      </c>
      <c r="F16" s="4">
        <f t="shared" si="0"/>
        <v>1</v>
      </c>
      <c r="G16" s="4">
        <f>COUNTIFS(Outbound!$B:$B,"ITD*",Outbound!$S:$S,"Y",Outbound!$D:$D,"IMR*",Outbound!$L:$L,'Mezzi STBY'!D16)</f>
        <v>0</v>
      </c>
      <c r="H16" s="4">
        <v>3</v>
      </c>
      <c r="I16" s="4"/>
      <c r="J16" s="31">
        <f t="shared" si="6"/>
        <v>2</v>
      </c>
      <c r="M16" s="4"/>
      <c r="N16" s="4"/>
      <c r="O16" s="4"/>
      <c r="P16" s="4">
        <f t="shared" si="4"/>
        <v>3</v>
      </c>
      <c r="R16" s="4" t="str">
        <f t="shared" si="5"/>
        <v>ok</v>
      </c>
      <c r="T16" s="31">
        <f>COUNTIFS(Outbound!$B:$B,"ITD*",Outbound!$S:$S,"Y",Outbound!$L:$L,'Mezzi STBY'!D16)</f>
        <v>1</v>
      </c>
    </row>
    <row r="17" spans="4:20">
      <c r="D17" s="65" t="s">
        <v>611</v>
      </c>
      <c r="E17" s="4" t="s">
        <v>0</v>
      </c>
      <c r="F17" s="4">
        <f t="shared" si="0"/>
        <v>0</v>
      </c>
      <c r="G17" s="4">
        <f>COUNTIFS(Outbound!$B:$B,"ITD*",Outbound!$S:$S,"Y",Outbound!$D:$D,"IMR*",Outbound!$L:$L,'Mezzi STBY'!D17)</f>
        <v>1</v>
      </c>
      <c r="H17" s="4">
        <v>4</v>
      </c>
      <c r="I17" s="4"/>
      <c r="J17" s="31">
        <f t="shared" ref="J17" si="7">H17-I17-G17-F17</f>
        <v>3</v>
      </c>
      <c r="M17" s="4"/>
      <c r="N17" s="4"/>
      <c r="O17" s="4"/>
      <c r="P17" s="4">
        <f t="shared" ref="P17" si="8">H17-I17</f>
        <v>4</v>
      </c>
      <c r="R17" s="4" t="str">
        <f t="shared" ref="R17" si="9">IF(P17-O17&gt;=0,"ok","NO")</f>
        <v>ok</v>
      </c>
      <c r="T17" s="31">
        <f>COUNTIFS(Outbound!$B:$B,"ITD*",Outbound!$S:$S,"Y",Outbound!$L:$L,'Mezzi STBY'!D17)</f>
        <v>1</v>
      </c>
    </row>
    <row r="18" spans="4:20">
      <c r="D18" s="65" t="s">
        <v>812</v>
      </c>
      <c r="E18" s="4" t="s">
        <v>0</v>
      </c>
      <c r="F18" s="4">
        <f t="shared" si="0"/>
        <v>1</v>
      </c>
      <c r="G18" s="4">
        <f>COUNTIFS(Outbound!$B:$B,"ITD*",Outbound!$S:$S,"Y",Outbound!$D:$D,"IMR*",Outbound!$L:$L,'Mezzi STBY'!D18)</f>
        <v>3</v>
      </c>
      <c r="H18" s="4">
        <v>5</v>
      </c>
      <c r="I18" s="4"/>
      <c r="J18" s="31">
        <f t="shared" si="6"/>
        <v>1</v>
      </c>
      <c r="M18" s="4"/>
      <c r="N18" s="4"/>
      <c r="O18" s="4"/>
      <c r="P18" s="4">
        <f t="shared" si="4"/>
        <v>5</v>
      </c>
      <c r="R18" s="4" t="str">
        <f t="shared" si="5"/>
        <v>ok</v>
      </c>
      <c r="T18" s="31">
        <f>COUNTIFS(Outbound!$B:$B,"ITD*",Outbound!$S:$S,"Y",Outbound!$L:$L,'Mezzi STBY'!D18)</f>
        <v>4</v>
      </c>
    </row>
    <row r="19" spans="4:20">
      <c r="D19" s="65" t="s">
        <v>592</v>
      </c>
      <c r="E19" s="4" t="s">
        <v>0</v>
      </c>
      <c r="F19" s="4">
        <f t="shared" si="0"/>
        <v>5</v>
      </c>
      <c r="G19" s="4">
        <f>COUNTIFS(Outbound!$B:$B,"ITD*",Outbound!$S:$S,"Y",Outbound!$D:$D,"IMR*",Outbound!$L:$L,'Mezzi STBY'!D19)</f>
        <v>0</v>
      </c>
      <c r="H19" s="4">
        <v>5</v>
      </c>
      <c r="I19" s="4"/>
      <c r="J19" s="31">
        <f t="shared" si="6"/>
        <v>0</v>
      </c>
      <c r="M19" s="4"/>
      <c r="N19" s="4"/>
      <c r="O19" s="4"/>
      <c r="P19" s="4">
        <f t="shared" si="4"/>
        <v>5</v>
      </c>
      <c r="R19" s="4" t="str">
        <f t="shared" si="5"/>
        <v>ok</v>
      </c>
      <c r="T19" s="31">
        <f>COUNTIFS(Outbound!$B:$B,"ITD*",Outbound!$S:$S,"Y",Outbound!$L:$L,'Mezzi STBY'!D19)</f>
        <v>5</v>
      </c>
    </row>
    <row r="20" spans="4:20">
      <c r="D20" s="65" t="s">
        <v>826</v>
      </c>
      <c r="E20" s="4" t="s">
        <v>0</v>
      </c>
      <c r="F20" s="4">
        <f t="shared" si="0"/>
        <v>3</v>
      </c>
      <c r="G20" s="4">
        <f>COUNTIFS(Outbound!$B:$B,"ITD*",Outbound!$S:$S,"Y",Outbound!$D:$D,"IMR*",Outbound!$L:$L,'Mezzi STBY'!D20)</f>
        <v>0</v>
      </c>
      <c r="H20" s="4">
        <v>5</v>
      </c>
      <c r="I20" s="4">
        <v>1</v>
      </c>
      <c r="J20" s="31">
        <f t="shared" ref="J20:J25" si="10">H20-I20-G20-F20</f>
        <v>1</v>
      </c>
      <c r="M20" s="4"/>
      <c r="N20" s="4"/>
      <c r="O20" s="4"/>
      <c r="P20" s="4">
        <f t="shared" ref="P20:P25" si="11">H20-I20</f>
        <v>4</v>
      </c>
      <c r="R20" s="4" t="str">
        <f t="shared" ref="R20:R22" si="12">IF(P20-O20&gt;=0,"ok","NO")</f>
        <v>ok</v>
      </c>
      <c r="T20" s="31">
        <f>COUNTIFS(Outbound!$B:$B,"ITD*",Outbound!$S:$S,"Y",Outbound!$L:$L,'Mezzi STBY'!D20)</f>
        <v>3</v>
      </c>
    </row>
    <row r="21" spans="4:20">
      <c r="D21" s="65" t="s">
        <v>752</v>
      </c>
      <c r="E21" s="4" t="s">
        <v>0</v>
      </c>
      <c r="F21" s="4">
        <f t="shared" si="0"/>
        <v>4</v>
      </c>
      <c r="G21" s="4">
        <f>COUNTIFS(Outbound!$B:$B,"ITD*",Outbound!$S:$S,"Y",Outbound!$D:$D,"IMR*",Outbound!$L:$L,'Mezzi STBY'!D21)</f>
        <v>1</v>
      </c>
      <c r="H21" s="4">
        <v>4</v>
      </c>
      <c r="I21" s="4"/>
      <c r="J21" s="31">
        <f t="shared" si="10"/>
        <v>-1</v>
      </c>
      <c r="M21" s="4"/>
      <c r="N21" s="4"/>
      <c r="O21" s="4"/>
      <c r="P21" s="4">
        <f t="shared" si="11"/>
        <v>4</v>
      </c>
      <c r="R21" s="4" t="str">
        <f t="shared" si="12"/>
        <v>ok</v>
      </c>
      <c r="T21" s="31">
        <f>COUNTIFS(Outbound!$B:$B,"ITD*",Outbound!$S:$S,"Y",Outbound!$L:$L,'Mezzi STBY'!D21)</f>
        <v>5</v>
      </c>
    </row>
    <row r="22" spans="4:20">
      <c r="D22" s="65" t="s">
        <v>606</v>
      </c>
      <c r="E22" s="4" t="s">
        <v>0</v>
      </c>
      <c r="F22" s="4">
        <f t="shared" si="0"/>
        <v>7</v>
      </c>
      <c r="G22" s="4">
        <f>COUNTIFS(Outbound!$B:$B,"ITD*",Outbound!$S:$S,"Y",Outbound!$D:$D,"IMR*",Outbound!$L:$L,'Mezzi STBY'!D22)</f>
        <v>0</v>
      </c>
      <c r="H22" s="4">
        <v>6</v>
      </c>
      <c r="I22" s="4">
        <v>1</v>
      </c>
      <c r="J22" s="31">
        <f t="shared" si="10"/>
        <v>-2</v>
      </c>
      <c r="M22" s="4"/>
      <c r="N22" s="4"/>
      <c r="O22" s="4"/>
      <c r="P22" s="4">
        <f t="shared" si="11"/>
        <v>5</v>
      </c>
      <c r="R22" s="4" t="str">
        <f t="shared" si="12"/>
        <v>ok</v>
      </c>
      <c r="T22" s="31">
        <f>COUNTIFS(Outbound!$B:$B,"ITD*",Outbound!$S:$S,"Y",Outbound!$L:$L,'Mezzi STBY'!D22)</f>
        <v>7</v>
      </c>
    </row>
    <row r="23" spans="4:20">
      <c r="D23" s="65" t="s">
        <v>430</v>
      </c>
      <c r="E23" s="4" t="s">
        <v>0</v>
      </c>
      <c r="F23" s="4">
        <f t="shared" si="0"/>
        <v>32</v>
      </c>
      <c r="G23" s="4">
        <f>COUNTIFS(Outbound!$B:$B,"ITD*",Outbound!$S:$S,"Y",Outbound!$D:$D,"IMR*",Outbound!$L:$L,'Mezzi STBY'!D23)</f>
        <v>1</v>
      </c>
      <c r="H23" s="4">
        <v>23</v>
      </c>
      <c r="I23" s="4">
        <v>1</v>
      </c>
      <c r="J23" s="31">
        <f t="shared" ref="J23:J24" si="13">H23-I23-G23-F23</f>
        <v>-11</v>
      </c>
      <c r="M23" s="4"/>
      <c r="N23" s="4"/>
      <c r="O23" s="4"/>
      <c r="P23" s="4">
        <f t="shared" ref="P23:P24" si="14">H23-I23</f>
        <v>22</v>
      </c>
      <c r="R23" s="4" t="str">
        <f t="shared" ref="R23:R25" si="15">IF(P23-O23&gt;=0,"ok","NO")</f>
        <v>ok</v>
      </c>
      <c r="T23" s="31">
        <f>COUNTIFS(Outbound!$B:$B,"ITD*",Outbound!$S:$S,"Y",Outbound!$L:$L,'Mezzi STBY'!D23)</f>
        <v>33</v>
      </c>
    </row>
    <row r="24" spans="4:20">
      <c r="D24" s="65" t="s">
        <v>1901</v>
      </c>
      <c r="E24" s="4" t="s">
        <v>0</v>
      </c>
      <c r="F24" s="4">
        <f t="shared" si="0"/>
        <v>11</v>
      </c>
      <c r="G24" s="4">
        <f>COUNTIFS(Outbound!$B:$B,"ITD*",Outbound!$S:$S,"Y",Outbound!$D:$D,"IMR*",Outbound!$L:$L,'Mezzi STBY'!D24)</f>
        <v>2</v>
      </c>
      <c r="H24" s="4">
        <v>10</v>
      </c>
      <c r="I24" s="4">
        <v>1</v>
      </c>
      <c r="J24" s="31">
        <f t="shared" si="13"/>
        <v>-4</v>
      </c>
      <c r="M24" s="4"/>
      <c r="N24" s="4"/>
      <c r="O24" s="4"/>
      <c r="P24" s="4">
        <f t="shared" si="14"/>
        <v>9</v>
      </c>
      <c r="R24" s="4" t="str">
        <f t="shared" si="15"/>
        <v>ok</v>
      </c>
      <c r="T24" s="31">
        <f>COUNTIFS(Outbound!$B:$B,"ITD*",Outbound!$S:$S,"Y",Outbound!$L:$L,'Mezzi STBY'!D24)</f>
        <v>13</v>
      </c>
    </row>
    <row r="25" spans="4:20">
      <c r="D25" s="65" t="s">
        <v>1906</v>
      </c>
      <c r="E25" s="4" t="s">
        <v>0</v>
      </c>
      <c r="F25" s="4">
        <f t="shared" si="0"/>
        <v>0</v>
      </c>
      <c r="G25" s="4">
        <f>COUNTIFS(Outbound!$B:$B,"ITD*",Outbound!$S:$S,"Y",Outbound!$D:$D,"IMR*",Outbound!$L:$L,'Mezzi STBY'!D25)</f>
        <v>0</v>
      </c>
      <c r="H25" s="4">
        <v>3</v>
      </c>
      <c r="I25" s="4"/>
      <c r="J25" s="31">
        <f t="shared" si="10"/>
        <v>3</v>
      </c>
      <c r="M25" s="4"/>
      <c r="N25" s="4"/>
      <c r="O25" s="4"/>
      <c r="P25" s="4">
        <f t="shared" si="11"/>
        <v>3</v>
      </c>
      <c r="R25" s="4" t="str">
        <f t="shared" si="15"/>
        <v>ok</v>
      </c>
      <c r="T25" s="31">
        <f>COUNTIFS(Outbound!$B:$B,"ITD*",Outbound!$S:$S,"Y",Outbound!$L:$L,'Mezzi STBY'!D25)</f>
        <v>0</v>
      </c>
    </row>
    <row r="26" spans="4:20">
      <c r="D26" s="65" t="s">
        <v>427</v>
      </c>
      <c r="E26" s="4" t="s">
        <v>0</v>
      </c>
      <c r="F26" s="4">
        <f t="shared" si="0"/>
        <v>18</v>
      </c>
      <c r="G26" s="4">
        <f>COUNTIFS(Outbound!$B:$B,"ITD*",Outbound!$S:$S,"Y",Outbound!$D:$D,"IMR*",Outbound!$L:$L,'Mezzi STBY'!D26)</f>
        <v>5</v>
      </c>
      <c r="H26" s="4">
        <v>23</v>
      </c>
      <c r="I26" s="4">
        <v>1</v>
      </c>
      <c r="J26" s="31">
        <f t="shared" ref="J26" si="16">H26-I26-G26-F26</f>
        <v>-1</v>
      </c>
      <c r="M26" s="4"/>
      <c r="N26" s="4"/>
      <c r="O26" s="4"/>
      <c r="P26" s="4">
        <f t="shared" ref="P26" si="17">H26-I26</f>
        <v>22</v>
      </c>
      <c r="R26" s="4" t="str">
        <f t="shared" ref="R26" si="18">IF(P26-O26&gt;=0,"ok","NO")</f>
        <v>ok</v>
      </c>
      <c r="T26" s="31">
        <f>COUNTIFS(Outbound!$B:$B,"ITD*",Outbound!$S:$S,"Y",Outbound!$L:$L,'Mezzi STBY'!D26)</f>
        <v>23</v>
      </c>
    </row>
  </sheetData>
  <mergeCells count="2">
    <mergeCell ref="M2:R2"/>
    <mergeCell ref="D2:J2"/>
  </mergeCells>
  <conditionalFormatting sqref="J25:J26 K5 J4:J23">
    <cfRule type="cellIs" dxfId="27" priority="2" operator="lessThan">
      <formula>0</formula>
    </cfRule>
  </conditionalFormatting>
  <conditionalFormatting sqref="J24">
    <cfRule type="cellIs" dxfId="26" priority="1" operator="lessThan">
      <formula>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069B9-6A93-43EA-944E-BC255F0C7378}">
  <sheetPr codeName="Foglio7"/>
  <dimension ref="A1:U4687"/>
  <sheetViews>
    <sheetView workbookViewId="0">
      <pane xSplit="3" ySplit="3" topLeftCell="D568" activePane="bottomRight" state="frozen"/>
      <selection pane="bottomRight" activeCell="D2122" sqref="D2122"/>
      <selection pane="bottomLeft" activeCell="A4" sqref="A4"/>
      <selection pane="topRight" activeCell="D1" sqref="D1"/>
    </sheetView>
  </sheetViews>
  <sheetFormatPr defaultRowHeight="15"/>
  <cols>
    <col min="1" max="3" width="9.140625" style="402"/>
    <col min="4" max="4" width="11.140625" style="5" bestFit="1" customWidth="1"/>
    <col min="5" max="5" width="41.42578125" style="5" bestFit="1" customWidth="1"/>
    <col min="6" max="6" width="57.7109375" style="5" bestFit="1" customWidth="1"/>
    <col min="7" max="7" width="21" bestFit="1" customWidth="1"/>
    <col min="8" max="21" width="9.140625" style="402"/>
  </cols>
  <sheetData>
    <row r="1" spans="4:7">
      <c r="D1" s="540" t="s">
        <v>1907</v>
      </c>
      <c r="E1" s="541"/>
      <c r="F1" s="541"/>
      <c r="G1" s="541"/>
    </row>
    <row r="2" spans="4:7">
      <c r="D2" s="540"/>
      <c r="E2" s="541"/>
      <c r="F2" s="541"/>
      <c r="G2" s="541"/>
    </row>
    <row r="3" spans="4:7">
      <c r="D3" s="76" t="s">
        <v>1908</v>
      </c>
      <c r="E3" s="76" t="s">
        <v>1909</v>
      </c>
      <c r="F3" s="76" t="s">
        <v>1910</v>
      </c>
      <c r="G3" s="76" t="s">
        <v>1911</v>
      </c>
    </row>
    <row r="4" spans="4:7" hidden="1">
      <c r="D4" s="5" t="s">
        <v>1912</v>
      </c>
      <c r="E4" s="5" t="s">
        <v>1913</v>
      </c>
      <c r="G4" s="5" t="s">
        <v>1914</v>
      </c>
    </row>
    <row r="5" spans="4:7" hidden="1">
      <c r="D5" s="5" t="s">
        <v>1915</v>
      </c>
      <c r="E5" s="5" t="s">
        <v>1916</v>
      </c>
      <c r="G5" s="5" t="s">
        <v>1917</v>
      </c>
    </row>
    <row r="6" spans="4:7" hidden="1">
      <c r="D6" s="5" t="s">
        <v>1918</v>
      </c>
      <c r="E6" s="5" t="s">
        <v>135</v>
      </c>
      <c r="G6" s="5" t="s">
        <v>1917</v>
      </c>
    </row>
    <row r="7" spans="4:7" hidden="1">
      <c r="D7" s="5" t="s">
        <v>1919</v>
      </c>
      <c r="E7" s="5" t="s">
        <v>135</v>
      </c>
      <c r="G7" s="5" t="s">
        <v>1920</v>
      </c>
    </row>
    <row r="8" spans="4:7" hidden="1">
      <c r="D8" s="5" t="s">
        <v>1921</v>
      </c>
      <c r="E8" s="5" t="s">
        <v>135</v>
      </c>
      <c r="G8" s="5" t="s">
        <v>1920</v>
      </c>
    </row>
    <row r="9" spans="4:7" hidden="1">
      <c r="D9" s="5" t="s">
        <v>1922</v>
      </c>
      <c r="E9" s="5" t="s">
        <v>135</v>
      </c>
      <c r="G9" s="5" t="s">
        <v>1917</v>
      </c>
    </row>
    <row r="10" spans="4:7" hidden="1">
      <c r="D10" s="5" t="s">
        <v>1923</v>
      </c>
      <c r="E10" s="5" t="s">
        <v>135</v>
      </c>
      <c r="G10" s="5" t="s">
        <v>1917</v>
      </c>
    </row>
    <row r="11" spans="4:7" hidden="1">
      <c r="D11" s="5" t="s">
        <v>1924</v>
      </c>
      <c r="E11" s="5" t="s">
        <v>135</v>
      </c>
      <c r="G11" s="5" t="s">
        <v>1917</v>
      </c>
    </row>
    <row r="12" spans="4:7" hidden="1">
      <c r="D12" s="5" t="s">
        <v>1925</v>
      </c>
      <c r="E12" s="5" t="s">
        <v>135</v>
      </c>
      <c r="G12" s="5" t="s">
        <v>1926</v>
      </c>
    </row>
    <row r="13" spans="4:7" hidden="1">
      <c r="D13" s="5" t="s">
        <v>1927</v>
      </c>
      <c r="E13" s="5" t="s">
        <v>1913</v>
      </c>
      <c r="G13" s="5" t="s">
        <v>1920</v>
      </c>
    </row>
    <row r="14" spans="4:7" hidden="1">
      <c r="D14" s="5" t="s">
        <v>1928</v>
      </c>
      <c r="E14" s="5" t="s">
        <v>52</v>
      </c>
      <c r="G14" s="5" t="s">
        <v>1917</v>
      </c>
    </row>
    <row r="15" spans="4:7" hidden="1">
      <c r="D15" s="5" t="s">
        <v>1929</v>
      </c>
      <c r="E15" s="5" t="s">
        <v>1930</v>
      </c>
      <c r="G15" s="5" t="s">
        <v>1926</v>
      </c>
    </row>
    <row r="16" spans="4:7" hidden="1">
      <c r="D16" s="5" t="s">
        <v>1931</v>
      </c>
      <c r="E16" s="5" t="s">
        <v>89</v>
      </c>
      <c r="G16" s="5" t="s">
        <v>1917</v>
      </c>
    </row>
    <row r="17" spans="4:7" hidden="1">
      <c r="D17" s="5" t="s">
        <v>1932</v>
      </c>
      <c r="E17" s="5" t="s">
        <v>1913</v>
      </c>
      <c r="G17" s="5" t="s">
        <v>1920</v>
      </c>
    </row>
    <row r="18" spans="4:7" hidden="1">
      <c r="D18" s="5" t="s">
        <v>1933</v>
      </c>
      <c r="E18" s="5" t="s">
        <v>1913</v>
      </c>
      <c r="G18" s="5" t="s">
        <v>1920</v>
      </c>
    </row>
    <row r="19" spans="4:7" hidden="1">
      <c r="D19" s="5" t="s">
        <v>1934</v>
      </c>
      <c r="E19" s="5" t="s">
        <v>752</v>
      </c>
      <c r="G19" s="5" t="s">
        <v>1917</v>
      </c>
    </row>
    <row r="20" spans="4:7" hidden="1">
      <c r="D20" s="5" t="s">
        <v>1935</v>
      </c>
      <c r="E20" s="5" t="s">
        <v>752</v>
      </c>
      <c r="G20" s="5" t="s">
        <v>1917</v>
      </c>
    </row>
    <row r="21" spans="4:7" hidden="1">
      <c r="D21" s="5" t="s">
        <v>1936</v>
      </c>
      <c r="E21" s="5" t="s">
        <v>430</v>
      </c>
      <c r="G21" s="5" t="s">
        <v>1917</v>
      </c>
    </row>
    <row r="22" spans="4:7" hidden="1">
      <c r="D22" s="5" t="s">
        <v>1937</v>
      </c>
      <c r="E22" s="5" t="s">
        <v>52</v>
      </c>
      <c r="G22" s="5" t="s">
        <v>1917</v>
      </c>
    </row>
    <row r="23" spans="4:7" hidden="1">
      <c r="D23" s="5" t="s">
        <v>1938</v>
      </c>
      <c r="E23" s="5" t="s">
        <v>430</v>
      </c>
      <c r="G23" s="5" t="s">
        <v>1917</v>
      </c>
    </row>
    <row r="24" spans="4:7" hidden="1">
      <c r="D24" s="5" t="s">
        <v>1939</v>
      </c>
      <c r="E24" s="5" t="s">
        <v>1940</v>
      </c>
      <c r="G24" s="5" t="s">
        <v>1917</v>
      </c>
    </row>
    <row r="25" spans="4:7" hidden="1">
      <c r="D25" s="5" t="s">
        <v>1941</v>
      </c>
      <c r="E25" s="5" t="s">
        <v>427</v>
      </c>
      <c r="G25" s="5" t="s">
        <v>1917</v>
      </c>
    </row>
    <row r="26" spans="4:7" hidden="1">
      <c r="D26" s="5" t="s">
        <v>1942</v>
      </c>
      <c r="E26" s="5" t="s">
        <v>720</v>
      </c>
      <c r="G26" s="5" t="s">
        <v>1917</v>
      </c>
    </row>
    <row r="27" spans="4:7" hidden="1">
      <c r="D27" s="5" t="s">
        <v>1943</v>
      </c>
      <c r="E27" s="5" t="s">
        <v>812</v>
      </c>
      <c r="G27" s="5" t="s">
        <v>1917</v>
      </c>
    </row>
    <row r="28" spans="4:7" hidden="1">
      <c r="D28" s="5" t="s">
        <v>1944</v>
      </c>
      <c r="E28" s="5" t="s">
        <v>1945</v>
      </c>
      <c r="G28" s="5" t="s">
        <v>1917</v>
      </c>
    </row>
    <row r="29" spans="4:7" hidden="1">
      <c r="D29" s="5" t="s">
        <v>1946</v>
      </c>
      <c r="E29" s="5" t="s">
        <v>427</v>
      </c>
      <c r="G29" s="5" t="s">
        <v>1917</v>
      </c>
    </row>
    <row r="30" spans="4:7" hidden="1">
      <c r="D30" s="5" t="s">
        <v>1947</v>
      </c>
      <c r="E30" s="5" t="s">
        <v>427</v>
      </c>
      <c r="G30" s="5" t="s">
        <v>1917</v>
      </c>
    </row>
    <row r="31" spans="4:7" hidden="1">
      <c r="D31" s="5" t="s">
        <v>1948</v>
      </c>
      <c r="E31" s="5" t="s">
        <v>430</v>
      </c>
      <c r="G31" s="5" t="s">
        <v>1917</v>
      </c>
    </row>
    <row r="32" spans="4:7" hidden="1">
      <c r="D32" s="5" t="s">
        <v>1949</v>
      </c>
      <c r="E32" s="5" t="s">
        <v>1945</v>
      </c>
      <c r="G32" s="5" t="s">
        <v>1917</v>
      </c>
    </row>
    <row r="33" spans="4:7" hidden="1">
      <c r="D33" s="5" t="s">
        <v>1950</v>
      </c>
      <c r="E33" s="5" t="s">
        <v>427</v>
      </c>
      <c r="G33" s="5" t="s">
        <v>1917</v>
      </c>
    </row>
    <row r="34" spans="4:7" hidden="1">
      <c r="D34" s="5" t="s">
        <v>1951</v>
      </c>
      <c r="E34" s="5" t="s">
        <v>430</v>
      </c>
      <c r="G34" s="5" t="s">
        <v>1917</v>
      </c>
    </row>
    <row r="35" spans="4:7" hidden="1">
      <c r="D35" s="5" t="s">
        <v>1952</v>
      </c>
      <c r="E35" s="5" t="s">
        <v>1953</v>
      </c>
      <c r="G35" s="5" t="s">
        <v>1917</v>
      </c>
    </row>
    <row r="36" spans="4:7" hidden="1">
      <c r="D36" s="5" t="s">
        <v>1954</v>
      </c>
      <c r="E36" s="5" t="s">
        <v>427</v>
      </c>
      <c r="G36" s="5" t="s">
        <v>1917</v>
      </c>
    </row>
    <row r="37" spans="4:7" hidden="1">
      <c r="D37" s="5" t="s">
        <v>1955</v>
      </c>
      <c r="E37" s="5" t="s">
        <v>427</v>
      </c>
      <c r="G37" s="5" t="s">
        <v>1917</v>
      </c>
    </row>
    <row r="38" spans="4:7" hidden="1">
      <c r="D38" s="5" t="s">
        <v>1956</v>
      </c>
      <c r="E38" s="5" t="s">
        <v>427</v>
      </c>
      <c r="G38" s="5" t="s">
        <v>1917</v>
      </c>
    </row>
    <row r="39" spans="4:7" hidden="1">
      <c r="D39" s="5" t="s">
        <v>1957</v>
      </c>
      <c r="E39" s="5" t="s">
        <v>427</v>
      </c>
      <c r="G39" s="5" t="s">
        <v>1917</v>
      </c>
    </row>
    <row r="40" spans="4:7" hidden="1">
      <c r="D40" s="5" t="s">
        <v>1958</v>
      </c>
      <c r="E40" s="5" t="s">
        <v>427</v>
      </c>
      <c r="G40" s="5" t="s">
        <v>1917</v>
      </c>
    </row>
    <row r="41" spans="4:7" hidden="1">
      <c r="D41" s="5" t="s">
        <v>1959</v>
      </c>
      <c r="E41" s="5" t="s">
        <v>812</v>
      </c>
      <c r="G41" s="5" t="s">
        <v>1917</v>
      </c>
    </row>
    <row r="42" spans="4:7" hidden="1">
      <c r="D42" s="5" t="s">
        <v>1960</v>
      </c>
      <c r="E42" s="5" t="s">
        <v>451</v>
      </c>
      <c r="G42" s="5" t="s">
        <v>1917</v>
      </c>
    </row>
    <row r="43" spans="4:7" hidden="1">
      <c r="D43" s="5" t="s">
        <v>1961</v>
      </c>
      <c r="E43" s="5" t="s">
        <v>427</v>
      </c>
      <c r="G43" s="5" t="s">
        <v>1917</v>
      </c>
    </row>
    <row r="44" spans="4:7" hidden="1">
      <c r="D44" s="5" t="s">
        <v>1962</v>
      </c>
      <c r="E44" s="5" t="s">
        <v>427</v>
      </c>
      <c r="G44" s="5" t="s">
        <v>1917</v>
      </c>
    </row>
    <row r="45" spans="4:7" hidden="1">
      <c r="D45" s="5" t="s">
        <v>1963</v>
      </c>
      <c r="E45" s="5" t="s">
        <v>427</v>
      </c>
      <c r="G45" s="5" t="s">
        <v>1917</v>
      </c>
    </row>
    <row r="46" spans="4:7" hidden="1">
      <c r="D46" s="5" t="s">
        <v>1964</v>
      </c>
      <c r="E46" s="5" t="s">
        <v>451</v>
      </c>
      <c r="G46" s="5" t="s">
        <v>1917</v>
      </c>
    </row>
    <row r="47" spans="4:7" hidden="1">
      <c r="D47" s="5" t="s">
        <v>1965</v>
      </c>
      <c r="E47" s="5" t="s">
        <v>812</v>
      </c>
      <c r="G47" s="5" t="s">
        <v>1917</v>
      </c>
    </row>
    <row r="48" spans="4:7" hidden="1">
      <c r="D48" s="5" t="s">
        <v>1966</v>
      </c>
      <c r="E48" s="5" t="s">
        <v>1940</v>
      </c>
      <c r="G48" s="5" t="s">
        <v>1917</v>
      </c>
    </row>
    <row r="49" spans="4:7" hidden="1">
      <c r="D49" s="5" t="s">
        <v>1967</v>
      </c>
      <c r="E49" s="5" t="s">
        <v>1940</v>
      </c>
      <c r="G49" s="5" t="s">
        <v>1917</v>
      </c>
    </row>
    <row r="50" spans="4:7" hidden="1">
      <c r="D50" s="5" t="s">
        <v>1968</v>
      </c>
      <c r="E50" s="5" t="s">
        <v>1969</v>
      </c>
      <c r="G50" s="5" t="s">
        <v>1920</v>
      </c>
    </row>
    <row r="51" spans="4:7" hidden="1">
      <c r="D51" s="5" t="s">
        <v>1970</v>
      </c>
      <c r="E51" s="5" t="s">
        <v>1969</v>
      </c>
      <c r="G51" s="5" t="s">
        <v>1920</v>
      </c>
    </row>
    <row r="52" spans="4:7" hidden="1">
      <c r="D52" s="5" t="s">
        <v>1971</v>
      </c>
      <c r="E52" s="5" t="s">
        <v>1969</v>
      </c>
      <c r="G52" s="5" t="s">
        <v>1920</v>
      </c>
    </row>
    <row r="53" spans="4:7" hidden="1">
      <c r="D53" s="5" t="s">
        <v>1972</v>
      </c>
      <c r="E53" s="5" t="s">
        <v>1969</v>
      </c>
      <c r="G53" s="5" t="s">
        <v>1920</v>
      </c>
    </row>
    <row r="54" spans="4:7" hidden="1">
      <c r="D54" s="5" t="s">
        <v>1973</v>
      </c>
      <c r="E54" s="5" t="s">
        <v>1969</v>
      </c>
      <c r="G54" s="5" t="s">
        <v>1920</v>
      </c>
    </row>
    <row r="55" spans="4:7" hidden="1">
      <c r="D55" s="5" t="s">
        <v>1974</v>
      </c>
      <c r="E55" s="5" t="s">
        <v>1969</v>
      </c>
      <c r="G55" s="5" t="s">
        <v>1920</v>
      </c>
    </row>
    <row r="56" spans="4:7" hidden="1">
      <c r="D56" s="5" t="s">
        <v>1975</v>
      </c>
      <c r="E56" s="5" t="s">
        <v>427</v>
      </c>
      <c r="G56" s="5" t="s">
        <v>1917</v>
      </c>
    </row>
    <row r="57" spans="4:7" hidden="1">
      <c r="D57" s="5" t="s">
        <v>1976</v>
      </c>
      <c r="E57" s="5" t="s">
        <v>427</v>
      </c>
      <c r="G57" s="5" t="s">
        <v>1917</v>
      </c>
    </row>
    <row r="58" spans="4:7" hidden="1">
      <c r="D58" s="5" t="s">
        <v>1977</v>
      </c>
      <c r="E58" s="5" t="s">
        <v>1978</v>
      </c>
      <c r="G58" s="5" t="s">
        <v>1917</v>
      </c>
    </row>
    <row r="59" spans="4:7" hidden="1">
      <c r="D59" s="5" t="s">
        <v>1979</v>
      </c>
      <c r="E59" s="5" t="s">
        <v>427</v>
      </c>
      <c r="G59" s="5" t="s">
        <v>1917</v>
      </c>
    </row>
    <row r="60" spans="4:7" hidden="1">
      <c r="D60" s="5" t="s">
        <v>1980</v>
      </c>
      <c r="E60" s="5" t="s">
        <v>427</v>
      </c>
      <c r="G60" s="5" t="s">
        <v>1917</v>
      </c>
    </row>
    <row r="61" spans="4:7" hidden="1">
      <c r="D61" s="5" t="s">
        <v>1981</v>
      </c>
      <c r="E61" s="5" t="s">
        <v>451</v>
      </c>
      <c r="G61" s="5" t="s">
        <v>1917</v>
      </c>
    </row>
    <row r="62" spans="4:7" hidden="1">
      <c r="D62" s="5" t="s">
        <v>1982</v>
      </c>
      <c r="E62" s="5" t="s">
        <v>1983</v>
      </c>
      <c r="G62" s="5" t="s">
        <v>1917</v>
      </c>
    </row>
    <row r="63" spans="4:7" hidden="1">
      <c r="D63" s="5" t="s">
        <v>1984</v>
      </c>
      <c r="E63" s="5" t="s">
        <v>720</v>
      </c>
      <c r="G63" s="5" t="s">
        <v>1917</v>
      </c>
    </row>
    <row r="64" spans="4:7" hidden="1">
      <c r="D64" s="5" t="s">
        <v>1985</v>
      </c>
      <c r="E64" s="5" t="s">
        <v>451</v>
      </c>
      <c r="G64" s="5" t="s">
        <v>1917</v>
      </c>
    </row>
    <row r="65" spans="4:7" hidden="1">
      <c r="D65" s="5" t="s">
        <v>1986</v>
      </c>
      <c r="E65" s="5" t="s">
        <v>427</v>
      </c>
      <c r="G65" s="5" t="s">
        <v>1917</v>
      </c>
    </row>
    <row r="66" spans="4:7" hidden="1">
      <c r="D66" s="5" t="s">
        <v>1987</v>
      </c>
      <c r="E66" s="5" t="s">
        <v>791</v>
      </c>
      <c r="G66" s="5" t="s">
        <v>1917</v>
      </c>
    </row>
    <row r="67" spans="4:7" hidden="1">
      <c r="D67" s="5" t="s">
        <v>1988</v>
      </c>
      <c r="E67" s="5" t="s">
        <v>430</v>
      </c>
      <c r="G67" s="5" t="s">
        <v>1917</v>
      </c>
    </row>
    <row r="68" spans="4:7" hidden="1">
      <c r="D68" s="5" t="s">
        <v>1989</v>
      </c>
      <c r="E68" s="5" t="s">
        <v>812</v>
      </c>
      <c r="G68" s="5" t="s">
        <v>1917</v>
      </c>
    </row>
    <row r="69" spans="4:7" hidden="1">
      <c r="D69" s="5" t="s">
        <v>1990</v>
      </c>
      <c r="E69" s="5" t="s">
        <v>812</v>
      </c>
      <c r="G69" s="5" t="s">
        <v>1917</v>
      </c>
    </row>
    <row r="70" spans="4:7" hidden="1">
      <c r="D70" s="5" t="s">
        <v>1991</v>
      </c>
      <c r="E70" s="5" t="s">
        <v>720</v>
      </c>
      <c r="G70" s="5" t="s">
        <v>1917</v>
      </c>
    </row>
    <row r="71" spans="4:7" hidden="1">
      <c r="D71" s="5" t="s">
        <v>1992</v>
      </c>
      <c r="E71" s="5" t="s">
        <v>720</v>
      </c>
      <c r="G71" s="5" t="s">
        <v>1917</v>
      </c>
    </row>
    <row r="72" spans="4:7" hidden="1">
      <c r="D72" s="5" t="s">
        <v>1993</v>
      </c>
      <c r="E72" s="5" t="s">
        <v>427</v>
      </c>
      <c r="G72" s="5" t="s">
        <v>1917</v>
      </c>
    </row>
    <row r="73" spans="4:7" hidden="1">
      <c r="D73" s="5" t="s">
        <v>1994</v>
      </c>
      <c r="E73" s="5" t="s">
        <v>427</v>
      </c>
      <c r="G73" s="5" t="s">
        <v>1917</v>
      </c>
    </row>
    <row r="74" spans="4:7" hidden="1">
      <c r="D74" s="5" t="s">
        <v>1995</v>
      </c>
      <c r="E74" s="5" t="s">
        <v>812</v>
      </c>
      <c r="G74" s="5" t="s">
        <v>1917</v>
      </c>
    </row>
    <row r="75" spans="4:7" hidden="1">
      <c r="D75" s="5" t="s">
        <v>1996</v>
      </c>
      <c r="E75" s="5" t="s">
        <v>1916</v>
      </c>
      <c r="G75" s="5" t="s">
        <v>1917</v>
      </c>
    </row>
    <row r="76" spans="4:7" hidden="1">
      <c r="D76" s="5" t="s">
        <v>1997</v>
      </c>
      <c r="E76" s="5" t="s">
        <v>720</v>
      </c>
      <c r="G76" s="5" t="s">
        <v>1917</v>
      </c>
    </row>
    <row r="77" spans="4:7" hidden="1">
      <c r="D77" s="5" t="s">
        <v>1998</v>
      </c>
      <c r="E77" s="5" t="s">
        <v>430</v>
      </c>
      <c r="G77" s="5" t="s">
        <v>1917</v>
      </c>
    </row>
    <row r="78" spans="4:7" hidden="1">
      <c r="D78" s="5" t="s">
        <v>1999</v>
      </c>
      <c r="E78" s="5" t="s">
        <v>430</v>
      </c>
      <c r="G78" s="5" t="s">
        <v>1917</v>
      </c>
    </row>
    <row r="79" spans="4:7" hidden="1">
      <c r="D79" s="5" t="s">
        <v>2000</v>
      </c>
      <c r="E79" s="5" t="s">
        <v>430</v>
      </c>
      <c r="G79" s="5" t="s">
        <v>1917</v>
      </c>
    </row>
    <row r="80" spans="4:7" hidden="1">
      <c r="D80" s="5" t="s">
        <v>2001</v>
      </c>
      <c r="E80" s="5" t="s">
        <v>430</v>
      </c>
      <c r="G80" s="5" t="s">
        <v>1917</v>
      </c>
    </row>
    <row r="81" spans="4:7" hidden="1">
      <c r="D81" s="5" t="s">
        <v>2002</v>
      </c>
      <c r="E81" s="5" t="s">
        <v>1940</v>
      </c>
      <c r="G81" s="5" t="s">
        <v>1917</v>
      </c>
    </row>
    <row r="82" spans="4:7" hidden="1">
      <c r="D82" s="5" t="s">
        <v>2003</v>
      </c>
      <c r="E82" s="5" t="s">
        <v>1940</v>
      </c>
      <c r="G82" s="5" t="s">
        <v>1917</v>
      </c>
    </row>
    <row r="83" spans="4:7" hidden="1">
      <c r="D83" s="5" t="s">
        <v>2004</v>
      </c>
      <c r="E83" s="5" t="s">
        <v>2005</v>
      </c>
      <c r="G83" s="5" t="s">
        <v>1917</v>
      </c>
    </row>
    <row r="84" spans="4:7" hidden="1">
      <c r="D84" s="5" t="s">
        <v>2006</v>
      </c>
      <c r="E84" s="5" t="s">
        <v>427</v>
      </c>
      <c r="G84" s="5" t="s">
        <v>1917</v>
      </c>
    </row>
    <row r="85" spans="4:7" hidden="1">
      <c r="D85" s="5" t="s">
        <v>2007</v>
      </c>
      <c r="E85" s="5" t="s">
        <v>2005</v>
      </c>
      <c r="G85" s="5" t="s">
        <v>1917</v>
      </c>
    </row>
    <row r="86" spans="4:7" hidden="1">
      <c r="D86" s="5" t="s">
        <v>2008</v>
      </c>
      <c r="E86" s="5" t="s">
        <v>430</v>
      </c>
      <c r="G86" s="5" t="s">
        <v>1917</v>
      </c>
    </row>
    <row r="87" spans="4:7" hidden="1">
      <c r="D87" s="5" t="s">
        <v>2009</v>
      </c>
      <c r="E87" s="5" t="s">
        <v>1945</v>
      </c>
      <c r="G87" s="5" t="s">
        <v>1926</v>
      </c>
    </row>
    <row r="88" spans="4:7" hidden="1">
      <c r="D88" s="5" t="s">
        <v>2010</v>
      </c>
      <c r="E88" s="5" t="s">
        <v>1894</v>
      </c>
      <c r="G88" s="5" t="s">
        <v>1917</v>
      </c>
    </row>
    <row r="89" spans="4:7" hidden="1">
      <c r="D89" s="5" t="s">
        <v>2011</v>
      </c>
      <c r="E89" s="5" t="s">
        <v>791</v>
      </c>
      <c r="G89" s="5" t="s">
        <v>1917</v>
      </c>
    </row>
    <row r="90" spans="4:7" hidden="1">
      <c r="D90" s="5" t="s">
        <v>2012</v>
      </c>
      <c r="E90" s="5" t="s">
        <v>1890</v>
      </c>
      <c r="G90" s="5" t="s">
        <v>1917</v>
      </c>
    </row>
    <row r="91" spans="4:7" hidden="1">
      <c r="D91" s="5" t="s">
        <v>2013</v>
      </c>
      <c r="E91" s="5" t="s">
        <v>427</v>
      </c>
      <c r="G91" s="5" t="s">
        <v>1917</v>
      </c>
    </row>
    <row r="92" spans="4:7" hidden="1">
      <c r="D92" s="5" t="s">
        <v>2014</v>
      </c>
      <c r="E92" s="5" t="s">
        <v>427</v>
      </c>
      <c r="G92" s="5" t="s">
        <v>1917</v>
      </c>
    </row>
    <row r="93" spans="4:7" hidden="1">
      <c r="D93" s="5" t="s">
        <v>2015</v>
      </c>
      <c r="E93" s="5" t="s">
        <v>451</v>
      </c>
      <c r="G93" s="5" t="s">
        <v>1917</v>
      </c>
    </row>
    <row r="94" spans="4:7" hidden="1">
      <c r="D94" s="5" t="s">
        <v>2016</v>
      </c>
      <c r="E94" s="5" t="s">
        <v>427</v>
      </c>
      <c r="G94" s="5" t="s">
        <v>1917</v>
      </c>
    </row>
    <row r="95" spans="4:7" hidden="1">
      <c r="D95" s="5" t="s">
        <v>2017</v>
      </c>
      <c r="E95" s="5" t="s">
        <v>791</v>
      </c>
      <c r="G95" s="5" t="s">
        <v>1917</v>
      </c>
    </row>
    <row r="96" spans="4:7" hidden="1">
      <c r="D96" s="5" t="s">
        <v>2018</v>
      </c>
      <c r="E96" s="5" t="s">
        <v>791</v>
      </c>
      <c r="G96" s="5" t="s">
        <v>1917</v>
      </c>
    </row>
    <row r="97" spans="4:7" hidden="1">
      <c r="D97" s="5" t="s">
        <v>2019</v>
      </c>
      <c r="E97" s="5" t="s">
        <v>2020</v>
      </c>
      <c r="G97" s="5" t="s">
        <v>1917</v>
      </c>
    </row>
    <row r="98" spans="4:7" hidden="1">
      <c r="D98" s="5" t="s">
        <v>2021</v>
      </c>
      <c r="E98" s="5" t="s">
        <v>309</v>
      </c>
      <c r="G98" s="5" t="s">
        <v>1917</v>
      </c>
    </row>
    <row r="99" spans="4:7" hidden="1">
      <c r="D99" s="5" t="s">
        <v>2022</v>
      </c>
      <c r="E99" s="5" t="s">
        <v>430</v>
      </c>
      <c r="G99" s="5" t="s">
        <v>1917</v>
      </c>
    </row>
    <row r="100" spans="4:7" hidden="1">
      <c r="D100" s="5" t="s">
        <v>2023</v>
      </c>
      <c r="E100" s="5" t="s">
        <v>1940</v>
      </c>
      <c r="G100" s="5" t="s">
        <v>1917</v>
      </c>
    </row>
    <row r="101" spans="4:7" hidden="1">
      <c r="D101" s="5" t="s">
        <v>2024</v>
      </c>
      <c r="E101" s="5" t="s">
        <v>427</v>
      </c>
      <c r="G101" s="5" t="s">
        <v>1917</v>
      </c>
    </row>
    <row r="102" spans="4:7" hidden="1">
      <c r="D102" s="5" t="s">
        <v>2025</v>
      </c>
      <c r="E102" s="5" t="s">
        <v>430</v>
      </c>
      <c r="G102" s="5" t="s">
        <v>1917</v>
      </c>
    </row>
    <row r="103" spans="4:7" hidden="1">
      <c r="D103" s="5" t="s">
        <v>2026</v>
      </c>
      <c r="E103" s="5" t="s">
        <v>1945</v>
      </c>
      <c r="G103" s="5" t="s">
        <v>1917</v>
      </c>
    </row>
    <row r="104" spans="4:7" hidden="1">
      <c r="D104" s="5" t="s">
        <v>2027</v>
      </c>
      <c r="E104" s="5" t="s">
        <v>1945</v>
      </c>
      <c r="G104" s="5" t="s">
        <v>1917</v>
      </c>
    </row>
    <row r="105" spans="4:7" hidden="1">
      <c r="D105" s="5" t="s">
        <v>2028</v>
      </c>
      <c r="E105" s="5" t="s">
        <v>427</v>
      </c>
      <c r="G105" s="5" t="s">
        <v>1917</v>
      </c>
    </row>
    <row r="106" spans="4:7" hidden="1">
      <c r="D106" s="5" t="s">
        <v>2029</v>
      </c>
      <c r="E106" s="5" t="s">
        <v>430</v>
      </c>
      <c r="G106" s="5" t="s">
        <v>1917</v>
      </c>
    </row>
    <row r="107" spans="4:7" hidden="1">
      <c r="D107" s="5" t="s">
        <v>2030</v>
      </c>
      <c r="E107" s="5" t="s">
        <v>427</v>
      </c>
      <c r="G107" s="5" t="s">
        <v>1917</v>
      </c>
    </row>
    <row r="108" spans="4:7" hidden="1">
      <c r="D108" s="5" t="s">
        <v>2031</v>
      </c>
      <c r="E108" s="5" t="s">
        <v>1953</v>
      </c>
      <c r="G108" s="5" t="s">
        <v>1917</v>
      </c>
    </row>
    <row r="109" spans="4:7" hidden="1">
      <c r="D109" s="5" t="s">
        <v>2032</v>
      </c>
      <c r="E109" s="5" t="s">
        <v>427</v>
      </c>
      <c r="G109" s="5" t="s">
        <v>1917</v>
      </c>
    </row>
    <row r="110" spans="4:7" hidden="1">
      <c r="D110" s="5" t="s">
        <v>2033</v>
      </c>
      <c r="E110" s="5" t="s">
        <v>309</v>
      </c>
      <c r="G110" s="5" t="s">
        <v>1917</v>
      </c>
    </row>
    <row r="111" spans="4:7" hidden="1">
      <c r="D111" s="5" t="s">
        <v>2034</v>
      </c>
      <c r="E111" s="5" t="s">
        <v>451</v>
      </c>
      <c r="G111" s="5" t="s">
        <v>1917</v>
      </c>
    </row>
    <row r="112" spans="4:7" hidden="1">
      <c r="D112" s="5" t="s">
        <v>2035</v>
      </c>
      <c r="E112" s="5" t="s">
        <v>1978</v>
      </c>
      <c r="G112" s="5" t="s">
        <v>1917</v>
      </c>
    </row>
    <row r="113" spans="4:7" hidden="1">
      <c r="D113" s="5" t="s">
        <v>2036</v>
      </c>
      <c r="E113" s="5" t="s">
        <v>430</v>
      </c>
      <c r="G113" s="5" t="s">
        <v>1917</v>
      </c>
    </row>
    <row r="114" spans="4:7" hidden="1">
      <c r="D114" s="5" t="s">
        <v>2037</v>
      </c>
      <c r="E114" s="5" t="s">
        <v>791</v>
      </c>
      <c r="G114" s="5" t="s">
        <v>1917</v>
      </c>
    </row>
    <row r="115" spans="4:7" hidden="1">
      <c r="D115" s="5" t="s">
        <v>2038</v>
      </c>
      <c r="E115" s="5" t="s">
        <v>791</v>
      </c>
      <c r="G115" s="5" t="s">
        <v>1917</v>
      </c>
    </row>
    <row r="116" spans="4:7" hidden="1">
      <c r="D116" s="5" t="s">
        <v>2039</v>
      </c>
      <c r="E116" s="5" t="s">
        <v>791</v>
      </c>
      <c r="G116" s="5" t="s">
        <v>1917</v>
      </c>
    </row>
    <row r="117" spans="4:7" hidden="1">
      <c r="D117" s="5" t="s">
        <v>2040</v>
      </c>
      <c r="E117" s="5" t="s">
        <v>52</v>
      </c>
      <c r="G117" s="5" t="s">
        <v>1917</v>
      </c>
    </row>
    <row r="118" spans="4:7" hidden="1">
      <c r="D118" s="5" t="s">
        <v>2041</v>
      </c>
      <c r="E118" s="5" t="s">
        <v>427</v>
      </c>
      <c r="G118" s="5" t="s">
        <v>1917</v>
      </c>
    </row>
    <row r="119" spans="4:7" hidden="1">
      <c r="D119" s="5" t="s">
        <v>2042</v>
      </c>
      <c r="E119" s="5" t="s">
        <v>430</v>
      </c>
      <c r="G119" s="5" t="s">
        <v>1917</v>
      </c>
    </row>
    <row r="120" spans="4:7" hidden="1">
      <c r="D120" s="5" t="s">
        <v>2043</v>
      </c>
      <c r="E120" s="5" t="s">
        <v>430</v>
      </c>
      <c r="G120" s="5" t="s">
        <v>1917</v>
      </c>
    </row>
    <row r="121" spans="4:7" hidden="1">
      <c r="D121" s="5" t="s">
        <v>2044</v>
      </c>
      <c r="E121" s="5" t="s">
        <v>472</v>
      </c>
      <c r="G121" s="5" t="s">
        <v>1917</v>
      </c>
    </row>
    <row r="122" spans="4:7" hidden="1">
      <c r="D122" s="5" t="s">
        <v>2045</v>
      </c>
      <c r="E122" s="5" t="s">
        <v>791</v>
      </c>
      <c r="G122" s="5" t="s">
        <v>1917</v>
      </c>
    </row>
    <row r="123" spans="4:7" hidden="1">
      <c r="D123" s="5" t="s">
        <v>2046</v>
      </c>
      <c r="E123" s="5" t="s">
        <v>812</v>
      </c>
      <c r="G123" s="5" t="s">
        <v>1917</v>
      </c>
    </row>
    <row r="124" spans="4:7" hidden="1">
      <c r="D124" s="5" t="s">
        <v>2047</v>
      </c>
      <c r="E124" s="5" t="s">
        <v>791</v>
      </c>
      <c r="G124" s="5" t="s">
        <v>1917</v>
      </c>
    </row>
    <row r="125" spans="4:7" hidden="1">
      <c r="D125" s="5" t="s">
        <v>2048</v>
      </c>
      <c r="E125" s="5" t="s">
        <v>791</v>
      </c>
      <c r="G125" s="5" t="s">
        <v>1917</v>
      </c>
    </row>
    <row r="126" spans="4:7" hidden="1">
      <c r="D126" s="5" t="s">
        <v>2049</v>
      </c>
      <c r="E126" s="5" t="s">
        <v>1916</v>
      </c>
      <c r="G126" s="5" t="s">
        <v>1917</v>
      </c>
    </row>
    <row r="127" spans="4:7" hidden="1">
      <c r="D127" s="5" t="s">
        <v>2050</v>
      </c>
      <c r="E127" s="5" t="s">
        <v>1894</v>
      </c>
      <c r="G127" s="5" t="s">
        <v>1917</v>
      </c>
    </row>
    <row r="128" spans="4:7" hidden="1">
      <c r="D128" s="5" t="s">
        <v>2051</v>
      </c>
      <c r="E128" s="5" t="s">
        <v>1945</v>
      </c>
      <c r="G128" s="5" t="s">
        <v>1917</v>
      </c>
    </row>
    <row r="129" spans="4:7" hidden="1">
      <c r="D129" s="5" t="s">
        <v>2052</v>
      </c>
      <c r="E129" s="5" t="s">
        <v>1945</v>
      </c>
      <c r="G129" s="5" t="s">
        <v>1917</v>
      </c>
    </row>
    <row r="130" spans="4:7" hidden="1">
      <c r="D130" s="5" t="s">
        <v>2053</v>
      </c>
      <c r="E130" s="5" t="s">
        <v>2005</v>
      </c>
      <c r="G130" s="5" t="s">
        <v>1917</v>
      </c>
    </row>
    <row r="131" spans="4:7" hidden="1">
      <c r="D131" s="5" t="s">
        <v>2054</v>
      </c>
      <c r="E131" s="5" t="s">
        <v>309</v>
      </c>
      <c r="G131" s="5" t="s">
        <v>1917</v>
      </c>
    </row>
    <row r="132" spans="4:7" hidden="1">
      <c r="D132" s="5" t="s">
        <v>2055</v>
      </c>
      <c r="E132" s="5" t="s">
        <v>2056</v>
      </c>
      <c r="G132" s="5" t="s">
        <v>1917</v>
      </c>
    </row>
    <row r="133" spans="4:7" hidden="1">
      <c r="D133" s="5" t="s">
        <v>2057</v>
      </c>
      <c r="E133" s="5" t="s">
        <v>472</v>
      </c>
      <c r="G133" s="5" t="s">
        <v>1917</v>
      </c>
    </row>
    <row r="134" spans="4:7" hidden="1">
      <c r="D134" s="5" t="s">
        <v>2058</v>
      </c>
      <c r="E134" s="5" t="s">
        <v>791</v>
      </c>
      <c r="G134" s="5" t="s">
        <v>1917</v>
      </c>
    </row>
    <row r="135" spans="4:7" hidden="1">
      <c r="D135" s="5" t="s">
        <v>2059</v>
      </c>
      <c r="E135" s="5" t="s">
        <v>791</v>
      </c>
      <c r="G135" s="5" t="s">
        <v>1917</v>
      </c>
    </row>
    <row r="136" spans="4:7" hidden="1">
      <c r="D136" s="5" t="s">
        <v>2060</v>
      </c>
      <c r="E136" s="5" t="s">
        <v>791</v>
      </c>
      <c r="G136" s="5" t="s">
        <v>1917</v>
      </c>
    </row>
    <row r="137" spans="4:7" hidden="1">
      <c r="D137" s="5" t="s">
        <v>2061</v>
      </c>
      <c r="E137" s="5" t="s">
        <v>791</v>
      </c>
      <c r="G137" s="5" t="s">
        <v>1917</v>
      </c>
    </row>
    <row r="138" spans="4:7" hidden="1">
      <c r="D138" s="5" t="s">
        <v>2062</v>
      </c>
      <c r="E138" s="5" t="s">
        <v>791</v>
      </c>
      <c r="G138" s="5" t="s">
        <v>1917</v>
      </c>
    </row>
    <row r="139" spans="4:7" hidden="1">
      <c r="D139" s="5" t="s">
        <v>2063</v>
      </c>
      <c r="E139" s="5" t="s">
        <v>2056</v>
      </c>
      <c r="G139" s="5" t="s">
        <v>1917</v>
      </c>
    </row>
    <row r="140" spans="4:7" hidden="1">
      <c r="D140" s="5" t="s">
        <v>2064</v>
      </c>
      <c r="E140" s="5" t="s">
        <v>2056</v>
      </c>
      <c r="G140" s="5" t="s">
        <v>1917</v>
      </c>
    </row>
    <row r="141" spans="4:7" hidden="1">
      <c r="D141" s="5" t="s">
        <v>2065</v>
      </c>
      <c r="E141" s="5" t="s">
        <v>2056</v>
      </c>
      <c r="G141" s="5" t="s">
        <v>1917</v>
      </c>
    </row>
    <row r="142" spans="4:7" hidden="1">
      <c r="D142" s="5" t="s">
        <v>2066</v>
      </c>
      <c r="E142" s="5" t="s">
        <v>2056</v>
      </c>
      <c r="G142" s="5" t="s">
        <v>1917</v>
      </c>
    </row>
    <row r="143" spans="4:7" hidden="1">
      <c r="D143" s="5" t="s">
        <v>2067</v>
      </c>
      <c r="E143" s="5" t="s">
        <v>812</v>
      </c>
      <c r="G143" s="5" t="s">
        <v>1917</v>
      </c>
    </row>
    <row r="144" spans="4:7" hidden="1">
      <c r="D144" s="5" t="s">
        <v>2068</v>
      </c>
      <c r="E144" s="5" t="s">
        <v>812</v>
      </c>
      <c r="G144" s="5" t="s">
        <v>1917</v>
      </c>
    </row>
    <row r="145" spans="4:7" hidden="1">
      <c r="D145" s="5" t="s">
        <v>2069</v>
      </c>
      <c r="E145" s="5" t="s">
        <v>2070</v>
      </c>
      <c r="G145" s="5" t="s">
        <v>1917</v>
      </c>
    </row>
    <row r="146" spans="4:7" hidden="1">
      <c r="D146" s="5" t="s">
        <v>2071</v>
      </c>
      <c r="E146" s="5" t="s">
        <v>427</v>
      </c>
      <c r="G146" s="5" t="s">
        <v>1917</v>
      </c>
    </row>
    <row r="147" spans="4:7" hidden="1">
      <c r="D147" s="5" t="s">
        <v>2072</v>
      </c>
      <c r="E147" s="5" t="s">
        <v>2056</v>
      </c>
      <c r="G147" s="5" t="s">
        <v>1917</v>
      </c>
    </row>
    <row r="148" spans="4:7" hidden="1">
      <c r="D148" s="5" t="s">
        <v>2073</v>
      </c>
      <c r="E148" s="5" t="s">
        <v>2056</v>
      </c>
      <c r="G148" s="5" t="s">
        <v>1917</v>
      </c>
    </row>
    <row r="149" spans="4:7" hidden="1">
      <c r="D149" s="5" t="s">
        <v>2074</v>
      </c>
      <c r="E149" s="5" t="s">
        <v>2056</v>
      </c>
      <c r="G149" s="5" t="s">
        <v>1917</v>
      </c>
    </row>
    <row r="150" spans="4:7" hidden="1">
      <c r="D150" s="5" t="s">
        <v>2075</v>
      </c>
      <c r="E150" s="5" t="s">
        <v>2056</v>
      </c>
      <c r="G150" s="5" t="s">
        <v>1917</v>
      </c>
    </row>
    <row r="151" spans="4:7" hidden="1">
      <c r="D151" s="5" t="s">
        <v>2076</v>
      </c>
      <c r="E151" s="5" t="s">
        <v>2056</v>
      </c>
      <c r="G151" s="5" t="s">
        <v>1917</v>
      </c>
    </row>
    <row r="152" spans="4:7" hidden="1">
      <c r="D152" s="5" t="s">
        <v>2077</v>
      </c>
      <c r="E152" s="5" t="s">
        <v>2056</v>
      </c>
      <c r="G152" s="5" t="s">
        <v>1917</v>
      </c>
    </row>
    <row r="153" spans="4:7" hidden="1">
      <c r="D153" s="5" t="s">
        <v>2078</v>
      </c>
      <c r="E153" s="5" t="s">
        <v>2056</v>
      </c>
      <c r="G153" s="5" t="s">
        <v>1917</v>
      </c>
    </row>
    <row r="154" spans="4:7" hidden="1">
      <c r="D154" s="5" t="s">
        <v>2079</v>
      </c>
      <c r="E154" s="5" t="s">
        <v>2056</v>
      </c>
      <c r="G154" s="5" t="s">
        <v>1917</v>
      </c>
    </row>
    <row r="155" spans="4:7" hidden="1">
      <c r="D155" s="5" t="s">
        <v>2080</v>
      </c>
      <c r="E155" s="5" t="s">
        <v>2056</v>
      </c>
      <c r="G155" s="5" t="s">
        <v>1926</v>
      </c>
    </row>
    <row r="156" spans="4:7" hidden="1">
      <c r="D156" s="5" t="s">
        <v>2081</v>
      </c>
      <c r="E156" s="5" t="s">
        <v>451</v>
      </c>
      <c r="G156" s="5" t="s">
        <v>1917</v>
      </c>
    </row>
    <row r="157" spans="4:7" hidden="1">
      <c r="D157" s="5" t="s">
        <v>2082</v>
      </c>
      <c r="E157" s="5" t="s">
        <v>430</v>
      </c>
      <c r="G157" s="5" t="s">
        <v>1917</v>
      </c>
    </row>
    <row r="158" spans="4:7" hidden="1">
      <c r="D158" s="5" t="s">
        <v>2083</v>
      </c>
      <c r="E158" s="5" t="s">
        <v>720</v>
      </c>
      <c r="G158" s="5" t="s">
        <v>1917</v>
      </c>
    </row>
    <row r="159" spans="4:7" hidden="1">
      <c r="D159" s="5" t="s">
        <v>2084</v>
      </c>
      <c r="E159" s="5" t="s">
        <v>812</v>
      </c>
      <c r="G159" s="5" t="s">
        <v>1917</v>
      </c>
    </row>
    <row r="160" spans="4:7" hidden="1">
      <c r="D160" s="5" t="s">
        <v>2085</v>
      </c>
      <c r="E160" s="5" t="s">
        <v>812</v>
      </c>
      <c r="G160" s="5" t="s">
        <v>1917</v>
      </c>
    </row>
    <row r="161" spans="4:7" hidden="1">
      <c r="D161" s="5" t="s">
        <v>2086</v>
      </c>
      <c r="E161" s="5" t="s">
        <v>309</v>
      </c>
      <c r="G161" s="5" t="s">
        <v>1917</v>
      </c>
    </row>
    <row r="162" spans="4:7" hidden="1">
      <c r="D162" s="5" t="s">
        <v>2087</v>
      </c>
      <c r="E162" s="5" t="s">
        <v>720</v>
      </c>
      <c r="G162" s="5" t="s">
        <v>1917</v>
      </c>
    </row>
    <row r="163" spans="4:7" hidden="1">
      <c r="D163" s="5" t="s">
        <v>2088</v>
      </c>
      <c r="E163" s="5" t="s">
        <v>427</v>
      </c>
      <c r="G163" s="5" t="s">
        <v>1917</v>
      </c>
    </row>
    <row r="164" spans="4:7" hidden="1">
      <c r="D164" s="5" t="s">
        <v>2089</v>
      </c>
      <c r="E164" s="5" t="s">
        <v>430</v>
      </c>
      <c r="G164" s="5" t="s">
        <v>1917</v>
      </c>
    </row>
    <row r="165" spans="4:7" hidden="1">
      <c r="D165" s="5" t="s">
        <v>2090</v>
      </c>
      <c r="E165" s="5" t="s">
        <v>2091</v>
      </c>
      <c r="G165" s="5" t="s">
        <v>1917</v>
      </c>
    </row>
    <row r="166" spans="4:7" hidden="1">
      <c r="D166" s="5" t="s">
        <v>2092</v>
      </c>
      <c r="E166" s="5" t="s">
        <v>427</v>
      </c>
      <c r="G166" s="5" t="s">
        <v>1917</v>
      </c>
    </row>
    <row r="167" spans="4:7" hidden="1">
      <c r="D167" s="5" t="s">
        <v>2093</v>
      </c>
      <c r="E167" s="5" t="s">
        <v>791</v>
      </c>
      <c r="G167" s="5" t="s">
        <v>1917</v>
      </c>
    </row>
    <row r="168" spans="4:7" hidden="1">
      <c r="D168" s="5" t="s">
        <v>2094</v>
      </c>
      <c r="E168" s="5" t="s">
        <v>168</v>
      </c>
      <c r="G168" s="5" t="s">
        <v>1917</v>
      </c>
    </row>
    <row r="169" spans="4:7" hidden="1">
      <c r="D169" s="5" t="s">
        <v>2095</v>
      </c>
      <c r="E169" s="5" t="s">
        <v>168</v>
      </c>
      <c r="G169" s="5" t="s">
        <v>1917</v>
      </c>
    </row>
    <row r="170" spans="4:7" hidden="1">
      <c r="D170" s="5" t="s">
        <v>2096</v>
      </c>
      <c r="E170" s="5" t="s">
        <v>168</v>
      </c>
      <c r="G170" s="5" t="s">
        <v>1917</v>
      </c>
    </row>
    <row r="171" spans="4:7" hidden="1">
      <c r="D171" s="5" t="s">
        <v>2097</v>
      </c>
      <c r="E171" s="5" t="s">
        <v>168</v>
      </c>
      <c r="G171" s="5" t="s">
        <v>1917</v>
      </c>
    </row>
    <row r="172" spans="4:7" hidden="1">
      <c r="D172" s="5" t="s">
        <v>2098</v>
      </c>
      <c r="E172" s="5" t="s">
        <v>168</v>
      </c>
      <c r="G172" s="5" t="s">
        <v>1917</v>
      </c>
    </row>
    <row r="173" spans="4:7" hidden="1">
      <c r="D173" s="5" t="s">
        <v>2099</v>
      </c>
      <c r="E173" s="5" t="s">
        <v>168</v>
      </c>
      <c r="G173" s="5" t="s">
        <v>1917</v>
      </c>
    </row>
    <row r="174" spans="4:7" hidden="1">
      <c r="D174" s="5" t="s">
        <v>2100</v>
      </c>
      <c r="E174" s="5" t="s">
        <v>168</v>
      </c>
      <c r="G174" s="5" t="s">
        <v>1917</v>
      </c>
    </row>
    <row r="175" spans="4:7" hidden="1">
      <c r="D175" s="5" t="s">
        <v>2101</v>
      </c>
      <c r="E175" s="5" t="s">
        <v>168</v>
      </c>
      <c r="G175" s="5" t="s">
        <v>1926</v>
      </c>
    </row>
    <row r="176" spans="4:7" hidden="1">
      <c r="D176" s="5" t="s">
        <v>2102</v>
      </c>
      <c r="E176" s="5" t="s">
        <v>168</v>
      </c>
      <c r="G176" s="5" t="s">
        <v>1917</v>
      </c>
    </row>
    <row r="177" spans="4:7" hidden="1">
      <c r="D177" s="5" t="s">
        <v>2103</v>
      </c>
      <c r="E177" s="5" t="s">
        <v>168</v>
      </c>
      <c r="G177" s="5" t="s">
        <v>1917</v>
      </c>
    </row>
    <row r="178" spans="4:7" hidden="1">
      <c r="D178" s="5" t="s">
        <v>2104</v>
      </c>
      <c r="E178" s="5" t="s">
        <v>168</v>
      </c>
      <c r="G178" s="5" t="s">
        <v>1917</v>
      </c>
    </row>
    <row r="179" spans="4:7" hidden="1">
      <c r="D179" s="5" t="s">
        <v>2105</v>
      </c>
      <c r="E179" s="5" t="s">
        <v>2106</v>
      </c>
      <c r="G179" s="5" t="s">
        <v>406</v>
      </c>
    </row>
    <row r="180" spans="4:7" hidden="1">
      <c r="D180" s="5" t="s">
        <v>2107</v>
      </c>
      <c r="E180" s="5" t="s">
        <v>168</v>
      </c>
      <c r="F180" s="5" t="s">
        <v>2108</v>
      </c>
      <c r="G180" s="5" t="s">
        <v>1926</v>
      </c>
    </row>
    <row r="181" spans="4:7" hidden="1">
      <c r="D181" s="5" t="s">
        <v>2109</v>
      </c>
      <c r="E181" s="5" t="s">
        <v>168</v>
      </c>
      <c r="G181" s="5" t="s">
        <v>1917</v>
      </c>
    </row>
    <row r="182" spans="4:7" hidden="1">
      <c r="D182" s="5" t="s">
        <v>2110</v>
      </c>
      <c r="E182" s="5" t="s">
        <v>168</v>
      </c>
      <c r="G182" s="5" t="s">
        <v>1917</v>
      </c>
    </row>
    <row r="183" spans="4:7" hidden="1">
      <c r="D183" s="5" t="s">
        <v>2111</v>
      </c>
      <c r="E183" s="5" t="s">
        <v>168</v>
      </c>
      <c r="G183" s="5" t="s">
        <v>1917</v>
      </c>
    </row>
    <row r="184" spans="4:7" hidden="1">
      <c r="D184" s="5" t="s">
        <v>2112</v>
      </c>
      <c r="E184" s="5" t="s">
        <v>168</v>
      </c>
      <c r="G184" s="5" t="s">
        <v>1917</v>
      </c>
    </row>
    <row r="185" spans="4:7" hidden="1">
      <c r="D185" s="5" t="s">
        <v>2113</v>
      </c>
      <c r="E185" s="5" t="s">
        <v>168</v>
      </c>
      <c r="G185" s="5" t="s">
        <v>1917</v>
      </c>
    </row>
    <row r="186" spans="4:7" hidden="1">
      <c r="D186" s="5" t="s">
        <v>2114</v>
      </c>
      <c r="E186" s="5" t="s">
        <v>168</v>
      </c>
      <c r="G186" s="5" t="s">
        <v>1917</v>
      </c>
    </row>
    <row r="187" spans="4:7" hidden="1">
      <c r="D187" s="5" t="s">
        <v>2115</v>
      </c>
      <c r="E187" s="5" t="s">
        <v>168</v>
      </c>
      <c r="G187" s="5" t="s">
        <v>1917</v>
      </c>
    </row>
    <row r="188" spans="4:7" hidden="1">
      <c r="D188" s="5" t="s">
        <v>2116</v>
      </c>
      <c r="E188" s="5" t="s">
        <v>168</v>
      </c>
      <c r="G188" s="5" t="s">
        <v>1917</v>
      </c>
    </row>
    <row r="189" spans="4:7" hidden="1">
      <c r="D189" s="5" t="s">
        <v>2117</v>
      </c>
      <c r="E189" s="5" t="s">
        <v>2106</v>
      </c>
      <c r="G189" s="5" t="s">
        <v>406</v>
      </c>
    </row>
    <row r="190" spans="4:7" hidden="1">
      <c r="D190" s="5" t="s">
        <v>2118</v>
      </c>
      <c r="E190" s="5" t="s">
        <v>168</v>
      </c>
      <c r="G190" s="5" t="s">
        <v>1917</v>
      </c>
    </row>
    <row r="191" spans="4:7" hidden="1">
      <c r="D191" s="5" t="s">
        <v>2119</v>
      </c>
      <c r="E191" s="5" t="s">
        <v>752</v>
      </c>
      <c r="G191" s="5" t="s">
        <v>1917</v>
      </c>
    </row>
    <row r="192" spans="4:7" hidden="1">
      <c r="D192" s="5" t="s">
        <v>2120</v>
      </c>
      <c r="E192" s="5" t="s">
        <v>168</v>
      </c>
      <c r="G192" s="5" t="s">
        <v>1917</v>
      </c>
    </row>
    <row r="193" spans="4:7" hidden="1">
      <c r="D193" s="5" t="s">
        <v>2121</v>
      </c>
      <c r="E193" s="5" t="s">
        <v>168</v>
      </c>
      <c r="G193" s="5" t="s">
        <v>1917</v>
      </c>
    </row>
    <row r="194" spans="4:7" hidden="1">
      <c r="D194" s="5" t="s">
        <v>2122</v>
      </c>
      <c r="E194" s="5" t="s">
        <v>168</v>
      </c>
      <c r="G194" s="5" t="s">
        <v>1917</v>
      </c>
    </row>
    <row r="195" spans="4:7" hidden="1">
      <c r="D195" s="5" t="s">
        <v>2123</v>
      </c>
      <c r="E195" s="5" t="s">
        <v>168</v>
      </c>
      <c r="G195" s="5" t="s">
        <v>1917</v>
      </c>
    </row>
    <row r="196" spans="4:7" hidden="1">
      <c r="D196" s="5" t="s">
        <v>2124</v>
      </c>
      <c r="E196" s="5" t="s">
        <v>309</v>
      </c>
      <c r="G196" s="5" t="s">
        <v>1917</v>
      </c>
    </row>
    <row r="197" spans="4:7" hidden="1">
      <c r="D197" s="5" t="s">
        <v>2125</v>
      </c>
      <c r="E197" s="5" t="s">
        <v>309</v>
      </c>
      <c r="G197" s="5" t="s">
        <v>1917</v>
      </c>
    </row>
    <row r="198" spans="4:7" hidden="1">
      <c r="D198" s="5" t="s">
        <v>2126</v>
      </c>
      <c r="E198" s="5" t="s">
        <v>427</v>
      </c>
      <c r="G198" s="5" t="s">
        <v>1917</v>
      </c>
    </row>
    <row r="199" spans="4:7" hidden="1">
      <c r="D199" s="5" t="s">
        <v>2127</v>
      </c>
      <c r="E199" s="5" t="s">
        <v>427</v>
      </c>
      <c r="G199" s="5" t="s">
        <v>1917</v>
      </c>
    </row>
    <row r="200" spans="4:7" hidden="1">
      <c r="D200" s="5" t="s">
        <v>2128</v>
      </c>
      <c r="E200" s="5" t="s">
        <v>2056</v>
      </c>
      <c r="G200" s="5" t="s">
        <v>1917</v>
      </c>
    </row>
    <row r="201" spans="4:7" hidden="1">
      <c r="D201" s="5" t="s">
        <v>2129</v>
      </c>
      <c r="E201" s="5" t="s">
        <v>451</v>
      </c>
      <c r="G201" s="5" t="s">
        <v>1917</v>
      </c>
    </row>
    <row r="202" spans="4:7" hidden="1">
      <c r="D202" s="5" t="s">
        <v>1104</v>
      </c>
      <c r="E202" s="5" t="s">
        <v>1945</v>
      </c>
      <c r="G202" s="5" t="s">
        <v>1926</v>
      </c>
    </row>
    <row r="203" spans="4:7" hidden="1">
      <c r="D203" s="5" t="s">
        <v>2130</v>
      </c>
      <c r="E203" s="5" t="s">
        <v>430</v>
      </c>
      <c r="G203" s="5" t="s">
        <v>1917</v>
      </c>
    </row>
    <row r="204" spans="4:7" hidden="1">
      <c r="D204" s="5" t="s">
        <v>2131</v>
      </c>
      <c r="E204" s="5" t="s">
        <v>1945</v>
      </c>
      <c r="G204" s="5" t="s">
        <v>1917</v>
      </c>
    </row>
    <row r="205" spans="4:7" hidden="1">
      <c r="D205" s="5" t="s">
        <v>2132</v>
      </c>
      <c r="E205" s="5" t="s">
        <v>309</v>
      </c>
      <c r="G205" s="5" t="s">
        <v>1917</v>
      </c>
    </row>
    <row r="206" spans="4:7" hidden="1">
      <c r="D206" s="5" t="s">
        <v>2133</v>
      </c>
      <c r="E206" s="5" t="s">
        <v>791</v>
      </c>
      <c r="G206" s="5" t="s">
        <v>1917</v>
      </c>
    </row>
    <row r="207" spans="4:7" hidden="1">
      <c r="D207" s="5" t="s">
        <v>2134</v>
      </c>
      <c r="E207" s="5" t="s">
        <v>427</v>
      </c>
      <c r="G207" s="5" t="s">
        <v>1917</v>
      </c>
    </row>
    <row r="208" spans="4:7" hidden="1">
      <c r="D208" s="5" t="s">
        <v>2135</v>
      </c>
      <c r="E208" s="5" t="s">
        <v>791</v>
      </c>
      <c r="G208" s="5" t="s">
        <v>1926</v>
      </c>
    </row>
    <row r="209" spans="4:7" hidden="1">
      <c r="D209" s="5" t="s">
        <v>792</v>
      </c>
      <c r="E209" s="5" t="s">
        <v>791</v>
      </c>
      <c r="G209" s="5" t="s">
        <v>1917</v>
      </c>
    </row>
    <row r="210" spans="4:7" hidden="1">
      <c r="D210" s="5" t="s">
        <v>2136</v>
      </c>
      <c r="E210" s="5" t="s">
        <v>309</v>
      </c>
      <c r="G210" s="5" t="s">
        <v>1917</v>
      </c>
    </row>
    <row r="211" spans="4:7" hidden="1">
      <c r="D211" s="5" t="s">
        <v>2137</v>
      </c>
      <c r="E211" s="5" t="s">
        <v>309</v>
      </c>
      <c r="G211" s="5" t="s">
        <v>1917</v>
      </c>
    </row>
    <row r="212" spans="4:7" hidden="1">
      <c r="D212" s="5" t="s">
        <v>2138</v>
      </c>
      <c r="E212" s="5" t="s">
        <v>451</v>
      </c>
      <c r="G212" s="5" t="s">
        <v>1917</v>
      </c>
    </row>
    <row r="213" spans="4:7" hidden="1">
      <c r="D213" s="5" t="s">
        <v>2139</v>
      </c>
      <c r="E213" s="5" t="s">
        <v>451</v>
      </c>
      <c r="G213" s="5" t="s">
        <v>1917</v>
      </c>
    </row>
    <row r="214" spans="4:7" hidden="1">
      <c r="D214" s="5" t="s">
        <v>2140</v>
      </c>
      <c r="E214" s="5" t="s">
        <v>451</v>
      </c>
      <c r="G214" s="5" t="s">
        <v>1917</v>
      </c>
    </row>
    <row r="215" spans="4:7" hidden="1">
      <c r="D215" s="5" t="s">
        <v>2141</v>
      </c>
      <c r="E215" s="5" t="s">
        <v>451</v>
      </c>
      <c r="G215" s="5" t="s">
        <v>1917</v>
      </c>
    </row>
    <row r="216" spans="4:7" hidden="1">
      <c r="D216" s="5" t="s">
        <v>2142</v>
      </c>
      <c r="E216" s="5" t="s">
        <v>451</v>
      </c>
      <c r="G216" s="5" t="s">
        <v>1917</v>
      </c>
    </row>
    <row r="217" spans="4:7" hidden="1">
      <c r="D217" s="5" t="s">
        <v>2143</v>
      </c>
      <c r="E217" s="5" t="s">
        <v>1953</v>
      </c>
      <c r="G217" s="5" t="s">
        <v>1917</v>
      </c>
    </row>
    <row r="218" spans="4:7" hidden="1">
      <c r="D218" s="5" t="s">
        <v>2144</v>
      </c>
      <c r="E218" s="5" t="s">
        <v>1953</v>
      </c>
      <c r="G218" s="5" t="s">
        <v>1917</v>
      </c>
    </row>
    <row r="219" spans="4:7" hidden="1">
      <c r="D219" s="5" t="s">
        <v>2145</v>
      </c>
      <c r="E219" s="5" t="s">
        <v>1953</v>
      </c>
      <c r="G219" s="5" t="s">
        <v>1917</v>
      </c>
    </row>
    <row r="220" spans="4:7" hidden="1">
      <c r="D220" s="5" t="s">
        <v>2146</v>
      </c>
      <c r="E220" s="5" t="s">
        <v>451</v>
      </c>
      <c r="G220" s="5" t="s">
        <v>1917</v>
      </c>
    </row>
    <row r="221" spans="4:7" hidden="1">
      <c r="D221" s="5" t="s">
        <v>2147</v>
      </c>
      <c r="E221" s="5" t="s">
        <v>309</v>
      </c>
      <c r="G221" s="5" t="s">
        <v>1917</v>
      </c>
    </row>
    <row r="222" spans="4:7" hidden="1">
      <c r="D222" s="5" t="s">
        <v>2148</v>
      </c>
      <c r="E222" s="5" t="s">
        <v>812</v>
      </c>
      <c r="G222" s="5" t="s">
        <v>1917</v>
      </c>
    </row>
    <row r="223" spans="4:7" hidden="1">
      <c r="D223" s="5" t="s">
        <v>2149</v>
      </c>
      <c r="E223" s="5" t="s">
        <v>2150</v>
      </c>
      <c r="G223" s="5" t="s">
        <v>406</v>
      </c>
    </row>
    <row r="224" spans="4:7" hidden="1">
      <c r="D224" s="5" t="s">
        <v>2151</v>
      </c>
      <c r="E224" s="5" t="s">
        <v>2056</v>
      </c>
      <c r="G224" s="5" t="s">
        <v>1917</v>
      </c>
    </row>
    <row r="225" spans="4:7" hidden="1">
      <c r="D225" s="5" t="s">
        <v>2152</v>
      </c>
      <c r="E225" s="5" t="s">
        <v>791</v>
      </c>
      <c r="G225" s="5" t="s">
        <v>1917</v>
      </c>
    </row>
    <row r="226" spans="4:7" hidden="1">
      <c r="D226" s="5" t="s">
        <v>2153</v>
      </c>
      <c r="E226" s="5" t="s">
        <v>427</v>
      </c>
      <c r="G226" s="5" t="s">
        <v>1917</v>
      </c>
    </row>
    <row r="227" spans="4:7" hidden="1">
      <c r="D227" s="5" t="s">
        <v>2154</v>
      </c>
      <c r="E227" s="5" t="s">
        <v>720</v>
      </c>
      <c r="G227" s="5" t="s">
        <v>1917</v>
      </c>
    </row>
    <row r="228" spans="4:7" hidden="1">
      <c r="D228" s="5" t="s">
        <v>2155</v>
      </c>
      <c r="E228" s="5" t="s">
        <v>430</v>
      </c>
      <c r="G228" s="5" t="s">
        <v>1917</v>
      </c>
    </row>
    <row r="229" spans="4:7" hidden="1">
      <c r="D229" s="5" t="s">
        <v>2156</v>
      </c>
      <c r="E229" s="5" t="s">
        <v>2091</v>
      </c>
      <c r="G229" s="5" t="s">
        <v>1917</v>
      </c>
    </row>
    <row r="230" spans="4:7" hidden="1">
      <c r="D230" s="5" t="s">
        <v>2157</v>
      </c>
      <c r="E230" s="5" t="s">
        <v>171</v>
      </c>
      <c r="G230" s="5" t="s">
        <v>1917</v>
      </c>
    </row>
    <row r="231" spans="4:7" hidden="1">
      <c r="D231" s="5" t="s">
        <v>2158</v>
      </c>
      <c r="E231" s="5" t="s">
        <v>168</v>
      </c>
      <c r="G231" s="5" t="s">
        <v>1917</v>
      </c>
    </row>
    <row r="232" spans="4:7" hidden="1">
      <c r="D232" s="5" t="s">
        <v>2159</v>
      </c>
      <c r="E232" s="5" t="s">
        <v>168</v>
      </c>
      <c r="G232" s="5" t="s">
        <v>1917</v>
      </c>
    </row>
    <row r="233" spans="4:7" hidden="1">
      <c r="D233" s="5" t="s">
        <v>2160</v>
      </c>
      <c r="E233" s="5" t="s">
        <v>168</v>
      </c>
      <c r="G233" s="5" t="s">
        <v>1926</v>
      </c>
    </row>
    <row r="234" spans="4:7" hidden="1">
      <c r="D234" s="5" t="s">
        <v>2161</v>
      </c>
      <c r="E234" s="5" t="s">
        <v>168</v>
      </c>
      <c r="G234" s="5" t="s">
        <v>1917</v>
      </c>
    </row>
    <row r="235" spans="4:7" hidden="1">
      <c r="D235" s="5" t="s">
        <v>2162</v>
      </c>
      <c r="E235" s="5" t="s">
        <v>168</v>
      </c>
      <c r="G235" s="5" t="s">
        <v>1917</v>
      </c>
    </row>
    <row r="236" spans="4:7" hidden="1">
      <c r="D236" s="5" t="s">
        <v>2163</v>
      </c>
      <c r="E236" s="5" t="s">
        <v>168</v>
      </c>
      <c r="G236" s="5" t="s">
        <v>1917</v>
      </c>
    </row>
    <row r="237" spans="4:7" hidden="1">
      <c r="D237" s="5" t="s">
        <v>2164</v>
      </c>
      <c r="E237" s="5" t="s">
        <v>168</v>
      </c>
      <c r="G237" s="5" t="s">
        <v>1917</v>
      </c>
    </row>
    <row r="238" spans="4:7" hidden="1">
      <c r="D238" s="5" t="s">
        <v>2165</v>
      </c>
      <c r="E238" s="5" t="s">
        <v>168</v>
      </c>
      <c r="G238" s="5" t="s">
        <v>1917</v>
      </c>
    </row>
    <row r="239" spans="4:7" hidden="1">
      <c r="D239" s="5" t="s">
        <v>2166</v>
      </c>
      <c r="E239" s="5" t="s">
        <v>168</v>
      </c>
      <c r="G239" s="5" t="s">
        <v>1917</v>
      </c>
    </row>
    <row r="240" spans="4:7" hidden="1">
      <c r="D240" s="5" t="s">
        <v>2167</v>
      </c>
      <c r="E240" s="5" t="s">
        <v>168</v>
      </c>
      <c r="G240" s="5" t="s">
        <v>1917</v>
      </c>
    </row>
    <row r="241" spans="4:7" hidden="1">
      <c r="D241" s="5" t="s">
        <v>2168</v>
      </c>
      <c r="E241" s="5" t="s">
        <v>168</v>
      </c>
      <c r="G241" s="5" t="s">
        <v>1917</v>
      </c>
    </row>
    <row r="242" spans="4:7" hidden="1">
      <c r="D242" s="5" t="s">
        <v>2169</v>
      </c>
      <c r="E242" s="5" t="s">
        <v>2150</v>
      </c>
      <c r="G242" s="5" t="s">
        <v>406</v>
      </c>
    </row>
    <row r="243" spans="4:7" hidden="1">
      <c r="D243" s="5" t="s">
        <v>2170</v>
      </c>
      <c r="E243" s="5" t="s">
        <v>168</v>
      </c>
      <c r="G243" s="5" t="s">
        <v>1926</v>
      </c>
    </row>
    <row r="244" spans="4:7" hidden="1">
      <c r="D244" s="5" t="s">
        <v>2171</v>
      </c>
      <c r="E244" s="5" t="s">
        <v>168</v>
      </c>
      <c r="G244" s="5" t="s">
        <v>1917</v>
      </c>
    </row>
    <row r="245" spans="4:7" hidden="1">
      <c r="D245" s="5" t="s">
        <v>2172</v>
      </c>
      <c r="E245" s="5" t="s">
        <v>2150</v>
      </c>
      <c r="G245" s="5" t="s">
        <v>406</v>
      </c>
    </row>
    <row r="246" spans="4:7" hidden="1">
      <c r="D246" s="5" t="s">
        <v>2173</v>
      </c>
      <c r="E246" s="5" t="s">
        <v>752</v>
      </c>
      <c r="G246" s="5" t="s">
        <v>1917</v>
      </c>
    </row>
    <row r="247" spans="4:7" hidden="1">
      <c r="D247" s="5" t="s">
        <v>2174</v>
      </c>
      <c r="E247" s="5" t="s">
        <v>168</v>
      </c>
      <c r="G247" s="5" t="s">
        <v>1917</v>
      </c>
    </row>
    <row r="248" spans="4:7" hidden="1">
      <c r="D248" s="5" t="s">
        <v>1327</v>
      </c>
      <c r="E248" s="5" t="s">
        <v>2175</v>
      </c>
      <c r="G248" s="5" t="s">
        <v>1926</v>
      </c>
    </row>
    <row r="249" spans="4:7" hidden="1">
      <c r="D249" s="5" t="s">
        <v>2176</v>
      </c>
      <c r="E249" s="5" t="s">
        <v>168</v>
      </c>
      <c r="G249" s="5" t="s">
        <v>1917</v>
      </c>
    </row>
    <row r="250" spans="4:7" hidden="1">
      <c r="D250" s="5" t="s">
        <v>2177</v>
      </c>
      <c r="E250" s="5" t="s">
        <v>168</v>
      </c>
      <c r="G250" s="5" t="s">
        <v>1917</v>
      </c>
    </row>
    <row r="251" spans="4:7" hidden="1">
      <c r="D251" s="5" t="s">
        <v>851</v>
      </c>
      <c r="E251" s="5" t="s">
        <v>168</v>
      </c>
      <c r="G251" s="5" t="s">
        <v>1917</v>
      </c>
    </row>
    <row r="252" spans="4:7" hidden="1">
      <c r="D252" s="5" t="s">
        <v>2178</v>
      </c>
      <c r="E252" s="5" t="s">
        <v>752</v>
      </c>
      <c r="G252" s="5" t="s">
        <v>1917</v>
      </c>
    </row>
    <row r="253" spans="4:7" hidden="1">
      <c r="D253" s="5" t="s">
        <v>2179</v>
      </c>
      <c r="E253" s="5" t="s">
        <v>2056</v>
      </c>
      <c r="G253" s="5" t="s">
        <v>1917</v>
      </c>
    </row>
    <row r="254" spans="4:7" hidden="1">
      <c r="D254" s="5" t="s">
        <v>2180</v>
      </c>
      <c r="E254" s="5" t="s">
        <v>812</v>
      </c>
      <c r="G254" s="5" t="s">
        <v>1917</v>
      </c>
    </row>
    <row r="255" spans="4:7" hidden="1">
      <c r="D255" s="5" t="s">
        <v>2181</v>
      </c>
      <c r="E255" s="5" t="s">
        <v>1940</v>
      </c>
      <c r="G255" s="5" t="s">
        <v>1917</v>
      </c>
    </row>
    <row r="256" spans="4:7" hidden="1">
      <c r="D256" s="5" t="s">
        <v>2182</v>
      </c>
      <c r="E256" s="5" t="s">
        <v>1953</v>
      </c>
      <c r="G256" s="5" t="s">
        <v>1917</v>
      </c>
    </row>
    <row r="257" spans="4:7" hidden="1">
      <c r="D257" s="5" t="s">
        <v>2183</v>
      </c>
      <c r="E257" s="5" t="s">
        <v>2056</v>
      </c>
      <c r="G257" s="5" t="s">
        <v>1917</v>
      </c>
    </row>
    <row r="258" spans="4:7" hidden="1">
      <c r="D258" s="5" t="s">
        <v>2184</v>
      </c>
      <c r="E258" s="5" t="s">
        <v>2056</v>
      </c>
      <c r="G258" s="5" t="s">
        <v>1917</v>
      </c>
    </row>
    <row r="259" spans="4:7" hidden="1">
      <c r="D259" s="5" t="s">
        <v>2185</v>
      </c>
      <c r="E259" s="5" t="s">
        <v>2056</v>
      </c>
      <c r="G259" s="5" t="s">
        <v>1917</v>
      </c>
    </row>
    <row r="260" spans="4:7" hidden="1">
      <c r="D260" s="5" t="s">
        <v>2186</v>
      </c>
      <c r="E260" s="5" t="s">
        <v>2056</v>
      </c>
      <c r="G260" s="5" t="s">
        <v>1917</v>
      </c>
    </row>
    <row r="261" spans="4:7" hidden="1">
      <c r="D261" s="5" t="s">
        <v>2187</v>
      </c>
      <c r="E261" s="5" t="s">
        <v>2056</v>
      </c>
      <c r="G261" s="5" t="s">
        <v>1917</v>
      </c>
    </row>
    <row r="262" spans="4:7" hidden="1">
      <c r="D262" s="5" t="s">
        <v>2188</v>
      </c>
      <c r="E262" s="5" t="s">
        <v>2056</v>
      </c>
      <c r="G262" s="5" t="s">
        <v>1917</v>
      </c>
    </row>
    <row r="263" spans="4:7" hidden="1">
      <c r="D263" s="5" t="s">
        <v>2189</v>
      </c>
      <c r="E263" s="5" t="s">
        <v>430</v>
      </c>
      <c r="G263" s="5" t="s">
        <v>1917</v>
      </c>
    </row>
    <row r="264" spans="4:7" hidden="1">
      <c r="D264" s="5" t="s">
        <v>2190</v>
      </c>
      <c r="E264" s="5" t="s">
        <v>430</v>
      </c>
      <c r="G264" s="5" t="s">
        <v>1917</v>
      </c>
    </row>
    <row r="265" spans="4:7" hidden="1">
      <c r="D265" s="5" t="s">
        <v>2191</v>
      </c>
      <c r="E265" s="5" t="s">
        <v>430</v>
      </c>
      <c r="G265" s="5" t="s">
        <v>1917</v>
      </c>
    </row>
    <row r="266" spans="4:7" hidden="1">
      <c r="D266" s="5" t="s">
        <v>2192</v>
      </c>
      <c r="E266" s="5" t="s">
        <v>451</v>
      </c>
      <c r="G266" s="5" t="s">
        <v>1917</v>
      </c>
    </row>
    <row r="267" spans="4:7" hidden="1">
      <c r="D267" s="5" t="s">
        <v>2193</v>
      </c>
      <c r="E267" s="5" t="s">
        <v>2091</v>
      </c>
      <c r="G267" s="5" t="s">
        <v>1917</v>
      </c>
    </row>
    <row r="268" spans="4:7" hidden="1">
      <c r="D268" s="5" t="s">
        <v>2194</v>
      </c>
      <c r="E268" s="5" t="s">
        <v>472</v>
      </c>
      <c r="G268" s="5" t="s">
        <v>1917</v>
      </c>
    </row>
    <row r="269" spans="4:7" hidden="1">
      <c r="D269" s="5" t="s">
        <v>2195</v>
      </c>
      <c r="E269" s="5" t="s">
        <v>472</v>
      </c>
      <c r="G269" s="5" t="s">
        <v>1917</v>
      </c>
    </row>
    <row r="270" spans="4:7" hidden="1">
      <c r="D270" s="5" t="s">
        <v>2196</v>
      </c>
      <c r="E270" s="5" t="s">
        <v>472</v>
      </c>
      <c r="G270" s="5" t="s">
        <v>1917</v>
      </c>
    </row>
    <row r="271" spans="4:7" hidden="1">
      <c r="D271" s="5" t="s">
        <v>2197</v>
      </c>
      <c r="E271" s="5" t="s">
        <v>472</v>
      </c>
      <c r="G271" s="5" t="s">
        <v>1917</v>
      </c>
    </row>
    <row r="272" spans="4:7" hidden="1">
      <c r="D272" s="5" t="s">
        <v>2198</v>
      </c>
      <c r="E272" s="5" t="s">
        <v>472</v>
      </c>
      <c r="G272" s="5" t="s">
        <v>1917</v>
      </c>
    </row>
    <row r="273" spans="4:7" hidden="1">
      <c r="D273" s="5" t="s">
        <v>2199</v>
      </c>
      <c r="E273" s="5" t="s">
        <v>472</v>
      </c>
      <c r="G273" s="5" t="s">
        <v>1917</v>
      </c>
    </row>
    <row r="274" spans="4:7" hidden="1">
      <c r="D274" s="5" t="s">
        <v>2200</v>
      </c>
      <c r="E274" s="5" t="s">
        <v>720</v>
      </c>
      <c r="G274" s="5" t="s">
        <v>1917</v>
      </c>
    </row>
    <row r="275" spans="4:7" hidden="1">
      <c r="D275" s="5" t="s">
        <v>2201</v>
      </c>
      <c r="E275" s="5" t="s">
        <v>720</v>
      </c>
      <c r="G275" s="5" t="s">
        <v>1917</v>
      </c>
    </row>
    <row r="276" spans="4:7" hidden="1">
      <c r="D276" s="5" t="s">
        <v>2202</v>
      </c>
      <c r="E276" s="5" t="s">
        <v>720</v>
      </c>
      <c r="G276" s="5" t="s">
        <v>1917</v>
      </c>
    </row>
    <row r="277" spans="4:7" hidden="1">
      <c r="D277" s="5" t="s">
        <v>2203</v>
      </c>
      <c r="E277" s="5" t="s">
        <v>720</v>
      </c>
      <c r="G277" s="5" t="s">
        <v>1917</v>
      </c>
    </row>
    <row r="278" spans="4:7" hidden="1">
      <c r="D278" s="5" t="s">
        <v>2204</v>
      </c>
      <c r="E278" s="5" t="s">
        <v>451</v>
      </c>
      <c r="G278" s="5" t="s">
        <v>1917</v>
      </c>
    </row>
    <row r="279" spans="4:7" hidden="1">
      <c r="D279" s="5" t="s">
        <v>2205</v>
      </c>
      <c r="E279" s="5" t="s">
        <v>812</v>
      </c>
      <c r="G279" s="5" t="s">
        <v>1917</v>
      </c>
    </row>
    <row r="280" spans="4:7" hidden="1">
      <c r="D280" s="5" t="s">
        <v>2206</v>
      </c>
      <c r="E280" s="5" t="s">
        <v>812</v>
      </c>
      <c r="G280" s="5" t="s">
        <v>1917</v>
      </c>
    </row>
    <row r="281" spans="4:7" hidden="1">
      <c r="D281" s="5" t="s">
        <v>2207</v>
      </c>
      <c r="E281" s="5" t="s">
        <v>812</v>
      </c>
      <c r="G281" s="5" t="s">
        <v>1917</v>
      </c>
    </row>
    <row r="282" spans="4:7" hidden="1">
      <c r="D282" s="5" t="s">
        <v>2208</v>
      </c>
      <c r="E282" s="5" t="s">
        <v>812</v>
      </c>
      <c r="G282" s="5" t="s">
        <v>1917</v>
      </c>
    </row>
    <row r="283" spans="4:7" hidden="1">
      <c r="D283" s="5" t="s">
        <v>2209</v>
      </c>
      <c r="E283" s="5" t="s">
        <v>812</v>
      </c>
      <c r="G283" s="5" t="s">
        <v>1917</v>
      </c>
    </row>
    <row r="284" spans="4:7" hidden="1">
      <c r="D284" s="5" t="s">
        <v>2210</v>
      </c>
      <c r="E284" s="5" t="s">
        <v>1945</v>
      </c>
      <c r="G284" s="5" t="s">
        <v>1917</v>
      </c>
    </row>
    <row r="285" spans="4:7" hidden="1">
      <c r="D285" s="5" t="s">
        <v>2211</v>
      </c>
      <c r="E285" s="5" t="s">
        <v>430</v>
      </c>
      <c r="G285" s="5" t="s">
        <v>1917</v>
      </c>
    </row>
    <row r="286" spans="4:7" hidden="1">
      <c r="D286" s="5" t="s">
        <v>2212</v>
      </c>
      <c r="E286" s="5" t="s">
        <v>1945</v>
      </c>
      <c r="G286" s="5" t="s">
        <v>1917</v>
      </c>
    </row>
    <row r="287" spans="4:7" hidden="1">
      <c r="D287" s="5" t="s">
        <v>2213</v>
      </c>
      <c r="E287" s="5" t="s">
        <v>1945</v>
      </c>
      <c r="G287" s="5" t="s">
        <v>1917</v>
      </c>
    </row>
    <row r="288" spans="4:7" hidden="1">
      <c r="D288" s="5" t="s">
        <v>2214</v>
      </c>
      <c r="E288" s="5" t="s">
        <v>1945</v>
      </c>
      <c r="G288" s="5" t="s">
        <v>1917</v>
      </c>
    </row>
    <row r="289" spans="4:7" hidden="1">
      <c r="D289" s="5" t="s">
        <v>2215</v>
      </c>
      <c r="E289" s="5" t="s">
        <v>720</v>
      </c>
      <c r="G289" s="5" t="s">
        <v>1917</v>
      </c>
    </row>
    <row r="290" spans="4:7" hidden="1">
      <c r="D290" s="5" t="s">
        <v>2216</v>
      </c>
      <c r="E290" s="5" t="s">
        <v>168</v>
      </c>
      <c r="G290" s="5" t="s">
        <v>1917</v>
      </c>
    </row>
    <row r="291" spans="4:7" hidden="1">
      <c r="D291" s="5" t="s">
        <v>2217</v>
      </c>
      <c r="E291" s="5" t="s">
        <v>168</v>
      </c>
      <c r="G291" s="5" t="s">
        <v>1917</v>
      </c>
    </row>
    <row r="292" spans="4:7" hidden="1">
      <c r="D292" s="5" t="s">
        <v>2218</v>
      </c>
      <c r="E292" s="5" t="s">
        <v>168</v>
      </c>
      <c r="G292" s="5" t="s">
        <v>1917</v>
      </c>
    </row>
    <row r="293" spans="4:7" hidden="1">
      <c r="D293" s="5" t="s">
        <v>2219</v>
      </c>
      <c r="E293" s="5" t="s">
        <v>168</v>
      </c>
      <c r="G293" s="5" t="s">
        <v>2220</v>
      </c>
    </row>
    <row r="294" spans="4:7" hidden="1">
      <c r="D294" s="5" t="s">
        <v>2221</v>
      </c>
      <c r="E294" s="5" t="s">
        <v>168</v>
      </c>
      <c r="G294" s="5" t="s">
        <v>1917</v>
      </c>
    </row>
    <row r="295" spans="4:7" hidden="1">
      <c r="D295" s="5" t="s">
        <v>2222</v>
      </c>
      <c r="E295" s="5" t="s">
        <v>168</v>
      </c>
      <c r="G295" s="5" t="s">
        <v>1917</v>
      </c>
    </row>
    <row r="296" spans="4:7" hidden="1">
      <c r="D296" s="5" t="s">
        <v>2223</v>
      </c>
      <c r="E296" s="5" t="s">
        <v>168</v>
      </c>
      <c r="G296" s="5" t="s">
        <v>1917</v>
      </c>
    </row>
    <row r="297" spans="4:7" hidden="1">
      <c r="D297" s="5" t="s">
        <v>2224</v>
      </c>
      <c r="E297" s="5" t="s">
        <v>2150</v>
      </c>
      <c r="G297" s="5" t="s">
        <v>406</v>
      </c>
    </row>
    <row r="298" spans="4:7" hidden="1">
      <c r="D298" s="5" t="s">
        <v>2225</v>
      </c>
      <c r="E298" s="5" t="s">
        <v>2150</v>
      </c>
      <c r="G298" s="5" t="s">
        <v>406</v>
      </c>
    </row>
    <row r="299" spans="4:7" hidden="1">
      <c r="D299" s="5" t="s">
        <v>2226</v>
      </c>
      <c r="E299" s="5" t="s">
        <v>168</v>
      </c>
      <c r="G299" s="5" t="s">
        <v>1917</v>
      </c>
    </row>
    <row r="300" spans="4:7" hidden="1">
      <c r="D300" s="5" t="s">
        <v>747</v>
      </c>
      <c r="E300" s="5" t="s">
        <v>168</v>
      </c>
      <c r="G300" s="5" t="s">
        <v>1917</v>
      </c>
    </row>
    <row r="301" spans="4:7" hidden="1">
      <c r="D301" s="5" t="s">
        <v>2227</v>
      </c>
      <c r="E301" s="5" t="s">
        <v>2150</v>
      </c>
      <c r="G301" s="5" t="s">
        <v>406</v>
      </c>
    </row>
    <row r="302" spans="4:7" hidden="1">
      <c r="D302" s="5" t="s">
        <v>2228</v>
      </c>
      <c r="E302" s="5" t="s">
        <v>168</v>
      </c>
      <c r="G302" s="5" t="s">
        <v>1914</v>
      </c>
    </row>
    <row r="303" spans="4:7" hidden="1">
      <c r="D303" s="5" t="s">
        <v>2229</v>
      </c>
      <c r="E303" s="5" t="s">
        <v>168</v>
      </c>
      <c r="G303" s="5" t="s">
        <v>1917</v>
      </c>
    </row>
    <row r="304" spans="4:7" hidden="1">
      <c r="D304" s="5" t="s">
        <v>2230</v>
      </c>
      <c r="E304" s="5" t="s">
        <v>168</v>
      </c>
      <c r="G304" s="5" t="s">
        <v>1917</v>
      </c>
    </row>
    <row r="305" spans="4:7" hidden="1">
      <c r="D305" s="5" t="s">
        <v>2231</v>
      </c>
      <c r="E305" s="5" t="s">
        <v>168</v>
      </c>
      <c r="G305" s="5" t="s">
        <v>1917</v>
      </c>
    </row>
    <row r="306" spans="4:7" hidden="1">
      <c r="D306" s="5" t="s">
        <v>2232</v>
      </c>
      <c r="E306" s="5" t="s">
        <v>1953</v>
      </c>
      <c r="G306" s="5" t="s">
        <v>1917</v>
      </c>
    </row>
    <row r="307" spans="4:7" hidden="1">
      <c r="D307" s="5" t="s">
        <v>2233</v>
      </c>
      <c r="E307" s="5" t="s">
        <v>1953</v>
      </c>
      <c r="G307" s="5" t="s">
        <v>1917</v>
      </c>
    </row>
    <row r="308" spans="4:7" hidden="1">
      <c r="D308" s="5" t="s">
        <v>2234</v>
      </c>
      <c r="E308" s="5" t="s">
        <v>451</v>
      </c>
      <c r="G308" s="5" t="s">
        <v>1917</v>
      </c>
    </row>
    <row r="309" spans="4:7" hidden="1">
      <c r="D309" s="5" t="s">
        <v>2235</v>
      </c>
      <c r="E309" s="5" t="s">
        <v>451</v>
      </c>
      <c r="G309" s="5" t="s">
        <v>1917</v>
      </c>
    </row>
    <row r="310" spans="4:7" hidden="1">
      <c r="D310" s="5" t="s">
        <v>2236</v>
      </c>
      <c r="E310" s="5" t="s">
        <v>1953</v>
      </c>
      <c r="G310" s="5" t="s">
        <v>1917</v>
      </c>
    </row>
    <row r="311" spans="4:7" hidden="1">
      <c r="D311" s="5" t="s">
        <v>2237</v>
      </c>
      <c r="E311" s="5" t="s">
        <v>451</v>
      </c>
      <c r="G311" s="5" t="s">
        <v>1917</v>
      </c>
    </row>
    <row r="312" spans="4:7" hidden="1">
      <c r="D312" s="5" t="s">
        <v>2238</v>
      </c>
      <c r="E312" s="5" t="s">
        <v>1953</v>
      </c>
      <c r="G312" s="5" t="s">
        <v>1917</v>
      </c>
    </row>
    <row r="313" spans="4:7" hidden="1">
      <c r="D313" s="5" t="s">
        <v>2239</v>
      </c>
      <c r="E313" s="5" t="s">
        <v>1953</v>
      </c>
      <c r="G313" s="5" t="s">
        <v>1917</v>
      </c>
    </row>
    <row r="314" spans="4:7" hidden="1">
      <c r="D314" s="5" t="s">
        <v>2240</v>
      </c>
      <c r="E314" s="5" t="s">
        <v>1953</v>
      </c>
      <c r="G314" s="5" t="s">
        <v>1917</v>
      </c>
    </row>
    <row r="315" spans="4:7" hidden="1">
      <c r="D315" s="5" t="s">
        <v>2241</v>
      </c>
      <c r="E315" s="5" t="s">
        <v>1953</v>
      </c>
      <c r="G315" s="5" t="s">
        <v>1917</v>
      </c>
    </row>
    <row r="316" spans="4:7" hidden="1">
      <c r="D316" s="5" t="s">
        <v>2242</v>
      </c>
      <c r="E316" s="5" t="s">
        <v>1953</v>
      </c>
      <c r="G316" s="5" t="s">
        <v>1917</v>
      </c>
    </row>
    <row r="317" spans="4:7" hidden="1">
      <c r="D317" s="5" t="s">
        <v>2243</v>
      </c>
      <c r="E317" s="5" t="s">
        <v>1953</v>
      </c>
      <c r="G317" s="5" t="s">
        <v>1917</v>
      </c>
    </row>
    <row r="318" spans="4:7" hidden="1">
      <c r="D318" s="5" t="s">
        <v>2244</v>
      </c>
      <c r="E318" s="5" t="s">
        <v>1953</v>
      </c>
      <c r="G318" s="5" t="s">
        <v>1917</v>
      </c>
    </row>
    <row r="319" spans="4:7" hidden="1">
      <c r="D319" s="5" t="s">
        <v>2245</v>
      </c>
      <c r="E319" s="5" t="s">
        <v>1953</v>
      </c>
      <c r="G319" s="5" t="s">
        <v>1917</v>
      </c>
    </row>
    <row r="320" spans="4:7" hidden="1">
      <c r="D320" s="5" t="s">
        <v>2246</v>
      </c>
      <c r="E320" s="5" t="s">
        <v>1953</v>
      </c>
      <c r="G320" s="5" t="s">
        <v>1917</v>
      </c>
    </row>
    <row r="321" spans="4:7" hidden="1">
      <c r="D321" s="5" t="s">
        <v>2247</v>
      </c>
      <c r="E321" s="5" t="s">
        <v>309</v>
      </c>
      <c r="G321" s="5" t="s">
        <v>1917</v>
      </c>
    </row>
    <row r="322" spans="4:7" hidden="1">
      <c r="D322" s="5" t="s">
        <v>2248</v>
      </c>
      <c r="E322" s="5" t="s">
        <v>812</v>
      </c>
      <c r="G322" s="5" t="s">
        <v>1917</v>
      </c>
    </row>
    <row r="323" spans="4:7" hidden="1">
      <c r="D323" s="5" t="s">
        <v>2249</v>
      </c>
      <c r="E323" s="5" t="s">
        <v>812</v>
      </c>
      <c r="G323" s="5" t="s">
        <v>1917</v>
      </c>
    </row>
    <row r="324" spans="4:7" hidden="1">
      <c r="D324" s="5" t="s">
        <v>2250</v>
      </c>
      <c r="E324" s="5" t="s">
        <v>1953</v>
      </c>
      <c r="G324" s="5" t="s">
        <v>1917</v>
      </c>
    </row>
    <row r="325" spans="4:7" hidden="1">
      <c r="D325" s="5" t="s">
        <v>2251</v>
      </c>
      <c r="E325" s="5" t="s">
        <v>1953</v>
      </c>
      <c r="G325" s="5" t="s">
        <v>1917</v>
      </c>
    </row>
    <row r="326" spans="4:7" hidden="1">
      <c r="D326" s="5" t="s">
        <v>2252</v>
      </c>
      <c r="E326" s="5" t="s">
        <v>1953</v>
      </c>
      <c r="G326" s="5" t="s">
        <v>1917</v>
      </c>
    </row>
    <row r="327" spans="4:7" hidden="1">
      <c r="D327" s="5" t="s">
        <v>2253</v>
      </c>
      <c r="E327" s="5" t="s">
        <v>2254</v>
      </c>
      <c r="G327" s="5" t="s">
        <v>1917</v>
      </c>
    </row>
    <row r="328" spans="4:7" hidden="1">
      <c r="D328" s="5" t="s">
        <v>2255</v>
      </c>
      <c r="E328" s="5" t="s">
        <v>427</v>
      </c>
      <c r="G328" s="5" t="s">
        <v>1917</v>
      </c>
    </row>
    <row r="329" spans="4:7" hidden="1">
      <c r="D329" s="5" t="s">
        <v>2256</v>
      </c>
      <c r="E329" s="5" t="s">
        <v>1953</v>
      </c>
      <c r="G329" s="5" t="s">
        <v>1917</v>
      </c>
    </row>
    <row r="330" spans="4:7" hidden="1">
      <c r="D330" s="5" t="s">
        <v>2257</v>
      </c>
      <c r="E330" s="5" t="s">
        <v>2056</v>
      </c>
      <c r="G330" s="5" t="s">
        <v>1917</v>
      </c>
    </row>
    <row r="331" spans="4:7" hidden="1">
      <c r="D331" s="5" t="s">
        <v>2258</v>
      </c>
      <c r="E331" s="5" t="s">
        <v>168</v>
      </c>
      <c r="G331" s="5" t="s">
        <v>1917</v>
      </c>
    </row>
    <row r="332" spans="4:7" hidden="1">
      <c r="D332" s="5" t="s">
        <v>2259</v>
      </c>
      <c r="E332" s="5" t="s">
        <v>168</v>
      </c>
      <c r="G332" s="5" t="s">
        <v>1917</v>
      </c>
    </row>
    <row r="333" spans="4:7" hidden="1">
      <c r="D333" s="5" t="s">
        <v>2260</v>
      </c>
      <c r="E333" s="5" t="s">
        <v>168</v>
      </c>
      <c r="G333" s="5" t="s">
        <v>1917</v>
      </c>
    </row>
    <row r="334" spans="4:7" hidden="1">
      <c r="D334" s="5" t="s">
        <v>2261</v>
      </c>
      <c r="E334" s="5" t="s">
        <v>168</v>
      </c>
      <c r="G334" s="5" t="s">
        <v>1920</v>
      </c>
    </row>
    <row r="335" spans="4:7" hidden="1">
      <c r="D335" s="5" t="s">
        <v>2262</v>
      </c>
      <c r="E335" s="5" t="s">
        <v>2056</v>
      </c>
      <c r="G335" s="5" t="s">
        <v>1917</v>
      </c>
    </row>
    <row r="336" spans="4:7" hidden="1">
      <c r="D336" s="5" t="s">
        <v>2263</v>
      </c>
      <c r="E336" s="5" t="s">
        <v>812</v>
      </c>
      <c r="G336" s="5" t="s">
        <v>1917</v>
      </c>
    </row>
    <row r="337" spans="4:7" hidden="1">
      <c r="D337" s="5" t="s">
        <v>2264</v>
      </c>
      <c r="E337" s="5" t="s">
        <v>309</v>
      </c>
      <c r="G337" s="5" t="s">
        <v>1917</v>
      </c>
    </row>
    <row r="338" spans="4:7" hidden="1">
      <c r="D338" s="5" t="s">
        <v>2265</v>
      </c>
      <c r="E338" s="5" t="s">
        <v>309</v>
      </c>
      <c r="G338" s="5" t="s">
        <v>1917</v>
      </c>
    </row>
    <row r="339" spans="4:7" hidden="1">
      <c r="D339" s="5" t="s">
        <v>2266</v>
      </c>
      <c r="E339" s="5" t="s">
        <v>472</v>
      </c>
      <c r="G339" s="5" t="s">
        <v>1917</v>
      </c>
    </row>
    <row r="340" spans="4:7" hidden="1">
      <c r="D340" s="5" t="s">
        <v>2267</v>
      </c>
      <c r="E340" s="5" t="s">
        <v>472</v>
      </c>
      <c r="G340" s="5" t="s">
        <v>1917</v>
      </c>
    </row>
    <row r="341" spans="4:7" hidden="1">
      <c r="D341" s="5" t="s">
        <v>2268</v>
      </c>
      <c r="E341" s="5" t="s">
        <v>1953</v>
      </c>
      <c r="G341" s="5" t="s">
        <v>1917</v>
      </c>
    </row>
    <row r="342" spans="4:7" hidden="1">
      <c r="D342" s="5" t="s">
        <v>2269</v>
      </c>
      <c r="E342" s="5" t="s">
        <v>1953</v>
      </c>
      <c r="G342" s="5" t="s">
        <v>1917</v>
      </c>
    </row>
    <row r="343" spans="4:7" hidden="1">
      <c r="D343" s="5" t="s">
        <v>2270</v>
      </c>
      <c r="E343" s="5" t="s">
        <v>1953</v>
      </c>
      <c r="G343" s="5" t="s">
        <v>1917</v>
      </c>
    </row>
    <row r="344" spans="4:7" hidden="1">
      <c r="D344" s="5" t="s">
        <v>2271</v>
      </c>
      <c r="E344" s="5" t="s">
        <v>1953</v>
      </c>
      <c r="G344" s="5" t="s">
        <v>1917</v>
      </c>
    </row>
    <row r="345" spans="4:7" hidden="1">
      <c r="D345" s="5" t="s">
        <v>2272</v>
      </c>
      <c r="E345" s="5" t="s">
        <v>752</v>
      </c>
      <c r="G345" s="5" t="s">
        <v>1917</v>
      </c>
    </row>
    <row r="346" spans="4:7" hidden="1">
      <c r="D346" s="5" t="s">
        <v>2273</v>
      </c>
      <c r="E346" s="5" t="s">
        <v>67</v>
      </c>
      <c r="G346" s="5" t="s">
        <v>1917</v>
      </c>
    </row>
    <row r="347" spans="4:7" hidden="1">
      <c r="D347" s="5" t="s">
        <v>2274</v>
      </c>
      <c r="E347" s="5" t="s">
        <v>1945</v>
      </c>
      <c r="G347" s="5" t="s">
        <v>1917</v>
      </c>
    </row>
    <row r="348" spans="4:7" hidden="1">
      <c r="D348" s="5" t="s">
        <v>2275</v>
      </c>
      <c r="E348" s="5" t="s">
        <v>752</v>
      </c>
      <c r="G348" s="5" t="s">
        <v>1917</v>
      </c>
    </row>
    <row r="349" spans="4:7" hidden="1">
      <c r="D349" s="5" t="s">
        <v>2276</v>
      </c>
      <c r="E349" s="5" t="s">
        <v>752</v>
      </c>
      <c r="G349" s="5" t="s">
        <v>1917</v>
      </c>
    </row>
    <row r="350" spans="4:7" hidden="1">
      <c r="D350" s="5" t="s">
        <v>2277</v>
      </c>
      <c r="E350" s="5" t="s">
        <v>430</v>
      </c>
      <c r="G350" s="5" t="s">
        <v>1917</v>
      </c>
    </row>
    <row r="351" spans="4:7" hidden="1">
      <c r="D351" s="5" t="s">
        <v>2278</v>
      </c>
      <c r="E351" s="5" t="s">
        <v>1945</v>
      </c>
      <c r="G351" s="5" t="s">
        <v>1917</v>
      </c>
    </row>
    <row r="352" spans="4:7" hidden="1">
      <c r="D352" s="5" t="s">
        <v>2279</v>
      </c>
      <c r="E352" s="5" t="s">
        <v>1945</v>
      </c>
      <c r="G352" s="5" t="s">
        <v>1917</v>
      </c>
    </row>
    <row r="353" spans="4:7" hidden="1">
      <c r="D353" s="5" t="s">
        <v>2280</v>
      </c>
      <c r="E353" s="5" t="s">
        <v>2056</v>
      </c>
      <c r="G353" s="5" t="s">
        <v>1917</v>
      </c>
    </row>
    <row r="354" spans="4:7" hidden="1">
      <c r="D354" s="5" t="s">
        <v>2281</v>
      </c>
      <c r="E354" s="5" t="s">
        <v>2056</v>
      </c>
      <c r="G354" s="5" t="s">
        <v>1917</v>
      </c>
    </row>
    <row r="355" spans="4:7" hidden="1">
      <c r="D355" s="5" t="s">
        <v>969</v>
      </c>
      <c r="E355" s="5" t="s">
        <v>2056</v>
      </c>
      <c r="G355" s="5" t="s">
        <v>1917</v>
      </c>
    </row>
    <row r="356" spans="4:7" hidden="1">
      <c r="D356" s="5" t="s">
        <v>2282</v>
      </c>
      <c r="E356" s="5" t="s">
        <v>2056</v>
      </c>
      <c r="G356" s="5" t="s">
        <v>1926</v>
      </c>
    </row>
    <row r="357" spans="4:7" hidden="1">
      <c r="D357" s="5" t="s">
        <v>2283</v>
      </c>
      <c r="E357" s="5" t="s">
        <v>2056</v>
      </c>
      <c r="G357" s="5" t="s">
        <v>1917</v>
      </c>
    </row>
    <row r="358" spans="4:7" hidden="1">
      <c r="D358" s="5" t="s">
        <v>2284</v>
      </c>
      <c r="E358" s="5" t="s">
        <v>2056</v>
      </c>
      <c r="G358" s="5" t="s">
        <v>1917</v>
      </c>
    </row>
    <row r="359" spans="4:7" hidden="1">
      <c r="D359" s="5" t="s">
        <v>806</v>
      </c>
      <c r="E359" s="5" t="s">
        <v>2056</v>
      </c>
      <c r="G359" s="5" t="s">
        <v>1917</v>
      </c>
    </row>
    <row r="360" spans="4:7" hidden="1">
      <c r="D360" s="5" t="s">
        <v>2285</v>
      </c>
      <c r="E360" s="5" t="s">
        <v>2056</v>
      </c>
      <c r="G360" s="5" t="s">
        <v>1926</v>
      </c>
    </row>
    <row r="361" spans="4:7" hidden="1">
      <c r="D361" s="5" t="s">
        <v>2286</v>
      </c>
      <c r="E361" s="5" t="s">
        <v>720</v>
      </c>
      <c r="G361" s="5" t="s">
        <v>1917</v>
      </c>
    </row>
    <row r="362" spans="4:7" hidden="1">
      <c r="D362" s="5" t="s">
        <v>2287</v>
      </c>
      <c r="E362" s="5" t="s">
        <v>720</v>
      </c>
      <c r="G362" s="5" t="s">
        <v>1917</v>
      </c>
    </row>
    <row r="363" spans="4:7" hidden="1">
      <c r="D363" s="5" t="s">
        <v>2288</v>
      </c>
      <c r="E363" s="5" t="s">
        <v>720</v>
      </c>
      <c r="G363" s="5" t="s">
        <v>1917</v>
      </c>
    </row>
    <row r="364" spans="4:7" hidden="1">
      <c r="D364" s="5" t="s">
        <v>2289</v>
      </c>
      <c r="E364" s="5" t="s">
        <v>720</v>
      </c>
      <c r="G364" s="5" t="s">
        <v>1917</v>
      </c>
    </row>
    <row r="365" spans="4:7" hidden="1">
      <c r="D365" s="5" t="s">
        <v>2290</v>
      </c>
      <c r="E365" s="5" t="s">
        <v>720</v>
      </c>
      <c r="G365" s="5" t="s">
        <v>1917</v>
      </c>
    </row>
    <row r="366" spans="4:7" hidden="1">
      <c r="D366" s="5" t="s">
        <v>2291</v>
      </c>
      <c r="E366" s="5" t="s">
        <v>720</v>
      </c>
      <c r="G366" s="5" t="s">
        <v>1917</v>
      </c>
    </row>
    <row r="367" spans="4:7" hidden="1">
      <c r="D367" s="5" t="s">
        <v>2292</v>
      </c>
      <c r="E367" s="5" t="s">
        <v>720</v>
      </c>
      <c r="G367" s="5" t="s">
        <v>1917</v>
      </c>
    </row>
    <row r="368" spans="4:7" hidden="1">
      <c r="D368" s="5" t="s">
        <v>2293</v>
      </c>
      <c r="E368" s="5" t="s">
        <v>720</v>
      </c>
      <c r="G368" s="5" t="s">
        <v>1917</v>
      </c>
    </row>
    <row r="369" spans="4:7" hidden="1">
      <c r="D369" s="5" t="s">
        <v>2294</v>
      </c>
      <c r="E369" s="5" t="s">
        <v>720</v>
      </c>
      <c r="G369" s="5" t="s">
        <v>1917</v>
      </c>
    </row>
    <row r="370" spans="4:7" hidden="1">
      <c r="D370" s="5" t="s">
        <v>2295</v>
      </c>
      <c r="E370" s="5" t="s">
        <v>720</v>
      </c>
      <c r="G370" s="5" t="s">
        <v>1917</v>
      </c>
    </row>
    <row r="371" spans="4:7" hidden="1">
      <c r="D371" s="5" t="s">
        <v>2296</v>
      </c>
      <c r="E371" s="5" t="s">
        <v>720</v>
      </c>
      <c r="G371" s="5" t="s">
        <v>1917</v>
      </c>
    </row>
    <row r="372" spans="4:7" hidden="1">
      <c r="D372" s="5" t="s">
        <v>2297</v>
      </c>
      <c r="E372" s="5" t="s">
        <v>720</v>
      </c>
      <c r="G372" s="5" t="s">
        <v>1917</v>
      </c>
    </row>
    <row r="373" spans="4:7" hidden="1">
      <c r="D373" s="5" t="s">
        <v>2298</v>
      </c>
      <c r="E373" s="5" t="s">
        <v>720</v>
      </c>
      <c r="G373" s="5" t="s">
        <v>1917</v>
      </c>
    </row>
    <row r="374" spans="4:7" hidden="1">
      <c r="D374" s="5" t="s">
        <v>2299</v>
      </c>
      <c r="E374" s="5" t="s">
        <v>791</v>
      </c>
      <c r="G374" s="5" t="s">
        <v>1917</v>
      </c>
    </row>
    <row r="375" spans="4:7" hidden="1">
      <c r="D375" s="5" t="s">
        <v>2300</v>
      </c>
      <c r="E375" s="5" t="s">
        <v>430</v>
      </c>
      <c r="G375" s="5" t="s">
        <v>1917</v>
      </c>
    </row>
    <row r="376" spans="4:7" hidden="1">
      <c r="D376" s="5" t="s">
        <v>2301</v>
      </c>
      <c r="E376" s="5" t="s">
        <v>427</v>
      </c>
      <c r="G376" s="5" t="s">
        <v>1917</v>
      </c>
    </row>
    <row r="377" spans="4:7" hidden="1">
      <c r="D377" s="5" t="s">
        <v>2302</v>
      </c>
      <c r="E377" s="5" t="s">
        <v>791</v>
      </c>
      <c r="G377" s="5" t="s">
        <v>1917</v>
      </c>
    </row>
    <row r="378" spans="4:7" hidden="1">
      <c r="D378" s="5" t="s">
        <v>2303</v>
      </c>
      <c r="E378" s="5" t="s">
        <v>812</v>
      </c>
      <c r="G378" s="5" t="s">
        <v>1917</v>
      </c>
    </row>
    <row r="379" spans="4:7" hidden="1">
      <c r="D379" s="5" t="s">
        <v>2304</v>
      </c>
      <c r="E379" s="5" t="s">
        <v>791</v>
      </c>
      <c r="G379" s="5" t="s">
        <v>1917</v>
      </c>
    </row>
    <row r="380" spans="4:7" hidden="1">
      <c r="D380" s="5" t="s">
        <v>2305</v>
      </c>
      <c r="E380" s="5" t="s">
        <v>812</v>
      </c>
      <c r="G380" s="5" t="s">
        <v>1917</v>
      </c>
    </row>
    <row r="381" spans="4:7" hidden="1">
      <c r="D381" s="5" t="s">
        <v>2306</v>
      </c>
      <c r="E381" s="5" t="s">
        <v>791</v>
      </c>
      <c r="G381" s="5" t="s">
        <v>1917</v>
      </c>
    </row>
    <row r="382" spans="4:7" hidden="1">
      <c r="D382" s="5" t="s">
        <v>2307</v>
      </c>
      <c r="E382" s="5" t="s">
        <v>1953</v>
      </c>
      <c r="G382" s="5" t="s">
        <v>1917</v>
      </c>
    </row>
    <row r="383" spans="4:7" hidden="1">
      <c r="D383" s="5" t="s">
        <v>2308</v>
      </c>
      <c r="E383" s="5" t="s">
        <v>791</v>
      </c>
      <c r="G383" s="5" t="s">
        <v>1917</v>
      </c>
    </row>
    <row r="384" spans="4:7" hidden="1">
      <c r="D384" s="5" t="s">
        <v>2309</v>
      </c>
      <c r="E384" s="5" t="s">
        <v>1953</v>
      </c>
      <c r="G384" s="5" t="s">
        <v>1917</v>
      </c>
    </row>
    <row r="385" spans="4:7" hidden="1">
      <c r="D385" s="5" t="s">
        <v>2310</v>
      </c>
      <c r="E385" s="5" t="s">
        <v>2056</v>
      </c>
      <c r="G385" s="5" t="s">
        <v>1917</v>
      </c>
    </row>
    <row r="386" spans="4:7" hidden="1">
      <c r="D386" s="5" t="s">
        <v>2311</v>
      </c>
      <c r="E386" s="5" t="s">
        <v>2056</v>
      </c>
      <c r="G386" s="5" t="s">
        <v>1917</v>
      </c>
    </row>
    <row r="387" spans="4:7" hidden="1">
      <c r="D387" s="5" t="s">
        <v>2312</v>
      </c>
      <c r="E387" s="5" t="s">
        <v>2056</v>
      </c>
      <c r="G387" s="5" t="s">
        <v>1926</v>
      </c>
    </row>
    <row r="388" spans="4:7" hidden="1">
      <c r="D388" s="5" t="s">
        <v>2313</v>
      </c>
      <c r="E388" s="5" t="s">
        <v>2056</v>
      </c>
      <c r="G388" s="5" t="s">
        <v>1917</v>
      </c>
    </row>
    <row r="389" spans="4:7" hidden="1">
      <c r="D389" s="5" t="s">
        <v>2314</v>
      </c>
      <c r="E389" s="5" t="s">
        <v>2056</v>
      </c>
      <c r="G389" s="5" t="s">
        <v>1926</v>
      </c>
    </row>
    <row r="390" spans="4:7" hidden="1">
      <c r="D390" s="5" t="s">
        <v>2315</v>
      </c>
      <c r="E390" s="5" t="s">
        <v>1894</v>
      </c>
      <c r="G390" s="5" t="s">
        <v>1926</v>
      </c>
    </row>
    <row r="391" spans="4:7" hidden="1">
      <c r="D391" s="5" t="s">
        <v>2316</v>
      </c>
      <c r="E391" s="5" t="s">
        <v>2056</v>
      </c>
      <c r="G391" s="5" t="s">
        <v>1926</v>
      </c>
    </row>
    <row r="392" spans="4:7" hidden="1">
      <c r="D392" s="5" t="s">
        <v>2317</v>
      </c>
      <c r="E392" s="5" t="s">
        <v>2056</v>
      </c>
      <c r="G392" s="5" t="s">
        <v>1917</v>
      </c>
    </row>
    <row r="393" spans="4:7" hidden="1">
      <c r="D393" s="5" t="s">
        <v>2318</v>
      </c>
      <c r="E393" s="5" t="s">
        <v>812</v>
      </c>
      <c r="G393" s="5" t="s">
        <v>1917</v>
      </c>
    </row>
    <row r="394" spans="4:7" hidden="1">
      <c r="D394" s="5" t="s">
        <v>2319</v>
      </c>
      <c r="E394" s="5" t="s">
        <v>2056</v>
      </c>
      <c r="G394" s="5" t="s">
        <v>1917</v>
      </c>
    </row>
    <row r="395" spans="4:7" hidden="1">
      <c r="D395" s="5" t="s">
        <v>2320</v>
      </c>
      <c r="E395" s="5" t="s">
        <v>2056</v>
      </c>
      <c r="G395" s="5" t="s">
        <v>1917</v>
      </c>
    </row>
    <row r="396" spans="4:7" hidden="1">
      <c r="D396" s="5" t="s">
        <v>1238</v>
      </c>
      <c r="E396" s="5" t="s">
        <v>168</v>
      </c>
      <c r="F396" s="5" t="s">
        <v>2321</v>
      </c>
      <c r="G396" s="5" t="s">
        <v>1926</v>
      </c>
    </row>
    <row r="397" spans="4:7" hidden="1">
      <c r="D397" s="5" t="s">
        <v>2322</v>
      </c>
      <c r="E397" s="5" t="s">
        <v>168</v>
      </c>
      <c r="G397" s="5" t="s">
        <v>1917</v>
      </c>
    </row>
    <row r="398" spans="4:7" hidden="1">
      <c r="D398" s="5" t="s">
        <v>2323</v>
      </c>
      <c r="E398" s="5" t="s">
        <v>168</v>
      </c>
      <c r="G398" s="5" t="s">
        <v>1917</v>
      </c>
    </row>
    <row r="399" spans="4:7" hidden="1">
      <c r="D399" s="5" t="s">
        <v>2324</v>
      </c>
      <c r="E399" s="5" t="s">
        <v>309</v>
      </c>
      <c r="G399" s="5" t="s">
        <v>1917</v>
      </c>
    </row>
    <row r="400" spans="4:7" hidden="1">
      <c r="D400" s="5" t="s">
        <v>2325</v>
      </c>
      <c r="E400" s="5" t="s">
        <v>1953</v>
      </c>
      <c r="G400" s="5" t="s">
        <v>1917</v>
      </c>
    </row>
    <row r="401" spans="4:7" hidden="1">
      <c r="D401" s="5" t="s">
        <v>2326</v>
      </c>
      <c r="E401" s="5" t="s">
        <v>791</v>
      </c>
      <c r="G401" s="5" t="s">
        <v>1917</v>
      </c>
    </row>
    <row r="402" spans="4:7" hidden="1">
      <c r="D402" s="5" t="s">
        <v>2327</v>
      </c>
      <c r="E402" s="5" t="s">
        <v>1953</v>
      </c>
      <c r="G402" s="5" t="s">
        <v>1917</v>
      </c>
    </row>
    <row r="403" spans="4:7" hidden="1">
      <c r="D403" s="5" t="s">
        <v>2328</v>
      </c>
      <c r="E403" s="5" t="s">
        <v>1916</v>
      </c>
      <c r="G403" s="5" t="s">
        <v>1917</v>
      </c>
    </row>
    <row r="404" spans="4:7" hidden="1">
      <c r="D404" s="5" t="s">
        <v>2329</v>
      </c>
      <c r="E404" s="5" t="s">
        <v>1953</v>
      </c>
      <c r="G404" s="5" t="s">
        <v>1917</v>
      </c>
    </row>
    <row r="405" spans="4:7" hidden="1">
      <c r="D405" s="5" t="s">
        <v>2330</v>
      </c>
      <c r="E405" s="5" t="s">
        <v>451</v>
      </c>
      <c r="G405" s="5" t="s">
        <v>1917</v>
      </c>
    </row>
    <row r="406" spans="4:7" hidden="1">
      <c r="D406" s="5" t="s">
        <v>2331</v>
      </c>
      <c r="E406" s="5" t="s">
        <v>791</v>
      </c>
      <c r="G406" s="5" t="s">
        <v>1917</v>
      </c>
    </row>
    <row r="407" spans="4:7" hidden="1">
      <c r="D407" s="5" t="s">
        <v>2332</v>
      </c>
      <c r="E407" s="5" t="s">
        <v>791</v>
      </c>
      <c r="G407" s="5" t="s">
        <v>1917</v>
      </c>
    </row>
    <row r="408" spans="4:7" hidden="1">
      <c r="D408" s="5" t="s">
        <v>2333</v>
      </c>
      <c r="E408" s="5" t="s">
        <v>451</v>
      </c>
      <c r="G408" s="5" t="s">
        <v>1917</v>
      </c>
    </row>
    <row r="409" spans="4:7" hidden="1">
      <c r="D409" s="5" t="s">
        <v>2334</v>
      </c>
      <c r="E409" s="5" t="s">
        <v>451</v>
      </c>
      <c r="G409" s="5" t="s">
        <v>1917</v>
      </c>
    </row>
    <row r="410" spans="4:7" hidden="1">
      <c r="D410" s="5" t="s">
        <v>2335</v>
      </c>
      <c r="E410" s="5" t="s">
        <v>2150</v>
      </c>
      <c r="G410" s="5" t="s">
        <v>406</v>
      </c>
    </row>
    <row r="411" spans="4:7" hidden="1">
      <c r="D411" s="5" t="s">
        <v>2336</v>
      </c>
      <c r="E411" s="5" t="s">
        <v>2254</v>
      </c>
      <c r="G411" s="5" t="s">
        <v>1917</v>
      </c>
    </row>
    <row r="412" spans="4:7" hidden="1">
      <c r="D412" s="5" t="s">
        <v>2337</v>
      </c>
      <c r="E412" s="5" t="s">
        <v>451</v>
      </c>
      <c r="G412" s="5" t="s">
        <v>1917</v>
      </c>
    </row>
    <row r="413" spans="4:7" hidden="1">
      <c r="D413" s="5" t="s">
        <v>2338</v>
      </c>
      <c r="E413" s="5" t="s">
        <v>451</v>
      </c>
      <c r="G413" s="5" t="s">
        <v>1917</v>
      </c>
    </row>
    <row r="414" spans="4:7" hidden="1">
      <c r="D414" s="5" t="s">
        <v>2339</v>
      </c>
      <c r="E414" s="5" t="s">
        <v>52</v>
      </c>
      <c r="G414" s="5" t="s">
        <v>1917</v>
      </c>
    </row>
    <row r="415" spans="4:7" hidden="1">
      <c r="D415" s="5" t="s">
        <v>2340</v>
      </c>
      <c r="E415" s="5" t="s">
        <v>451</v>
      </c>
      <c r="G415" s="5" t="s">
        <v>1917</v>
      </c>
    </row>
    <row r="416" spans="4:7" hidden="1">
      <c r="D416" s="5" t="s">
        <v>2341</v>
      </c>
      <c r="E416" s="5" t="s">
        <v>1894</v>
      </c>
      <c r="G416" s="5" t="s">
        <v>1917</v>
      </c>
    </row>
    <row r="417" spans="4:7" hidden="1">
      <c r="D417" s="5" t="s">
        <v>2342</v>
      </c>
      <c r="E417" s="5" t="s">
        <v>451</v>
      </c>
      <c r="G417" s="5" t="s">
        <v>1917</v>
      </c>
    </row>
    <row r="418" spans="4:7" hidden="1">
      <c r="D418" s="5" t="s">
        <v>2343</v>
      </c>
      <c r="E418" s="5" t="s">
        <v>2056</v>
      </c>
      <c r="G418" s="5" t="s">
        <v>1917</v>
      </c>
    </row>
    <row r="419" spans="4:7" hidden="1">
      <c r="D419" s="5" t="s">
        <v>2344</v>
      </c>
      <c r="E419" s="5" t="s">
        <v>185</v>
      </c>
      <c r="G419" s="5" t="s">
        <v>1917</v>
      </c>
    </row>
    <row r="420" spans="4:7" hidden="1">
      <c r="D420" s="5" t="s">
        <v>2345</v>
      </c>
      <c r="E420" s="5" t="s">
        <v>812</v>
      </c>
      <c r="G420" s="5" t="s">
        <v>1917</v>
      </c>
    </row>
    <row r="421" spans="4:7" hidden="1">
      <c r="D421" s="5" t="s">
        <v>2346</v>
      </c>
      <c r="E421" s="5" t="s">
        <v>812</v>
      </c>
      <c r="G421" s="5" t="s">
        <v>1917</v>
      </c>
    </row>
    <row r="422" spans="4:7" hidden="1">
      <c r="D422" s="5" t="s">
        <v>2347</v>
      </c>
      <c r="E422" s="5" t="s">
        <v>2348</v>
      </c>
      <c r="G422" s="5" t="s">
        <v>1914</v>
      </c>
    </row>
    <row r="423" spans="4:7" hidden="1">
      <c r="D423" s="5" t="s">
        <v>2349</v>
      </c>
      <c r="E423" s="5" t="s">
        <v>472</v>
      </c>
      <c r="G423" s="5" t="s">
        <v>1917</v>
      </c>
    </row>
    <row r="424" spans="4:7" hidden="1">
      <c r="D424" s="5" t="s">
        <v>2350</v>
      </c>
      <c r="E424" s="5" t="s">
        <v>451</v>
      </c>
      <c r="G424" s="5" t="s">
        <v>1917</v>
      </c>
    </row>
    <row r="425" spans="4:7" hidden="1">
      <c r="D425" s="5" t="s">
        <v>2351</v>
      </c>
      <c r="E425" s="5" t="s">
        <v>2150</v>
      </c>
      <c r="G425" s="5" t="s">
        <v>406</v>
      </c>
    </row>
    <row r="426" spans="4:7" hidden="1">
      <c r="D426" s="5" t="s">
        <v>2352</v>
      </c>
      <c r="E426" s="5" t="s">
        <v>812</v>
      </c>
      <c r="G426" s="5" t="s">
        <v>1917</v>
      </c>
    </row>
    <row r="427" spans="4:7" hidden="1">
      <c r="D427" s="5" t="s">
        <v>2353</v>
      </c>
      <c r="E427" s="5" t="s">
        <v>812</v>
      </c>
      <c r="G427" s="5" t="s">
        <v>1917</v>
      </c>
    </row>
    <row r="428" spans="4:7" hidden="1">
      <c r="D428" s="5" t="s">
        <v>2354</v>
      </c>
      <c r="E428" s="5" t="s">
        <v>812</v>
      </c>
      <c r="G428" s="5" t="s">
        <v>1917</v>
      </c>
    </row>
    <row r="429" spans="4:7" hidden="1">
      <c r="D429" s="5" t="s">
        <v>2355</v>
      </c>
      <c r="E429" s="5" t="s">
        <v>812</v>
      </c>
      <c r="G429" s="5" t="s">
        <v>1917</v>
      </c>
    </row>
    <row r="430" spans="4:7" hidden="1">
      <c r="D430" s="5" t="s">
        <v>2356</v>
      </c>
      <c r="E430" s="5" t="s">
        <v>812</v>
      </c>
      <c r="G430" s="5" t="s">
        <v>1917</v>
      </c>
    </row>
    <row r="431" spans="4:7" hidden="1">
      <c r="D431" s="5" t="s">
        <v>2357</v>
      </c>
      <c r="E431" s="5" t="s">
        <v>812</v>
      </c>
      <c r="G431" s="5" t="s">
        <v>1917</v>
      </c>
    </row>
    <row r="432" spans="4:7" hidden="1">
      <c r="D432" s="5" t="s">
        <v>2358</v>
      </c>
      <c r="E432" s="5" t="s">
        <v>812</v>
      </c>
      <c r="G432" s="5" t="s">
        <v>1917</v>
      </c>
    </row>
    <row r="433" spans="4:7" hidden="1">
      <c r="D433" s="5" t="s">
        <v>2359</v>
      </c>
      <c r="E433" s="5" t="s">
        <v>812</v>
      </c>
      <c r="G433" s="5" t="s">
        <v>1917</v>
      </c>
    </row>
    <row r="434" spans="4:7" hidden="1">
      <c r="D434" s="5" t="s">
        <v>2360</v>
      </c>
      <c r="E434" s="5" t="s">
        <v>812</v>
      </c>
      <c r="G434" s="5" t="s">
        <v>1917</v>
      </c>
    </row>
    <row r="435" spans="4:7" hidden="1">
      <c r="D435" s="5" t="s">
        <v>2361</v>
      </c>
      <c r="E435" s="5" t="s">
        <v>812</v>
      </c>
      <c r="G435" s="5" t="s">
        <v>1917</v>
      </c>
    </row>
    <row r="436" spans="4:7" hidden="1">
      <c r="D436" s="5" t="s">
        <v>2362</v>
      </c>
      <c r="E436" s="5" t="s">
        <v>2363</v>
      </c>
      <c r="G436" s="5" t="s">
        <v>2364</v>
      </c>
    </row>
    <row r="437" spans="4:7" hidden="1">
      <c r="D437" s="5" t="s">
        <v>2365</v>
      </c>
      <c r="E437" s="5" t="s">
        <v>2056</v>
      </c>
      <c r="G437" s="5" t="s">
        <v>1917</v>
      </c>
    </row>
    <row r="438" spans="4:7" hidden="1">
      <c r="D438" s="5" t="s">
        <v>2366</v>
      </c>
      <c r="E438" s="5" t="s">
        <v>2056</v>
      </c>
      <c r="G438" s="5" t="s">
        <v>1917</v>
      </c>
    </row>
    <row r="439" spans="4:7" hidden="1">
      <c r="D439" s="5" t="s">
        <v>2367</v>
      </c>
      <c r="E439" s="5" t="s">
        <v>2056</v>
      </c>
      <c r="G439" s="5" t="s">
        <v>1917</v>
      </c>
    </row>
    <row r="440" spans="4:7" hidden="1">
      <c r="D440" s="5" t="s">
        <v>2368</v>
      </c>
      <c r="E440" s="5" t="s">
        <v>2056</v>
      </c>
      <c r="G440" s="5" t="s">
        <v>1917</v>
      </c>
    </row>
    <row r="441" spans="4:7" hidden="1">
      <c r="D441" s="5" t="s">
        <v>2369</v>
      </c>
      <c r="E441" s="5" t="s">
        <v>2056</v>
      </c>
      <c r="G441" s="5" t="s">
        <v>1917</v>
      </c>
    </row>
    <row r="442" spans="4:7" hidden="1">
      <c r="D442" s="5" t="s">
        <v>2370</v>
      </c>
      <c r="E442" s="5" t="s">
        <v>2056</v>
      </c>
      <c r="G442" s="5" t="s">
        <v>1917</v>
      </c>
    </row>
    <row r="443" spans="4:7" hidden="1">
      <c r="D443" s="5" t="s">
        <v>2371</v>
      </c>
      <c r="E443" s="5" t="s">
        <v>309</v>
      </c>
      <c r="G443" s="5" t="s">
        <v>1917</v>
      </c>
    </row>
    <row r="444" spans="4:7" hidden="1">
      <c r="D444" s="5" t="s">
        <v>2372</v>
      </c>
      <c r="E444" s="5" t="s">
        <v>451</v>
      </c>
      <c r="G444" s="5" t="s">
        <v>1917</v>
      </c>
    </row>
    <row r="445" spans="4:7" hidden="1">
      <c r="D445" s="5" t="s">
        <v>1872</v>
      </c>
      <c r="E445" s="5" t="s">
        <v>2056</v>
      </c>
      <c r="G445" s="5" t="s">
        <v>1917</v>
      </c>
    </row>
    <row r="446" spans="4:7" hidden="1">
      <c r="D446" s="5" t="s">
        <v>2373</v>
      </c>
      <c r="E446" s="5" t="s">
        <v>2056</v>
      </c>
      <c r="G446" s="5" t="s">
        <v>1917</v>
      </c>
    </row>
    <row r="447" spans="4:7" hidden="1">
      <c r="D447" s="5" t="s">
        <v>2374</v>
      </c>
      <c r="E447" s="5" t="s">
        <v>451</v>
      </c>
      <c r="G447" s="5" t="s">
        <v>1917</v>
      </c>
    </row>
    <row r="448" spans="4:7" hidden="1">
      <c r="D448" s="5" t="s">
        <v>2375</v>
      </c>
      <c r="E448" s="5" t="s">
        <v>451</v>
      </c>
      <c r="G448" s="5" t="s">
        <v>1917</v>
      </c>
    </row>
    <row r="449" spans="4:7" hidden="1">
      <c r="D449" s="5" t="s">
        <v>2376</v>
      </c>
      <c r="E449" s="5" t="s">
        <v>451</v>
      </c>
      <c r="G449" s="5" t="s">
        <v>1917</v>
      </c>
    </row>
    <row r="450" spans="4:7" hidden="1">
      <c r="D450" s="5" t="s">
        <v>2377</v>
      </c>
      <c r="E450" s="5" t="s">
        <v>451</v>
      </c>
      <c r="G450" s="5" t="s">
        <v>1917</v>
      </c>
    </row>
    <row r="451" spans="4:7" hidden="1">
      <c r="D451" s="5" t="s">
        <v>2378</v>
      </c>
      <c r="E451" s="5" t="s">
        <v>451</v>
      </c>
      <c r="G451" s="5" t="s">
        <v>1917</v>
      </c>
    </row>
    <row r="452" spans="4:7" hidden="1">
      <c r="D452" s="5" t="s">
        <v>2379</v>
      </c>
      <c r="E452" s="5" t="s">
        <v>451</v>
      </c>
      <c r="G452" s="5" t="s">
        <v>1917</v>
      </c>
    </row>
    <row r="453" spans="4:7" hidden="1">
      <c r="D453" s="5" t="s">
        <v>2380</v>
      </c>
      <c r="E453" s="5" t="s">
        <v>451</v>
      </c>
      <c r="G453" s="5" t="s">
        <v>1917</v>
      </c>
    </row>
    <row r="454" spans="4:7" hidden="1">
      <c r="D454" s="5" t="s">
        <v>2381</v>
      </c>
      <c r="E454" s="5" t="s">
        <v>427</v>
      </c>
      <c r="G454" s="5" t="s">
        <v>1917</v>
      </c>
    </row>
    <row r="455" spans="4:7" hidden="1">
      <c r="D455" s="5" t="s">
        <v>2382</v>
      </c>
      <c r="E455" s="5" t="s">
        <v>427</v>
      </c>
      <c r="G455" s="5" t="s">
        <v>1917</v>
      </c>
    </row>
    <row r="456" spans="4:7" hidden="1">
      <c r="D456" s="5" t="s">
        <v>2383</v>
      </c>
      <c r="E456" s="5" t="s">
        <v>427</v>
      </c>
      <c r="G456" s="5" t="s">
        <v>1917</v>
      </c>
    </row>
    <row r="457" spans="4:7" hidden="1">
      <c r="D457" s="5" t="s">
        <v>2384</v>
      </c>
      <c r="E457" s="5" t="s">
        <v>2150</v>
      </c>
      <c r="G457" s="5" t="s">
        <v>406</v>
      </c>
    </row>
    <row r="458" spans="4:7" hidden="1">
      <c r="D458" s="5" t="s">
        <v>2385</v>
      </c>
      <c r="E458" s="5" t="s">
        <v>1978</v>
      </c>
      <c r="G458" s="5" t="s">
        <v>1917</v>
      </c>
    </row>
    <row r="459" spans="4:7" hidden="1">
      <c r="D459" s="5" t="s">
        <v>2386</v>
      </c>
      <c r="E459" s="5" t="s">
        <v>451</v>
      </c>
      <c r="G459" s="5" t="s">
        <v>1917</v>
      </c>
    </row>
    <row r="460" spans="4:7" hidden="1">
      <c r="D460" s="5" t="s">
        <v>2387</v>
      </c>
      <c r="E460" s="5" t="s">
        <v>451</v>
      </c>
      <c r="G460" s="5" t="s">
        <v>1917</v>
      </c>
    </row>
    <row r="461" spans="4:7" hidden="1">
      <c r="D461" s="5" t="s">
        <v>2388</v>
      </c>
      <c r="E461" s="5" t="s">
        <v>309</v>
      </c>
      <c r="G461" s="5" t="s">
        <v>1917</v>
      </c>
    </row>
    <row r="462" spans="4:7" hidden="1">
      <c r="D462" s="5" t="s">
        <v>2389</v>
      </c>
      <c r="E462" s="5" t="s">
        <v>427</v>
      </c>
      <c r="G462" s="5" t="s">
        <v>1917</v>
      </c>
    </row>
    <row r="463" spans="4:7" hidden="1">
      <c r="D463" s="5" t="s">
        <v>2390</v>
      </c>
      <c r="E463" s="5" t="s">
        <v>2091</v>
      </c>
      <c r="G463" s="5" t="s">
        <v>1917</v>
      </c>
    </row>
    <row r="464" spans="4:7" hidden="1">
      <c r="D464" s="5" t="s">
        <v>1222</v>
      </c>
      <c r="E464" s="5" t="s">
        <v>168</v>
      </c>
      <c r="G464" s="5" t="s">
        <v>1917</v>
      </c>
    </row>
    <row r="465" spans="4:7" hidden="1">
      <c r="D465" s="5" t="s">
        <v>2391</v>
      </c>
      <c r="E465" s="5" t="s">
        <v>2091</v>
      </c>
      <c r="G465" s="5" t="s">
        <v>1917</v>
      </c>
    </row>
    <row r="466" spans="4:7" hidden="1">
      <c r="D466" s="5" t="s">
        <v>2392</v>
      </c>
      <c r="E466" s="5" t="s">
        <v>430</v>
      </c>
      <c r="G466" s="5" t="s">
        <v>1917</v>
      </c>
    </row>
    <row r="467" spans="4:7" hidden="1">
      <c r="D467" s="5" t="s">
        <v>2393</v>
      </c>
      <c r="E467" s="5" t="s">
        <v>752</v>
      </c>
      <c r="G467" s="5" t="s">
        <v>1917</v>
      </c>
    </row>
    <row r="468" spans="4:7" hidden="1">
      <c r="D468" s="5" t="s">
        <v>2394</v>
      </c>
      <c r="E468" s="5" t="s">
        <v>1945</v>
      </c>
      <c r="G468" s="5" t="s">
        <v>1917</v>
      </c>
    </row>
    <row r="469" spans="4:7" hidden="1">
      <c r="D469" s="5" t="s">
        <v>2395</v>
      </c>
      <c r="E469" s="5" t="s">
        <v>67</v>
      </c>
      <c r="G469" s="5" t="s">
        <v>1917</v>
      </c>
    </row>
    <row r="470" spans="4:7" hidden="1">
      <c r="D470" s="5" t="s">
        <v>2396</v>
      </c>
      <c r="E470" s="5" t="s">
        <v>1945</v>
      </c>
      <c r="G470" s="5" t="s">
        <v>1917</v>
      </c>
    </row>
    <row r="471" spans="4:7" hidden="1">
      <c r="D471" s="5" t="s">
        <v>2397</v>
      </c>
      <c r="E471" s="5" t="s">
        <v>1945</v>
      </c>
      <c r="G471" s="5" t="s">
        <v>1917</v>
      </c>
    </row>
    <row r="472" spans="4:7" hidden="1">
      <c r="D472" s="5" t="s">
        <v>2398</v>
      </c>
      <c r="E472" s="5" t="s">
        <v>52</v>
      </c>
      <c r="G472" s="5" t="s">
        <v>1917</v>
      </c>
    </row>
    <row r="473" spans="4:7" hidden="1">
      <c r="D473" s="5" t="s">
        <v>2399</v>
      </c>
      <c r="E473" s="5" t="s">
        <v>427</v>
      </c>
      <c r="G473" s="5" t="s">
        <v>1917</v>
      </c>
    </row>
    <row r="474" spans="4:7" hidden="1">
      <c r="D474" s="5" t="s">
        <v>2400</v>
      </c>
      <c r="E474" s="5" t="s">
        <v>451</v>
      </c>
      <c r="G474" s="5" t="s">
        <v>1917</v>
      </c>
    </row>
    <row r="475" spans="4:7" hidden="1">
      <c r="D475" s="5" t="s">
        <v>2401</v>
      </c>
      <c r="E475" s="5" t="s">
        <v>451</v>
      </c>
      <c r="G475" s="5" t="s">
        <v>1917</v>
      </c>
    </row>
    <row r="476" spans="4:7" hidden="1">
      <c r="D476" s="5" t="s">
        <v>2402</v>
      </c>
      <c r="E476" s="5" t="s">
        <v>427</v>
      </c>
      <c r="G476" s="5" t="s">
        <v>1917</v>
      </c>
    </row>
    <row r="477" spans="4:7" hidden="1">
      <c r="D477" s="5" t="s">
        <v>2403</v>
      </c>
      <c r="E477" s="5" t="s">
        <v>430</v>
      </c>
      <c r="G477" s="5" t="s">
        <v>1917</v>
      </c>
    </row>
    <row r="478" spans="4:7" hidden="1">
      <c r="D478" s="5" t="s">
        <v>2404</v>
      </c>
      <c r="E478" s="5" t="s">
        <v>427</v>
      </c>
      <c r="G478" s="5" t="s">
        <v>1917</v>
      </c>
    </row>
    <row r="479" spans="4:7" hidden="1">
      <c r="D479" s="5" t="s">
        <v>2405</v>
      </c>
      <c r="E479" s="5" t="s">
        <v>791</v>
      </c>
      <c r="G479" s="5" t="s">
        <v>1917</v>
      </c>
    </row>
    <row r="480" spans="4:7" hidden="1">
      <c r="D480" s="5" t="s">
        <v>2406</v>
      </c>
      <c r="E480" s="5" t="s">
        <v>430</v>
      </c>
      <c r="G480" s="5" t="s">
        <v>1917</v>
      </c>
    </row>
    <row r="481" spans="4:7" hidden="1">
      <c r="D481" s="5" t="s">
        <v>2407</v>
      </c>
      <c r="E481" s="5" t="s">
        <v>2056</v>
      </c>
      <c r="G481" s="5" t="s">
        <v>1926</v>
      </c>
    </row>
    <row r="482" spans="4:7" hidden="1">
      <c r="D482" s="5" t="s">
        <v>2408</v>
      </c>
      <c r="E482" s="5" t="s">
        <v>427</v>
      </c>
      <c r="G482" s="5" t="s">
        <v>1917</v>
      </c>
    </row>
    <row r="483" spans="4:7" hidden="1">
      <c r="D483" s="5" t="s">
        <v>2409</v>
      </c>
      <c r="E483" s="5" t="s">
        <v>2056</v>
      </c>
      <c r="G483" s="5" t="s">
        <v>1917</v>
      </c>
    </row>
    <row r="484" spans="4:7" hidden="1">
      <c r="D484" s="5" t="s">
        <v>2410</v>
      </c>
      <c r="E484" s="5" t="s">
        <v>2056</v>
      </c>
      <c r="G484" s="5" t="s">
        <v>1917</v>
      </c>
    </row>
    <row r="485" spans="4:7" hidden="1">
      <c r="D485" s="5" t="s">
        <v>2411</v>
      </c>
      <c r="E485" s="5" t="s">
        <v>2056</v>
      </c>
      <c r="G485" s="5" t="s">
        <v>1917</v>
      </c>
    </row>
    <row r="486" spans="4:7" hidden="1">
      <c r="D486" s="5" t="s">
        <v>2412</v>
      </c>
      <c r="E486" s="5" t="s">
        <v>2056</v>
      </c>
      <c r="G486" s="5" t="s">
        <v>1917</v>
      </c>
    </row>
    <row r="487" spans="4:7" hidden="1">
      <c r="D487" s="5" t="s">
        <v>2413</v>
      </c>
      <c r="E487" s="5" t="s">
        <v>451</v>
      </c>
      <c r="G487" s="5" t="s">
        <v>1917</v>
      </c>
    </row>
    <row r="488" spans="4:7" hidden="1">
      <c r="D488" s="5" t="s">
        <v>2414</v>
      </c>
      <c r="E488" s="5" t="s">
        <v>451</v>
      </c>
      <c r="G488" s="5" t="s">
        <v>1917</v>
      </c>
    </row>
    <row r="489" spans="4:7" hidden="1">
      <c r="D489" s="5" t="s">
        <v>2415</v>
      </c>
      <c r="E489" s="5" t="s">
        <v>451</v>
      </c>
      <c r="G489" s="5" t="s">
        <v>1917</v>
      </c>
    </row>
    <row r="490" spans="4:7" hidden="1">
      <c r="D490" s="5" t="s">
        <v>2416</v>
      </c>
      <c r="E490" s="5" t="s">
        <v>451</v>
      </c>
      <c r="G490" s="5" t="s">
        <v>1917</v>
      </c>
    </row>
    <row r="491" spans="4:7" hidden="1">
      <c r="D491" s="5" t="s">
        <v>2417</v>
      </c>
      <c r="E491" s="5" t="s">
        <v>309</v>
      </c>
      <c r="G491" s="5" t="s">
        <v>1917</v>
      </c>
    </row>
    <row r="492" spans="4:7" hidden="1">
      <c r="D492" s="5" t="s">
        <v>2418</v>
      </c>
      <c r="E492" s="5" t="s">
        <v>427</v>
      </c>
      <c r="G492" s="5" t="s">
        <v>1917</v>
      </c>
    </row>
    <row r="493" spans="4:7" hidden="1">
      <c r="D493" s="5" t="s">
        <v>2419</v>
      </c>
      <c r="E493" s="5" t="s">
        <v>2005</v>
      </c>
      <c r="G493" s="5" t="s">
        <v>1917</v>
      </c>
    </row>
    <row r="494" spans="4:7" hidden="1">
      <c r="D494" s="5" t="s">
        <v>2420</v>
      </c>
      <c r="E494" s="5" t="s">
        <v>1953</v>
      </c>
      <c r="G494" s="5" t="s">
        <v>1917</v>
      </c>
    </row>
    <row r="495" spans="4:7" hidden="1">
      <c r="D495" s="5" t="s">
        <v>2421</v>
      </c>
      <c r="E495" s="5" t="s">
        <v>2422</v>
      </c>
      <c r="G495" s="5" t="s">
        <v>406</v>
      </c>
    </row>
    <row r="496" spans="4:7" hidden="1">
      <c r="D496" s="5" t="s">
        <v>2423</v>
      </c>
      <c r="E496" s="5" t="s">
        <v>2091</v>
      </c>
      <c r="G496" s="5" t="s">
        <v>1917</v>
      </c>
    </row>
    <row r="497" spans="4:7" hidden="1">
      <c r="D497" s="5" t="s">
        <v>2424</v>
      </c>
      <c r="E497" s="5" t="s">
        <v>2091</v>
      </c>
      <c r="G497" s="5" t="s">
        <v>1917</v>
      </c>
    </row>
    <row r="498" spans="4:7" hidden="1">
      <c r="D498" s="5" t="s">
        <v>2425</v>
      </c>
      <c r="E498" s="5" t="s">
        <v>2091</v>
      </c>
      <c r="G498" s="5" t="s">
        <v>1917</v>
      </c>
    </row>
    <row r="499" spans="4:7" hidden="1">
      <c r="D499" s="5" t="s">
        <v>2426</v>
      </c>
      <c r="E499" s="5" t="s">
        <v>2091</v>
      </c>
      <c r="G499" s="5" t="s">
        <v>1917</v>
      </c>
    </row>
    <row r="500" spans="4:7" hidden="1">
      <c r="D500" s="5" t="s">
        <v>2427</v>
      </c>
      <c r="E500" s="5" t="s">
        <v>168</v>
      </c>
      <c r="G500" s="5" t="s">
        <v>1917</v>
      </c>
    </row>
    <row r="501" spans="4:7" hidden="1">
      <c r="D501" s="5" t="s">
        <v>2428</v>
      </c>
      <c r="E501" s="5" t="s">
        <v>168</v>
      </c>
      <c r="G501" s="5" t="s">
        <v>1917</v>
      </c>
    </row>
    <row r="502" spans="4:7" hidden="1">
      <c r="D502" s="5" t="s">
        <v>2429</v>
      </c>
      <c r="E502" s="5" t="s">
        <v>168</v>
      </c>
      <c r="G502" s="5" t="s">
        <v>1917</v>
      </c>
    </row>
    <row r="503" spans="4:7" hidden="1">
      <c r="D503" s="5" t="s">
        <v>2430</v>
      </c>
      <c r="E503" s="5" t="s">
        <v>168</v>
      </c>
      <c r="G503" s="5" t="s">
        <v>1917</v>
      </c>
    </row>
    <row r="504" spans="4:7" hidden="1">
      <c r="D504" s="5" t="s">
        <v>2431</v>
      </c>
      <c r="E504" s="5" t="s">
        <v>168</v>
      </c>
      <c r="G504" s="5" t="s">
        <v>1917</v>
      </c>
    </row>
    <row r="505" spans="4:7" hidden="1">
      <c r="D505" s="5" t="s">
        <v>2432</v>
      </c>
      <c r="E505" s="5" t="s">
        <v>168</v>
      </c>
      <c r="G505" s="5" t="s">
        <v>1917</v>
      </c>
    </row>
    <row r="506" spans="4:7" hidden="1">
      <c r="D506" s="5" t="s">
        <v>2433</v>
      </c>
      <c r="E506" s="5" t="s">
        <v>168</v>
      </c>
      <c r="G506" s="5" t="s">
        <v>1917</v>
      </c>
    </row>
    <row r="507" spans="4:7" hidden="1">
      <c r="D507" s="5" t="s">
        <v>2434</v>
      </c>
      <c r="E507" s="5" t="s">
        <v>1890</v>
      </c>
      <c r="G507" s="5" t="s">
        <v>1917</v>
      </c>
    </row>
    <row r="508" spans="4:7" hidden="1">
      <c r="D508" s="5" t="s">
        <v>2435</v>
      </c>
      <c r="E508" s="5" t="s">
        <v>472</v>
      </c>
      <c r="G508" s="5" t="s">
        <v>1917</v>
      </c>
    </row>
    <row r="509" spans="4:7" hidden="1">
      <c r="D509" s="5" t="s">
        <v>2436</v>
      </c>
      <c r="E509" s="5" t="s">
        <v>427</v>
      </c>
      <c r="G509" s="5" t="s">
        <v>1917</v>
      </c>
    </row>
    <row r="510" spans="4:7" hidden="1">
      <c r="D510" s="5" t="s">
        <v>2437</v>
      </c>
      <c r="E510" s="5" t="s">
        <v>451</v>
      </c>
      <c r="G510" s="5" t="s">
        <v>1917</v>
      </c>
    </row>
    <row r="511" spans="4:7" hidden="1">
      <c r="D511" s="5" t="s">
        <v>2438</v>
      </c>
      <c r="E511" s="5" t="s">
        <v>2020</v>
      </c>
      <c r="G511" s="5" t="s">
        <v>1917</v>
      </c>
    </row>
    <row r="512" spans="4:7" hidden="1">
      <c r="D512" s="5" t="s">
        <v>2439</v>
      </c>
      <c r="E512" s="5" t="s">
        <v>720</v>
      </c>
      <c r="G512" s="5" t="s">
        <v>1917</v>
      </c>
    </row>
    <row r="513" spans="4:7" hidden="1">
      <c r="D513" s="5" t="s">
        <v>721</v>
      </c>
      <c r="E513" s="5" t="s">
        <v>720</v>
      </c>
      <c r="G513" s="5" t="s">
        <v>1917</v>
      </c>
    </row>
    <row r="514" spans="4:7" hidden="1">
      <c r="D514" s="5" t="s">
        <v>2440</v>
      </c>
      <c r="E514" s="5" t="s">
        <v>720</v>
      </c>
      <c r="G514" s="5" t="s">
        <v>1917</v>
      </c>
    </row>
    <row r="515" spans="4:7" hidden="1">
      <c r="D515" s="5" t="s">
        <v>2441</v>
      </c>
      <c r="E515" s="5" t="s">
        <v>720</v>
      </c>
      <c r="G515" s="5" t="s">
        <v>1917</v>
      </c>
    </row>
    <row r="516" spans="4:7" hidden="1">
      <c r="D516" s="5" t="s">
        <v>2442</v>
      </c>
      <c r="E516" s="5" t="s">
        <v>720</v>
      </c>
      <c r="G516" s="5" t="s">
        <v>1917</v>
      </c>
    </row>
    <row r="517" spans="4:7" hidden="1">
      <c r="D517" s="5" t="s">
        <v>2443</v>
      </c>
      <c r="E517" s="5" t="s">
        <v>720</v>
      </c>
      <c r="G517" s="5" t="s">
        <v>1917</v>
      </c>
    </row>
    <row r="518" spans="4:7" hidden="1">
      <c r="D518" s="5" t="s">
        <v>2444</v>
      </c>
      <c r="E518" s="5" t="s">
        <v>720</v>
      </c>
      <c r="G518" s="5" t="s">
        <v>1917</v>
      </c>
    </row>
    <row r="519" spans="4:7" hidden="1">
      <c r="D519" s="5" t="s">
        <v>2445</v>
      </c>
      <c r="E519" s="5" t="s">
        <v>720</v>
      </c>
      <c r="G519" s="5" t="s">
        <v>1917</v>
      </c>
    </row>
    <row r="520" spans="4:7" hidden="1">
      <c r="D520" s="5" t="s">
        <v>2446</v>
      </c>
      <c r="E520" s="5" t="s">
        <v>720</v>
      </c>
      <c r="G520" s="5" t="s">
        <v>1917</v>
      </c>
    </row>
    <row r="521" spans="4:7" hidden="1">
      <c r="D521" s="5" t="s">
        <v>2447</v>
      </c>
      <c r="E521" s="5" t="s">
        <v>720</v>
      </c>
      <c r="G521" s="5" t="s">
        <v>1917</v>
      </c>
    </row>
    <row r="522" spans="4:7" hidden="1">
      <c r="D522" s="5" t="s">
        <v>2448</v>
      </c>
      <c r="E522" s="5" t="s">
        <v>720</v>
      </c>
      <c r="G522" s="5" t="s">
        <v>1917</v>
      </c>
    </row>
    <row r="523" spans="4:7" hidden="1">
      <c r="D523" s="5" t="s">
        <v>2449</v>
      </c>
      <c r="E523" s="5" t="s">
        <v>720</v>
      </c>
      <c r="G523" s="5" t="s">
        <v>1917</v>
      </c>
    </row>
    <row r="524" spans="4:7" hidden="1">
      <c r="D524" s="5" t="s">
        <v>2450</v>
      </c>
      <c r="E524" s="5" t="s">
        <v>720</v>
      </c>
      <c r="G524" s="5" t="s">
        <v>1917</v>
      </c>
    </row>
    <row r="525" spans="4:7" hidden="1">
      <c r="D525" s="5" t="s">
        <v>2451</v>
      </c>
      <c r="E525" s="5" t="s">
        <v>720</v>
      </c>
      <c r="G525" s="5" t="s">
        <v>1917</v>
      </c>
    </row>
    <row r="526" spans="4:7" hidden="1">
      <c r="D526" s="5" t="s">
        <v>2452</v>
      </c>
      <c r="E526" s="5" t="s">
        <v>720</v>
      </c>
      <c r="G526" s="5" t="s">
        <v>1917</v>
      </c>
    </row>
    <row r="527" spans="4:7" hidden="1">
      <c r="D527" s="5" t="s">
        <v>2453</v>
      </c>
      <c r="E527" s="5" t="s">
        <v>720</v>
      </c>
      <c r="G527" s="5" t="s">
        <v>1917</v>
      </c>
    </row>
    <row r="528" spans="4:7" hidden="1">
      <c r="D528" s="5" t="s">
        <v>2454</v>
      </c>
      <c r="E528" s="5" t="s">
        <v>720</v>
      </c>
      <c r="G528" s="5" t="s">
        <v>1917</v>
      </c>
    </row>
    <row r="529" spans="4:7" hidden="1">
      <c r="D529" s="5" t="s">
        <v>2455</v>
      </c>
      <c r="E529" s="5" t="s">
        <v>720</v>
      </c>
      <c r="G529" s="5" t="s">
        <v>1917</v>
      </c>
    </row>
    <row r="530" spans="4:7" hidden="1">
      <c r="D530" s="5" t="s">
        <v>2456</v>
      </c>
      <c r="E530" s="5" t="s">
        <v>720</v>
      </c>
      <c r="G530" s="5" t="s">
        <v>1917</v>
      </c>
    </row>
    <row r="531" spans="4:7" hidden="1">
      <c r="D531" s="5" t="s">
        <v>2457</v>
      </c>
      <c r="E531" s="5" t="s">
        <v>720</v>
      </c>
      <c r="G531" s="5" t="s">
        <v>1917</v>
      </c>
    </row>
    <row r="532" spans="4:7" hidden="1">
      <c r="D532" s="5" t="s">
        <v>2458</v>
      </c>
      <c r="E532" s="5" t="s">
        <v>720</v>
      </c>
      <c r="G532" s="5" t="s">
        <v>1917</v>
      </c>
    </row>
    <row r="533" spans="4:7" hidden="1">
      <c r="D533" s="5" t="s">
        <v>2459</v>
      </c>
      <c r="E533" s="5" t="s">
        <v>720</v>
      </c>
      <c r="G533" s="5" t="s">
        <v>1917</v>
      </c>
    </row>
    <row r="534" spans="4:7" hidden="1">
      <c r="D534" s="5" t="s">
        <v>2460</v>
      </c>
      <c r="E534" s="5" t="s">
        <v>720</v>
      </c>
      <c r="G534" s="5" t="s">
        <v>1917</v>
      </c>
    </row>
    <row r="535" spans="4:7" hidden="1">
      <c r="D535" s="5" t="s">
        <v>2461</v>
      </c>
      <c r="E535" s="5" t="s">
        <v>720</v>
      </c>
      <c r="G535" s="5" t="s">
        <v>1917</v>
      </c>
    </row>
    <row r="536" spans="4:7" hidden="1">
      <c r="D536" s="5" t="s">
        <v>2462</v>
      </c>
      <c r="E536" s="5" t="s">
        <v>720</v>
      </c>
      <c r="G536" s="5" t="s">
        <v>1917</v>
      </c>
    </row>
    <row r="537" spans="4:7" hidden="1">
      <c r="D537" s="5" t="s">
        <v>2463</v>
      </c>
      <c r="E537" s="5" t="s">
        <v>720</v>
      </c>
      <c r="G537" s="5" t="s">
        <v>1917</v>
      </c>
    </row>
    <row r="538" spans="4:7" hidden="1">
      <c r="D538" s="5" t="s">
        <v>2464</v>
      </c>
      <c r="E538" s="5" t="s">
        <v>427</v>
      </c>
      <c r="G538" s="5" t="s">
        <v>1917</v>
      </c>
    </row>
    <row r="539" spans="4:7" hidden="1">
      <c r="D539" s="5" t="s">
        <v>2465</v>
      </c>
      <c r="E539" s="5" t="s">
        <v>720</v>
      </c>
      <c r="G539" s="5" t="s">
        <v>1917</v>
      </c>
    </row>
    <row r="540" spans="4:7" hidden="1">
      <c r="D540" s="5" t="s">
        <v>2466</v>
      </c>
      <c r="E540" s="5" t="s">
        <v>720</v>
      </c>
      <c r="G540" s="5" t="s">
        <v>1917</v>
      </c>
    </row>
    <row r="541" spans="4:7" hidden="1">
      <c r="D541" s="5" t="s">
        <v>2467</v>
      </c>
      <c r="E541" s="5" t="s">
        <v>2468</v>
      </c>
      <c r="G541" s="5" t="s">
        <v>2364</v>
      </c>
    </row>
    <row r="542" spans="4:7" hidden="1">
      <c r="D542" s="5" t="s">
        <v>2469</v>
      </c>
      <c r="E542" s="5" t="s">
        <v>2056</v>
      </c>
      <c r="G542" s="5" t="s">
        <v>1917</v>
      </c>
    </row>
    <row r="543" spans="4:7" hidden="1">
      <c r="D543" s="5" t="s">
        <v>2470</v>
      </c>
      <c r="E543" s="5" t="s">
        <v>427</v>
      </c>
      <c r="G543" s="5" t="s">
        <v>1917</v>
      </c>
    </row>
    <row r="544" spans="4:7" hidden="1">
      <c r="D544" s="5" t="s">
        <v>2471</v>
      </c>
      <c r="E544" s="5" t="s">
        <v>2056</v>
      </c>
      <c r="G544" s="5" t="s">
        <v>1926</v>
      </c>
    </row>
    <row r="545" spans="4:7" hidden="1">
      <c r="D545" s="5" t="s">
        <v>2472</v>
      </c>
      <c r="E545" s="5" t="s">
        <v>2056</v>
      </c>
      <c r="G545" s="5" t="s">
        <v>1917</v>
      </c>
    </row>
    <row r="546" spans="4:7" hidden="1">
      <c r="D546" s="5" t="s">
        <v>1141</v>
      </c>
      <c r="E546" s="5" t="s">
        <v>2056</v>
      </c>
      <c r="G546" s="5" t="s">
        <v>1917</v>
      </c>
    </row>
    <row r="547" spans="4:7" hidden="1">
      <c r="D547" s="5" t="s">
        <v>2473</v>
      </c>
      <c r="E547" s="5" t="s">
        <v>2020</v>
      </c>
      <c r="G547" s="5" t="s">
        <v>1917</v>
      </c>
    </row>
    <row r="548" spans="4:7" hidden="1">
      <c r="D548" s="5" t="s">
        <v>2474</v>
      </c>
      <c r="E548" s="5" t="s">
        <v>1945</v>
      </c>
      <c r="G548" s="5" t="s">
        <v>1917</v>
      </c>
    </row>
    <row r="549" spans="4:7" hidden="1">
      <c r="D549" s="5" t="s">
        <v>1145</v>
      </c>
      <c r="E549" s="5" t="s">
        <v>168</v>
      </c>
      <c r="G549" s="5" t="s">
        <v>1917</v>
      </c>
    </row>
    <row r="550" spans="4:7" hidden="1">
      <c r="D550" s="5" t="s">
        <v>2475</v>
      </c>
      <c r="E550" s="5" t="s">
        <v>168</v>
      </c>
      <c r="G550" s="5" t="s">
        <v>1917</v>
      </c>
    </row>
    <row r="551" spans="4:7" hidden="1">
      <c r="D551" s="5" t="s">
        <v>2476</v>
      </c>
      <c r="E551" s="5" t="s">
        <v>168</v>
      </c>
      <c r="G551" s="5" t="s">
        <v>1914</v>
      </c>
    </row>
    <row r="552" spans="4:7" hidden="1">
      <c r="D552" s="5" t="s">
        <v>2477</v>
      </c>
      <c r="E552" s="5" t="s">
        <v>168</v>
      </c>
      <c r="G552" s="5" t="s">
        <v>1917</v>
      </c>
    </row>
    <row r="553" spans="4:7" hidden="1">
      <c r="D553" s="5" t="s">
        <v>2478</v>
      </c>
      <c r="E553" s="5" t="s">
        <v>168</v>
      </c>
      <c r="G553" s="5" t="s">
        <v>1917</v>
      </c>
    </row>
    <row r="554" spans="4:7" hidden="1">
      <c r="D554" s="5" t="s">
        <v>2479</v>
      </c>
      <c r="E554" s="5" t="s">
        <v>168</v>
      </c>
      <c r="G554" s="5" t="s">
        <v>1917</v>
      </c>
    </row>
    <row r="555" spans="4:7" hidden="1">
      <c r="D555" s="5" t="s">
        <v>2480</v>
      </c>
      <c r="E555" s="5" t="s">
        <v>168</v>
      </c>
      <c r="G555" s="5" t="s">
        <v>2220</v>
      </c>
    </row>
    <row r="556" spans="4:7" hidden="1">
      <c r="D556" s="5" t="s">
        <v>2481</v>
      </c>
      <c r="E556" s="5" t="s">
        <v>2422</v>
      </c>
      <c r="G556" s="5" t="s">
        <v>406</v>
      </c>
    </row>
    <row r="557" spans="4:7" hidden="1">
      <c r="D557" s="5" t="s">
        <v>2482</v>
      </c>
      <c r="E557" s="5" t="s">
        <v>2150</v>
      </c>
      <c r="G557" s="5" t="s">
        <v>406</v>
      </c>
    </row>
    <row r="558" spans="4:7" hidden="1">
      <c r="D558" s="5" t="s">
        <v>2483</v>
      </c>
      <c r="E558" s="5" t="s">
        <v>168</v>
      </c>
      <c r="G558" s="5" t="s">
        <v>1926</v>
      </c>
    </row>
    <row r="559" spans="4:7" hidden="1">
      <c r="D559" s="5" t="s">
        <v>2484</v>
      </c>
      <c r="E559" s="5" t="s">
        <v>168</v>
      </c>
      <c r="G559" s="5" t="s">
        <v>1917</v>
      </c>
    </row>
    <row r="560" spans="4:7" hidden="1">
      <c r="D560" s="5" t="s">
        <v>2485</v>
      </c>
      <c r="E560" s="5" t="s">
        <v>168</v>
      </c>
      <c r="G560" s="5" t="s">
        <v>1917</v>
      </c>
    </row>
    <row r="561" spans="4:7" hidden="1">
      <c r="D561" s="5" t="s">
        <v>2486</v>
      </c>
      <c r="E561" s="5" t="s">
        <v>451</v>
      </c>
      <c r="G561" s="5" t="s">
        <v>1917</v>
      </c>
    </row>
    <row r="562" spans="4:7" hidden="1">
      <c r="D562" s="5" t="s">
        <v>2487</v>
      </c>
      <c r="E562" s="5" t="s">
        <v>451</v>
      </c>
      <c r="G562" s="5" t="s">
        <v>1917</v>
      </c>
    </row>
    <row r="563" spans="4:7" hidden="1">
      <c r="D563" s="5" t="s">
        <v>2488</v>
      </c>
      <c r="E563" s="5" t="s">
        <v>451</v>
      </c>
      <c r="G563" s="5" t="s">
        <v>1917</v>
      </c>
    </row>
    <row r="564" spans="4:7" hidden="1">
      <c r="D564" s="5" t="s">
        <v>2489</v>
      </c>
      <c r="E564" s="5" t="s">
        <v>451</v>
      </c>
      <c r="G564" s="5" t="s">
        <v>1917</v>
      </c>
    </row>
    <row r="565" spans="4:7" hidden="1">
      <c r="D565" s="5" t="s">
        <v>2490</v>
      </c>
      <c r="E565" s="5" t="s">
        <v>451</v>
      </c>
      <c r="G565" s="5" t="s">
        <v>1917</v>
      </c>
    </row>
    <row r="566" spans="4:7" hidden="1">
      <c r="D566" s="5" t="s">
        <v>2491</v>
      </c>
      <c r="E566" s="5" t="s">
        <v>1978</v>
      </c>
      <c r="G566" s="5" t="s">
        <v>1917</v>
      </c>
    </row>
    <row r="567" spans="4:7" hidden="1">
      <c r="D567" s="5" t="s">
        <v>2492</v>
      </c>
      <c r="E567" s="5" t="s">
        <v>1978</v>
      </c>
      <c r="G567" s="5" t="s">
        <v>1917</v>
      </c>
    </row>
    <row r="568" spans="4:7" hidden="1">
      <c r="D568" s="5" t="s">
        <v>1280</v>
      </c>
      <c r="E568" s="5" t="s">
        <v>2493</v>
      </c>
      <c r="F568" s="5" t="s">
        <v>2494</v>
      </c>
      <c r="G568" s="5" t="s">
        <v>2364</v>
      </c>
    </row>
    <row r="569" spans="4:7" hidden="1">
      <c r="D569" s="5" t="s">
        <v>2495</v>
      </c>
      <c r="E569" s="5" t="s">
        <v>2493</v>
      </c>
      <c r="G569" s="5" t="s">
        <v>2364</v>
      </c>
    </row>
    <row r="570" spans="4:7" hidden="1">
      <c r="D570" s="5" t="s">
        <v>2496</v>
      </c>
      <c r="E570" s="5" t="s">
        <v>2422</v>
      </c>
      <c r="G570" s="5" t="s">
        <v>2364</v>
      </c>
    </row>
    <row r="571" spans="4:7" hidden="1">
      <c r="D571" s="5" t="s">
        <v>2497</v>
      </c>
      <c r="E571" s="5" t="s">
        <v>2422</v>
      </c>
      <c r="G571" s="5" t="s">
        <v>2364</v>
      </c>
    </row>
    <row r="572" spans="4:7" hidden="1">
      <c r="D572" s="5" t="s">
        <v>2498</v>
      </c>
      <c r="E572" s="5" t="s">
        <v>2422</v>
      </c>
      <c r="G572" s="5" t="s">
        <v>2364</v>
      </c>
    </row>
    <row r="573" spans="4:7" hidden="1">
      <c r="D573" s="5" t="s">
        <v>2499</v>
      </c>
      <c r="E573" s="5" t="s">
        <v>2422</v>
      </c>
      <c r="G573" s="5" t="s">
        <v>2364</v>
      </c>
    </row>
    <row r="574" spans="4:7" hidden="1">
      <c r="D574" s="5" t="s">
        <v>2500</v>
      </c>
      <c r="E574" s="5" t="s">
        <v>2493</v>
      </c>
      <c r="G574" s="5" t="s">
        <v>2364</v>
      </c>
    </row>
    <row r="575" spans="4:7" hidden="1">
      <c r="D575" s="5" t="s">
        <v>2501</v>
      </c>
      <c r="E575" s="5" t="s">
        <v>2422</v>
      </c>
      <c r="G575" s="5" t="s">
        <v>2364</v>
      </c>
    </row>
    <row r="576" spans="4:7" hidden="1">
      <c r="D576" s="5" t="s">
        <v>2502</v>
      </c>
      <c r="E576" s="5" t="s">
        <v>1953</v>
      </c>
      <c r="G576" s="5" t="s">
        <v>1917</v>
      </c>
    </row>
    <row r="577" spans="4:7" hidden="1">
      <c r="D577" s="5" t="s">
        <v>2503</v>
      </c>
      <c r="E577" s="5" t="s">
        <v>168</v>
      </c>
      <c r="G577" s="5" t="s">
        <v>1917</v>
      </c>
    </row>
    <row r="578" spans="4:7" hidden="1">
      <c r="D578" s="5" t="s">
        <v>2504</v>
      </c>
      <c r="E578" s="5" t="s">
        <v>52</v>
      </c>
      <c r="G578" s="5" t="s">
        <v>1917</v>
      </c>
    </row>
    <row r="579" spans="4:7" hidden="1">
      <c r="D579" s="5" t="s">
        <v>2505</v>
      </c>
      <c r="E579" s="5" t="s">
        <v>1940</v>
      </c>
      <c r="G579" s="5" t="s">
        <v>1917</v>
      </c>
    </row>
    <row r="580" spans="4:7" hidden="1">
      <c r="D580" s="5" t="s">
        <v>2506</v>
      </c>
      <c r="E580" s="5" t="s">
        <v>451</v>
      </c>
      <c r="G580" s="5" t="s">
        <v>1917</v>
      </c>
    </row>
    <row r="581" spans="4:7" hidden="1">
      <c r="D581" s="5" t="s">
        <v>2507</v>
      </c>
      <c r="E581" s="5" t="s">
        <v>309</v>
      </c>
      <c r="G581" s="5" t="s">
        <v>1917</v>
      </c>
    </row>
    <row r="582" spans="4:7" hidden="1">
      <c r="D582" s="5" t="s">
        <v>2508</v>
      </c>
      <c r="E582" s="5" t="s">
        <v>168</v>
      </c>
      <c r="G582" s="5" t="s">
        <v>1917</v>
      </c>
    </row>
    <row r="583" spans="4:7" hidden="1">
      <c r="D583" s="5" t="s">
        <v>2509</v>
      </c>
      <c r="E583" s="5" t="s">
        <v>168</v>
      </c>
      <c r="G583" s="5" t="s">
        <v>1917</v>
      </c>
    </row>
    <row r="584" spans="4:7" hidden="1">
      <c r="D584" s="5" t="s">
        <v>2510</v>
      </c>
      <c r="E584" s="5" t="s">
        <v>168</v>
      </c>
      <c r="G584" s="5" t="s">
        <v>1917</v>
      </c>
    </row>
    <row r="585" spans="4:7" hidden="1">
      <c r="D585" s="5" t="s">
        <v>2511</v>
      </c>
      <c r="E585" s="5" t="s">
        <v>168</v>
      </c>
      <c r="G585" s="5" t="s">
        <v>1926</v>
      </c>
    </row>
    <row r="586" spans="4:7" hidden="1">
      <c r="D586" s="5" t="s">
        <v>2512</v>
      </c>
      <c r="E586" s="5" t="s">
        <v>168</v>
      </c>
      <c r="G586" s="5" t="s">
        <v>1917</v>
      </c>
    </row>
    <row r="587" spans="4:7" hidden="1">
      <c r="D587" s="5" t="s">
        <v>2513</v>
      </c>
      <c r="E587" s="5" t="s">
        <v>168</v>
      </c>
      <c r="G587" s="5" t="s">
        <v>1917</v>
      </c>
    </row>
    <row r="588" spans="4:7" hidden="1">
      <c r="D588" s="5" t="s">
        <v>440</v>
      </c>
      <c r="E588" s="5" t="s">
        <v>168</v>
      </c>
      <c r="G588" s="5" t="s">
        <v>1917</v>
      </c>
    </row>
    <row r="589" spans="4:7" hidden="1">
      <c r="D589" s="5" t="s">
        <v>2514</v>
      </c>
      <c r="E589" s="5" t="s">
        <v>168</v>
      </c>
      <c r="G589" s="5" t="s">
        <v>1920</v>
      </c>
    </row>
    <row r="590" spans="4:7" hidden="1">
      <c r="D590" s="5" t="s">
        <v>2515</v>
      </c>
      <c r="E590" s="5" t="s">
        <v>168</v>
      </c>
      <c r="G590" s="5" t="s">
        <v>1917</v>
      </c>
    </row>
    <row r="591" spans="4:7" hidden="1">
      <c r="D591" s="5" t="s">
        <v>2516</v>
      </c>
      <c r="E591" s="5" t="s">
        <v>168</v>
      </c>
      <c r="G591" s="5" t="s">
        <v>1917</v>
      </c>
    </row>
    <row r="592" spans="4:7" hidden="1">
      <c r="D592" s="5" t="s">
        <v>2517</v>
      </c>
      <c r="E592" s="5" t="s">
        <v>472</v>
      </c>
      <c r="G592" s="5" t="s">
        <v>1917</v>
      </c>
    </row>
    <row r="593" spans="4:7" hidden="1">
      <c r="D593" s="5" t="s">
        <v>2518</v>
      </c>
      <c r="E593" s="5" t="s">
        <v>472</v>
      </c>
      <c r="G593" s="5" t="s">
        <v>1917</v>
      </c>
    </row>
    <row r="594" spans="4:7" hidden="1">
      <c r="D594" s="5" t="s">
        <v>2519</v>
      </c>
      <c r="E594" s="5" t="s">
        <v>472</v>
      </c>
      <c r="G594" s="5" t="s">
        <v>1917</v>
      </c>
    </row>
    <row r="595" spans="4:7" hidden="1">
      <c r="D595" s="5" t="s">
        <v>2520</v>
      </c>
      <c r="E595" s="5" t="s">
        <v>472</v>
      </c>
      <c r="G595" s="5" t="s">
        <v>1917</v>
      </c>
    </row>
    <row r="596" spans="4:7" hidden="1">
      <c r="D596" s="5" t="s">
        <v>2521</v>
      </c>
      <c r="E596" s="5" t="s">
        <v>427</v>
      </c>
      <c r="G596" s="5" t="s">
        <v>1917</v>
      </c>
    </row>
    <row r="597" spans="4:7" hidden="1">
      <c r="D597" s="5" t="s">
        <v>2522</v>
      </c>
      <c r="E597" s="5" t="s">
        <v>427</v>
      </c>
      <c r="G597" s="5" t="s">
        <v>1917</v>
      </c>
    </row>
    <row r="598" spans="4:7" hidden="1">
      <c r="D598" s="5" t="s">
        <v>2523</v>
      </c>
      <c r="E598" s="5" t="s">
        <v>2091</v>
      </c>
      <c r="G598" s="5" t="s">
        <v>1917</v>
      </c>
    </row>
    <row r="599" spans="4:7" hidden="1">
      <c r="D599" s="5" t="s">
        <v>2524</v>
      </c>
      <c r="E599" s="5" t="s">
        <v>2020</v>
      </c>
      <c r="G599" s="5" t="s">
        <v>1917</v>
      </c>
    </row>
    <row r="600" spans="4:7" hidden="1">
      <c r="D600" s="5" t="s">
        <v>2525</v>
      </c>
      <c r="E600" s="5" t="s">
        <v>2020</v>
      </c>
      <c r="G600" s="5" t="s">
        <v>1917</v>
      </c>
    </row>
    <row r="601" spans="4:7" hidden="1">
      <c r="D601" s="5" t="s">
        <v>2526</v>
      </c>
      <c r="E601" s="5" t="s">
        <v>2020</v>
      </c>
      <c r="G601" s="5" t="s">
        <v>1917</v>
      </c>
    </row>
    <row r="602" spans="4:7" hidden="1">
      <c r="D602" s="5" t="s">
        <v>2527</v>
      </c>
      <c r="E602" s="5" t="s">
        <v>2091</v>
      </c>
      <c r="G602" s="5" t="s">
        <v>1917</v>
      </c>
    </row>
    <row r="603" spans="4:7" hidden="1">
      <c r="D603" s="5" t="s">
        <v>2528</v>
      </c>
      <c r="E603" s="5" t="s">
        <v>752</v>
      </c>
      <c r="G603" s="5" t="s">
        <v>1917</v>
      </c>
    </row>
    <row r="604" spans="4:7" hidden="1">
      <c r="D604" s="5" t="s">
        <v>2529</v>
      </c>
      <c r="E604" s="5" t="s">
        <v>1945</v>
      </c>
      <c r="G604" s="5" t="s">
        <v>1917</v>
      </c>
    </row>
    <row r="605" spans="4:7" hidden="1">
      <c r="D605" s="5" t="s">
        <v>2530</v>
      </c>
      <c r="E605" s="5" t="s">
        <v>1945</v>
      </c>
      <c r="G605" s="5" t="s">
        <v>1917</v>
      </c>
    </row>
    <row r="606" spans="4:7" hidden="1">
      <c r="D606" s="5" t="s">
        <v>2531</v>
      </c>
      <c r="E606" s="5" t="s">
        <v>430</v>
      </c>
      <c r="G606" s="5" t="s">
        <v>1917</v>
      </c>
    </row>
    <row r="607" spans="4:7" hidden="1">
      <c r="D607" s="5" t="s">
        <v>2532</v>
      </c>
      <c r="E607" s="5" t="s">
        <v>1945</v>
      </c>
      <c r="G607" s="5" t="s">
        <v>1917</v>
      </c>
    </row>
    <row r="608" spans="4:7" hidden="1">
      <c r="D608" s="5" t="s">
        <v>2533</v>
      </c>
      <c r="E608" s="5" t="s">
        <v>1945</v>
      </c>
      <c r="G608" s="5" t="s">
        <v>1917</v>
      </c>
    </row>
    <row r="609" spans="4:7" hidden="1">
      <c r="D609" s="5" t="s">
        <v>2534</v>
      </c>
      <c r="E609" s="5" t="s">
        <v>752</v>
      </c>
      <c r="G609" s="5" t="s">
        <v>1917</v>
      </c>
    </row>
    <row r="610" spans="4:7" hidden="1">
      <c r="D610" s="5" t="s">
        <v>2535</v>
      </c>
      <c r="E610" s="5" t="s">
        <v>2536</v>
      </c>
      <c r="G610" s="5" t="s">
        <v>1926</v>
      </c>
    </row>
    <row r="611" spans="4:7" hidden="1">
      <c r="D611" s="5" t="s">
        <v>2537</v>
      </c>
      <c r="E611" s="5" t="s">
        <v>2536</v>
      </c>
      <c r="G611" s="5" t="s">
        <v>1926</v>
      </c>
    </row>
    <row r="612" spans="4:7" hidden="1">
      <c r="D612" s="5" t="s">
        <v>2538</v>
      </c>
      <c r="E612" s="5" t="s">
        <v>451</v>
      </c>
      <c r="G612" s="5" t="s">
        <v>1917</v>
      </c>
    </row>
    <row r="613" spans="4:7" hidden="1">
      <c r="D613" s="5" t="s">
        <v>2539</v>
      </c>
      <c r="E613" s="5" t="s">
        <v>451</v>
      </c>
      <c r="G613" s="5" t="s">
        <v>1917</v>
      </c>
    </row>
    <row r="614" spans="4:7" hidden="1">
      <c r="D614" s="5" t="s">
        <v>2540</v>
      </c>
      <c r="E614" s="5" t="s">
        <v>427</v>
      </c>
      <c r="G614" s="5" t="s">
        <v>1917</v>
      </c>
    </row>
    <row r="615" spans="4:7" hidden="1">
      <c r="D615" s="5" t="s">
        <v>2541</v>
      </c>
      <c r="E615" s="5" t="s">
        <v>2536</v>
      </c>
      <c r="G615" s="5" t="s">
        <v>1926</v>
      </c>
    </row>
    <row r="616" spans="4:7" hidden="1">
      <c r="D616" s="5" t="s">
        <v>2542</v>
      </c>
      <c r="E616" s="5" t="s">
        <v>791</v>
      </c>
      <c r="G616" s="5" t="s">
        <v>1917</v>
      </c>
    </row>
    <row r="617" spans="4:7" hidden="1">
      <c r="D617" s="5" t="s">
        <v>2543</v>
      </c>
      <c r="E617" s="5" t="s">
        <v>1953</v>
      </c>
      <c r="G617" s="5" t="s">
        <v>1917</v>
      </c>
    </row>
    <row r="618" spans="4:7" hidden="1">
      <c r="D618" s="5" t="s">
        <v>2544</v>
      </c>
      <c r="E618" s="5" t="s">
        <v>2536</v>
      </c>
      <c r="G618" s="5" t="s">
        <v>1926</v>
      </c>
    </row>
    <row r="619" spans="4:7" hidden="1">
      <c r="D619" s="5" t="s">
        <v>2545</v>
      </c>
      <c r="E619" s="5" t="s">
        <v>1953</v>
      </c>
      <c r="G619" s="5" t="s">
        <v>1917</v>
      </c>
    </row>
    <row r="620" spans="4:7" hidden="1">
      <c r="D620" s="5" t="s">
        <v>2546</v>
      </c>
      <c r="E620" s="5" t="s">
        <v>451</v>
      </c>
      <c r="G620" s="5" t="s">
        <v>1917</v>
      </c>
    </row>
    <row r="621" spans="4:7" hidden="1">
      <c r="D621" s="5" t="s">
        <v>2547</v>
      </c>
      <c r="E621" s="5" t="s">
        <v>1953</v>
      </c>
      <c r="G621" s="5" t="s">
        <v>1917</v>
      </c>
    </row>
    <row r="622" spans="4:7" hidden="1">
      <c r="D622" s="5" t="s">
        <v>2548</v>
      </c>
      <c r="E622" s="5" t="s">
        <v>1953</v>
      </c>
      <c r="G622" s="5" t="s">
        <v>1917</v>
      </c>
    </row>
    <row r="623" spans="4:7" hidden="1">
      <c r="D623" s="5" t="s">
        <v>2549</v>
      </c>
      <c r="E623" s="5" t="s">
        <v>427</v>
      </c>
      <c r="G623" s="5" t="s">
        <v>1917</v>
      </c>
    </row>
    <row r="624" spans="4:7" hidden="1">
      <c r="D624" s="5" t="s">
        <v>2550</v>
      </c>
      <c r="E624" s="5" t="s">
        <v>430</v>
      </c>
      <c r="G624" s="5" t="s">
        <v>1926</v>
      </c>
    </row>
    <row r="625" spans="4:7" hidden="1">
      <c r="D625" s="5" t="s">
        <v>2551</v>
      </c>
      <c r="E625" s="5" t="s">
        <v>2536</v>
      </c>
      <c r="G625" s="5" t="s">
        <v>1926</v>
      </c>
    </row>
    <row r="626" spans="4:7" hidden="1">
      <c r="D626" s="5" t="s">
        <v>2552</v>
      </c>
      <c r="E626" s="5" t="s">
        <v>2536</v>
      </c>
      <c r="G626" s="5" t="s">
        <v>1926</v>
      </c>
    </row>
    <row r="627" spans="4:7" hidden="1">
      <c r="D627" s="5" t="s">
        <v>2553</v>
      </c>
      <c r="E627" s="5" t="s">
        <v>812</v>
      </c>
      <c r="G627" s="5" t="s">
        <v>1917</v>
      </c>
    </row>
    <row r="628" spans="4:7" hidden="1">
      <c r="D628" s="5" t="s">
        <v>2554</v>
      </c>
      <c r="E628" s="5" t="s">
        <v>812</v>
      </c>
      <c r="G628" s="5" t="s">
        <v>1917</v>
      </c>
    </row>
    <row r="629" spans="4:7" hidden="1">
      <c r="D629" s="5" t="s">
        <v>2555</v>
      </c>
      <c r="E629" s="5" t="s">
        <v>427</v>
      </c>
      <c r="G629" s="5" t="s">
        <v>1917</v>
      </c>
    </row>
    <row r="630" spans="4:7" hidden="1">
      <c r="D630" s="5" t="s">
        <v>2556</v>
      </c>
      <c r="E630" s="5" t="s">
        <v>812</v>
      </c>
      <c r="G630" s="5" t="s">
        <v>1917</v>
      </c>
    </row>
    <row r="631" spans="4:7" hidden="1">
      <c r="D631" s="5" t="s">
        <v>2557</v>
      </c>
      <c r="E631" s="5" t="s">
        <v>2254</v>
      </c>
      <c r="G631" s="5" t="s">
        <v>1917</v>
      </c>
    </row>
    <row r="632" spans="4:7" hidden="1">
      <c r="D632" s="5" t="s">
        <v>2558</v>
      </c>
      <c r="E632" s="5" t="s">
        <v>168</v>
      </c>
      <c r="G632" s="5" t="s">
        <v>1917</v>
      </c>
    </row>
    <row r="633" spans="4:7" hidden="1">
      <c r="D633" s="5" t="s">
        <v>2559</v>
      </c>
      <c r="E633" s="5" t="s">
        <v>430</v>
      </c>
      <c r="G633" s="5" t="s">
        <v>1917</v>
      </c>
    </row>
    <row r="634" spans="4:7" hidden="1">
      <c r="D634" s="5" t="s">
        <v>2560</v>
      </c>
      <c r="E634" s="5" t="s">
        <v>430</v>
      </c>
      <c r="G634" s="5" t="s">
        <v>1917</v>
      </c>
    </row>
    <row r="635" spans="4:7" hidden="1">
      <c r="D635" s="5" t="s">
        <v>2561</v>
      </c>
      <c r="E635" s="5" t="s">
        <v>52</v>
      </c>
      <c r="G635" s="5" t="s">
        <v>1917</v>
      </c>
    </row>
    <row r="636" spans="4:7" hidden="1">
      <c r="D636" s="5" t="s">
        <v>2562</v>
      </c>
      <c r="E636" s="5" t="s">
        <v>2056</v>
      </c>
      <c r="G636" s="5" t="s">
        <v>1917</v>
      </c>
    </row>
    <row r="637" spans="4:7" hidden="1">
      <c r="D637" s="5" t="s">
        <v>2563</v>
      </c>
      <c r="E637" s="5" t="s">
        <v>2056</v>
      </c>
      <c r="G637" s="5" t="s">
        <v>1926</v>
      </c>
    </row>
    <row r="638" spans="4:7" hidden="1">
      <c r="D638" s="5" t="s">
        <v>2564</v>
      </c>
      <c r="E638" s="5" t="s">
        <v>1953</v>
      </c>
      <c r="G638" s="5" t="s">
        <v>1917</v>
      </c>
    </row>
    <row r="639" spans="4:7" hidden="1">
      <c r="D639" s="5" t="s">
        <v>2565</v>
      </c>
      <c r="E639" s="5" t="s">
        <v>2150</v>
      </c>
      <c r="G639" s="5" t="s">
        <v>406</v>
      </c>
    </row>
    <row r="640" spans="4:7" hidden="1">
      <c r="D640" s="5" t="s">
        <v>2566</v>
      </c>
      <c r="E640" s="5" t="s">
        <v>2536</v>
      </c>
      <c r="G640" s="5" t="s">
        <v>1926</v>
      </c>
    </row>
    <row r="641" spans="4:7" hidden="1">
      <c r="D641" s="5" t="s">
        <v>2567</v>
      </c>
      <c r="E641" s="5" t="s">
        <v>2536</v>
      </c>
      <c r="G641" s="5" t="s">
        <v>1926</v>
      </c>
    </row>
    <row r="642" spans="4:7" hidden="1">
      <c r="D642" s="5" t="s">
        <v>2568</v>
      </c>
      <c r="E642" s="5" t="s">
        <v>1978</v>
      </c>
      <c r="G642" s="5" t="s">
        <v>1917</v>
      </c>
    </row>
    <row r="643" spans="4:7" hidden="1">
      <c r="D643" s="5" t="s">
        <v>2569</v>
      </c>
      <c r="E643" s="5" t="s">
        <v>2536</v>
      </c>
      <c r="G643" s="5" t="s">
        <v>1926</v>
      </c>
    </row>
    <row r="644" spans="4:7" hidden="1">
      <c r="D644" s="5" t="s">
        <v>2570</v>
      </c>
      <c r="E644" s="5" t="s">
        <v>67</v>
      </c>
      <c r="G644" s="5" t="s">
        <v>1917</v>
      </c>
    </row>
    <row r="645" spans="4:7" hidden="1">
      <c r="D645" s="5" t="s">
        <v>2571</v>
      </c>
      <c r="E645" s="5" t="s">
        <v>2005</v>
      </c>
      <c r="G645" s="5" t="s">
        <v>1917</v>
      </c>
    </row>
    <row r="646" spans="4:7" hidden="1">
      <c r="D646" s="5" t="s">
        <v>2572</v>
      </c>
      <c r="E646" s="5" t="s">
        <v>451</v>
      </c>
      <c r="G646" s="5" t="s">
        <v>1917</v>
      </c>
    </row>
    <row r="647" spans="4:7" hidden="1">
      <c r="D647" s="5" t="s">
        <v>2573</v>
      </c>
      <c r="E647" s="5" t="s">
        <v>2536</v>
      </c>
      <c r="G647" s="5" t="s">
        <v>1926</v>
      </c>
    </row>
    <row r="648" spans="4:7" hidden="1">
      <c r="D648" s="5" t="s">
        <v>2574</v>
      </c>
      <c r="E648" s="5" t="s">
        <v>309</v>
      </c>
      <c r="G648" s="5" t="s">
        <v>1917</v>
      </c>
    </row>
    <row r="649" spans="4:7" hidden="1">
      <c r="D649" s="5" t="s">
        <v>2575</v>
      </c>
      <c r="E649" s="5" t="s">
        <v>2536</v>
      </c>
      <c r="G649" s="5" t="s">
        <v>1926</v>
      </c>
    </row>
    <row r="650" spans="4:7" hidden="1">
      <c r="D650" s="5" t="s">
        <v>2576</v>
      </c>
      <c r="E650" s="5" t="s">
        <v>2536</v>
      </c>
      <c r="G650" s="5" t="s">
        <v>1926</v>
      </c>
    </row>
    <row r="651" spans="4:7" hidden="1">
      <c r="D651" s="5" t="s">
        <v>2577</v>
      </c>
      <c r="E651" s="5" t="s">
        <v>2536</v>
      </c>
      <c r="G651" s="5" t="s">
        <v>1926</v>
      </c>
    </row>
    <row r="652" spans="4:7" hidden="1">
      <c r="D652" s="5" t="s">
        <v>2578</v>
      </c>
      <c r="E652" s="5" t="s">
        <v>2536</v>
      </c>
      <c r="G652" s="5" t="s">
        <v>1926</v>
      </c>
    </row>
    <row r="653" spans="4:7" hidden="1">
      <c r="D653" s="5" t="s">
        <v>2579</v>
      </c>
      <c r="E653" s="5" t="s">
        <v>2536</v>
      </c>
      <c r="G653" s="5" t="s">
        <v>1926</v>
      </c>
    </row>
    <row r="654" spans="4:7" hidden="1">
      <c r="D654" s="5" t="s">
        <v>2580</v>
      </c>
      <c r="E654" s="5" t="s">
        <v>2536</v>
      </c>
      <c r="G654" s="5" t="s">
        <v>1926</v>
      </c>
    </row>
    <row r="655" spans="4:7" hidden="1">
      <c r="D655" s="5" t="s">
        <v>2581</v>
      </c>
      <c r="E655" s="5" t="s">
        <v>2005</v>
      </c>
      <c r="G655" s="5" t="s">
        <v>1917</v>
      </c>
    </row>
    <row r="656" spans="4:7" hidden="1">
      <c r="D656" s="5" t="s">
        <v>2582</v>
      </c>
      <c r="E656" s="5" t="s">
        <v>2536</v>
      </c>
      <c r="G656" s="5" t="s">
        <v>1926</v>
      </c>
    </row>
    <row r="657" spans="4:7" hidden="1">
      <c r="D657" s="5" t="s">
        <v>2583</v>
      </c>
      <c r="E657" s="5" t="s">
        <v>2536</v>
      </c>
      <c r="G657" s="5" t="s">
        <v>1926</v>
      </c>
    </row>
    <row r="658" spans="4:7" hidden="1">
      <c r="D658" s="5" t="s">
        <v>2584</v>
      </c>
      <c r="E658" s="5" t="s">
        <v>2536</v>
      </c>
      <c r="G658" s="5" t="s">
        <v>1926</v>
      </c>
    </row>
    <row r="659" spans="4:7" hidden="1">
      <c r="D659" s="5" t="s">
        <v>2585</v>
      </c>
      <c r="E659" s="5" t="s">
        <v>2536</v>
      </c>
      <c r="G659" s="5" t="s">
        <v>1926</v>
      </c>
    </row>
    <row r="660" spans="4:7" hidden="1">
      <c r="D660" s="5" t="s">
        <v>2586</v>
      </c>
      <c r="E660" s="5" t="s">
        <v>2536</v>
      </c>
      <c r="G660" s="5" t="s">
        <v>1926</v>
      </c>
    </row>
    <row r="661" spans="4:7" hidden="1">
      <c r="D661" s="5" t="s">
        <v>2587</v>
      </c>
      <c r="E661" s="5" t="s">
        <v>2536</v>
      </c>
      <c r="G661" s="5" t="s">
        <v>1926</v>
      </c>
    </row>
    <row r="662" spans="4:7" hidden="1">
      <c r="D662" s="5" t="s">
        <v>2588</v>
      </c>
      <c r="E662" s="5" t="s">
        <v>2536</v>
      </c>
      <c r="G662" s="5" t="s">
        <v>1926</v>
      </c>
    </row>
    <row r="663" spans="4:7" hidden="1">
      <c r="D663" s="5" t="s">
        <v>2589</v>
      </c>
      <c r="E663" s="5" t="s">
        <v>2536</v>
      </c>
      <c r="G663" s="5" t="s">
        <v>1926</v>
      </c>
    </row>
    <row r="664" spans="4:7" hidden="1">
      <c r="D664" s="5" t="s">
        <v>2590</v>
      </c>
      <c r="E664" s="5" t="s">
        <v>2536</v>
      </c>
      <c r="G664" s="5" t="s">
        <v>1926</v>
      </c>
    </row>
    <row r="665" spans="4:7" hidden="1">
      <c r="D665" s="5" t="s">
        <v>2591</v>
      </c>
      <c r="E665" s="5" t="s">
        <v>2536</v>
      </c>
      <c r="G665" s="5" t="s">
        <v>1926</v>
      </c>
    </row>
    <row r="666" spans="4:7" hidden="1">
      <c r="D666" s="5" t="s">
        <v>2592</v>
      </c>
      <c r="E666" s="5" t="s">
        <v>2536</v>
      </c>
      <c r="G666" s="5" t="s">
        <v>1926</v>
      </c>
    </row>
    <row r="667" spans="4:7" hidden="1">
      <c r="D667" s="5" t="s">
        <v>2593</v>
      </c>
      <c r="E667" s="5" t="s">
        <v>2536</v>
      </c>
      <c r="G667" s="5" t="s">
        <v>1926</v>
      </c>
    </row>
    <row r="668" spans="4:7" hidden="1">
      <c r="D668" s="5" t="s">
        <v>2594</v>
      </c>
      <c r="E668" s="5" t="s">
        <v>2536</v>
      </c>
      <c r="G668" s="5" t="s">
        <v>1926</v>
      </c>
    </row>
    <row r="669" spans="4:7" hidden="1">
      <c r="D669" s="5" t="s">
        <v>2595</v>
      </c>
      <c r="E669" s="5" t="s">
        <v>2536</v>
      </c>
      <c r="G669" s="5" t="s">
        <v>1926</v>
      </c>
    </row>
    <row r="670" spans="4:7" hidden="1">
      <c r="D670" s="5" t="s">
        <v>2596</v>
      </c>
      <c r="E670" s="5" t="s">
        <v>451</v>
      </c>
      <c r="G670" s="5" t="s">
        <v>1917</v>
      </c>
    </row>
    <row r="671" spans="4:7" hidden="1">
      <c r="D671" s="5" t="s">
        <v>2597</v>
      </c>
      <c r="E671" s="5" t="s">
        <v>427</v>
      </c>
      <c r="G671" s="5" t="s">
        <v>1917</v>
      </c>
    </row>
    <row r="672" spans="4:7" hidden="1">
      <c r="D672" s="5" t="s">
        <v>2598</v>
      </c>
      <c r="E672" s="5" t="s">
        <v>427</v>
      </c>
      <c r="G672" s="5" t="s">
        <v>1917</v>
      </c>
    </row>
    <row r="673" spans="4:7" hidden="1">
      <c r="D673" s="5" t="s">
        <v>2599</v>
      </c>
      <c r="E673" s="5" t="s">
        <v>52</v>
      </c>
      <c r="G673" s="5" t="s">
        <v>1917</v>
      </c>
    </row>
    <row r="674" spans="4:7" hidden="1">
      <c r="D674" s="5" t="s">
        <v>2600</v>
      </c>
      <c r="E674" s="5" t="s">
        <v>2056</v>
      </c>
      <c r="G674" s="5" t="s">
        <v>1917</v>
      </c>
    </row>
    <row r="675" spans="4:7" hidden="1">
      <c r="D675" s="5" t="s">
        <v>2601</v>
      </c>
      <c r="E675" s="5" t="s">
        <v>2422</v>
      </c>
      <c r="G675" s="5" t="s">
        <v>2364</v>
      </c>
    </row>
    <row r="676" spans="4:7" hidden="1">
      <c r="D676" s="5" t="s">
        <v>2602</v>
      </c>
      <c r="E676" s="5" t="s">
        <v>2422</v>
      </c>
      <c r="G676" s="5" t="s">
        <v>2364</v>
      </c>
    </row>
    <row r="677" spans="4:7" hidden="1">
      <c r="D677" s="5" t="s">
        <v>2603</v>
      </c>
      <c r="E677" s="5" t="s">
        <v>2422</v>
      </c>
      <c r="G677" s="5" t="s">
        <v>2364</v>
      </c>
    </row>
    <row r="678" spans="4:7" hidden="1">
      <c r="D678" s="5" t="s">
        <v>2604</v>
      </c>
      <c r="E678" s="5" t="s">
        <v>2536</v>
      </c>
      <c r="G678" s="5" t="s">
        <v>1926</v>
      </c>
    </row>
    <row r="679" spans="4:7" hidden="1">
      <c r="D679" s="5" t="s">
        <v>587</v>
      </c>
      <c r="E679" s="5" t="s">
        <v>430</v>
      </c>
      <c r="G679" s="5" t="s">
        <v>1926</v>
      </c>
    </row>
    <row r="680" spans="4:7" hidden="1">
      <c r="D680" s="5" t="s">
        <v>2605</v>
      </c>
      <c r="E680" s="5" t="s">
        <v>2536</v>
      </c>
      <c r="G680" s="5" t="s">
        <v>1926</v>
      </c>
    </row>
    <row r="681" spans="4:7" hidden="1">
      <c r="D681" s="5" t="s">
        <v>2606</v>
      </c>
      <c r="E681" s="5" t="s">
        <v>451</v>
      </c>
      <c r="G681" s="5" t="s">
        <v>1926</v>
      </c>
    </row>
    <row r="682" spans="4:7" hidden="1">
      <c r="D682" s="5" t="s">
        <v>2607</v>
      </c>
      <c r="E682" s="5" t="s">
        <v>2536</v>
      </c>
      <c r="G682" s="5" t="s">
        <v>1926</v>
      </c>
    </row>
    <row r="683" spans="4:7" hidden="1">
      <c r="D683" s="5" t="s">
        <v>2608</v>
      </c>
      <c r="E683" s="5" t="s">
        <v>2536</v>
      </c>
      <c r="G683" s="5" t="s">
        <v>1926</v>
      </c>
    </row>
    <row r="684" spans="4:7" hidden="1">
      <c r="D684" s="5" t="s">
        <v>2609</v>
      </c>
      <c r="E684" s="5" t="s">
        <v>2536</v>
      </c>
      <c r="G684" s="5" t="s">
        <v>1926</v>
      </c>
    </row>
    <row r="685" spans="4:7" hidden="1">
      <c r="D685" s="5" t="s">
        <v>2610</v>
      </c>
      <c r="E685" s="5" t="s">
        <v>2536</v>
      </c>
      <c r="G685" s="5" t="s">
        <v>1926</v>
      </c>
    </row>
    <row r="686" spans="4:7" hidden="1">
      <c r="D686" s="5" t="s">
        <v>2611</v>
      </c>
      <c r="E686" s="5" t="s">
        <v>52</v>
      </c>
      <c r="G686" s="5" t="s">
        <v>1917</v>
      </c>
    </row>
    <row r="687" spans="4:7" hidden="1">
      <c r="D687" s="5" t="s">
        <v>2612</v>
      </c>
      <c r="E687" s="5" t="s">
        <v>427</v>
      </c>
      <c r="G687" s="5" t="s">
        <v>1917</v>
      </c>
    </row>
    <row r="688" spans="4:7" hidden="1">
      <c r="D688" s="5" t="s">
        <v>2613</v>
      </c>
      <c r="E688" s="5" t="s">
        <v>2614</v>
      </c>
      <c r="G688" s="5" t="s">
        <v>2364</v>
      </c>
    </row>
    <row r="689" spans="4:7" hidden="1">
      <c r="D689" s="5" t="s">
        <v>2615</v>
      </c>
      <c r="E689" s="5" t="s">
        <v>2614</v>
      </c>
      <c r="G689" s="5" t="s">
        <v>2364</v>
      </c>
    </row>
    <row r="690" spans="4:7" hidden="1">
      <c r="D690" s="5" t="s">
        <v>2616</v>
      </c>
      <c r="E690" s="5" t="s">
        <v>52</v>
      </c>
      <c r="G690" s="5" t="s">
        <v>1917</v>
      </c>
    </row>
    <row r="691" spans="4:7" hidden="1">
      <c r="D691" s="5" t="s">
        <v>2617</v>
      </c>
      <c r="E691" s="5" t="s">
        <v>52</v>
      </c>
      <c r="G691" s="5" t="s">
        <v>1917</v>
      </c>
    </row>
    <row r="692" spans="4:7" hidden="1">
      <c r="D692" s="5" t="s">
        <v>2618</v>
      </c>
      <c r="E692" s="5" t="s">
        <v>52</v>
      </c>
      <c r="G692" s="5" t="s">
        <v>1926</v>
      </c>
    </row>
    <row r="693" spans="4:7" hidden="1">
      <c r="D693" s="5" t="s">
        <v>2619</v>
      </c>
      <c r="E693" s="5" t="s">
        <v>52</v>
      </c>
      <c r="G693" s="5" t="s">
        <v>1917</v>
      </c>
    </row>
    <row r="694" spans="4:7" hidden="1">
      <c r="D694" s="5" t="s">
        <v>2620</v>
      </c>
      <c r="E694" s="5" t="s">
        <v>52</v>
      </c>
      <c r="G694" s="5" t="s">
        <v>1917</v>
      </c>
    </row>
    <row r="695" spans="4:7" hidden="1">
      <c r="D695" s="5" t="s">
        <v>2621</v>
      </c>
      <c r="E695" s="5" t="s">
        <v>52</v>
      </c>
      <c r="G695" s="5" t="s">
        <v>1917</v>
      </c>
    </row>
    <row r="696" spans="4:7" hidden="1">
      <c r="D696" s="5" t="s">
        <v>2622</v>
      </c>
      <c r="E696" s="5" t="s">
        <v>52</v>
      </c>
      <c r="G696" s="5" t="s">
        <v>1917</v>
      </c>
    </row>
    <row r="697" spans="4:7" hidden="1">
      <c r="D697" s="5" t="s">
        <v>2623</v>
      </c>
      <c r="E697" s="5" t="s">
        <v>52</v>
      </c>
      <c r="G697" s="5" t="s">
        <v>1917</v>
      </c>
    </row>
    <row r="698" spans="4:7" hidden="1">
      <c r="D698" s="5" t="s">
        <v>2624</v>
      </c>
      <c r="E698" s="5" t="s">
        <v>52</v>
      </c>
      <c r="G698" s="5" t="s">
        <v>1917</v>
      </c>
    </row>
    <row r="699" spans="4:7" hidden="1">
      <c r="D699" s="5" t="s">
        <v>2625</v>
      </c>
      <c r="E699" s="5" t="s">
        <v>168</v>
      </c>
      <c r="G699" s="5" t="s">
        <v>1917</v>
      </c>
    </row>
    <row r="700" spans="4:7" hidden="1">
      <c r="D700" s="5" t="s">
        <v>2626</v>
      </c>
      <c r="E700" s="5" t="s">
        <v>168</v>
      </c>
      <c r="G700" s="5" t="s">
        <v>1917</v>
      </c>
    </row>
    <row r="701" spans="4:7" hidden="1">
      <c r="D701" s="5" t="s">
        <v>2627</v>
      </c>
      <c r="E701" s="5" t="s">
        <v>168</v>
      </c>
      <c r="G701" s="5" t="s">
        <v>1917</v>
      </c>
    </row>
    <row r="702" spans="4:7" hidden="1">
      <c r="D702" s="5" t="s">
        <v>2628</v>
      </c>
      <c r="E702" s="5" t="s">
        <v>427</v>
      </c>
      <c r="G702" s="5" t="s">
        <v>1917</v>
      </c>
    </row>
    <row r="703" spans="4:7" hidden="1">
      <c r="D703" s="5" t="s">
        <v>2629</v>
      </c>
      <c r="E703" s="5" t="s">
        <v>2056</v>
      </c>
      <c r="G703" s="5" t="s">
        <v>1917</v>
      </c>
    </row>
    <row r="704" spans="4:7" hidden="1">
      <c r="D704" s="5" t="s">
        <v>2630</v>
      </c>
      <c r="E704" s="5" t="s">
        <v>791</v>
      </c>
      <c r="G704" s="5" t="s">
        <v>1917</v>
      </c>
    </row>
    <row r="705" spans="4:7" hidden="1">
      <c r="D705" s="5" t="s">
        <v>2631</v>
      </c>
      <c r="E705" s="5" t="s">
        <v>430</v>
      </c>
      <c r="G705" s="5" t="s">
        <v>1917</v>
      </c>
    </row>
    <row r="706" spans="4:7" hidden="1">
      <c r="D706" s="5" t="s">
        <v>2632</v>
      </c>
      <c r="E706" s="5" t="s">
        <v>791</v>
      </c>
      <c r="G706" s="5" t="s">
        <v>1917</v>
      </c>
    </row>
    <row r="707" spans="4:7" hidden="1">
      <c r="D707" s="5" t="s">
        <v>2633</v>
      </c>
      <c r="E707" s="5" t="s">
        <v>2150</v>
      </c>
      <c r="G707" s="5" t="s">
        <v>406</v>
      </c>
    </row>
    <row r="708" spans="4:7" hidden="1">
      <c r="D708" s="5" t="s">
        <v>2634</v>
      </c>
      <c r="E708" s="5" t="s">
        <v>2635</v>
      </c>
      <c r="G708" s="5" t="s">
        <v>406</v>
      </c>
    </row>
    <row r="709" spans="4:7" hidden="1">
      <c r="D709" s="5" t="s">
        <v>2636</v>
      </c>
      <c r="E709" s="5" t="s">
        <v>2635</v>
      </c>
      <c r="G709" s="5" t="s">
        <v>2364</v>
      </c>
    </row>
    <row r="710" spans="4:7" hidden="1">
      <c r="D710" s="5" t="s">
        <v>2637</v>
      </c>
      <c r="E710" s="5" t="s">
        <v>720</v>
      </c>
      <c r="G710" s="5" t="s">
        <v>1917</v>
      </c>
    </row>
    <row r="711" spans="4:7" hidden="1">
      <c r="D711" s="5" t="s">
        <v>2638</v>
      </c>
      <c r="E711" s="5" t="s">
        <v>2020</v>
      </c>
      <c r="G711" s="5" t="s">
        <v>1917</v>
      </c>
    </row>
    <row r="712" spans="4:7" hidden="1">
      <c r="D712" s="5" t="s">
        <v>2639</v>
      </c>
      <c r="E712" s="5" t="s">
        <v>720</v>
      </c>
      <c r="G712" s="5" t="s">
        <v>1917</v>
      </c>
    </row>
    <row r="713" spans="4:7" hidden="1">
      <c r="D713" s="5" t="s">
        <v>2640</v>
      </c>
      <c r="E713" s="5" t="s">
        <v>451</v>
      </c>
      <c r="G713" s="5" t="s">
        <v>1917</v>
      </c>
    </row>
    <row r="714" spans="4:7" hidden="1">
      <c r="D714" s="5" t="s">
        <v>2641</v>
      </c>
      <c r="E714" s="5" t="s">
        <v>812</v>
      </c>
      <c r="G714" s="5" t="s">
        <v>1917</v>
      </c>
    </row>
    <row r="715" spans="4:7" hidden="1">
      <c r="D715" s="5" t="s">
        <v>2642</v>
      </c>
      <c r="E715" s="5" t="s">
        <v>430</v>
      </c>
      <c r="G715" s="5" t="s">
        <v>1917</v>
      </c>
    </row>
    <row r="716" spans="4:7" hidden="1">
      <c r="D716" s="5" t="s">
        <v>2643</v>
      </c>
      <c r="E716" s="5" t="s">
        <v>451</v>
      </c>
      <c r="G716" s="5" t="s">
        <v>1917</v>
      </c>
    </row>
    <row r="717" spans="4:7" hidden="1">
      <c r="D717" s="5" t="s">
        <v>2644</v>
      </c>
      <c r="E717" s="5" t="s">
        <v>451</v>
      </c>
      <c r="G717" s="5" t="s">
        <v>1917</v>
      </c>
    </row>
    <row r="718" spans="4:7" hidden="1">
      <c r="D718" s="5" t="s">
        <v>2645</v>
      </c>
      <c r="E718" s="5" t="s">
        <v>309</v>
      </c>
      <c r="G718" s="5" t="s">
        <v>1917</v>
      </c>
    </row>
    <row r="719" spans="4:7" hidden="1">
      <c r="D719" s="5" t="s">
        <v>2646</v>
      </c>
      <c r="E719" s="5" t="s">
        <v>309</v>
      </c>
      <c r="G719" s="5" t="s">
        <v>1917</v>
      </c>
    </row>
    <row r="720" spans="4:7" hidden="1">
      <c r="D720" s="5" t="s">
        <v>2647</v>
      </c>
      <c r="E720" s="5" t="s">
        <v>309</v>
      </c>
      <c r="G720" s="5" t="s">
        <v>1917</v>
      </c>
    </row>
    <row r="721" spans="4:7" hidden="1">
      <c r="D721" s="5" t="s">
        <v>2648</v>
      </c>
      <c r="E721" s="5" t="s">
        <v>168</v>
      </c>
      <c r="G721" s="5" t="s">
        <v>1917</v>
      </c>
    </row>
    <row r="722" spans="4:7" hidden="1">
      <c r="D722" s="5" t="s">
        <v>2649</v>
      </c>
      <c r="E722" s="5" t="s">
        <v>2020</v>
      </c>
      <c r="G722" s="5" t="s">
        <v>1917</v>
      </c>
    </row>
    <row r="723" spans="4:7" hidden="1">
      <c r="D723" s="5" t="s">
        <v>2650</v>
      </c>
      <c r="E723" s="5" t="s">
        <v>1969</v>
      </c>
      <c r="G723" s="5" t="s">
        <v>1920</v>
      </c>
    </row>
    <row r="724" spans="4:7" hidden="1">
      <c r="D724" s="5" t="s">
        <v>2651</v>
      </c>
      <c r="E724" s="5" t="s">
        <v>1969</v>
      </c>
      <c r="G724" s="5" t="s">
        <v>1920</v>
      </c>
    </row>
    <row r="725" spans="4:7" hidden="1">
      <c r="D725" s="5" t="s">
        <v>2652</v>
      </c>
      <c r="E725" s="5" t="s">
        <v>1969</v>
      </c>
      <c r="G725" s="5" t="s">
        <v>1920</v>
      </c>
    </row>
    <row r="726" spans="4:7" hidden="1">
      <c r="D726" s="5" t="s">
        <v>2653</v>
      </c>
      <c r="E726" s="5" t="s">
        <v>1969</v>
      </c>
      <c r="G726" s="5" t="s">
        <v>1926</v>
      </c>
    </row>
    <row r="727" spans="4:7" hidden="1">
      <c r="D727" s="5" t="s">
        <v>2654</v>
      </c>
      <c r="E727" s="5" t="s">
        <v>1969</v>
      </c>
      <c r="G727" s="5" t="s">
        <v>1920</v>
      </c>
    </row>
    <row r="728" spans="4:7" hidden="1">
      <c r="D728" s="5" t="s">
        <v>2655</v>
      </c>
      <c r="E728" s="5" t="s">
        <v>1969</v>
      </c>
      <c r="G728" s="5" t="s">
        <v>1920</v>
      </c>
    </row>
    <row r="729" spans="4:7" hidden="1">
      <c r="D729" s="5" t="s">
        <v>2656</v>
      </c>
      <c r="E729" s="5" t="s">
        <v>1969</v>
      </c>
      <c r="G729" s="5" t="s">
        <v>1920</v>
      </c>
    </row>
    <row r="730" spans="4:7" hidden="1">
      <c r="D730" s="5" t="s">
        <v>2657</v>
      </c>
      <c r="E730" s="5" t="s">
        <v>1969</v>
      </c>
      <c r="G730" s="5" t="s">
        <v>1920</v>
      </c>
    </row>
    <row r="731" spans="4:7" hidden="1">
      <c r="D731" s="5" t="s">
        <v>2658</v>
      </c>
      <c r="E731" s="5" t="s">
        <v>1969</v>
      </c>
      <c r="G731" s="5" t="s">
        <v>1920</v>
      </c>
    </row>
    <row r="732" spans="4:7" hidden="1">
      <c r="D732" s="5" t="s">
        <v>2659</v>
      </c>
      <c r="E732" s="5" t="s">
        <v>185</v>
      </c>
      <c r="G732" s="5" t="s">
        <v>1917</v>
      </c>
    </row>
    <row r="733" spans="4:7" hidden="1">
      <c r="D733" s="5" t="s">
        <v>2660</v>
      </c>
      <c r="E733" s="5" t="s">
        <v>185</v>
      </c>
      <c r="G733" s="5" t="s">
        <v>1926</v>
      </c>
    </row>
    <row r="734" spans="4:7" hidden="1">
      <c r="D734" s="5" t="s">
        <v>2661</v>
      </c>
      <c r="E734" s="5" t="s">
        <v>185</v>
      </c>
      <c r="G734" s="5" t="s">
        <v>1917</v>
      </c>
    </row>
    <row r="735" spans="4:7" hidden="1">
      <c r="D735" s="5" t="s">
        <v>2662</v>
      </c>
      <c r="E735" s="5" t="s">
        <v>185</v>
      </c>
      <c r="G735" s="5" t="s">
        <v>1926</v>
      </c>
    </row>
    <row r="736" spans="4:7" hidden="1">
      <c r="D736" s="5" t="s">
        <v>2663</v>
      </c>
      <c r="E736" s="5" t="s">
        <v>185</v>
      </c>
      <c r="G736" s="5" t="s">
        <v>1917</v>
      </c>
    </row>
    <row r="737" spans="4:7" hidden="1">
      <c r="D737" s="5" t="s">
        <v>2664</v>
      </c>
      <c r="E737" s="5" t="s">
        <v>185</v>
      </c>
      <c r="G737" s="5" t="s">
        <v>1917</v>
      </c>
    </row>
    <row r="738" spans="4:7" hidden="1">
      <c r="D738" s="5" t="s">
        <v>2665</v>
      </c>
      <c r="E738" s="5" t="s">
        <v>185</v>
      </c>
      <c r="G738" s="5" t="s">
        <v>1917</v>
      </c>
    </row>
    <row r="739" spans="4:7" hidden="1">
      <c r="D739" s="5" t="s">
        <v>2666</v>
      </c>
      <c r="E739" s="5" t="s">
        <v>185</v>
      </c>
      <c r="G739" s="5" t="s">
        <v>1917</v>
      </c>
    </row>
    <row r="740" spans="4:7" hidden="1">
      <c r="D740" s="5" t="s">
        <v>2667</v>
      </c>
      <c r="E740" s="5" t="s">
        <v>185</v>
      </c>
      <c r="G740" s="5" t="s">
        <v>1917</v>
      </c>
    </row>
    <row r="741" spans="4:7" hidden="1">
      <c r="D741" s="5" t="s">
        <v>2668</v>
      </c>
      <c r="E741" s="5" t="s">
        <v>185</v>
      </c>
      <c r="G741" s="5" t="s">
        <v>1917</v>
      </c>
    </row>
    <row r="742" spans="4:7" hidden="1">
      <c r="D742" s="5" t="s">
        <v>2669</v>
      </c>
      <c r="E742" s="5" t="s">
        <v>185</v>
      </c>
      <c r="G742" s="5" t="s">
        <v>1917</v>
      </c>
    </row>
    <row r="743" spans="4:7" hidden="1">
      <c r="D743" s="5" t="s">
        <v>2670</v>
      </c>
      <c r="E743" s="5" t="s">
        <v>185</v>
      </c>
      <c r="G743" s="5" t="s">
        <v>1917</v>
      </c>
    </row>
    <row r="744" spans="4:7" hidden="1">
      <c r="D744" s="5" t="s">
        <v>2671</v>
      </c>
      <c r="E744" s="5" t="s">
        <v>185</v>
      </c>
      <c r="G744" s="5" t="s">
        <v>1917</v>
      </c>
    </row>
    <row r="745" spans="4:7" hidden="1">
      <c r="D745" s="5" t="s">
        <v>2672</v>
      </c>
      <c r="E745" s="5" t="s">
        <v>185</v>
      </c>
      <c r="G745" s="5" t="s">
        <v>1917</v>
      </c>
    </row>
    <row r="746" spans="4:7" hidden="1">
      <c r="D746" s="5" t="s">
        <v>2673</v>
      </c>
      <c r="E746" s="5" t="s">
        <v>1969</v>
      </c>
      <c r="G746" s="5" t="s">
        <v>1920</v>
      </c>
    </row>
    <row r="747" spans="4:7" hidden="1">
      <c r="D747" s="5" t="s">
        <v>2674</v>
      </c>
      <c r="E747" s="5" t="s">
        <v>2056</v>
      </c>
      <c r="G747" s="5" t="s">
        <v>1926</v>
      </c>
    </row>
    <row r="748" spans="4:7" hidden="1">
      <c r="D748" s="5" t="s">
        <v>2675</v>
      </c>
      <c r="E748" s="5" t="s">
        <v>52</v>
      </c>
      <c r="G748" s="5" t="s">
        <v>1917</v>
      </c>
    </row>
    <row r="749" spans="4:7" hidden="1">
      <c r="D749" s="5" t="s">
        <v>2676</v>
      </c>
      <c r="E749" s="5" t="s">
        <v>451</v>
      </c>
      <c r="G749" s="5" t="s">
        <v>1917</v>
      </c>
    </row>
    <row r="750" spans="4:7" hidden="1">
      <c r="D750" s="5" t="s">
        <v>2677</v>
      </c>
      <c r="E750" s="5" t="s">
        <v>1978</v>
      </c>
      <c r="G750" s="5" t="s">
        <v>1917</v>
      </c>
    </row>
    <row r="751" spans="4:7" hidden="1">
      <c r="D751" s="5" t="s">
        <v>2678</v>
      </c>
      <c r="E751" s="5" t="s">
        <v>309</v>
      </c>
      <c r="G751" s="5" t="s">
        <v>1917</v>
      </c>
    </row>
    <row r="752" spans="4:7" hidden="1">
      <c r="D752" s="5" t="s">
        <v>2679</v>
      </c>
      <c r="E752" s="5" t="s">
        <v>451</v>
      </c>
      <c r="G752" s="5" t="s">
        <v>1917</v>
      </c>
    </row>
    <row r="753" spans="4:7" hidden="1">
      <c r="D753" s="5" t="s">
        <v>887</v>
      </c>
      <c r="E753" s="5" t="s">
        <v>2493</v>
      </c>
      <c r="G753" s="5" t="s">
        <v>2364</v>
      </c>
    </row>
    <row r="754" spans="4:7" hidden="1">
      <c r="D754" s="5" t="s">
        <v>2680</v>
      </c>
      <c r="E754" s="5" t="s">
        <v>427</v>
      </c>
      <c r="G754" s="5" t="s">
        <v>1917</v>
      </c>
    </row>
    <row r="755" spans="4:7" hidden="1">
      <c r="D755" s="5" t="s">
        <v>2681</v>
      </c>
      <c r="E755" s="5" t="s">
        <v>427</v>
      </c>
      <c r="G755" s="5" t="s">
        <v>1917</v>
      </c>
    </row>
    <row r="756" spans="4:7" hidden="1">
      <c r="D756" s="5" t="s">
        <v>2682</v>
      </c>
      <c r="E756" s="5" t="s">
        <v>451</v>
      </c>
      <c r="G756" s="5" t="s">
        <v>1917</v>
      </c>
    </row>
    <row r="757" spans="4:7" hidden="1">
      <c r="D757" s="5" t="s">
        <v>2683</v>
      </c>
      <c r="E757" s="5" t="s">
        <v>1953</v>
      </c>
      <c r="G757" s="5" t="s">
        <v>1917</v>
      </c>
    </row>
    <row r="758" spans="4:7" hidden="1">
      <c r="D758" s="5" t="s">
        <v>2684</v>
      </c>
      <c r="E758" s="5" t="s">
        <v>427</v>
      </c>
      <c r="G758" s="5" t="s">
        <v>1917</v>
      </c>
    </row>
    <row r="759" spans="4:7" hidden="1">
      <c r="D759" s="5" t="s">
        <v>2685</v>
      </c>
      <c r="E759" s="5" t="s">
        <v>427</v>
      </c>
      <c r="G759" s="5" t="s">
        <v>1917</v>
      </c>
    </row>
    <row r="760" spans="4:7" hidden="1">
      <c r="D760" s="5" t="s">
        <v>2686</v>
      </c>
      <c r="E760" s="5" t="s">
        <v>427</v>
      </c>
      <c r="G760" s="5" t="s">
        <v>1917</v>
      </c>
    </row>
    <row r="761" spans="4:7" hidden="1">
      <c r="D761" s="5" t="s">
        <v>2687</v>
      </c>
      <c r="E761" s="5" t="s">
        <v>427</v>
      </c>
      <c r="G761" s="5" t="s">
        <v>1917</v>
      </c>
    </row>
    <row r="762" spans="4:7" hidden="1">
      <c r="D762" s="5" t="s">
        <v>2688</v>
      </c>
      <c r="E762" s="5" t="s">
        <v>427</v>
      </c>
      <c r="G762" s="5" t="s">
        <v>1917</v>
      </c>
    </row>
    <row r="763" spans="4:7" hidden="1">
      <c r="D763" s="5" t="s">
        <v>2689</v>
      </c>
      <c r="E763" s="5" t="s">
        <v>427</v>
      </c>
      <c r="G763" s="5" t="s">
        <v>1917</v>
      </c>
    </row>
    <row r="764" spans="4:7" hidden="1">
      <c r="D764" s="5" t="s">
        <v>2690</v>
      </c>
      <c r="E764" s="5" t="s">
        <v>427</v>
      </c>
      <c r="G764" s="5" t="s">
        <v>1917</v>
      </c>
    </row>
    <row r="765" spans="4:7" hidden="1">
      <c r="D765" s="5" t="s">
        <v>2691</v>
      </c>
      <c r="E765" s="5" t="s">
        <v>427</v>
      </c>
      <c r="G765" s="5" t="s">
        <v>1917</v>
      </c>
    </row>
    <row r="766" spans="4:7" hidden="1">
      <c r="D766" s="5" t="s">
        <v>2692</v>
      </c>
      <c r="E766" s="5" t="s">
        <v>2091</v>
      </c>
      <c r="G766" s="5" t="s">
        <v>1917</v>
      </c>
    </row>
    <row r="767" spans="4:7" hidden="1">
      <c r="D767" s="5" t="s">
        <v>2693</v>
      </c>
      <c r="E767" s="5" t="s">
        <v>2091</v>
      </c>
      <c r="G767" s="5" t="s">
        <v>1917</v>
      </c>
    </row>
    <row r="768" spans="4:7" hidden="1">
      <c r="D768" s="5" t="s">
        <v>2694</v>
      </c>
      <c r="E768" s="5" t="s">
        <v>52</v>
      </c>
      <c r="G768" s="5" t="s">
        <v>1917</v>
      </c>
    </row>
    <row r="769" spans="4:7" hidden="1">
      <c r="D769" s="5" t="s">
        <v>2695</v>
      </c>
      <c r="E769" s="5" t="s">
        <v>52</v>
      </c>
      <c r="G769" s="5" t="s">
        <v>1917</v>
      </c>
    </row>
    <row r="770" spans="4:7" hidden="1">
      <c r="D770" s="5" t="s">
        <v>2696</v>
      </c>
      <c r="E770" s="5" t="s">
        <v>52</v>
      </c>
      <c r="G770" s="5" t="s">
        <v>1917</v>
      </c>
    </row>
    <row r="771" spans="4:7" hidden="1">
      <c r="D771" s="5" t="s">
        <v>2697</v>
      </c>
      <c r="E771" s="5" t="s">
        <v>52</v>
      </c>
      <c r="G771" s="5" t="s">
        <v>1917</v>
      </c>
    </row>
    <row r="772" spans="4:7" hidden="1">
      <c r="D772" s="5" t="s">
        <v>2698</v>
      </c>
      <c r="E772" s="5" t="s">
        <v>52</v>
      </c>
      <c r="G772" s="5" t="s">
        <v>1926</v>
      </c>
    </row>
    <row r="773" spans="4:7" hidden="1">
      <c r="D773" s="5" t="s">
        <v>2699</v>
      </c>
      <c r="E773" s="5" t="s">
        <v>52</v>
      </c>
      <c r="G773" s="5" t="s">
        <v>1917</v>
      </c>
    </row>
    <row r="774" spans="4:7" hidden="1">
      <c r="D774" s="5" t="s">
        <v>2700</v>
      </c>
      <c r="E774" s="5" t="s">
        <v>52</v>
      </c>
      <c r="G774" s="5" t="s">
        <v>1917</v>
      </c>
    </row>
    <row r="775" spans="4:7" hidden="1">
      <c r="D775" s="5" t="s">
        <v>2701</v>
      </c>
      <c r="E775" s="5" t="s">
        <v>52</v>
      </c>
      <c r="G775" s="5" t="s">
        <v>1917</v>
      </c>
    </row>
    <row r="776" spans="4:7" hidden="1">
      <c r="D776" s="5" t="s">
        <v>2702</v>
      </c>
      <c r="E776" s="5" t="s">
        <v>52</v>
      </c>
      <c r="G776" s="5" t="s">
        <v>1917</v>
      </c>
    </row>
    <row r="777" spans="4:7" hidden="1">
      <c r="D777" s="5" t="s">
        <v>2703</v>
      </c>
      <c r="E777" s="5" t="s">
        <v>2704</v>
      </c>
      <c r="G777" s="5" t="s">
        <v>1917</v>
      </c>
    </row>
    <row r="778" spans="4:7" hidden="1">
      <c r="D778" s="5" t="s">
        <v>2705</v>
      </c>
      <c r="E778" s="5" t="s">
        <v>52</v>
      </c>
      <c r="G778" s="5" t="s">
        <v>1917</v>
      </c>
    </row>
    <row r="779" spans="4:7" hidden="1">
      <c r="D779" s="5" t="s">
        <v>2706</v>
      </c>
      <c r="E779" s="5" t="s">
        <v>52</v>
      </c>
      <c r="G779" s="5" t="s">
        <v>1917</v>
      </c>
    </row>
    <row r="780" spans="4:7" hidden="1">
      <c r="D780" s="5" t="s">
        <v>2707</v>
      </c>
      <c r="E780" s="5" t="s">
        <v>52</v>
      </c>
      <c r="G780" s="5" t="s">
        <v>1917</v>
      </c>
    </row>
    <row r="781" spans="4:7" hidden="1">
      <c r="D781" s="5" t="s">
        <v>2708</v>
      </c>
      <c r="E781" s="5" t="s">
        <v>2056</v>
      </c>
      <c r="G781" s="5" t="s">
        <v>1917</v>
      </c>
    </row>
    <row r="782" spans="4:7" hidden="1">
      <c r="D782" s="5" t="s">
        <v>2709</v>
      </c>
      <c r="E782" s="5" t="s">
        <v>451</v>
      </c>
      <c r="G782" s="5" t="s">
        <v>1917</v>
      </c>
    </row>
    <row r="783" spans="4:7" hidden="1">
      <c r="D783" s="5" t="s">
        <v>2710</v>
      </c>
      <c r="E783" s="5" t="s">
        <v>52</v>
      </c>
      <c r="G783" s="5" t="s">
        <v>1917</v>
      </c>
    </row>
    <row r="784" spans="4:7" hidden="1">
      <c r="D784" s="5" t="s">
        <v>2711</v>
      </c>
      <c r="E784" s="5" t="s">
        <v>1916</v>
      </c>
      <c r="G784" s="5" t="s">
        <v>1917</v>
      </c>
    </row>
    <row r="785" spans="4:7" hidden="1">
      <c r="D785" s="5" t="s">
        <v>2712</v>
      </c>
      <c r="E785" s="5" t="s">
        <v>472</v>
      </c>
      <c r="G785" s="5" t="s">
        <v>1917</v>
      </c>
    </row>
    <row r="786" spans="4:7" hidden="1">
      <c r="D786" s="5" t="s">
        <v>2713</v>
      </c>
      <c r="E786" s="5" t="s">
        <v>472</v>
      </c>
      <c r="G786" s="5" t="s">
        <v>1917</v>
      </c>
    </row>
    <row r="787" spans="4:7" hidden="1">
      <c r="D787" s="5" t="s">
        <v>2714</v>
      </c>
      <c r="E787" s="5" t="s">
        <v>2056</v>
      </c>
      <c r="G787" s="5" t="s">
        <v>1926</v>
      </c>
    </row>
    <row r="788" spans="4:7" hidden="1">
      <c r="D788" s="5" t="s">
        <v>2715</v>
      </c>
      <c r="E788" s="5" t="s">
        <v>2056</v>
      </c>
      <c r="G788" s="5" t="s">
        <v>1917</v>
      </c>
    </row>
    <row r="789" spans="4:7" hidden="1">
      <c r="D789" s="5" t="s">
        <v>2716</v>
      </c>
      <c r="E789" s="5" t="s">
        <v>2056</v>
      </c>
      <c r="G789" s="5" t="s">
        <v>1917</v>
      </c>
    </row>
    <row r="790" spans="4:7" hidden="1">
      <c r="D790" s="5" t="s">
        <v>2717</v>
      </c>
      <c r="E790" s="5" t="s">
        <v>2056</v>
      </c>
      <c r="G790" s="5" t="s">
        <v>1917</v>
      </c>
    </row>
    <row r="791" spans="4:7" hidden="1">
      <c r="D791" s="5" t="s">
        <v>2718</v>
      </c>
      <c r="E791" s="5" t="s">
        <v>2056</v>
      </c>
      <c r="G791" s="5" t="s">
        <v>1917</v>
      </c>
    </row>
    <row r="792" spans="4:7" hidden="1">
      <c r="D792" s="5" t="s">
        <v>2719</v>
      </c>
      <c r="E792" s="5" t="s">
        <v>451</v>
      </c>
      <c r="G792" s="5" t="s">
        <v>1917</v>
      </c>
    </row>
    <row r="793" spans="4:7" hidden="1">
      <c r="D793" s="5" t="s">
        <v>2720</v>
      </c>
      <c r="E793" s="5" t="s">
        <v>451</v>
      </c>
      <c r="G793" s="5" t="s">
        <v>1917</v>
      </c>
    </row>
    <row r="794" spans="4:7" hidden="1">
      <c r="D794" s="5" t="s">
        <v>2721</v>
      </c>
      <c r="E794" s="5" t="s">
        <v>1953</v>
      </c>
      <c r="G794" s="5" t="s">
        <v>1917</v>
      </c>
    </row>
    <row r="795" spans="4:7" hidden="1">
      <c r="D795" s="5" t="s">
        <v>2722</v>
      </c>
      <c r="E795" s="5" t="s">
        <v>1890</v>
      </c>
      <c r="G795" s="5" t="s">
        <v>1917</v>
      </c>
    </row>
    <row r="796" spans="4:7" hidden="1">
      <c r="D796" s="5" t="s">
        <v>2723</v>
      </c>
      <c r="E796" s="5" t="s">
        <v>1890</v>
      </c>
      <c r="G796" s="5" t="s">
        <v>1917</v>
      </c>
    </row>
    <row r="797" spans="4:7" hidden="1">
      <c r="D797" s="5" t="s">
        <v>2724</v>
      </c>
      <c r="E797" s="5" t="s">
        <v>2635</v>
      </c>
      <c r="G797" s="5" t="s">
        <v>406</v>
      </c>
    </row>
    <row r="798" spans="4:7" hidden="1">
      <c r="D798" s="5" t="s">
        <v>2725</v>
      </c>
      <c r="E798" s="5" t="s">
        <v>451</v>
      </c>
      <c r="G798" s="5" t="s">
        <v>1917</v>
      </c>
    </row>
    <row r="799" spans="4:7" hidden="1">
      <c r="D799" s="5" t="s">
        <v>2726</v>
      </c>
      <c r="E799" s="5" t="s">
        <v>2422</v>
      </c>
      <c r="G799" s="5" t="s">
        <v>2364</v>
      </c>
    </row>
    <row r="800" spans="4:7" hidden="1">
      <c r="D800" s="5" t="s">
        <v>2727</v>
      </c>
      <c r="E800" s="5" t="s">
        <v>2536</v>
      </c>
      <c r="G800" s="5" t="s">
        <v>1926</v>
      </c>
    </row>
    <row r="801" spans="4:7" hidden="1">
      <c r="D801" s="5" t="s">
        <v>2728</v>
      </c>
      <c r="E801" s="5" t="s">
        <v>427</v>
      </c>
      <c r="G801" s="5" t="s">
        <v>1917</v>
      </c>
    </row>
    <row r="802" spans="4:7" hidden="1">
      <c r="D802" s="5" t="s">
        <v>2729</v>
      </c>
      <c r="E802" s="5" t="s">
        <v>2150</v>
      </c>
      <c r="G802" s="5" t="s">
        <v>406</v>
      </c>
    </row>
    <row r="803" spans="4:7" hidden="1">
      <c r="D803" s="5" t="s">
        <v>2730</v>
      </c>
      <c r="E803" s="5" t="s">
        <v>2150</v>
      </c>
      <c r="G803" s="5" t="s">
        <v>406</v>
      </c>
    </row>
    <row r="804" spans="4:7" hidden="1">
      <c r="D804" s="5" t="s">
        <v>2731</v>
      </c>
      <c r="E804" s="5" t="s">
        <v>791</v>
      </c>
      <c r="G804" s="5" t="s">
        <v>1917</v>
      </c>
    </row>
    <row r="805" spans="4:7" hidden="1">
      <c r="D805" s="5" t="s">
        <v>2732</v>
      </c>
      <c r="E805" s="5" t="s">
        <v>451</v>
      </c>
      <c r="G805" s="5" t="s">
        <v>1917</v>
      </c>
    </row>
    <row r="806" spans="4:7" hidden="1">
      <c r="D806" s="5" t="s">
        <v>2733</v>
      </c>
      <c r="E806" s="5" t="s">
        <v>2005</v>
      </c>
      <c r="G806" s="5" t="s">
        <v>1917</v>
      </c>
    </row>
    <row r="807" spans="4:7" hidden="1">
      <c r="D807" s="5" t="s">
        <v>2734</v>
      </c>
      <c r="E807" s="5" t="s">
        <v>2536</v>
      </c>
      <c r="G807" s="5" t="s">
        <v>1926</v>
      </c>
    </row>
    <row r="808" spans="4:7" hidden="1">
      <c r="D808" s="5" t="s">
        <v>2735</v>
      </c>
      <c r="E808" s="5" t="s">
        <v>2536</v>
      </c>
      <c r="G808" s="5" t="s">
        <v>1926</v>
      </c>
    </row>
    <row r="809" spans="4:7" hidden="1">
      <c r="D809" s="5" t="s">
        <v>2736</v>
      </c>
      <c r="E809" s="5" t="s">
        <v>451</v>
      </c>
      <c r="G809" s="5" t="s">
        <v>1917</v>
      </c>
    </row>
    <row r="810" spans="4:7" hidden="1">
      <c r="D810" s="5" t="s">
        <v>2737</v>
      </c>
      <c r="E810" s="5" t="s">
        <v>451</v>
      </c>
      <c r="G810" s="5" t="s">
        <v>1926</v>
      </c>
    </row>
    <row r="811" spans="4:7" hidden="1">
      <c r="D811" s="5" t="s">
        <v>2738</v>
      </c>
      <c r="E811" s="5" t="s">
        <v>52</v>
      </c>
      <c r="G811" s="5" t="s">
        <v>1917</v>
      </c>
    </row>
    <row r="812" spans="4:7" hidden="1">
      <c r="D812" s="5" t="s">
        <v>2739</v>
      </c>
      <c r="E812" s="5" t="s">
        <v>52</v>
      </c>
      <c r="G812" s="5" t="s">
        <v>1917</v>
      </c>
    </row>
    <row r="813" spans="4:7" hidden="1">
      <c r="D813" s="5" t="s">
        <v>2740</v>
      </c>
      <c r="E813" s="5" t="s">
        <v>52</v>
      </c>
      <c r="G813" s="5" t="s">
        <v>1917</v>
      </c>
    </row>
    <row r="814" spans="4:7" hidden="1">
      <c r="D814" s="5" t="s">
        <v>2741</v>
      </c>
      <c r="E814" s="5" t="s">
        <v>52</v>
      </c>
      <c r="G814" s="5" t="s">
        <v>1917</v>
      </c>
    </row>
    <row r="815" spans="4:7" hidden="1">
      <c r="D815" s="5" t="s">
        <v>2742</v>
      </c>
      <c r="E815" s="5" t="s">
        <v>52</v>
      </c>
      <c r="G815" s="5" t="s">
        <v>1917</v>
      </c>
    </row>
    <row r="816" spans="4:7" hidden="1">
      <c r="D816" s="5" t="s">
        <v>2743</v>
      </c>
      <c r="E816" s="5" t="s">
        <v>52</v>
      </c>
      <c r="G816" s="5" t="s">
        <v>1917</v>
      </c>
    </row>
    <row r="817" spans="4:7" hidden="1">
      <c r="D817" s="5" t="s">
        <v>1188</v>
      </c>
      <c r="E817" s="5" t="s">
        <v>52</v>
      </c>
      <c r="G817" s="5" t="s">
        <v>1917</v>
      </c>
    </row>
    <row r="818" spans="4:7" hidden="1">
      <c r="D818" s="5" t="s">
        <v>2744</v>
      </c>
      <c r="E818" s="5" t="s">
        <v>2745</v>
      </c>
      <c r="G818" s="5" t="s">
        <v>1926</v>
      </c>
    </row>
    <row r="819" spans="4:7" hidden="1">
      <c r="D819" s="5" t="s">
        <v>2746</v>
      </c>
      <c r="E819" s="5" t="s">
        <v>52</v>
      </c>
      <c r="G819" s="5" t="s">
        <v>1917</v>
      </c>
    </row>
    <row r="820" spans="4:7" hidden="1">
      <c r="D820" s="5" t="s">
        <v>2747</v>
      </c>
      <c r="E820" s="5" t="s">
        <v>52</v>
      </c>
      <c r="G820" s="5" t="s">
        <v>1917</v>
      </c>
    </row>
    <row r="821" spans="4:7" hidden="1">
      <c r="D821" s="5" t="s">
        <v>2748</v>
      </c>
      <c r="E821" s="5" t="s">
        <v>52</v>
      </c>
      <c r="G821" s="5" t="s">
        <v>1917</v>
      </c>
    </row>
    <row r="822" spans="4:7" hidden="1">
      <c r="D822" s="5" t="s">
        <v>2749</v>
      </c>
      <c r="E822" s="5" t="s">
        <v>52</v>
      </c>
      <c r="G822" s="5" t="s">
        <v>1917</v>
      </c>
    </row>
    <row r="823" spans="4:7" hidden="1">
      <c r="D823" s="5" t="s">
        <v>2750</v>
      </c>
      <c r="E823" s="5" t="s">
        <v>52</v>
      </c>
      <c r="G823" s="5" t="s">
        <v>1917</v>
      </c>
    </row>
    <row r="824" spans="4:7" hidden="1">
      <c r="D824" s="5" t="s">
        <v>2751</v>
      </c>
      <c r="E824" s="5" t="s">
        <v>52</v>
      </c>
      <c r="G824" s="5" t="s">
        <v>1917</v>
      </c>
    </row>
    <row r="825" spans="4:7" hidden="1">
      <c r="D825" s="5" t="s">
        <v>2752</v>
      </c>
      <c r="E825" s="5" t="s">
        <v>52</v>
      </c>
      <c r="G825" s="5" t="s">
        <v>1917</v>
      </c>
    </row>
    <row r="826" spans="4:7" hidden="1">
      <c r="D826" s="5" t="s">
        <v>2753</v>
      </c>
      <c r="E826" s="5" t="s">
        <v>52</v>
      </c>
      <c r="G826" s="5" t="s">
        <v>1917</v>
      </c>
    </row>
    <row r="827" spans="4:7" hidden="1">
      <c r="D827" s="5" t="s">
        <v>2754</v>
      </c>
      <c r="E827" s="5" t="s">
        <v>52</v>
      </c>
      <c r="G827" s="5" t="s">
        <v>1917</v>
      </c>
    </row>
    <row r="828" spans="4:7" hidden="1">
      <c r="D828" s="5" t="s">
        <v>2755</v>
      </c>
      <c r="E828" s="5" t="s">
        <v>52</v>
      </c>
      <c r="G828" s="5" t="s">
        <v>1917</v>
      </c>
    </row>
    <row r="829" spans="4:7" hidden="1">
      <c r="D829" s="5" t="s">
        <v>2756</v>
      </c>
      <c r="E829" s="5" t="s">
        <v>52</v>
      </c>
      <c r="G829" s="5" t="s">
        <v>1917</v>
      </c>
    </row>
    <row r="830" spans="4:7" hidden="1">
      <c r="D830" s="5" t="s">
        <v>2757</v>
      </c>
      <c r="E830" s="5" t="s">
        <v>52</v>
      </c>
      <c r="G830" s="5" t="s">
        <v>1917</v>
      </c>
    </row>
    <row r="831" spans="4:7" hidden="1">
      <c r="D831" s="5" t="s">
        <v>2758</v>
      </c>
      <c r="E831" s="5" t="s">
        <v>52</v>
      </c>
      <c r="G831" s="5" t="s">
        <v>1917</v>
      </c>
    </row>
    <row r="832" spans="4:7" hidden="1">
      <c r="D832" s="5" t="s">
        <v>2759</v>
      </c>
      <c r="E832" s="5" t="s">
        <v>52</v>
      </c>
      <c r="G832" s="5" t="s">
        <v>1917</v>
      </c>
    </row>
    <row r="833" spans="4:7" hidden="1">
      <c r="D833" s="5" t="s">
        <v>2760</v>
      </c>
      <c r="E833" s="5" t="s">
        <v>430</v>
      </c>
      <c r="G833" s="5" t="s">
        <v>1917</v>
      </c>
    </row>
    <row r="834" spans="4:7" hidden="1">
      <c r="D834" s="5" t="s">
        <v>2761</v>
      </c>
      <c r="E834" s="5" t="s">
        <v>52</v>
      </c>
      <c r="G834" s="5" t="s">
        <v>1917</v>
      </c>
    </row>
    <row r="835" spans="4:7" hidden="1">
      <c r="D835" s="5" t="s">
        <v>2762</v>
      </c>
      <c r="E835" s="5" t="s">
        <v>52</v>
      </c>
      <c r="G835" s="5" t="s">
        <v>1917</v>
      </c>
    </row>
    <row r="836" spans="4:7">
      <c r="D836" s="5" t="s">
        <v>2763</v>
      </c>
      <c r="E836" s="5" t="s">
        <v>2764</v>
      </c>
      <c r="G836" s="5" t="s">
        <v>1917</v>
      </c>
    </row>
    <row r="837" spans="4:7" hidden="1">
      <c r="D837" s="5" t="s">
        <v>2765</v>
      </c>
      <c r="E837" s="5" t="s">
        <v>52</v>
      </c>
      <c r="G837" s="5" t="s">
        <v>1917</v>
      </c>
    </row>
    <row r="838" spans="4:7" hidden="1">
      <c r="D838" s="5" t="s">
        <v>2766</v>
      </c>
      <c r="E838" s="5" t="s">
        <v>52</v>
      </c>
      <c r="G838" s="5" t="s">
        <v>1917</v>
      </c>
    </row>
    <row r="839" spans="4:7" hidden="1">
      <c r="D839" s="5" t="s">
        <v>2767</v>
      </c>
      <c r="E839" s="5" t="s">
        <v>52</v>
      </c>
      <c r="G839" s="5" t="s">
        <v>1917</v>
      </c>
    </row>
    <row r="840" spans="4:7" hidden="1">
      <c r="D840" s="5" t="s">
        <v>2768</v>
      </c>
      <c r="E840" s="5" t="s">
        <v>52</v>
      </c>
      <c r="G840" s="5" t="s">
        <v>1917</v>
      </c>
    </row>
    <row r="841" spans="4:7" hidden="1">
      <c r="D841" s="5" t="s">
        <v>2769</v>
      </c>
      <c r="E841" s="5" t="s">
        <v>52</v>
      </c>
      <c r="G841" s="5" t="s">
        <v>1917</v>
      </c>
    </row>
    <row r="842" spans="4:7" hidden="1">
      <c r="D842" s="5" t="s">
        <v>2770</v>
      </c>
      <c r="E842" s="5" t="s">
        <v>52</v>
      </c>
      <c r="G842" s="5" t="s">
        <v>1917</v>
      </c>
    </row>
    <row r="843" spans="4:7" hidden="1">
      <c r="D843" s="5" t="s">
        <v>2771</v>
      </c>
      <c r="E843" s="5" t="s">
        <v>52</v>
      </c>
      <c r="G843" s="5" t="s">
        <v>1926</v>
      </c>
    </row>
    <row r="844" spans="4:7" hidden="1">
      <c r="D844" s="5" t="s">
        <v>2772</v>
      </c>
      <c r="E844" s="5" t="s">
        <v>52</v>
      </c>
      <c r="G844" s="5" t="s">
        <v>1917</v>
      </c>
    </row>
    <row r="845" spans="4:7" hidden="1">
      <c r="D845" s="5" t="s">
        <v>2773</v>
      </c>
      <c r="E845" s="5" t="s">
        <v>52</v>
      </c>
      <c r="G845" s="5" t="s">
        <v>1917</v>
      </c>
    </row>
    <row r="846" spans="4:7" hidden="1">
      <c r="D846" s="5" t="s">
        <v>2774</v>
      </c>
      <c r="E846" s="5" t="s">
        <v>52</v>
      </c>
      <c r="G846" s="5" t="s">
        <v>1917</v>
      </c>
    </row>
    <row r="847" spans="4:7" hidden="1">
      <c r="D847" s="5" t="s">
        <v>2775</v>
      </c>
      <c r="E847" s="5" t="s">
        <v>52</v>
      </c>
      <c r="G847" s="5" t="s">
        <v>1917</v>
      </c>
    </row>
    <row r="848" spans="4:7" hidden="1">
      <c r="D848" s="5" t="s">
        <v>2776</v>
      </c>
      <c r="E848" s="5" t="s">
        <v>52</v>
      </c>
      <c r="G848" s="5" t="s">
        <v>1917</v>
      </c>
    </row>
    <row r="849" spans="4:7" hidden="1">
      <c r="D849" s="5" t="s">
        <v>2777</v>
      </c>
      <c r="E849" s="5" t="s">
        <v>52</v>
      </c>
      <c r="G849" s="5" t="s">
        <v>1917</v>
      </c>
    </row>
    <row r="850" spans="4:7" hidden="1">
      <c r="D850" s="5" t="s">
        <v>2778</v>
      </c>
      <c r="E850" s="5" t="s">
        <v>791</v>
      </c>
      <c r="G850" s="5" t="s">
        <v>1917</v>
      </c>
    </row>
    <row r="851" spans="4:7" hidden="1">
      <c r="D851" s="5" t="s">
        <v>2779</v>
      </c>
      <c r="E851" s="5" t="s">
        <v>791</v>
      </c>
      <c r="G851" s="5" t="s">
        <v>1917</v>
      </c>
    </row>
    <row r="852" spans="4:7" hidden="1">
      <c r="D852" s="5" t="s">
        <v>2780</v>
      </c>
      <c r="E852" s="5" t="s">
        <v>1945</v>
      </c>
      <c r="G852" s="5" t="s">
        <v>1926</v>
      </c>
    </row>
    <row r="853" spans="4:7" hidden="1">
      <c r="D853" s="5" t="s">
        <v>2781</v>
      </c>
      <c r="E853" s="5" t="s">
        <v>812</v>
      </c>
      <c r="G853" s="5" t="s">
        <v>1917</v>
      </c>
    </row>
    <row r="854" spans="4:7" hidden="1">
      <c r="D854" s="5" t="s">
        <v>2782</v>
      </c>
      <c r="E854" s="5" t="s">
        <v>812</v>
      </c>
      <c r="G854" s="5" t="s">
        <v>1917</v>
      </c>
    </row>
    <row r="855" spans="4:7" hidden="1">
      <c r="D855" s="5" t="s">
        <v>2783</v>
      </c>
      <c r="E855" s="5" t="s">
        <v>812</v>
      </c>
      <c r="G855" s="5" t="s">
        <v>1917</v>
      </c>
    </row>
    <row r="856" spans="4:7" hidden="1">
      <c r="D856" s="5" t="s">
        <v>2784</v>
      </c>
      <c r="E856" s="5" t="s">
        <v>812</v>
      </c>
      <c r="G856" s="5" t="s">
        <v>1917</v>
      </c>
    </row>
    <row r="857" spans="4:7" hidden="1">
      <c r="D857" s="5" t="s">
        <v>2785</v>
      </c>
      <c r="E857" s="5" t="s">
        <v>812</v>
      </c>
      <c r="G857" s="5" t="s">
        <v>1917</v>
      </c>
    </row>
    <row r="858" spans="4:7" hidden="1">
      <c r="D858" s="5" t="s">
        <v>2786</v>
      </c>
      <c r="E858" s="5" t="s">
        <v>812</v>
      </c>
      <c r="G858" s="5" t="s">
        <v>1917</v>
      </c>
    </row>
    <row r="859" spans="4:7" hidden="1">
      <c r="D859" s="5" t="s">
        <v>2787</v>
      </c>
      <c r="E859" s="5" t="s">
        <v>2056</v>
      </c>
      <c r="G859" s="5" t="s">
        <v>1917</v>
      </c>
    </row>
    <row r="860" spans="4:7" hidden="1">
      <c r="D860" s="5" t="s">
        <v>2788</v>
      </c>
      <c r="E860" s="5" t="s">
        <v>2056</v>
      </c>
      <c r="G860" s="5" t="s">
        <v>1917</v>
      </c>
    </row>
    <row r="861" spans="4:7" hidden="1">
      <c r="D861" s="5" t="s">
        <v>2789</v>
      </c>
      <c r="E861" s="5" t="s">
        <v>1894</v>
      </c>
      <c r="G861" s="5" t="s">
        <v>1917</v>
      </c>
    </row>
    <row r="862" spans="4:7" hidden="1">
      <c r="D862" s="5" t="s">
        <v>2790</v>
      </c>
      <c r="E862" s="5" t="s">
        <v>1894</v>
      </c>
      <c r="G862" s="5" t="s">
        <v>1926</v>
      </c>
    </row>
    <row r="863" spans="4:7" hidden="1">
      <c r="D863" s="5" t="s">
        <v>2791</v>
      </c>
      <c r="E863" s="5" t="s">
        <v>2792</v>
      </c>
      <c r="G863" s="5" t="s">
        <v>1917</v>
      </c>
    </row>
    <row r="864" spans="4:7" hidden="1">
      <c r="D864" s="5" t="s">
        <v>2793</v>
      </c>
      <c r="E864" s="5" t="s">
        <v>2792</v>
      </c>
      <c r="G864" s="5" t="s">
        <v>1917</v>
      </c>
    </row>
    <row r="865" spans="4:7" hidden="1">
      <c r="D865" s="5" t="s">
        <v>2794</v>
      </c>
      <c r="E865" s="5" t="s">
        <v>812</v>
      </c>
      <c r="G865" s="5" t="s">
        <v>1917</v>
      </c>
    </row>
    <row r="866" spans="4:7" hidden="1">
      <c r="D866" s="5" t="s">
        <v>2795</v>
      </c>
      <c r="E866" s="5" t="s">
        <v>2020</v>
      </c>
      <c r="G866" s="5" t="s">
        <v>1917</v>
      </c>
    </row>
    <row r="867" spans="4:7" hidden="1">
      <c r="D867" s="5" t="s">
        <v>2796</v>
      </c>
      <c r="E867" s="5" t="s">
        <v>52</v>
      </c>
      <c r="G867" s="5" t="s">
        <v>1917</v>
      </c>
    </row>
    <row r="868" spans="4:7" hidden="1">
      <c r="D868" s="5" t="s">
        <v>2797</v>
      </c>
      <c r="E868" s="5" t="s">
        <v>52</v>
      </c>
      <c r="G868" s="5" t="s">
        <v>1917</v>
      </c>
    </row>
    <row r="869" spans="4:7" hidden="1">
      <c r="D869" s="5" t="s">
        <v>2798</v>
      </c>
      <c r="E869" s="5" t="s">
        <v>52</v>
      </c>
      <c r="G869" s="5" t="s">
        <v>1917</v>
      </c>
    </row>
    <row r="870" spans="4:7" hidden="1">
      <c r="D870" s="5" t="s">
        <v>2799</v>
      </c>
      <c r="E870" s="5" t="s">
        <v>52</v>
      </c>
      <c r="G870" s="5" t="s">
        <v>1917</v>
      </c>
    </row>
    <row r="871" spans="4:7" hidden="1">
      <c r="D871" s="5" t="s">
        <v>2800</v>
      </c>
      <c r="E871" s="5" t="s">
        <v>52</v>
      </c>
      <c r="G871" s="5" t="s">
        <v>1917</v>
      </c>
    </row>
    <row r="872" spans="4:7" hidden="1">
      <c r="D872" s="5" t="s">
        <v>2801</v>
      </c>
      <c r="E872" s="5" t="s">
        <v>52</v>
      </c>
      <c r="G872" s="5" t="s">
        <v>1917</v>
      </c>
    </row>
    <row r="873" spans="4:7" hidden="1">
      <c r="D873" s="5" t="s">
        <v>2802</v>
      </c>
      <c r="E873" s="5" t="s">
        <v>52</v>
      </c>
      <c r="G873" s="5" t="s">
        <v>1917</v>
      </c>
    </row>
    <row r="874" spans="4:7" hidden="1">
      <c r="D874" s="5" t="s">
        <v>2803</v>
      </c>
      <c r="E874" s="5" t="s">
        <v>52</v>
      </c>
      <c r="G874" s="5" t="s">
        <v>1917</v>
      </c>
    </row>
    <row r="875" spans="4:7" hidden="1">
      <c r="D875" s="5" t="s">
        <v>2804</v>
      </c>
      <c r="E875" s="5" t="s">
        <v>52</v>
      </c>
      <c r="G875" s="5" t="s">
        <v>1917</v>
      </c>
    </row>
    <row r="876" spans="4:7" hidden="1">
      <c r="D876" s="5" t="s">
        <v>2805</v>
      </c>
      <c r="E876" s="5" t="s">
        <v>52</v>
      </c>
      <c r="G876" s="5" t="s">
        <v>1917</v>
      </c>
    </row>
    <row r="877" spans="4:7" hidden="1">
      <c r="D877" s="5" t="s">
        <v>2806</v>
      </c>
      <c r="E877" s="5" t="s">
        <v>2091</v>
      </c>
      <c r="G877" s="5" t="s">
        <v>1917</v>
      </c>
    </row>
    <row r="878" spans="4:7" hidden="1">
      <c r="D878" s="5" t="s">
        <v>2807</v>
      </c>
      <c r="E878" s="5" t="s">
        <v>2005</v>
      </c>
      <c r="G878" s="5" t="s">
        <v>1917</v>
      </c>
    </row>
    <row r="879" spans="4:7" hidden="1">
      <c r="D879" s="5" t="s">
        <v>2808</v>
      </c>
      <c r="E879" s="5" t="s">
        <v>430</v>
      </c>
      <c r="G879" s="5" t="s">
        <v>1917</v>
      </c>
    </row>
    <row r="880" spans="4:7" hidden="1">
      <c r="D880" s="5" t="s">
        <v>2809</v>
      </c>
      <c r="E880" s="5" t="s">
        <v>720</v>
      </c>
      <c r="G880" s="5" t="s">
        <v>1917</v>
      </c>
    </row>
    <row r="881" spans="4:7" hidden="1">
      <c r="D881" s="5" t="s">
        <v>2810</v>
      </c>
      <c r="E881" s="5" t="s">
        <v>430</v>
      </c>
      <c r="G881" s="5" t="s">
        <v>1917</v>
      </c>
    </row>
    <row r="882" spans="4:7" hidden="1">
      <c r="D882" s="5" t="s">
        <v>2811</v>
      </c>
      <c r="E882" s="5" t="s">
        <v>309</v>
      </c>
      <c r="G882" s="5" t="s">
        <v>1917</v>
      </c>
    </row>
    <row r="883" spans="4:7" hidden="1">
      <c r="D883" s="5" t="s">
        <v>2812</v>
      </c>
      <c r="E883" s="5" t="s">
        <v>791</v>
      </c>
      <c r="G883" s="5" t="s">
        <v>1917</v>
      </c>
    </row>
    <row r="884" spans="4:7" hidden="1">
      <c r="D884" s="5" t="s">
        <v>2813</v>
      </c>
      <c r="E884" s="5" t="s">
        <v>791</v>
      </c>
      <c r="G884" s="5" t="s">
        <v>1917</v>
      </c>
    </row>
    <row r="885" spans="4:7" hidden="1">
      <c r="D885" s="5" t="s">
        <v>2814</v>
      </c>
      <c r="E885" s="5" t="s">
        <v>791</v>
      </c>
      <c r="G885" s="5" t="s">
        <v>1917</v>
      </c>
    </row>
    <row r="886" spans="4:7" hidden="1">
      <c r="D886" s="5" t="s">
        <v>2815</v>
      </c>
      <c r="E886" s="5" t="s">
        <v>791</v>
      </c>
      <c r="G886" s="5" t="s">
        <v>1917</v>
      </c>
    </row>
    <row r="887" spans="4:7" hidden="1">
      <c r="D887" s="5" t="s">
        <v>2816</v>
      </c>
      <c r="E887" s="5" t="s">
        <v>791</v>
      </c>
      <c r="G887" s="5" t="s">
        <v>1917</v>
      </c>
    </row>
    <row r="888" spans="4:7" hidden="1">
      <c r="D888" s="5" t="s">
        <v>2817</v>
      </c>
      <c r="E888" s="5" t="s">
        <v>791</v>
      </c>
      <c r="G888" s="5" t="s">
        <v>1917</v>
      </c>
    </row>
    <row r="889" spans="4:7" hidden="1">
      <c r="D889" s="5" t="s">
        <v>2818</v>
      </c>
      <c r="E889" s="5" t="s">
        <v>2819</v>
      </c>
      <c r="G889" s="5" t="s">
        <v>1917</v>
      </c>
    </row>
    <row r="890" spans="4:7" hidden="1">
      <c r="D890" s="5" t="s">
        <v>2820</v>
      </c>
      <c r="E890" s="5" t="s">
        <v>168</v>
      </c>
      <c r="G890" s="5" t="s">
        <v>1917</v>
      </c>
    </row>
    <row r="891" spans="4:7" hidden="1">
      <c r="D891" s="5" t="s">
        <v>2821</v>
      </c>
      <c r="E891" s="5" t="s">
        <v>2150</v>
      </c>
      <c r="G891" s="5" t="s">
        <v>406</v>
      </c>
    </row>
    <row r="892" spans="4:7" hidden="1">
      <c r="D892" s="5" t="s">
        <v>2822</v>
      </c>
      <c r="E892" s="5" t="s">
        <v>168</v>
      </c>
      <c r="G892" s="5" t="s">
        <v>1917</v>
      </c>
    </row>
    <row r="893" spans="4:7" hidden="1">
      <c r="D893" s="5" t="s">
        <v>2823</v>
      </c>
      <c r="E893" s="5" t="s">
        <v>2824</v>
      </c>
      <c r="G893" s="5" t="s">
        <v>2364</v>
      </c>
    </row>
    <row r="894" spans="4:7" hidden="1">
      <c r="D894" s="5" t="s">
        <v>2825</v>
      </c>
      <c r="E894" s="5" t="s">
        <v>2819</v>
      </c>
      <c r="G894" s="5" t="s">
        <v>1917</v>
      </c>
    </row>
    <row r="895" spans="4:7" hidden="1">
      <c r="D895" s="5" t="s">
        <v>2826</v>
      </c>
      <c r="E895" s="5" t="s">
        <v>1945</v>
      </c>
      <c r="G895" s="5" t="s">
        <v>1917</v>
      </c>
    </row>
    <row r="896" spans="4:7" hidden="1">
      <c r="D896" s="5" t="s">
        <v>2827</v>
      </c>
      <c r="E896" s="5" t="s">
        <v>1945</v>
      </c>
      <c r="G896" s="5" t="s">
        <v>1926</v>
      </c>
    </row>
    <row r="897" spans="4:7" hidden="1">
      <c r="D897" s="5" t="s">
        <v>2828</v>
      </c>
      <c r="E897" s="5" t="s">
        <v>1945</v>
      </c>
      <c r="G897" s="5" t="s">
        <v>1917</v>
      </c>
    </row>
    <row r="898" spans="4:7" hidden="1">
      <c r="D898" s="5" t="s">
        <v>2829</v>
      </c>
      <c r="E898" s="5" t="s">
        <v>1945</v>
      </c>
      <c r="G898" s="5" t="s">
        <v>1917</v>
      </c>
    </row>
    <row r="899" spans="4:7" hidden="1">
      <c r="D899" s="5" t="s">
        <v>2830</v>
      </c>
      <c r="E899" s="5" t="s">
        <v>1945</v>
      </c>
      <c r="G899" s="5" t="s">
        <v>1926</v>
      </c>
    </row>
    <row r="900" spans="4:7" hidden="1">
      <c r="D900" s="5" t="s">
        <v>2831</v>
      </c>
      <c r="E900" s="5" t="s">
        <v>451</v>
      </c>
      <c r="G900" s="5" t="s">
        <v>1917</v>
      </c>
    </row>
    <row r="901" spans="4:7" hidden="1">
      <c r="D901" s="5" t="s">
        <v>2832</v>
      </c>
      <c r="E901" s="5" t="s">
        <v>2150</v>
      </c>
      <c r="G901" s="5" t="s">
        <v>406</v>
      </c>
    </row>
    <row r="902" spans="4:7" hidden="1">
      <c r="D902" s="5" t="s">
        <v>2833</v>
      </c>
      <c r="E902" s="5" t="s">
        <v>2091</v>
      </c>
      <c r="G902" s="5" t="s">
        <v>1917</v>
      </c>
    </row>
    <row r="903" spans="4:7" hidden="1">
      <c r="D903" s="5" t="s">
        <v>2834</v>
      </c>
      <c r="E903" s="5" t="s">
        <v>2091</v>
      </c>
      <c r="G903" s="5" t="s">
        <v>1917</v>
      </c>
    </row>
    <row r="904" spans="4:7" hidden="1">
      <c r="D904" s="5" t="s">
        <v>2835</v>
      </c>
      <c r="E904" s="5" t="s">
        <v>472</v>
      </c>
      <c r="G904" s="5" t="s">
        <v>1917</v>
      </c>
    </row>
    <row r="905" spans="4:7" hidden="1">
      <c r="D905" s="5" t="s">
        <v>2836</v>
      </c>
      <c r="E905" s="5" t="s">
        <v>472</v>
      </c>
      <c r="G905" s="5" t="s">
        <v>1917</v>
      </c>
    </row>
    <row r="906" spans="4:7" hidden="1">
      <c r="D906" s="5" t="s">
        <v>2837</v>
      </c>
      <c r="E906" s="5" t="s">
        <v>472</v>
      </c>
      <c r="G906" s="5" t="s">
        <v>1917</v>
      </c>
    </row>
    <row r="907" spans="4:7" hidden="1">
      <c r="D907" s="5" t="s">
        <v>2838</v>
      </c>
      <c r="E907" s="5" t="s">
        <v>1890</v>
      </c>
      <c r="G907" s="5" t="s">
        <v>1917</v>
      </c>
    </row>
    <row r="908" spans="4:7" hidden="1">
      <c r="D908" s="5" t="s">
        <v>2839</v>
      </c>
      <c r="E908" s="5" t="s">
        <v>2840</v>
      </c>
      <c r="G908" s="5" t="s">
        <v>1917</v>
      </c>
    </row>
    <row r="909" spans="4:7" hidden="1">
      <c r="D909" s="5" t="s">
        <v>2841</v>
      </c>
      <c r="E909" s="5" t="s">
        <v>427</v>
      </c>
      <c r="G909" s="5" t="s">
        <v>1917</v>
      </c>
    </row>
    <row r="910" spans="4:7" hidden="1">
      <c r="D910" s="5" t="s">
        <v>2842</v>
      </c>
      <c r="E910" s="5" t="s">
        <v>2005</v>
      </c>
      <c r="G910" s="5" t="s">
        <v>1917</v>
      </c>
    </row>
    <row r="911" spans="4:7" hidden="1">
      <c r="D911" s="5" t="s">
        <v>2843</v>
      </c>
      <c r="E911" s="5" t="s">
        <v>2091</v>
      </c>
      <c r="G911" s="5" t="s">
        <v>1917</v>
      </c>
    </row>
    <row r="912" spans="4:7" hidden="1">
      <c r="D912" s="5" t="s">
        <v>2844</v>
      </c>
      <c r="E912" s="5" t="s">
        <v>2091</v>
      </c>
      <c r="G912" s="5" t="s">
        <v>1917</v>
      </c>
    </row>
    <row r="913" spans="4:7" hidden="1">
      <c r="D913" s="5" t="s">
        <v>2845</v>
      </c>
      <c r="E913" s="5" t="s">
        <v>427</v>
      </c>
      <c r="G913" s="5" t="s">
        <v>1917</v>
      </c>
    </row>
    <row r="914" spans="4:7" hidden="1">
      <c r="D914" s="5" t="s">
        <v>2846</v>
      </c>
      <c r="E914" s="5" t="s">
        <v>812</v>
      </c>
      <c r="G914" s="5" t="s">
        <v>1917</v>
      </c>
    </row>
    <row r="915" spans="4:7" hidden="1">
      <c r="D915" s="5" t="s">
        <v>2847</v>
      </c>
      <c r="E915" s="5" t="s">
        <v>171</v>
      </c>
      <c r="G915" s="5" t="s">
        <v>1917</v>
      </c>
    </row>
    <row r="916" spans="4:7" hidden="1">
      <c r="D916" s="5" t="s">
        <v>2848</v>
      </c>
      <c r="E916" s="5" t="s">
        <v>427</v>
      </c>
      <c r="G916" s="5" t="s">
        <v>1917</v>
      </c>
    </row>
    <row r="917" spans="4:7" hidden="1">
      <c r="D917" s="5" t="s">
        <v>2849</v>
      </c>
      <c r="E917" s="5" t="s">
        <v>427</v>
      </c>
      <c r="G917" s="5" t="s">
        <v>1917</v>
      </c>
    </row>
    <row r="918" spans="4:7" hidden="1">
      <c r="D918" s="5" t="s">
        <v>2850</v>
      </c>
      <c r="E918" s="5" t="s">
        <v>2536</v>
      </c>
      <c r="G918" s="5" t="s">
        <v>1926</v>
      </c>
    </row>
    <row r="919" spans="4:7" hidden="1">
      <c r="D919" s="5" t="s">
        <v>2851</v>
      </c>
      <c r="E919" s="5" t="s">
        <v>427</v>
      </c>
      <c r="G919" s="5" t="s">
        <v>1917</v>
      </c>
    </row>
    <row r="920" spans="4:7" hidden="1">
      <c r="D920" s="5" t="s">
        <v>2852</v>
      </c>
      <c r="E920" s="5" t="s">
        <v>427</v>
      </c>
      <c r="G920" s="5" t="s">
        <v>1917</v>
      </c>
    </row>
    <row r="921" spans="4:7" hidden="1">
      <c r="D921" s="5" t="s">
        <v>2853</v>
      </c>
      <c r="E921" s="5" t="s">
        <v>427</v>
      </c>
      <c r="G921" s="5" t="s">
        <v>1917</v>
      </c>
    </row>
    <row r="922" spans="4:7" hidden="1">
      <c r="D922" s="5" t="s">
        <v>2854</v>
      </c>
      <c r="E922" s="5" t="s">
        <v>427</v>
      </c>
      <c r="G922" s="5" t="s">
        <v>1917</v>
      </c>
    </row>
    <row r="923" spans="4:7" hidden="1">
      <c r="D923" s="5" t="s">
        <v>2855</v>
      </c>
      <c r="E923" s="5" t="s">
        <v>1901</v>
      </c>
      <c r="G923" s="5" t="s">
        <v>1917</v>
      </c>
    </row>
    <row r="924" spans="4:7" hidden="1">
      <c r="D924" s="5" t="s">
        <v>2856</v>
      </c>
      <c r="E924" s="5" t="s">
        <v>2536</v>
      </c>
      <c r="G924" s="5" t="s">
        <v>1926</v>
      </c>
    </row>
    <row r="925" spans="4:7" hidden="1">
      <c r="D925" s="5" t="s">
        <v>2857</v>
      </c>
      <c r="E925" s="5" t="s">
        <v>2536</v>
      </c>
      <c r="G925" s="5" t="s">
        <v>1926</v>
      </c>
    </row>
    <row r="926" spans="4:7" hidden="1">
      <c r="D926" s="5" t="s">
        <v>2858</v>
      </c>
      <c r="E926" s="5" t="s">
        <v>427</v>
      </c>
      <c r="G926" s="5" t="s">
        <v>1917</v>
      </c>
    </row>
    <row r="927" spans="4:7" hidden="1">
      <c r="D927" s="5" t="s">
        <v>2859</v>
      </c>
      <c r="E927" s="5" t="s">
        <v>309</v>
      </c>
      <c r="G927" s="5" t="s">
        <v>1917</v>
      </c>
    </row>
    <row r="928" spans="4:7" hidden="1">
      <c r="D928" s="5" t="s">
        <v>2860</v>
      </c>
      <c r="E928" s="5" t="s">
        <v>2091</v>
      </c>
      <c r="G928" s="5" t="s">
        <v>1926</v>
      </c>
    </row>
    <row r="929" spans="4:7" hidden="1">
      <c r="D929" s="5" t="s">
        <v>2861</v>
      </c>
      <c r="E929" s="5" t="s">
        <v>2091</v>
      </c>
      <c r="G929" s="5" t="s">
        <v>1917</v>
      </c>
    </row>
    <row r="930" spans="4:7" hidden="1">
      <c r="D930" s="5" t="s">
        <v>2862</v>
      </c>
      <c r="E930" s="5" t="s">
        <v>2091</v>
      </c>
      <c r="G930" s="5" t="s">
        <v>1917</v>
      </c>
    </row>
    <row r="931" spans="4:7" hidden="1">
      <c r="D931" s="5" t="s">
        <v>2863</v>
      </c>
      <c r="E931" s="5" t="s">
        <v>2091</v>
      </c>
      <c r="G931" s="5" t="s">
        <v>1917</v>
      </c>
    </row>
    <row r="932" spans="4:7" hidden="1">
      <c r="D932" s="5" t="s">
        <v>2864</v>
      </c>
      <c r="E932" s="5" t="s">
        <v>2091</v>
      </c>
      <c r="G932" s="5" t="s">
        <v>1917</v>
      </c>
    </row>
    <row r="933" spans="4:7" hidden="1">
      <c r="D933" s="5" t="s">
        <v>2865</v>
      </c>
      <c r="E933" s="5" t="s">
        <v>812</v>
      </c>
      <c r="G933" s="5" t="s">
        <v>1917</v>
      </c>
    </row>
    <row r="934" spans="4:7" hidden="1">
      <c r="D934" s="5" t="s">
        <v>2866</v>
      </c>
      <c r="E934" s="5" t="s">
        <v>812</v>
      </c>
      <c r="G934" s="5" t="s">
        <v>1917</v>
      </c>
    </row>
    <row r="935" spans="4:7" hidden="1">
      <c r="D935" s="5" t="s">
        <v>2867</v>
      </c>
      <c r="E935" s="5" t="s">
        <v>812</v>
      </c>
      <c r="G935" s="5" t="s">
        <v>1917</v>
      </c>
    </row>
    <row r="936" spans="4:7" hidden="1">
      <c r="D936" s="5" t="s">
        <v>2868</v>
      </c>
      <c r="E936" s="5" t="s">
        <v>812</v>
      </c>
      <c r="G936" s="5" t="s">
        <v>1917</v>
      </c>
    </row>
    <row r="937" spans="4:7" hidden="1">
      <c r="D937" s="5" t="s">
        <v>2869</v>
      </c>
      <c r="E937" s="5" t="s">
        <v>2091</v>
      </c>
      <c r="G937" s="5" t="s">
        <v>1917</v>
      </c>
    </row>
    <row r="938" spans="4:7" hidden="1">
      <c r="D938" s="5" t="s">
        <v>2870</v>
      </c>
      <c r="E938" s="5" t="s">
        <v>2150</v>
      </c>
      <c r="G938" s="5" t="s">
        <v>406</v>
      </c>
    </row>
    <row r="939" spans="4:7" hidden="1">
      <c r="D939" s="5" t="s">
        <v>2871</v>
      </c>
      <c r="E939" s="5" t="s">
        <v>2872</v>
      </c>
      <c r="G939" s="5" t="s">
        <v>1920</v>
      </c>
    </row>
    <row r="940" spans="4:7" hidden="1">
      <c r="D940" s="5" t="s">
        <v>2873</v>
      </c>
      <c r="E940" s="5" t="s">
        <v>2872</v>
      </c>
      <c r="G940" s="5" t="s">
        <v>1920</v>
      </c>
    </row>
    <row r="941" spans="4:7" hidden="1">
      <c r="D941" s="5" t="s">
        <v>2874</v>
      </c>
      <c r="E941" s="5" t="s">
        <v>52</v>
      </c>
      <c r="G941" s="5" t="s">
        <v>1917</v>
      </c>
    </row>
    <row r="942" spans="4:7" hidden="1">
      <c r="D942" s="5" t="s">
        <v>2875</v>
      </c>
      <c r="E942" s="5" t="s">
        <v>2872</v>
      </c>
      <c r="G942" s="5" t="s">
        <v>1920</v>
      </c>
    </row>
    <row r="943" spans="4:7" hidden="1">
      <c r="D943" s="5" t="s">
        <v>2876</v>
      </c>
      <c r="E943" s="5" t="s">
        <v>171</v>
      </c>
      <c r="G943" s="5" t="s">
        <v>1917</v>
      </c>
    </row>
    <row r="944" spans="4:7" hidden="1">
      <c r="D944" s="5" t="s">
        <v>2877</v>
      </c>
      <c r="E944" s="5" t="s">
        <v>171</v>
      </c>
      <c r="G944" s="5" t="s">
        <v>1917</v>
      </c>
    </row>
    <row r="945" spans="4:7" hidden="1">
      <c r="D945" s="5" t="s">
        <v>2878</v>
      </c>
      <c r="E945" s="5" t="s">
        <v>171</v>
      </c>
      <c r="G945" s="5" t="s">
        <v>1917</v>
      </c>
    </row>
    <row r="946" spans="4:7" hidden="1">
      <c r="D946" s="5" t="s">
        <v>2879</v>
      </c>
      <c r="E946" s="5" t="s">
        <v>2422</v>
      </c>
      <c r="G946" s="5" t="s">
        <v>406</v>
      </c>
    </row>
    <row r="947" spans="4:7" hidden="1">
      <c r="D947" s="5" t="s">
        <v>2880</v>
      </c>
      <c r="E947" s="5" t="s">
        <v>2150</v>
      </c>
      <c r="G947" s="5" t="s">
        <v>406</v>
      </c>
    </row>
    <row r="948" spans="4:7" hidden="1">
      <c r="D948" s="5" t="s">
        <v>2881</v>
      </c>
      <c r="E948" s="5" t="s">
        <v>720</v>
      </c>
      <c r="G948" s="5" t="s">
        <v>1917</v>
      </c>
    </row>
    <row r="949" spans="4:7" hidden="1">
      <c r="D949" s="5" t="s">
        <v>2882</v>
      </c>
      <c r="E949" s="5" t="s">
        <v>2422</v>
      </c>
      <c r="G949" s="5" t="s">
        <v>406</v>
      </c>
    </row>
    <row r="950" spans="4:7" hidden="1">
      <c r="D950" s="5" t="s">
        <v>2883</v>
      </c>
      <c r="E950" s="5" t="s">
        <v>2150</v>
      </c>
      <c r="G950" s="5" t="s">
        <v>406</v>
      </c>
    </row>
    <row r="951" spans="4:7" hidden="1">
      <c r="D951" s="5" t="s">
        <v>2884</v>
      </c>
      <c r="E951" s="5" t="s">
        <v>2422</v>
      </c>
      <c r="G951" s="5" t="s">
        <v>406</v>
      </c>
    </row>
    <row r="952" spans="4:7" hidden="1">
      <c r="D952" s="5" t="s">
        <v>2885</v>
      </c>
      <c r="E952" s="5" t="s">
        <v>108</v>
      </c>
      <c r="G952" s="5" t="s">
        <v>1920</v>
      </c>
    </row>
    <row r="953" spans="4:7" hidden="1">
      <c r="D953" s="5" t="s">
        <v>2886</v>
      </c>
      <c r="E953" s="5" t="s">
        <v>108</v>
      </c>
      <c r="G953" s="5" t="s">
        <v>1917</v>
      </c>
    </row>
    <row r="954" spans="4:7" hidden="1">
      <c r="D954" s="5" t="s">
        <v>2887</v>
      </c>
      <c r="E954" s="5" t="s">
        <v>2422</v>
      </c>
      <c r="G954" s="5" t="s">
        <v>406</v>
      </c>
    </row>
    <row r="955" spans="4:7" hidden="1">
      <c r="D955" s="5" t="s">
        <v>2888</v>
      </c>
      <c r="E955" s="5" t="s">
        <v>2422</v>
      </c>
      <c r="G955" s="5" t="s">
        <v>406</v>
      </c>
    </row>
    <row r="956" spans="4:7" hidden="1">
      <c r="D956" s="5" t="s">
        <v>2889</v>
      </c>
      <c r="E956" s="5" t="s">
        <v>89</v>
      </c>
      <c r="G956" s="5" t="s">
        <v>1917</v>
      </c>
    </row>
    <row r="957" spans="4:7" hidden="1">
      <c r="D957" s="5" t="s">
        <v>2890</v>
      </c>
      <c r="E957" s="5" t="s">
        <v>2872</v>
      </c>
      <c r="G957" s="5" t="s">
        <v>1920</v>
      </c>
    </row>
    <row r="958" spans="4:7" hidden="1">
      <c r="D958" s="5" t="s">
        <v>2891</v>
      </c>
      <c r="E958" s="5" t="s">
        <v>2422</v>
      </c>
      <c r="G958" s="5" t="s">
        <v>406</v>
      </c>
    </row>
    <row r="959" spans="4:7" hidden="1">
      <c r="D959" s="5" t="s">
        <v>2892</v>
      </c>
      <c r="E959" s="5" t="s">
        <v>451</v>
      </c>
      <c r="G959" s="5" t="s">
        <v>1917</v>
      </c>
    </row>
    <row r="960" spans="4:7" hidden="1">
      <c r="D960" s="5" t="s">
        <v>2893</v>
      </c>
      <c r="E960" s="5" t="s">
        <v>451</v>
      </c>
      <c r="G960" s="5" t="s">
        <v>1917</v>
      </c>
    </row>
    <row r="961" spans="4:7" hidden="1">
      <c r="D961" s="5" t="s">
        <v>2894</v>
      </c>
      <c r="E961" s="5" t="s">
        <v>52</v>
      </c>
      <c r="G961" s="5" t="s">
        <v>1917</v>
      </c>
    </row>
    <row r="962" spans="4:7" hidden="1">
      <c r="D962" s="5" t="s">
        <v>2895</v>
      </c>
      <c r="E962" s="5" t="s">
        <v>427</v>
      </c>
      <c r="G962" s="5" t="s">
        <v>1917</v>
      </c>
    </row>
    <row r="963" spans="4:7" hidden="1">
      <c r="D963" s="5" t="s">
        <v>2896</v>
      </c>
      <c r="E963" s="5" t="s">
        <v>720</v>
      </c>
      <c r="G963" s="5" t="s">
        <v>1917</v>
      </c>
    </row>
    <row r="964" spans="4:7" hidden="1">
      <c r="D964" s="5" t="s">
        <v>2897</v>
      </c>
      <c r="E964" s="5" t="s">
        <v>2422</v>
      </c>
      <c r="G964" s="5" t="s">
        <v>406</v>
      </c>
    </row>
    <row r="965" spans="4:7" hidden="1">
      <c r="D965" s="5" t="s">
        <v>2898</v>
      </c>
      <c r="E965" s="5" t="s">
        <v>2899</v>
      </c>
      <c r="G965" s="5" t="s">
        <v>406</v>
      </c>
    </row>
    <row r="966" spans="4:7" hidden="1">
      <c r="D966" s="5" t="s">
        <v>2900</v>
      </c>
      <c r="E966" s="5" t="s">
        <v>2899</v>
      </c>
      <c r="G966" s="5" t="s">
        <v>406</v>
      </c>
    </row>
    <row r="967" spans="4:7" hidden="1">
      <c r="D967" s="5" t="s">
        <v>2901</v>
      </c>
      <c r="E967" s="5" t="s">
        <v>2899</v>
      </c>
      <c r="G967" s="5" t="s">
        <v>406</v>
      </c>
    </row>
    <row r="968" spans="4:7" hidden="1">
      <c r="D968" s="5" t="s">
        <v>2902</v>
      </c>
      <c r="E968" s="5" t="s">
        <v>171</v>
      </c>
      <c r="G968" s="5" t="s">
        <v>406</v>
      </c>
    </row>
    <row r="969" spans="4:7" hidden="1">
      <c r="D969" s="5" t="s">
        <v>2903</v>
      </c>
      <c r="E969" s="5" t="s">
        <v>1425</v>
      </c>
      <c r="G969" s="5" t="s">
        <v>1917</v>
      </c>
    </row>
    <row r="970" spans="4:7" hidden="1">
      <c r="D970" s="5" t="s">
        <v>2904</v>
      </c>
      <c r="E970" s="5" t="s">
        <v>2899</v>
      </c>
      <c r="G970" s="5" t="s">
        <v>406</v>
      </c>
    </row>
    <row r="971" spans="4:7" hidden="1">
      <c r="D971" s="5" t="s">
        <v>2905</v>
      </c>
      <c r="E971" s="5" t="s">
        <v>1425</v>
      </c>
      <c r="G971" s="5" t="s">
        <v>1917</v>
      </c>
    </row>
    <row r="972" spans="4:7" hidden="1">
      <c r="D972" s="5" t="s">
        <v>2906</v>
      </c>
      <c r="E972" s="5" t="s">
        <v>1425</v>
      </c>
      <c r="G972" s="5" t="s">
        <v>1917</v>
      </c>
    </row>
    <row r="973" spans="4:7" hidden="1">
      <c r="D973" s="5" t="s">
        <v>2907</v>
      </c>
      <c r="E973" s="5" t="s">
        <v>1425</v>
      </c>
      <c r="G973" s="5" t="s">
        <v>1917</v>
      </c>
    </row>
    <row r="974" spans="4:7" hidden="1">
      <c r="D974" s="5" t="s">
        <v>2908</v>
      </c>
      <c r="E974" s="5" t="s">
        <v>1425</v>
      </c>
      <c r="G974" s="5" t="s">
        <v>1917</v>
      </c>
    </row>
    <row r="975" spans="4:7" hidden="1">
      <c r="D975" s="5" t="s">
        <v>2909</v>
      </c>
      <c r="E975" s="5" t="s">
        <v>1425</v>
      </c>
      <c r="G975" s="5" t="s">
        <v>1917</v>
      </c>
    </row>
    <row r="976" spans="4:7" hidden="1">
      <c r="D976" s="5" t="s">
        <v>2910</v>
      </c>
      <c r="E976" s="5" t="s">
        <v>1425</v>
      </c>
      <c r="G976" s="5" t="s">
        <v>1917</v>
      </c>
    </row>
    <row r="977" spans="4:7" hidden="1">
      <c r="D977" s="5" t="s">
        <v>2911</v>
      </c>
      <c r="E977" s="5" t="s">
        <v>309</v>
      </c>
      <c r="G977" s="5" t="s">
        <v>1917</v>
      </c>
    </row>
    <row r="978" spans="4:7" hidden="1">
      <c r="D978" s="5" t="s">
        <v>2912</v>
      </c>
      <c r="E978" s="5" t="s">
        <v>2899</v>
      </c>
      <c r="G978" s="5" t="s">
        <v>406</v>
      </c>
    </row>
    <row r="979" spans="4:7" hidden="1">
      <c r="D979" s="5" t="s">
        <v>2913</v>
      </c>
      <c r="E979" s="5" t="s">
        <v>2899</v>
      </c>
      <c r="G979" s="5" t="s">
        <v>406</v>
      </c>
    </row>
    <row r="980" spans="4:7" hidden="1">
      <c r="D980" s="5" t="s">
        <v>2914</v>
      </c>
      <c r="E980" s="5" t="s">
        <v>2899</v>
      </c>
      <c r="G980" s="5" t="s">
        <v>406</v>
      </c>
    </row>
    <row r="981" spans="4:7" hidden="1">
      <c r="D981" s="5" t="s">
        <v>2915</v>
      </c>
      <c r="E981" s="5" t="s">
        <v>1305</v>
      </c>
      <c r="G981" s="5" t="s">
        <v>406</v>
      </c>
    </row>
    <row r="982" spans="4:7" hidden="1">
      <c r="D982" s="5" t="s">
        <v>2916</v>
      </c>
      <c r="E982" s="5" t="s">
        <v>2493</v>
      </c>
      <c r="G982" s="5" t="s">
        <v>406</v>
      </c>
    </row>
    <row r="983" spans="4:7" hidden="1">
      <c r="D983" s="5" t="s">
        <v>2917</v>
      </c>
      <c r="E983" s="5" t="s">
        <v>2493</v>
      </c>
      <c r="G983" s="5" t="s">
        <v>406</v>
      </c>
    </row>
    <row r="984" spans="4:7" hidden="1">
      <c r="D984" s="5" t="s">
        <v>2918</v>
      </c>
      <c r="E984" s="5" t="s">
        <v>2150</v>
      </c>
      <c r="G984" s="5" t="s">
        <v>406</v>
      </c>
    </row>
    <row r="985" spans="4:7" hidden="1">
      <c r="D985" s="5" t="s">
        <v>2919</v>
      </c>
      <c r="E985" s="5" t="s">
        <v>2150</v>
      </c>
      <c r="G985" s="5" t="s">
        <v>406</v>
      </c>
    </row>
    <row r="986" spans="4:7" hidden="1">
      <c r="D986" s="5" t="s">
        <v>2920</v>
      </c>
      <c r="E986" s="5" t="s">
        <v>2150</v>
      </c>
      <c r="G986" s="5" t="s">
        <v>406</v>
      </c>
    </row>
    <row r="987" spans="4:7" hidden="1">
      <c r="D987" s="5" t="s">
        <v>2921</v>
      </c>
      <c r="E987" s="5" t="s">
        <v>2150</v>
      </c>
      <c r="G987" s="5" t="s">
        <v>406</v>
      </c>
    </row>
    <row r="988" spans="4:7" hidden="1">
      <c r="D988" s="5" t="s">
        <v>2922</v>
      </c>
      <c r="E988" s="5" t="s">
        <v>2150</v>
      </c>
      <c r="G988" s="5" t="s">
        <v>406</v>
      </c>
    </row>
    <row r="989" spans="4:7" hidden="1">
      <c r="D989" s="5" t="s">
        <v>2923</v>
      </c>
      <c r="E989" s="5" t="s">
        <v>2150</v>
      </c>
      <c r="G989" s="5" t="s">
        <v>406</v>
      </c>
    </row>
    <row r="990" spans="4:7" hidden="1">
      <c r="D990" s="5" t="s">
        <v>2924</v>
      </c>
      <c r="E990" s="5" t="s">
        <v>2150</v>
      </c>
      <c r="G990" s="5" t="s">
        <v>406</v>
      </c>
    </row>
    <row r="991" spans="4:7" hidden="1">
      <c r="D991" s="5" t="s">
        <v>2925</v>
      </c>
      <c r="E991" s="5" t="s">
        <v>2150</v>
      </c>
      <c r="G991" s="5" t="s">
        <v>406</v>
      </c>
    </row>
    <row r="992" spans="4:7" hidden="1">
      <c r="D992" s="5" t="s">
        <v>2926</v>
      </c>
      <c r="E992" s="5" t="s">
        <v>2150</v>
      </c>
      <c r="G992" s="5" t="s">
        <v>406</v>
      </c>
    </row>
    <row r="993" spans="4:7" hidden="1">
      <c r="D993" s="5" t="s">
        <v>2927</v>
      </c>
      <c r="E993" s="5" t="s">
        <v>2150</v>
      </c>
      <c r="G993" s="5" t="s">
        <v>406</v>
      </c>
    </row>
    <row r="994" spans="4:7" hidden="1">
      <c r="D994" s="5" t="s">
        <v>2928</v>
      </c>
      <c r="E994" s="5" t="s">
        <v>1484</v>
      </c>
      <c r="G994" s="5" t="s">
        <v>1917</v>
      </c>
    </row>
    <row r="995" spans="4:7" hidden="1">
      <c r="D995" s="5" t="s">
        <v>2929</v>
      </c>
      <c r="E995" s="5" t="s">
        <v>2150</v>
      </c>
      <c r="G995" s="5" t="s">
        <v>406</v>
      </c>
    </row>
    <row r="996" spans="4:7" hidden="1">
      <c r="D996" s="5" t="s">
        <v>2930</v>
      </c>
      <c r="E996" s="5" t="s">
        <v>2150</v>
      </c>
      <c r="G996" s="5" t="s">
        <v>406</v>
      </c>
    </row>
    <row r="997" spans="4:7" hidden="1">
      <c r="D997" s="5" t="s">
        <v>2931</v>
      </c>
      <c r="E997" s="5" t="s">
        <v>2824</v>
      </c>
      <c r="G997" s="5" t="s">
        <v>406</v>
      </c>
    </row>
    <row r="998" spans="4:7" hidden="1">
      <c r="D998" s="5" t="s">
        <v>2932</v>
      </c>
      <c r="E998" s="5" t="s">
        <v>2106</v>
      </c>
      <c r="G998" s="5" t="s">
        <v>406</v>
      </c>
    </row>
    <row r="999" spans="4:7" hidden="1">
      <c r="D999" s="5" t="s">
        <v>2933</v>
      </c>
      <c r="E999" s="5" t="s">
        <v>2934</v>
      </c>
      <c r="G999" s="5" t="s">
        <v>406</v>
      </c>
    </row>
    <row r="1000" spans="4:7" hidden="1">
      <c r="D1000" s="5" t="s">
        <v>2935</v>
      </c>
      <c r="E1000" s="5" t="s">
        <v>2150</v>
      </c>
      <c r="G1000" s="5" t="s">
        <v>406</v>
      </c>
    </row>
    <row r="1001" spans="4:7" hidden="1">
      <c r="D1001" s="5" t="s">
        <v>2936</v>
      </c>
      <c r="E1001" s="5" t="s">
        <v>2150</v>
      </c>
      <c r="G1001" s="5" t="s">
        <v>406</v>
      </c>
    </row>
    <row r="1002" spans="4:7" hidden="1">
      <c r="D1002" s="5" t="s">
        <v>2937</v>
      </c>
      <c r="E1002" s="5" t="s">
        <v>171</v>
      </c>
      <c r="G1002" s="5" t="s">
        <v>1920</v>
      </c>
    </row>
    <row r="1003" spans="4:7" hidden="1">
      <c r="D1003" s="5" t="s">
        <v>2938</v>
      </c>
      <c r="E1003" s="5" t="s">
        <v>2150</v>
      </c>
      <c r="G1003" s="5" t="s">
        <v>406</v>
      </c>
    </row>
    <row r="1004" spans="4:7" hidden="1">
      <c r="D1004" s="5" t="s">
        <v>2939</v>
      </c>
      <c r="E1004" s="5" t="s">
        <v>171</v>
      </c>
      <c r="G1004" s="5" t="s">
        <v>1917</v>
      </c>
    </row>
    <row r="1005" spans="4:7" hidden="1">
      <c r="D1005" s="5" t="s">
        <v>2940</v>
      </c>
      <c r="E1005" s="5" t="s">
        <v>67</v>
      </c>
      <c r="G1005" s="5" t="s">
        <v>1917</v>
      </c>
    </row>
    <row r="1006" spans="4:7" hidden="1">
      <c r="D1006" s="5" t="s">
        <v>2941</v>
      </c>
      <c r="E1006" s="5" t="s">
        <v>2150</v>
      </c>
      <c r="G1006" s="5" t="s">
        <v>406</v>
      </c>
    </row>
    <row r="1007" spans="4:7" hidden="1">
      <c r="D1007" s="5" t="s">
        <v>2942</v>
      </c>
      <c r="E1007" s="5" t="s">
        <v>2150</v>
      </c>
      <c r="G1007" s="5" t="s">
        <v>406</v>
      </c>
    </row>
    <row r="1008" spans="4:7" hidden="1">
      <c r="D1008" s="5" t="s">
        <v>2943</v>
      </c>
      <c r="E1008" s="5" t="s">
        <v>2150</v>
      </c>
      <c r="G1008" s="5" t="s">
        <v>406</v>
      </c>
    </row>
    <row r="1009" spans="4:7" hidden="1">
      <c r="D1009" s="5" t="s">
        <v>2944</v>
      </c>
      <c r="E1009" s="5" t="s">
        <v>2150</v>
      </c>
      <c r="G1009" s="5" t="s">
        <v>406</v>
      </c>
    </row>
    <row r="1010" spans="4:7" hidden="1">
      <c r="D1010" s="5" t="s">
        <v>2945</v>
      </c>
      <c r="E1010" s="5" t="s">
        <v>2468</v>
      </c>
      <c r="G1010" s="5" t="s">
        <v>406</v>
      </c>
    </row>
    <row r="1011" spans="4:7" hidden="1">
      <c r="D1011" s="5" t="s">
        <v>2946</v>
      </c>
      <c r="E1011" s="5" t="s">
        <v>2468</v>
      </c>
      <c r="G1011" s="5" t="s">
        <v>406</v>
      </c>
    </row>
    <row r="1012" spans="4:7" hidden="1">
      <c r="D1012" s="5" t="s">
        <v>2947</v>
      </c>
      <c r="E1012" s="5" t="s">
        <v>2468</v>
      </c>
      <c r="G1012" s="5" t="s">
        <v>406</v>
      </c>
    </row>
    <row r="1013" spans="4:7" hidden="1">
      <c r="D1013" s="5" t="s">
        <v>2948</v>
      </c>
      <c r="E1013" s="5" t="s">
        <v>427</v>
      </c>
      <c r="G1013" s="5" t="s">
        <v>1917</v>
      </c>
    </row>
    <row r="1014" spans="4:7" hidden="1">
      <c r="D1014" s="5" t="s">
        <v>2949</v>
      </c>
      <c r="E1014" s="5" t="s">
        <v>1442</v>
      </c>
      <c r="G1014" s="5" t="s">
        <v>1926</v>
      </c>
    </row>
    <row r="1015" spans="4:7" hidden="1">
      <c r="D1015" s="5" t="s">
        <v>2950</v>
      </c>
      <c r="E1015" s="5" t="s">
        <v>1953</v>
      </c>
      <c r="G1015" s="5" t="s">
        <v>1917</v>
      </c>
    </row>
    <row r="1016" spans="4:7" hidden="1">
      <c r="D1016" s="5" t="s">
        <v>2951</v>
      </c>
      <c r="E1016" s="5" t="s">
        <v>427</v>
      </c>
      <c r="G1016" s="5" t="s">
        <v>1917</v>
      </c>
    </row>
    <row r="1017" spans="4:7" hidden="1">
      <c r="D1017" s="5" t="s">
        <v>2952</v>
      </c>
      <c r="E1017" s="5" t="s">
        <v>1890</v>
      </c>
      <c r="G1017" s="5" t="s">
        <v>1917</v>
      </c>
    </row>
    <row r="1018" spans="4:7" hidden="1">
      <c r="D1018" s="5" t="s">
        <v>2953</v>
      </c>
      <c r="E1018" s="5" t="s">
        <v>1454</v>
      </c>
      <c r="G1018" s="5" t="s">
        <v>1917</v>
      </c>
    </row>
    <row r="1019" spans="4:7" hidden="1">
      <c r="D1019" s="5" t="s">
        <v>2954</v>
      </c>
      <c r="E1019" s="5" t="s">
        <v>1454</v>
      </c>
      <c r="G1019" s="5" t="s">
        <v>1917</v>
      </c>
    </row>
    <row r="1020" spans="4:7" hidden="1">
      <c r="D1020" s="5" t="s">
        <v>2955</v>
      </c>
      <c r="E1020" s="5" t="s">
        <v>178</v>
      </c>
      <c r="G1020" s="5" t="s">
        <v>1917</v>
      </c>
    </row>
    <row r="1021" spans="4:7" hidden="1">
      <c r="D1021" s="5" t="s">
        <v>2956</v>
      </c>
      <c r="E1021" s="5" t="s">
        <v>242</v>
      </c>
      <c r="G1021" s="5" t="s">
        <v>1917</v>
      </c>
    </row>
    <row r="1022" spans="4:7" hidden="1">
      <c r="D1022" s="5" t="s">
        <v>2957</v>
      </c>
      <c r="E1022" s="5" t="s">
        <v>178</v>
      </c>
      <c r="G1022" s="5" t="s">
        <v>1917</v>
      </c>
    </row>
    <row r="1023" spans="4:7" hidden="1">
      <c r="D1023" s="5" t="s">
        <v>2958</v>
      </c>
      <c r="E1023" s="5" t="s">
        <v>128</v>
      </c>
      <c r="G1023" s="5" t="s">
        <v>1917</v>
      </c>
    </row>
    <row r="1024" spans="4:7" hidden="1">
      <c r="D1024" s="5" t="s">
        <v>2959</v>
      </c>
      <c r="E1024" s="5" t="s">
        <v>178</v>
      </c>
      <c r="G1024" s="5" t="s">
        <v>1917</v>
      </c>
    </row>
    <row r="1025" spans="4:7" hidden="1">
      <c r="D1025" s="5" t="s">
        <v>2960</v>
      </c>
      <c r="E1025" s="5" t="s">
        <v>171</v>
      </c>
      <c r="G1025" s="5" t="s">
        <v>1917</v>
      </c>
    </row>
    <row r="1026" spans="4:7" hidden="1">
      <c r="D1026" s="5" t="s">
        <v>2961</v>
      </c>
      <c r="E1026" s="5" t="s">
        <v>2962</v>
      </c>
      <c r="G1026" s="5" t="s">
        <v>1917</v>
      </c>
    </row>
    <row r="1027" spans="4:7" hidden="1">
      <c r="D1027" s="5" t="s">
        <v>2963</v>
      </c>
      <c r="E1027" s="5" t="s">
        <v>135</v>
      </c>
      <c r="G1027" s="5" t="s">
        <v>1917</v>
      </c>
    </row>
    <row r="1028" spans="4:7" hidden="1">
      <c r="D1028" s="5" t="s">
        <v>2964</v>
      </c>
      <c r="E1028" s="5" t="s">
        <v>128</v>
      </c>
      <c r="G1028" s="5" t="s">
        <v>1917</v>
      </c>
    </row>
    <row r="1029" spans="4:7" hidden="1">
      <c r="D1029" s="5" t="s">
        <v>2965</v>
      </c>
      <c r="E1029" s="5" t="s">
        <v>128</v>
      </c>
      <c r="G1029" s="5" t="s">
        <v>1917</v>
      </c>
    </row>
    <row r="1030" spans="4:7" hidden="1">
      <c r="D1030" s="5" t="s">
        <v>2966</v>
      </c>
      <c r="E1030" s="5" t="s">
        <v>242</v>
      </c>
      <c r="G1030" s="5" t="s">
        <v>1917</v>
      </c>
    </row>
    <row r="1031" spans="4:7" hidden="1">
      <c r="D1031" s="5" t="s">
        <v>2967</v>
      </c>
      <c r="E1031" s="5" t="s">
        <v>2468</v>
      </c>
      <c r="G1031" s="5" t="s">
        <v>406</v>
      </c>
    </row>
    <row r="1032" spans="4:7" hidden="1">
      <c r="D1032" s="5" t="s">
        <v>2968</v>
      </c>
      <c r="E1032" s="5" t="s">
        <v>67</v>
      </c>
      <c r="G1032" s="5" t="s">
        <v>1917</v>
      </c>
    </row>
    <row r="1033" spans="4:7" hidden="1">
      <c r="D1033" s="5" t="s">
        <v>2969</v>
      </c>
      <c r="E1033" s="5" t="s">
        <v>2614</v>
      </c>
      <c r="G1033" s="5" t="s">
        <v>1917</v>
      </c>
    </row>
    <row r="1034" spans="4:7" hidden="1">
      <c r="D1034" s="5" t="s">
        <v>2970</v>
      </c>
      <c r="E1034" s="5" t="s">
        <v>2971</v>
      </c>
      <c r="G1034" s="5" t="s">
        <v>1926</v>
      </c>
    </row>
    <row r="1035" spans="4:7" hidden="1">
      <c r="D1035" s="5" t="s">
        <v>2972</v>
      </c>
      <c r="E1035" s="5" t="s">
        <v>2971</v>
      </c>
      <c r="G1035" s="5" t="s">
        <v>1926</v>
      </c>
    </row>
    <row r="1036" spans="4:7" hidden="1">
      <c r="D1036" s="5" t="s">
        <v>2973</v>
      </c>
      <c r="E1036" s="5" t="s">
        <v>2468</v>
      </c>
      <c r="G1036" s="5" t="s">
        <v>406</v>
      </c>
    </row>
    <row r="1037" spans="4:7" hidden="1">
      <c r="D1037" s="5" t="s">
        <v>2974</v>
      </c>
      <c r="E1037" s="5" t="s">
        <v>52</v>
      </c>
      <c r="G1037" s="5" t="s">
        <v>1917</v>
      </c>
    </row>
    <row r="1038" spans="4:7" hidden="1">
      <c r="D1038" s="5" t="s">
        <v>2975</v>
      </c>
      <c r="E1038" s="5" t="s">
        <v>1945</v>
      </c>
      <c r="G1038" s="5" t="s">
        <v>1917</v>
      </c>
    </row>
    <row r="1039" spans="4:7" hidden="1">
      <c r="D1039" s="5" t="s">
        <v>2976</v>
      </c>
      <c r="E1039" s="5" t="s">
        <v>1913</v>
      </c>
      <c r="G1039" s="5" t="s">
        <v>1914</v>
      </c>
    </row>
    <row r="1040" spans="4:7" hidden="1">
      <c r="D1040" s="5" t="s">
        <v>2977</v>
      </c>
      <c r="E1040" s="5" t="s">
        <v>2978</v>
      </c>
      <c r="G1040" s="5" t="s">
        <v>1926</v>
      </c>
    </row>
    <row r="1041" spans="4:7" hidden="1">
      <c r="D1041" s="5" t="s">
        <v>2979</v>
      </c>
      <c r="E1041" s="5" t="s">
        <v>2978</v>
      </c>
      <c r="G1041" s="5" t="s">
        <v>1926</v>
      </c>
    </row>
    <row r="1042" spans="4:7" hidden="1">
      <c r="D1042" s="5" t="s">
        <v>189</v>
      </c>
      <c r="E1042" s="5" t="s">
        <v>1351</v>
      </c>
      <c r="G1042" s="5" t="s">
        <v>1917</v>
      </c>
    </row>
    <row r="1043" spans="4:7" hidden="1">
      <c r="D1043" s="5" t="s">
        <v>2980</v>
      </c>
      <c r="E1043" s="5" t="s">
        <v>1351</v>
      </c>
      <c r="G1043" s="5" t="s">
        <v>1917</v>
      </c>
    </row>
    <row r="1044" spans="4:7" hidden="1">
      <c r="D1044" s="5" t="s">
        <v>2981</v>
      </c>
      <c r="E1044" s="5" t="s">
        <v>1351</v>
      </c>
      <c r="G1044" s="5" t="s">
        <v>1917</v>
      </c>
    </row>
    <row r="1045" spans="4:7" hidden="1">
      <c r="D1045" s="5" t="s">
        <v>2982</v>
      </c>
      <c r="E1045" s="5" t="s">
        <v>1351</v>
      </c>
      <c r="G1045" s="5" t="s">
        <v>1917</v>
      </c>
    </row>
    <row r="1046" spans="4:7" hidden="1">
      <c r="D1046" s="5" t="s">
        <v>2983</v>
      </c>
      <c r="E1046" s="5" t="s">
        <v>1351</v>
      </c>
      <c r="G1046" s="5" t="s">
        <v>1917</v>
      </c>
    </row>
    <row r="1047" spans="4:7" hidden="1">
      <c r="D1047" s="5" t="s">
        <v>2984</v>
      </c>
      <c r="E1047" s="5" t="s">
        <v>1351</v>
      </c>
      <c r="G1047" s="5" t="s">
        <v>1917</v>
      </c>
    </row>
    <row r="1048" spans="4:7" hidden="1">
      <c r="D1048" s="5" t="s">
        <v>2985</v>
      </c>
      <c r="E1048" s="5" t="s">
        <v>1351</v>
      </c>
      <c r="G1048" s="5" t="s">
        <v>1917</v>
      </c>
    </row>
    <row r="1049" spans="4:7" hidden="1">
      <c r="D1049" s="5" t="s">
        <v>2986</v>
      </c>
      <c r="E1049" s="5" t="s">
        <v>1351</v>
      </c>
      <c r="G1049" s="5" t="s">
        <v>1917</v>
      </c>
    </row>
    <row r="1050" spans="4:7" hidden="1">
      <c r="D1050" s="5" t="s">
        <v>2987</v>
      </c>
      <c r="E1050" s="5" t="s">
        <v>1351</v>
      </c>
      <c r="G1050" s="5" t="s">
        <v>1917</v>
      </c>
    </row>
    <row r="1051" spans="4:7" hidden="1">
      <c r="D1051" s="5" t="s">
        <v>2988</v>
      </c>
      <c r="E1051" s="5" t="s">
        <v>67</v>
      </c>
      <c r="G1051" s="5" t="s">
        <v>1917</v>
      </c>
    </row>
    <row r="1052" spans="4:7" hidden="1">
      <c r="D1052" s="5" t="s">
        <v>2989</v>
      </c>
      <c r="E1052" s="5" t="s">
        <v>67</v>
      </c>
      <c r="G1052" s="5" t="s">
        <v>1917</v>
      </c>
    </row>
    <row r="1053" spans="4:7" hidden="1">
      <c r="D1053" s="5" t="s">
        <v>2990</v>
      </c>
      <c r="E1053" s="5" t="s">
        <v>1351</v>
      </c>
      <c r="G1053" s="5" t="s">
        <v>1917</v>
      </c>
    </row>
    <row r="1054" spans="4:7" hidden="1">
      <c r="D1054" s="5" t="s">
        <v>265</v>
      </c>
      <c r="E1054" s="5" t="s">
        <v>1351</v>
      </c>
      <c r="G1054" s="5" t="s">
        <v>1917</v>
      </c>
    </row>
    <row r="1055" spans="4:7" hidden="1">
      <c r="D1055" s="5" t="s">
        <v>2991</v>
      </c>
      <c r="E1055" s="5" t="s">
        <v>1351</v>
      </c>
      <c r="G1055" s="5" t="s">
        <v>1917</v>
      </c>
    </row>
    <row r="1056" spans="4:7" hidden="1">
      <c r="D1056" s="5" t="s">
        <v>2992</v>
      </c>
      <c r="E1056" s="5" t="s">
        <v>1351</v>
      </c>
      <c r="G1056" s="5" t="s">
        <v>1917</v>
      </c>
    </row>
    <row r="1057" spans="4:7" hidden="1">
      <c r="D1057" s="5" t="s">
        <v>2993</v>
      </c>
      <c r="E1057" s="5" t="s">
        <v>67</v>
      </c>
      <c r="G1057" s="5" t="s">
        <v>1917</v>
      </c>
    </row>
    <row r="1058" spans="4:7" hidden="1">
      <c r="D1058" s="5" t="s">
        <v>2994</v>
      </c>
      <c r="E1058" s="5" t="s">
        <v>1351</v>
      </c>
      <c r="G1058" s="5" t="s">
        <v>1917</v>
      </c>
    </row>
    <row r="1059" spans="4:7" hidden="1">
      <c r="D1059" s="5" t="s">
        <v>2995</v>
      </c>
      <c r="E1059" s="5" t="s">
        <v>67</v>
      </c>
      <c r="G1059" s="5" t="s">
        <v>1917</v>
      </c>
    </row>
    <row r="1060" spans="4:7" hidden="1">
      <c r="D1060" s="5" t="s">
        <v>2996</v>
      </c>
      <c r="E1060" s="5" t="s">
        <v>1351</v>
      </c>
      <c r="G1060" s="5" t="s">
        <v>1917</v>
      </c>
    </row>
    <row r="1061" spans="4:7" hidden="1">
      <c r="D1061" s="5" t="s">
        <v>2997</v>
      </c>
      <c r="E1061" s="5" t="s">
        <v>1351</v>
      </c>
      <c r="G1061" s="5" t="s">
        <v>1926</v>
      </c>
    </row>
    <row r="1062" spans="4:7" hidden="1">
      <c r="D1062" s="5" t="s">
        <v>2998</v>
      </c>
      <c r="E1062" s="5" t="s">
        <v>67</v>
      </c>
      <c r="G1062" s="5" t="s">
        <v>1917</v>
      </c>
    </row>
    <row r="1063" spans="4:7" hidden="1">
      <c r="D1063" s="5" t="s">
        <v>2999</v>
      </c>
      <c r="E1063" s="5" t="s">
        <v>1351</v>
      </c>
      <c r="G1063" s="5" t="s">
        <v>1917</v>
      </c>
    </row>
    <row r="1064" spans="4:7" hidden="1">
      <c r="D1064" s="5" t="s">
        <v>3000</v>
      </c>
      <c r="E1064" s="5" t="s">
        <v>67</v>
      </c>
      <c r="G1064" s="5" t="s">
        <v>1917</v>
      </c>
    </row>
    <row r="1065" spans="4:7" hidden="1">
      <c r="D1065" s="5" t="s">
        <v>3001</v>
      </c>
      <c r="E1065" s="5" t="s">
        <v>67</v>
      </c>
      <c r="G1065" s="5" t="s">
        <v>1917</v>
      </c>
    </row>
    <row r="1066" spans="4:7" hidden="1">
      <c r="D1066" s="5" t="s">
        <v>3002</v>
      </c>
      <c r="E1066" s="5" t="s">
        <v>67</v>
      </c>
      <c r="G1066" s="5" t="s">
        <v>1917</v>
      </c>
    </row>
    <row r="1067" spans="4:7" hidden="1">
      <c r="D1067" s="5" t="s">
        <v>3003</v>
      </c>
      <c r="E1067" s="5" t="s">
        <v>67</v>
      </c>
      <c r="G1067" s="5" t="s">
        <v>1917</v>
      </c>
    </row>
    <row r="1068" spans="4:7" hidden="1">
      <c r="D1068" s="5" t="s">
        <v>3004</v>
      </c>
      <c r="E1068" s="5" t="s">
        <v>3005</v>
      </c>
      <c r="G1068" s="5" t="s">
        <v>1926</v>
      </c>
    </row>
    <row r="1069" spans="4:7" hidden="1">
      <c r="D1069" s="5" t="s">
        <v>3006</v>
      </c>
      <c r="E1069" s="5" t="s">
        <v>67</v>
      </c>
      <c r="G1069" s="5" t="s">
        <v>1917</v>
      </c>
    </row>
    <row r="1070" spans="4:7" hidden="1">
      <c r="D1070" s="5" t="s">
        <v>3007</v>
      </c>
      <c r="E1070" s="5" t="s">
        <v>67</v>
      </c>
      <c r="G1070" s="5" t="s">
        <v>1917</v>
      </c>
    </row>
    <row r="1071" spans="4:7" hidden="1">
      <c r="D1071" s="5" t="s">
        <v>3008</v>
      </c>
      <c r="E1071" s="5" t="s">
        <v>1351</v>
      </c>
      <c r="G1071" s="5" t="s">
        <v>1917</v>
      </c>
    </row>
    <row r="1072" spans="4:7" hidden="1">
      <c r="D1072" s="5" t="s">
        <v>3009</v>
      </c>
      <c r="E1072" s="5" t="s">
        <v>1351</v>
      </c>
      <c r="G1072" s="5" t="s">
        <v>1917</v>
      </c>
    </row>
    <row r="1073" spans="4:7" hidden="1">
      <c r="D1073" s="5" t="s">
        <v>3010</v>
      </c>
      <c r="E1073" s="5" t="s">
        <v>3005</v>
      </c>
      <c r="G1073" s="5" t="s">
        <v>1926</v>
      </c>
    </row>
    <row r="1074" spans="4:7" hidden="1">
      <c r="D1074" s="5" t="s">
        <v>3011</v>
      </c>
      <c r="E1074" s="5" t="s">
        <v>1351</v>
      </c>
      <c r="G1074" s="5" t="s">
        <v>1917</v>
      </c>
    </row>
    <row r="1075" spans="4:7" hidden="1">
      <c r="D1075" s="5" t="s">
        <v>3012</v>
      </c>
      <c r="E1075" s="5" t="s">
        <v>1351</v>
      </c>
      <c r="G1075" s="5" t="s">
        <v>1917</v>
      </c>
    </row>
    <row r="1076" spans="4:7" hidden="1">
      <c r="D1076" s="5" t="s">
        <v>3013</v>
      </c>
      <c r="E1076" s="5" t="s">
        <v>1351</v>
      </c>
      <c r="G1076" s="5" t="s">
        <v>1917</v>
      </c>
    </row>
    <row r="1077" spans="4:7" hidden="1">
      <c r="D1077" s="5" t="s">
        <v>3014</v>
      </c>
      <c r="E1077" s="5" t="s">
        <v>1351</v>
      </c>
      <c r="G1077" s="5" t="s">
        <v>1917</v>
      </c>
    </row>
    <row r="1078" spans="4:7" hidden="1">
      <c r="D1078" s="5" t="s">
        <v>3015</v>
      </c>
      <c r="E1078" s="5" t="s">
        <v>67</v>
      </c>
      <c r="G1078" s="5" t="s">
        <v>1917</v>
      </c>
    </row>
    <row r="1079" spans="4:7" hidden="1">
      <c r="D1079" s="5" t="s">
        <v>3016</v>
      </c>
      <c r="E1079" s="5" t="s">
        <v>1351</v>
      </c>
      <c r="G1079" s="5" t="s">
        <v>1917</v>
      </c>
    </row>
    <row r="1080" spans="4:7" hidden="1">
      <c r="D1080" s="5" t="s">
        <v>3017</v>
      </c>
      <c r="E1080" s="5" t="s">
        <v>1351</v>
      </c>
      <c r="G1080" s="5" t="s">
        <v>1917</v>
      </c>
    </row>
    <row r="1081" spans="4:7" hidden="1">
      <c r="D1081" s="5" t="s">
        <v>3018</v>
      </c>
      <c r="E1081" s="5" t="s">
        <v>1351</v>
      </c>
      <c r="G1081" s="5" t="s">
        <v>1917</v>
      </c>
    </row>
    <row r="1082" spans="4:7" hidden="1">
      <c r="D1082" s="5" t="s">
        <v>3019</v>
      </c>
      <c r="E1082" s="5" t="s">
        <v>1351</v>
      </c>
      <c r="G1082" s="5" t="s">
        <v>1917</v>
      </c>
    </row>
    <row r="1083" spans="4:7" hidden="1">
      <c r="D1083" s="5" t="s">
        <v>3020</v>
      </c>
      <c r="E1083" s="5" t="s">
        <v>1351</v>
      </c>
      <c r="G1083" s="5" t="s">
        <v>1917</v>
      </c>
    </row>
    <row r="1084" spans="4:7" hidden="1">
      <c r="D1084" s="5" t="s">
        <v>3021</v>
      </c>
      <c r="E1084" s="5" t="s">
        <v>67</v>
      </c>
      <c r="G1084" s="5" t="s">
        <v>1917</v>
      </c>
    </row>
    <row r="1085" spans="4:7" hidden="1">
      <c r="D1085" s="5" t="s">
        <v>3022</v>
      </c>
      <c r="E1085" s="5" t="s">
        <v>67</v>
      </c>
      <c r="G1085" s="5" t="s">
        <v>1917</v>
      </c>
    </row>
    <row r="1086" spans="4:7" hidden="1">
      <c r="D1086" s="5" t="s">
        <v>3023</v>
      </c>
      <c r="E1086" s="5" t="s">
        <v>67</v>
      </c>
      <c r="G1086" s="5" t="s">
        <v>1917</v>
      </c>
    </row>
    <row r="1087" spans="4:7" hidden="1">
      <c r="D1087" s="5" t="s">
        <v>3024</v>
      </c>
      <c r="E1087" s="5" t="s">
        <v>1351</v>
      </c>
      <c r="G1087" s="5" t="s">
        <v>1917</v>
      </c>
    </row>
    <row r="1088" spans="4:7" hidden="1">
      <c r="D1088" s="5" t="s">
        <v>3025</v>
      </c>
      <c r="E1088" s="5" t="s">
        <v>67</v>
      </c>
      <c r="G1088" s="5" t="s">
        <v>1917</v>
      </c>
    </row>
    <row r="1089" spans="4:7" hidden="1">
      <c r="D1089" s="5" t="s">
        <v>3026</v>
      </c>
      <c r="E1089" s="5" t="s">
        <v>3005</v>
      </c>
      <c r="G1089" s="5" t="s">
        <v>1926</v>
      </c>
    </row>
    <row r="1090" spans="4:7" hidden="1">
      <c r="D1090" s="5" t="s">
        <v>3027</v>
      </c>
      <c r="E1090" s="5" t="s">
        <v>67</v>
      </c>
      <c r="G1090" s="5" t="s">
        <v>1917</v>
      </c>
    </row>
    <row r="1091" spans="4:7" hidden="1">
      <c r="D1091" s="5" t="s">
        <v>505</v>
      </c>
      <c r="E1091" s="5" t="s">
        <v>67</v>
      </c>
      <c r="G1091" s="5" t="s">
        <v>1917</v>
      </c>
    </row>
    <row r="1092" spans="4:7" hidden="1">
      <c r="D1092" s="5" t="s">
        <v>3028</v>
      </c>
      <c r="E1092" s="5" t="s">
        <v>1351</v>
      </c>
      <c r="G1092" s="5" t="s">
        <v>1917</v>
      </c>
    </row>
    <row r="1093" spans="4:7" hidden="1">
      <c r="D1093" s="5" t="s">
        <v>3029</v>
      </c>
      <c r="E1093" s="5" t="s">
        <v>67</v>
      </c>
      <c r="G1093" s="5" t="s">
        <v>1917</v>
      </c>
    </row>
    <row r="1094" spans="4:7" hidden="1">
      <c r="D1094" s="5" t="s">
        <v>3030</v>
      </c>
      <c r="E1094" s="5" t="s">
        <v>1351</v>
      </c>
      <c r="G1094" s="5" t="s">
        <v>1917</v>
      </c>
    </row>
    <row r="1095" spans="4:7" hidden="1">
      <c r="D1095" s="5" t="s">
        <v>3031</v>
      </c>
      <c r="E1095" s="5" t="s">
        <v>67</v>
      </c>
      <c r="G1095" s="5" t="s">
        <v>1917</v>
      </c>
    </row>
    <row r="1096" spans="4:7" hidden="1">
      <c r="D1096" s="5" t="s">
        <v>3032</v>
      </c>
      <c r="E1096" s="5" t="s">
        <v>67</v>
      </c>
      <c r="G1096" s="5" t="s">
        <v>1917</v>
      </c>
    </row>
    <row r="1097" spans="4:7" hidden="1">
      <c r="D1097" s="5" t="s">
        <v>3033</v>
      </c>
      <c r="E1097" s="5" t="s">
        <v>67</v>
      </c>
      <c r="G1097" s="5" t="s">
        <v>1917</v>
      </c>
    </row>
    <row r="1098" spans="4:7" hidden="1">
      <c r="D1098" s="5" t="s">
        <v>3034</v>
      </c>
      <c r="E1098" s="5" t="s">
        <v>67</v>
      </c>
      <c r="G1098" s="5" t="s">
        <v>1917</v>
      </c>
    </row>
    <row r="1099" spans="4:7" hidden="1">
      <c r="D1099" s="5" t="s">
        <v>3035</v>
      </c>
      <c r="E1099" s="5" t="s">
        <v>1351</v>
      </c>
      <c r="G1099" s="5" t="s">
        <v>1917</v>
      </c>
    </row>
    <row r="1100" spans="4:7" hidden="1">
      <c r="D1100" s="5" t="s">
        <v>3036</v>
      </c>
      <c r="E1100" s="5" t="s">
        <v>1351</v>
      </c>
      <c r="G1100" s="5" t="s">
        <v>1917</v>
      </c>
    </row>
    <row r="1101" spans="4:7" hidden="1">
      <c r="D1101" s="5" t="s">
        <v>3037</v>
      </c>
      <c r="E1101" s="5" t="s">
        <v>3005</v>
      </c>
      <c r="G1101" s="5" t="s">
        <v>1926</v>
      </c>
    </row>
    <row r="1102" spans="4:7" hidden="1">
      <c r="D1102" s="5" t="s">
        <v>3038</v>
      </c>
      <c r="E1102" s="5" t="s">
        <v>1351</v>
      </c>
      <c r="G1102" s="5" t="s">
        <v>1917</v>
      </c>
    </row>
    <row r="1103" spans="4:7" hidden="1">
      <c r="D1103" s="5" t="s">
        <v>3039</v>
      </c>
      <c r="E1103" s="5" t="s">
        <v>1351</v>
      </c>
      <c r="G1103" s="5" t="s">
        <v>1917</v>
      </c>
    </row>
    <row r="1104" spans="4:7" hidden="1">
      <c r="D1104" s="5" t="s">
        <v>3040</v>
      </c>
      <c r="E1104" s="5" t="s">
        <v>3005</v>
      </c>
      <c r="G1104" s="5" t="s">
        <v>1926</v>
      </c>
    </row>
    <row r="1105" spans="4:7" hidden="1">
      <c r="D1105" s="5" t="s">
        <v>516</v>
      </c>
      <c r="E1105" s="5" t="s">
        <v>1351</v>
      </c>
      <c r="G1105" s="5" t="s">
        <v>1917</v>
      </c>
    </row>
    <row r="1106" spans="4:7" hidden="1">
      <c r="D1106" s="5" t="s">
        <v>3041</v>
      </c>
      <c r="E1106" s="5" t="s">
        <v>1351</v>
      </c>
      <c r="G1106" s="5" t="s">
        <v>1917</v>
      </c>
    </row>
    <row r="1107" spans="4:7" hidden="1">
      <c r="D1107" s="5" t="s">
        <v>3042</v>
      </c>
      <c r="E1107" s="5" t="s">
        <v>67</v>
      </c>
      <c r="G1107" s="5" t="s">
        <v>1917</v>
      </c>
    </row>
    <row r="1108" spans="4:7" hidden="1">
      <c r="D1108" s="5" t="s">
        <v>3043</v>
      </c>
      <c r="E1108" s="5" t="s">
        <v>67</v>
      </c>
      <c r="G1108" s="5" t="s">
        <v>1917</v>
      </c>
    </row>
    <row r="1109" spans="4:7" hidden="1">
      <c r="D1109" s="5" t="s">
        <v>3044</v>
      </c>
      <c r="E1109" s="5" t="s">
        <v>1351</v>
      </c>
      <c r="G1109" s="5" t="s">
        <v>1917</v>
      </c>
    </row>
    <row r="1110" spans="4:7" hidden="1">
      <c r="D1110" s="5" t="s">
        <v>3045</v>
      </c>
      <c r="E1110" s="5" t="s">
        <v>1351</v>
      </c>
      <c r="G1110" s="5" t="s">
        <v>1917</v>
      </c>
    </row>
    <row r="1111" spans="4:7" hidden="1">
      <c r="D1111" s="5" t="s">
        <v>3046</v>
      </c>
      <c r="E1111" s="5" t="s">
        <v>1351</v>
      </c>
      <c r="G1111" s="5" t="s">
        <v>1917</v>
      </c>
    </row>
    <row r="1112" spans="4:7" hidden="1">
      <c r="D1112" s="5" t="s">
        <v>3047</v>
      </c>
      <c r="E1112" s="5" t="s">
        <v>1351</v>
      </c>
      <c r="G1112" s="5" t="s">
        <v>1917</v>
      </c>
    </row>
    <row r="1113" spans="4:7" hidden="1">
      <c r="D1113" s="5" t="s">
        <v>1067</v>
      </c>
      <c r="E1113" s="5" t="s">
        <v>1351</v>
      </c>
      <c r="G1113" s="5" t="s">
        <v>1917</v>
      </c>
    </row>
    <row r="1114" spans="4:7" hidden="1">
      <c r="D1114" s="5" t="s">
        <v>3048</v>
      </c>
      <c r="E1114" s="5" t="s">
        <v>1351</v>
      </c>
      <c r="G1114" s="5" t="s">
        <v>1926</v>
      </c>
    </row>
    <row r="1115" spans="4:7" hidden="1">
      <c r="D1115" s="5" t="s">
        <v>565</v>
      </c>
      <c r="E1115" s="5" t="s">
        <v>1351</v>
      </c>
      <c r="G1115" s="5" t="s">
        <v>1917</v>
      </c>
    </row>
    <row r="1116" spans="4:7" hidden="1">
      <c r="D1116" s="5" t="s">
        <v>3049</v>
      </c>
      <c r="E1116" s="5" t="s">
        <v>1351</v>
      </c>
      <c r="G1116" s="5" t="s">
        <v>1917</v>
      </c>
    </row>
    <row r="1117" spans="4:7" hidden="1">
      <c r="D1117" s="5" t="s">
        <v>3050</v>
      </c>
      <c r="E1117" s="5" t="s">
        <v>1351</v>
      </c>
      <c r="G1117" s="5" t="s">
        <v>1917</v>
      </c>
    </row>
    <row r="1118" spans="4:7" hidden="1">
      <c r="D1118" s="5" t="s">
        <v>3051</v>
      </c>
      <c r="E1118" s="5" t="s">
        <v>3005</v>
      </c>
      <c r="G1118" s="5" t="s">
        <v>1926</v>
      </c>
    </row>
    <row r="1119" spans="4:7" hidden="1">
      <c r="D1119" s="5" t="s">
        <v>893</v>
      </c>
      <c r="E1119" s="5" t="s">
        <v>3005</v>
      </c>
      <c r="G1119" s="5" t="s">
        <v>1926</v>
      </c>
    </row>
    <row r="1120" spans="4:7" hidden="1">
      <c r="D1120" s="5" t="s">
        <v>3052</v>
      </c>
      <c r="E1120" s="5" t="s">
        <v>1351</v>
      </c>
      <c r="G1120" s="5" t="s">
        <v>1917</v>
      </c>
    </row>
    <row r="1121" spans="4:7" hidden="1">
      <c r="D1121" s="5" t="s">
        <v>3053</v>
      </c>
      <c r="E1121" s="5" t="s">
        <v>67</v>
      </c>
      <c r="G1121" s="5" t="s">
        <v>1917</v>
      </c>
    </row>
    <row r="1122" spans="4:7" hidden="1">
      <c r="D1122" s="5" t="s">
        <v>3054</v>
      </c>
      <c r="E1122" s="5" t="s">
        <v>67</v>
      </c>
      <c r="G1122" s="5" t="s">
        <v>1917</v>
      </c>
    </row>
    <row r="1123" spans="4:7" hidden="1">
      <c r="D1123" s="5" t="s">
        <v>3055</v>
      </c>
      <c r="E1123" s="5" t="s">
        <v>1351</v>
      </c>
      <c r="G1123" s="5" t="s">
        <v>1917</v>
      </c>
    </row>
    <row r="1124" spans="4:7" hidden="1">
      <c r="D1124" s="5" t="s">
        <v>3056</v>
      </c>
      <c r="E1124" s="5" t="s">
        <v>1351</v>
      </c>
      <c r="G1124" s="5" t="s">
        <v>1917</v>
      </c>
    </row>
    <row r="1125" spans="4:7" hidden="1">
      <c r="D1125" s="5" t="s">
        <v>3057</v>
      </c>
      <c r="E1125" s="5" t="s">
        <v>3005</v>
      </c>
      <c r="G1125" s="5" t="s">
        <v>1926</v>
      </c>
    </row>
    <row r="1126" spans="4:7" hidden="1">
      <c r="D1126" s="5" t="s">
        <v>3058</v>
      </c>
      <c r="E1126" s="5" t="s">
        <v>1351</v>
      </c>
      <c r="G1126" s="5" t="s">
        <v>1917</v>
      </c>
    </row>
    <row r="1127" spans="4:7" hidden="1">
      <c r="D1127" s="5" t="s">
        <v>3059</v>
      </c>
      <c r="E1127" s="5" t="s">
        <v>1351</v>
      </c>
      <c r="G1127" s="5" t="s">
        <v>1917</v>
      </c>
    </row>
    <row r="1128" spans="4:7" hidden="1">
      <c r="D1128" s="5" t="s">
        <v>3060</v>
      </c>
      <c r="E1128" s="5" t="s">
        <v>1351</v>
      </c>
      <c r="G1128" s="5" t="s">
        <v>1917</v>
      </c>
    </row>
    <row r="1129" spans="4:7" hidden="1">
      <c r="D1129" s="5" t="s">
        <v>3061</v>
      </c>
      <c r="E1129" s="5" t="s">
        <v>1351</v>
      </c>
      <c r="G1129" s="5" t="s">
        <v>1917</v>
      </c>
    </row>
    <row r="1130" spans="4:7" hidden="1">
      <c r="D1130" s="5" t="s">
        <v>3062</v>
      </c>
      <c r="E1130" s="5" t="s">
        <v>1351</v>
      </c>
      <c r="G1130" s="5" t="s">
        <v>1917</v>
      </c>
    </row>
    <row r="1131" spans="4:7" hidden="1">
      <c r="D1131" s="5" t="s">
        <v>3063</v>
      </c>
      <c r="E1131" s="5" t="s">
        <v>67</v>
      </c>
      <c r="G1131" s="5" t="s">
        <v>1917</v>
      </c>
    </row>
    <row r="1132" spans="4:7" hidden="1">
      <c r="D1132" s="5" t="s">
        <v>3064</v>
      </c>
      <c r="E1132" s="5" t="s">
        <v>3005</v>
      </c>
      <c r="G1132" s="5" t="s">
        <v>1926</v>
      </c>
    </row>
    <row r="1133" spans="4:7" hidden="1">
      <c r="D1133" s="5" t="s">
        <v>3065</v>
      </c>
      <c r="E1133" s="5" t="s">
        <v>1351</v>
      </c>
      <c r="G1133" s="5" t="s">
        <v>1917</v>
      </c>
    </row>
    <row r="1134" spans="4:7" hidden="1">
      <c r="D1134" s="5" t="s">
        <v>3066</v>
      </c>
      <c r="E1134" s="5" t="s">
        <v>1351</v>
      </c>
      <c r="G1134" s="5" t="s">
        <v>1917</v>
      </c>
    </row>
    <row r="1135" spans="4:7" hidden="1">
      <c r="D1135" s="5" t="s">
        <v>3067</v>
      </c>
      <c r="E1135" s="5" t="s">
        <v>1351</v>
      </c>
      <c r="G1135" s="5" t="s">
        <v>1917</v>
      </c>
    </row>
    <row r="1136" spans="4:7" hidden="1">
      <c r="D1136" s="5" t="s">
        <v>3068</v>
      </c>
      <c r="E1136" s="5" t="s">
        <v>67</v>
      </c>
      <c r="G1136" s="5" t="s">
        <v>1917</v>
      </c>
    </row>
    <row r="1137" spans="4:7" hidden="1">
      <c r="D1137" s="5" t="s">
        <v>3069</v>
      </c>
      <c r="E1137" s="5" t="s">
        <v>67</v>
      </c>
      <c r="G1137" s="5" t="s">
        <v>1917</v>
      </c>
    </row>
    <row r="1138" spans="4:7" hidden="1">
      <c r="D1138" s="5" t="s">
        <v>3070</v>
      </c>
      <c r="E1138" s="5" t="s">
        <v>67</v>
      </c>
      <c r="G1138" s="5" t="s">
        <v>1917</v>
      </c>
    </row>
    <row r="1139" spans="4:7" hidden="1">
      <c r="D1139" s="5" t="s">
        <v>3071</v>
      </c>
      <c r="E1139" s="5" t="s">
        <v>1351</v>
      </c>
      <c r="G1139" s="5" t="s">
        <v>1917</v>
      </c>
    </row>
    <row r="1140" spans="4:7" hidden="1">
      <c r="D1140" s="5" t="s">
        <v>3072</v>
      </c>
      <c r="E1140" s="5" t="s">
        <v>1351</v>
      </c>
      <c r="G1140" s="5" t="s">
        <v>1926</v>
      </c>
    </row>
    <row r="1141" spans="4:7" hidden="1">
      <c r="D1141" s="5" t="s">
        <v>3073</v>
      </c>
      <c r="E1141" s="5" t="s">
        <v>1351</v>
      </c>
      <c r="G1141" s="5" t="s">
        <v>1917</v>
      </c>
    </row>
    <row r="1142" spans="4:7" hidden="1">
      <c r="D1142" s="5" t="s">
        <v>3074</v>
      </c>
      <c r="E1142" s="5" t="s">
        <v>67</v>
      </c>
      <c r="G1142" s="5" t="s">
        <v>1917</v>
      </c>
    </row>
    <row r="1143" spans="4:7" hidden="1">
      <c r="D1143" s="5" t="s">
        <v>3075</v>
      </c>
      <c r="E1143" s="5" t="s">
        <v>1351</v>
      </c>
      <c r="G1143" s="5" t="s">
        <v>1917</v>
      </c>
    </row>
    <row r="1144" spans="4:7" hidden="1">
      <c r="D1144" s="5" t="s">
        <v>3076</v>
      </c>
      <c r="E1144" s="5" t="s">
        <v>1351</v>
      </c>
      <c r="G1144" s="5" t="s">
        <v>1917</v>
      </c>
    </row>
    <row r="1145" spans="4:7" hidden="1">
      <c r="D1145" s="5" t="s">
        <v>3077</v>
      </c>
      <c r="E1145" s="5" t="s">
        <v>1351</v>
      </c>
      <c r="G1145" s="5" t="s">
        <v>1917</v>
      </c>
    </row>
    <row r="1146" spans="4:7" hidden="1">
      <c r="D1146" s="5" t="s">
        <v>3078</v>
      </c>
      <c r="E1146" s="5" t="s">
        <v>1351</v>
      </c>
      <c r="G1146" s="5" t="s">
        <v>1917</v>
      </c>
    </row>
    <row r="1147" spans="4:7" hidden="1">
      <c r="D1147" s="5" t="s">
        <v>3079</v>
      </c>
      <c r="E1147" s="5" t="s">
        <v>1351</v>
      </c>
      <c r="G1147" s="5" t="s">
        <v>1917</v>
      </c>
    </row>
    <row r="1148" spans="4:7" hidden="1">
      <c r="D1148" s="5" t="s">
        <v>3080</v>
      </c>
      <c r="E1148" s="5" t="s">
        <v>1351</v>
      </c>
      <c r="G1148" s="5" t="s">
        <v>1917</v>
      </c>
    </row>
    <row r="1149" spans="4:7" hidden="1">
      <c r="D1149" s="5" t="s">
        <v>3081</v>
      </c>
      <c r="E1149" s="5" t="s">
        <v>1351</v>
      </c>
      <c r="G1149" s="5" t="s">
        <v>1917</v>
      </c>
    </row>
    <row r="1150" spans="4:7" hidden="1">
      <c r="D1150" s="5" t="s">
        <v>3082</v>
      </c>
      <c r="E1150" s="5" t="s">
        <v>1351</v>
      </c>
      <c r="G1150" s="5" t="s">
        <v>1917</v>
      </c>
    </row>
    <row r="1151" spans="4:7" hidden="1">
      <c r="D1151" s="5" t="s">
        <v>3083</v>
      </c>
      <c r="E1151" s="5" t="s">
        <v>1351</v>
      </c>
      <c r="G1151" s="5" t="s">
        <v>1917</v>
      </c>
    </row>
    <row r="1152" spans="4:7" hidden="1">
      <c r="D1152" s="5" t="s">
        <v>3084</v>
      </c>
      <c r="E1152" s="5" t="s">
        <v>67</v>
      </c>
      <c r="G1152" s="5" t="s">
        <v>1917</v>
      </c>
    </row>
    <row r="1153" spans="4:7" hidden="1">
      <c r="D1153" s="5" t="s">
        <v>3085</v>
      </c>
      <c r="E1153" s="5" t="s">
        <v>67</v>
      </c>
      <c r="G1153" s="5" t="s">
        <v>1917</v>
      </c>
    </row>
    <row r="1154" spans="4:7" hidden="1">
      <c r="D1154" s="5" t="s">
        <v>3086</v>
      </c>
      <c r="E1154" s="5" t="s">
        <v>67</v>
      </c>
      <c r="G1154" s="5" t="s">
        <v>1917</v>
      </c>
    </row>
    <row r="1155" spans="4:7" hidden="1">
      <c r="D1155" s="5" t="s">
        <v>3087</v>
      </c>
      <c r="E1155" s="5" t="s">
        <v>1351</v>
      </c>
      <c r="G1155" s="5" t="s">
        <v>1917</v>
      </c>
    </row>
    <row r="1156" spans="4:7" hidden="1">
      <c r="D1156" s="5" t="s">
        <v>3088</v>
      </c>
      <c r="E1156" s="5" t="s">
        <v>1351</v>
      </c>
      <c r="G1156" s="5" t="s">
        <v>1917</v>
      </c>
    </row>
    <row r="1157" spans="4:7" hidden="1">
      <c r="D1157" s="5" t="s">
        <v>3089</v>
      </c>
      <c r="E1157" s="5" t="s">
        <v>1351</v>
      </c>
      <c r="G1157" s="5" t="s">
        <v>1917</v>
      </c>
    </row>
    <row r="1158" spans="4:7" hidden="1">
      <c r="D1158" s="5" t="s">
        <v>3090</v>
      </c>
      <c r="E1158" s="5" t="s">
        <v>1351</v>
      </c>
      <c r="G1158" s="5" t="s">
        <v>1917</v>
      </c>
    </row>
    <row r="1159" spans="4:7" hidden="1">
      <c r="D1159" s="5" t="s">
        <v>3091</v>
      </c>
      <c r="E1159" s="5" t="s">
        <v>1351</v>
      </c>
      <c r="G1159" s="5" t="s">
        <v>1917</v>
      </c>
    </row>
    <row r="1160" spans="4:7" hidden="1">
      <c r="D1160" s="5" t="s">
        <v>3092</v>
      </c>
      <c r="E1160" s="5" t="s">
        <v>1351</v>
      </c>
      <c r="G1160" s="5" t="s">
        <v>1926</v>
      </c>
    </row>
    <row r="1161" spans="4:7" hidden="1">
      <c r="D1161" s="5" t="s">
        <v>3093</v>
      </c>
      <c r="E1161" s="5" t="s">
        <v>67</v>
      </c>
      <c r="G1161" s="5" t="s">
        <v>1917</v>
      </c>
    </row>
    <row r="1162" spans="4:7" hidden="1">
      <c r="D1162" s="5" t="s">
        <v>3094</v>
      </c>
      <c r="E1162" s="5" t="s">
        <v>67</v>
      </c>
      <c r="G1162" s="5" t="s">
        <v>1917</v>
      </c>
    </row>
    <row r="1163" spans="4:7" hidden="1">
      <c r="D1163" s="5" t="s">
        <v>3095</v>
      </c>
      <c r="E1163" s="5" t="s">
        <v>67</v>
      </c>
      <c r="G1163" s="5" t="s">
        <v>1917</v>
      </c>
    </row>
    <row r="1164" spans="4:7" hidden="1">
      <c r="D1164" s="5" t="s">
        <v>3096</v>
      </c>
      <c r="E1164" s="5" t="s">
        <v>67</v>
      </c>
      <c r="G1164" s="5" t="s">
        <v>1917</v>
      </c>
    </row>
    <row r="1165" spans="4:7" hidden="1">
      <c r="D1165" s="5" t="s">
        <v>3097</v>
      </c>
      <c r="E1165" s="5" t="s">
        <v>1351</v>
      </c>
      <c r="G1165" s="5" t="s">
        <v>1917</v>
      </c>
    </row>
    <row r="1166" spans="4:7" hidden="1">
      <c r="D1166" s="5" t="s">
        <v>3098</v>
      </c>
      <c r="E1166" s="5" t="s">
        <v>1351</v>
      </c>
      <c r="G1166" s="5" t="s">
        <v>1917</v>
      </c>
    </row>
    <row r="1167" spans="4:7" hidden="1">
      <c r="D1167" s="5" t="s">
        <v>3099</v>
      </c>
      <c r="E1167" s="5" t="s">
        <v>1351</v>
      </c>
      <c r="G1167" s="5" t="s">
        <v>1917</v>
      </c>
    </row>
    <row r="1168" spans="4:7" hidden="1">
      <c r="D1168" s="5" t="s">
        <v>3100</v>
      </c>
      <c r="E1168" s="5" t="s">
        <v>67</v>
      </c>
      <c r="G1168" s="5" t="s">
        <v>1917</v>
      </c>
    </row>
    <row r="1169" spans="4:7" hidden="1">
      <c r="D1169" s="5" t="s">
        <v>3101</v>
      </c>
      <c r="E1169" s="5" t="s">
        <v>1351</v>
      </c>
      <c r="G1169" s="5" t="s">
        <v>1917</v>
      </c>
    </row>
    <row r="1170" spans="4:7" hidden="1">
      <c r="D1170" s="5" t="s">
        <v>3102</v>
      </c>
      <c r="E1170" s="5" t="s">
        <v>1351</v>
      </c>
      <c r="G1170" s="5" t="s">
        <v>1917</v>
      </c>
    </row>
    <row r="1171" spans="4:7" hidden="1">
      <c r="D1171" s="5" t="s">
        <v>3103</v>
      </c>
      <c r="E1171" s="5" t="s">
        <v>2468</v>
      </c>
      <c r="G1171" s="5" t="s">
        <v>406</v>
      </c>
    </row>
    <row r="1172" spans="4:7" hidden="1">
      <c r="D1172" s="5" t="s">
        <v>3104</v>
      </c>
      <c r="E1172" s="5" t="s">
        <v>1940</v>
      </c>
      <c r="G1172" s="5" t="s">
        <v>1917</v>
      </c>
    </row>
    <row r="1173" spans="4:7" hidden="1">
      <c r="D1173" s="5" t="s">
        <v>3105</v>
      </c>
      <c r="E1173" s="5" t="s">
        <v>67</v>
      </c>
      <c r="G1173" s="5" t="s">
        <v>1917</v>
      </c>
    </row>
    <row r="1174" spans="4:7" hidden="1">
      <c r="D1174" s="5" t="s">
        <v>3106</v>
      </c>
      <c r="E1174" s="5" t="s">
        <v>135</v>
      </c>
      <c r="G1174" s="5" t="s">
        <v>1920</v>
      </c>
    </row>
    <row r="1175" spans="4:7" hidden="1">
      <c r="D1175" s="5" t="s">
        <v>3107</v>
      </c>
      <c r="E1175" s="5" t="s">
        <v>135</v>
      </c>
      <c r="G1175" s="5" t="s">
        <v>1920</v>
      </c>
    </row>
    <row r="1176" spans="4:7" hidden="1">
      <c r="D1176" s="5" t="s">
        <v>3108</v>
      </c>
      <c r="E1176" s="5" t="s">
        <v>135</v>
      </c>
      <c r="G1176" s="5" t="s">
        <v>1917</v>
      </c>
    </row>
    <row r="1177" spans="4:7" hidden="1">
      <c r="D1177" s="5" t="s">
        <v>3109</v>
      </c>
      <c r="E1177" s="5" t="s">
        <v>135</v>
      </c>
      <c r="G1177" s="5" t="s">
        <v>1920</v>
      </c>
    </row>
    <row r="1178" spans="4:7" hidden="1">
      <c r="D1178" s="5" t="s">
        <v>3110</v>
      </c>
      <c r="E1178" s="5" t="s">
        <v>135</v>
      </c>
      <c r="G1178" s="5" t="s">
        <v>1917</v>
      </c>
    </row>
    <row r="1179" spans="4:7" hidden="1">
      <c r="D1179" s="5" t="s">
        <v>3111</v>
      </c>
      <c r="E1179" s="5" t="s">
        <v>135</v>
      </c>
      <c r="G1179" s="5" t="s">
        <v>1920</v>
      </c>
    </row>
    <row r="1180" spans="4:7" hidden="1">
      <c r="D1180" s="5" t="s">
        <v>3112</v>
      </c>
      <c r="E1180" s="5" t="s">
        <v>135</v>
      </c>
      <c r="G1180" s="5" t="s">
        <v>1920</v>
      </c>
    </row>
    <row r="1181" spans="4:7" hidden="1">
      <c r="D1181" s="5" t="s">
        <v>3113</v>
      </c>
      <c r="E1181" s="5" t="s">
        <v>135</v>
      </c>
      <c r="G1181" s="5" t="s">
        <v>1920</v>
      </c>
    </row>
    <row r="1182" spans="4:7" hidden="1">
      <c r="D1182" s="5" t="s">
        <v>3114</v>
      </c>
      <c r="E1182" s="5" t="s">
        <v>135</v>
      </c>
      <c r="G1182" s="5" t="s">
        <v>1920</v>
      </c>
    </row>
    <row r="1183" spans="4:7" hidden="1">
      <c r="D1183" s="5" t="s">
        <v>3115</v>
      </c>
      <c r="E1183" s="5" t="s">
        <v>135</v>
      </c>
      <c r="G1183" s="5" t="s">
        <v>1920</v>
      </c>
    </row>
    <row r="1184" spans="4:7" hidden="1">
      <c r="D1184" s="5" t="s">
        <v>3116</v>
      </c>
      <c r="E1184" s="5" t="s">
        <v>135</v>
      </c>
      <c r="G1184" s="5" t="s">
        <v>1920</v>
      </c>
    </row>
    <row r="1185" spans="4:7" hidden="1">
      <c r="D1185" s="5" t="s">
        <v>3117</v>
      </c>
      <c r="E1185" s="5" t="s">
        <v>135</v>
      </c>
      <c r="G1185" s="5" t="s">
        <v>1920</v>
      </c>
    </row>
    <row r="1186" spans="4:7" hidden="1">
      <c r="D1186" s="5" t="s">
        <v>3118</v>
      </c>
      <c r="E1186" s="5" t="s">
        <v>135</v>
      </c>
      <c r="G1186" s="5" t="s">
        <v>1917</v>
      </c>
    </row>
    <row r="1187" spans="4:7" hidden="1">
      <c r="D1187" s="5" t="s">
        <v>3119</v>
      </c>
      <c r="E1187" s="5" t="s">
        <v>135</v>
      </c>
      <c r="G1187" s="5" t="s">
        <v>1920</v>
      </c>
    </row>
    <row r="1188" spans="4:7" hidden="1">
      <c r="D1188" s="5" t="s">
        <v>3120</v>
      </c>
      <c r="E1188" s="5" t="s">
        <v>135</v>
      </c>
      <c r="G1188" s="5" t="s">
        <v>1917</v>
      </c>
    </row>
    <row r="1189" spans="4:7" hidden="1">
      <c r="D1189" s="5" t="s">
        <v>3121</v>
      </c>
      <c r="E1189" s="5" t="s">
        <v>135</v>
      </c>
      <c r="G1189" s="5" t="s">
        <v>1920</v>
      </c>
    </row>
    <row r="1190" spans="4:7" hidden="1">
      <c r="D1190" s="5" t="s">
        <v>3122</v>
      </c>
      <c r="E1190" s="5" t="s">
        <v>135</v>
      </c>
      <c r="G1190" s="5" t="s">
        <v>1917</v>
      </c>
    </row>
    <row r="1191" spans="4:7" hidden="1">
      <c r="D1191" s="5" t="s">
        <v>3123</v>
      </c>
      <c r="E1191" s="5" t="s">
        <v>135</v>
      </c>
      <c r="G1191" s="5" t="s">
        <v>1917</v>
      </c>
    </row>
    <row r="1192" spans="4:7" hidden="1">
      <c r="D1192" s="5" t="s">
        <v>3124</v>
      </c>
      <c r="E1192" s="5" t="s">
        <v>135</v>
      </c>
      <c r="G1192" s="5" t="s">
        <v>1920</v>
      </c>
    </row>
    <row r="1193" spans="4:7" hidden="1">
      <c r="D1193" s="5" t="s">
        <v>3125</v>
      </c>
      <c r="E1193" s="5" t="s">
        <v>135</v>
      </c>
      <c r="G1193" s="5" t="s">
        <v>1920</v>
      </c>
    </row>
    <row r="1194" spans="4:7" hidden="1">
      <c r="D1194" s="5" t="s">
        <v>3126</v>
      </c>
      <c r="E1194" s="5" t="s">
        <v>135</v>
      </c>
      <c r="G1194" s="5" t="s">
        <v>1920</v>
      </c>
    </row>
    <row r="1195" spans="4:7" hidden="1">
      <c r="D1195" s="5" t="s">
        <v>3127</v>
      </c>
      <c r="E1195" s="5" t="s">
        <v>135</v>
      </c>
      <c r="G1195" s="5" t="s">
        <v>1917</v>
      </c>
    </row>
    <row r="1196" spans="4:7" hidden="1">
      <c r="D1196" s="5" t="s">
        <v>3128</v>
      </c>
      <c r="E1196" s="5" t="s">
        <v>135</v>
      </c>
      <c r="G1196" s="5" t="s">
        <v>1920</v>
      </c>
    </row>
    <row r="1197" spans="4:7" hidden="1">
      <c r="D1197" s="5" t="s">
        <v>3129</v>
      </c>
      <c r="E1197" s="5" t="s">
        <v>135</v>
      </c>
      <c r="G1197" s="5" t="s">
        <v>1920</v>
      </c>
    </row>
    <row r="1198" spans="4:7" hidden="1">
      <c r="D1198" s="5" t="s">
        <v>3130</v>
      </c>
      <c r="E1198" s="5" t="s">
        <v>135</v>
      </c>
      <c r="G1198" s="5" t="s">
        <v>1920</v>
      </c>
    </row>
    <row r="1199" spans="4:7" hidden="1">
      <c r="D1199" s="5" t="s">
        <v>3131</v>
      </c>
      <c r="E1199" s="5" t="s">
        <v>135</v>
      </c>
      <c r="G1199" s="5" t="s">
        <v>1920</v>
      </c>
    </row>
    <row r="1200" spans="4:7" hidden="1">
      <c r="D1200" s="5" t="s">
        <v>3132</v>
      </c>
      <c r="E1200" s="5" t="s">
        <v>135</v>
      </c>
      <c r="G1200" s="5" t="s">
        <v>1920</v>
      </c>
    </row>
    <row r="1201" spans="4:7" hidden="1">
      <c r="D1201" s="5" t="s">
        <v>3133</v>
      </c>
      <c r="E1201" s="5" t="s">
        <v>135</v>
      </c>
      <c r="G1201" s="5" t="s">
        <v>1917</v>
      </c>
    </row>
    <row r="1202" spans="4:7" hidden="1">
      <c r="D1202" s="5" t="s">
        <v>3134</v>
      </c>
      <c r="E1202" s="5" t="s">
        <v>135</v>
      </c>
      <c r="G1202" s="5" t="s">
        <v>1920</v>
      </c>
    </row>
    <row r="1203" spans="4:7" hidden="1">
      <c r="D1203" s="5" t="s">
        <v>3135</v>
      </c>
      <c r="E1203" s="5" t="s">
        <v>135</v>
      </c>
      <c r="G1203" s="5" t="s">
        <v>1917</v>
      </c>
    </row>
    <row r="1204" spans="4:7" hidden="1">
      <c r="D1204" s="5" t="s">
        <v>3136</v>
      </c>
      <c r="E1204" s="5" t="s">
        <v>135</v>
      </c>
      <c r="G1204" s="5" t="s">
        <v>1920</v>
      </c>
    </row>
    <row r="1205" spans="4:7" hidden="1">
      <c r="D1205" s="5" t="s">
        <v>3137</v>
      </c>
      <c r="E1205" s="5" t="s">
        <v>135</v>
      </c>
      <c r="G1205" s="5" t="s">
        <v>1920</v>
      </c>
    </row>
    <row r="1206" spans="4:7" hidden="1">
      <c r="D1206" s="5" t="s">
        <v>3138</v>
      </c>
      <c r="E1206" s="5" t="s">
        <v>135</v>
      </c>
      <c r="G1206" s="5" t="s">
        <v>1917</v>
      </c>
    </row>
    <row r="1207" spans="4:7" hidden="1">
      <c r="D1207" s="5" t="s">
        <v>3139</v>
      </c>
      <c r="E1207" s="5" t="s">
        <v>135</v>
      </c>
      <c r="G1207" s="5" t="s">
        <v>1920</v>
      </c>
    </row>
    <row r="1208" spans="4:7" hidden="1">
      <c r="D1208" s="5" t="s">
        <v>3140</v>
      </c>
      <c r="E1208" s="5" t="s">
        <v>135</v>
      </c>
      <c r="G1208" s="5" t="s">
        <v>1920</v>
      </c>
    </row>
    <row r="1209" spans="4:7" hidden="1">
      <c r="D1209" s="5" t="s">
        <v>3141</v>
      </c>
      <c r="E1209" s="5" t="s">
        <v>135</v>
      </c>
      <c r="G1209" s="5" t="s">
        <v>1920</v>
      </c>
    </row>
    <row r="1210" spans="4:7" hidden="1">
      <c r="D1210" s="5" t="s">
        <v>3142</v>
      </c>
      <c r="E1210" s="5" t="s">
        <v>135</v>
      </c>
      <c r="G1210" s="5" t="s">
        <v>1920</v>
      </c>
    </row>
    <row r="1211" spans="4:7" hidden="1">
      <c r="D1211" s="5" t="s">
        <v>3143</v>
      </c>
      <c r="E1211" s="5" t="s">
        <v>135</v>
      </c>
      <c r="G1211" s="5" t="s">
        <v>1920</v>
      </c>
    </row>
    <row r="1212" spans="4:7" hidden="1">
      <c r="D1212" s="5" t="s">
        <v>3144</v>
      </c>
      <c r="E1212" s="5" t="s">
        <v>135</v>
      </c>
      <c r="G1212" s="5" t="s">
        <v>1917</v>
      </c>
    </row>
    <row r="1213" spans="4:7" hidden="1">
      <c r="D1213" s="5" t="s">
        <v>3145</v>
      </c>
      <c r="E1213" s="5" t="s">
        <v>135</v>
      </c>
      <c r="G1213" s="5" t="s">
        <v>1920</v>
      </c>
    </row>
    <row r="1214" spans="4:7" hidden="1">
      <c r="D1214" s="5" t="s">
        <v>3146</v>
      </c>
      <c r="E1214" s="5" t="s">
        <v>135</v>
      </c>
      <c r="G1214" s="5" t="s">
        <v>1920</v>
      </c>
    </row>
    <row r="1215" spans="4:7" hidden="1">
      <c r="D1215" s="5" t="s">
        <v>3147</v>
      </c>
      <c r="E1215" s="5" t="s">
        <v>135</v>
      </c>
      <c r="G1215" s="5" t="s">
        <v>1920</v>
      </c>
    </row>
    <row r="1216" spans="4:7" hidden="1">
      <c r="D1216" s="5" t="s">
        <v>3148</v>
      </c>
      <c r="E1216" s="5" t="s">
        <v>135</v>
      </c>
      <c r="G1216" s="5" t="s">
        <v>1917</v>
      </c>
    </row>
    <row r="1217" spans="4:7" hidden="1">
      <c r="D1217" s="5" t="s">
        <v>3149</v>
      </c>
      <c r="E1217" s="5" t="s">
        <v>135</v>
      </c>
      <c r="G1217" s="5" t="s">
        <v>1920</v>
      </c>
    </row>
    <row r="1218" spans="4:7" hidden="1">
      <c r="D1218" s="5" t="s">
        <v>3150</v>
      </c>
      <c r="E1218" s="5" t="s">
        <v>135</v>
      </c>
      <c r="G1218" s="5" t="s">
        <v>1920</v>
      </c>
    </row>
    <row r="1219" spans="4:7" hidden="1">
      <c r="D1219" s="5" t="s">
        <v>3151</v>
      </c>
      <c r="E1219" s="5" t="s">
        <v>135</v>
      </c>
      <c r="G1219" s="5" t="s">
        <v>1920</v>
      </c>
    </row>
    <row r="1220" spans="4:7" hidden="1">
      <c r="D1220" s="5" t="s">
        <v>3152</v>
      </c>
      <c r="E1220" s="5" t="s">
        <v>135</v>
      </c>
      <c r="G1220" s="5" t="s">
        <v>1917</v>
      </c>
    </row>
    <row r="1221" spans="4:7" hidden="1">
      <c r="D1221" s="5" t="s">
        <v>3153</v>
      </c>
      <c r="E1221" s="5" t="s">
        <v>135</v>
      </c>
      <c r="G1221" s="5" t="s">
        <v>1920</v>
      </c>
    </row>
    <row r="1222" spans="4:7" hidden="1">
      <c r="D1222" s="5" t="s">
        <v>3154</v>
      </c>
      <c r="E1222" s="5" t="s">
        <v>135</v>
      </c>
      <c r="G1222" s="5" t="s">
        <v>1920</v>
      </c>
    </row>
    <row r="1223" spans="4:7" hidden="1">
      <c r="D1223" s="5" t="s">
        <v>3155</v>
      </c>
      <c r="E1223" s="5" t="s">
        <v>135</v>
      </c>
      <c r="G1223" s="5" t="s">
        <v>1920</v>
      </c>
    </row>
    <row r="1224" spans="4:7" hidden="1">
      <c r="D1224" s="5" t="s">
        <v>3156</v>
      </c>
      <c r="E1224" s="5" t="s">
        <v>135</v>
      </c>
      <c r="G1224" s="5" t="s">
        <v>1920</v>
      </c>
    </row>
    <row r="1225" spans="4:7" hidden="1">
      <c r="D1225" s="5" t="s">
        <v>3157</v>
      </c>
      <c r="E1225" s="5" t="s">
        <v>135</v>
      </c>
      <c r="G1225" s="5" t="s">
        <v>1920</v>
      </c>
    </row>
    <row r="1226" spans="4:7" hidden="1">
      <c r="D1226" s="5" t="s">
        <v>3158</v>
      </c>
      <c r="E1226" s="5" t="s">
        <v>135</v>
      </c>
      <c r="G1226" s="5" t="s">
        <v>1920</v>
      </c>
    </row>
    <row r="1227" spans="4:7" hidden="1">
      <c r="D1227" s="5" t="s">
        <v>3159</v>
      </c>
      <c r="E1227" s="5" t="s">
        <v>135</v>
      </c>
      <c r="G1227" s="5" t="s">
        <v>1920</v>
      </c>
    </row>
    <row r="1228" spans="4:7" hidden="1">
      <c r="D1228" s="5" t="s">
        <v>3160</v>
      </c>
      <c r="E1228" s="5" t="s">
        <v>135</v>
      </c>
      <c r="G1228" s="5" t="s">
        <v>1917</v>
      </c>
    </row>
    <row r="1229" spans="4:7" hidden="1">
      <c r="D1229" s="5" t="s">
        <v>3161</v>
      </c>
      <c r="E1229" s="5" t="s">
        <v>135</v>
      </c>
      <c r="G1229" s="5" t="s">
        <v>1920</v>
      </c>
    </row>
    <row r="1230" spans="4:7" hidden="1">
      <c r="D1230" s="5" t="s">
        <v>3162</v>
      </c>
      <c r="E1230" s="5" t="s">
        <v>135</v>
      </c>
      <c r="G1230" s="5" t="s">
        <v>1917</v>
      </c>
    </row>
    <row r="1231" spans="4:7" hidden="1">
      <c r="D1231" s="5" t="s">
        <v>3163</v>
      </c>
      <c r="E1231" s="5" t="s">
        <v>135</v>
      </c>
      <c r="G1231" s="5" t="s">
        <v>1920</v>
      </c>
    </row>
    <row r="1232" spans="4:7" hidden="1">
      <c r="D1232" s="5" t="s">
        <v>3164</v>
      </c>
      <c r="E1232" s="5" t="s">
        <v>135</v>
      </c>
      <c r="G1232" s="5" t="s">
        <v>1920</v>
      </c>
    </row>
    <row r="1233" spans="4:7" hidden="1">
      <c r="D1233" s="5" t="s">
        <v>3165</v>
      </c>
      <c r="E1233" s="5" t="s">
        <v>135</v>
      </c>
      <c r="G1233" s="5" t="s">
        <v>1920</v>
      </c>
    </row>
    <row r="1234" spans="4:7" hidden="1">
      <c r="D1234" s="5" t="s">
        <v>3166</v>
      </c>
      <c r="E1234" s="5" t="s">
        <v>135</v>
      </c>
      <c r="G1234" s="5" t="s">
        <v>1917</v>
      </c>
    </row>
    <row r="1235" spans="4:7" hidden="1">
      <c r="D1235" s="5" t="s">
        <v>3167</v>
      </c>
      <c r="E1235" s="5" t="s">
        <v>135</v>
      </c>
      <c r="G1235" s="5" t="s">
        <v>1917</v>
      </c>
    </row>
    <row r="1236" spans="4:7" hidden="1">
      <c r="D1236" s="5" t="s">
        <v>3168</v>
      </c>
      <c r="E1236" s="5" t="s">
        <v>135</v>
      </c>
      <c r="G1236" s="5" t="s">
        <v>1917</v>
      </c>
    </row>
    <row r="1237" spans="4:7" hidden="1">
      <c r="D1237" s="5" t="s">
        <v>3169</v>
      </c>
      <c r="E1237" s="5" t="s">
        <v>135</v>
      </c>
      <c r="G1237" s="5" t="s">
        <v>1917</v>
      </c>
    </row>
    <row r="1238" spans="4:7" hidden="1">
      <c r="D1238" s="5" t="s">
        <v>3170</v>
      </c>
      <c r="E1238" s="5" t="s">
        <v>135</v>
      </c>
      <c r="G1238" s="5" t="s">
        <v>1926</v>
      </c>
    </row>
    <row r="1239" spans="4:7" hidden="1">
      <c r="D1239" s="5" t="s">
        <v>3171</v>
      </c>
      <c r="E1239" s="5" t="s">
        <v>135</v>
      </c>
      <c r="G1239" s="5" t="s">
        <v>1920</v>
      </c>
    </row>
    <row r="1240" spans="4:7" hidden="1">
      <c r="D1240" s="5" t="s">
        <v>3172</v>
      </c>
      <c r="E1240" s="5" t="s">
        <v>135</v>
      </c>
      <c r="G1240" s="5" t="s">
        <v>1926</v>
      </c>
    </row>
    <row r="1241" spans="4:7" hidden="1">
      <c r="D1241" s="5" t="s">
        <v>3173</v>
      </c>
      <c r="E1241" s="5" t="s">
        <v>135</v>
      </c>
      <c r="G1241" s="5" t="s">
        <v>1920</v>
      </c>
    </row>
    <row r="1242" spans="4:7" hidden="1">
      <c r="D1242" s="5" t="s">
        <v>3174</v>
      </c>
      <c r="E1242" s="5" t="s">
        <v>135</v>
      </c>
      <c r="G1242" s="5" t="s">
        <v>1920</v>
      </c>
    </row>
    <row r="1243" spans="4:7" hidden="1">
      <c r="D1243" s="5" t="s">
        <v>3175</v>
      </c>
      <c r="E1243" s="5" t="s">
        <v>135</v>
      </c>
      <c r="G1243" s="5" t="s">
        <v>1920</v>
      </c>
    </row>
    <row r="1244" spans="4:7" hidden="1">
      <c r="D1244" s="5" t="s">
        <v>3176</v>
      </c>
      <c r="E1244" s="5" t="s">
        <v>135</v>
      </c>
      <c r="G1244" s="5" t="s">
        <v>1920</v>
      </c>
    </row>
    <row r="1245" spans="4:7" hidden="1">
      <c r="D1245" s="5" t="s">
        <v>3177</v>
      </c>
      <c r="E1245" s="5" t="s">
        <v>135</v>
      </c>
      <c r="G1245" s="5" t="s">
        <v>1920</v>
      </c>
    </row>
    <row r="1246" spans="4:7" hidden="1">
      <c r="D1246" s="5" t="s">
        <v>3178</v>
      </c>
      <c r="E1246" s="5" t="s">
        <v>135</v>
      </c>
      <c r="G1246" s="5" t="s">
        <v>1917</v>
      </c>
    </row>
    <row r="1247" spans="4:7" hidden="1">
      <c r="D1247" s="5" t="s">
        <v>3179</v>
      </c>
      <c r="E1247" s="5" t="s">
        <v>135</v>
      </c>
      <c r="G1247" s="5" t="s">
        <v>1920</v>
      </c>
    </row>
    <row r="1248" spans="4:7" hidden="1">
      <c r="D1248" s="5" t="s">
        <v>3180</v>
      </c>
      <c r="E1248" s="5" t="s">
        <v>135</v>
      </c>
      <c r="G1248" s="5" t="s">
        <v>1926</v>
      </c>
    </row>
    <row r="1249" spans="4:7" hidden="1">
      <c r="D1249" s="5" t="s">
        <v>3181</v>
      </c>
      <c r="E1249" s="5" t="s">
        <v>135</v>
      </c>
      <c r="G1249" s="5" t="s">
        <v>1920</v>
      </c>
    </row>
    <row r="1250" spans="4:7" hidden="1">
      <c r="D1250" s="5" t="s">
        <v>3182</v>
      </c>
      <c r="E1250" s="5" t="s">
        <v>135</v>
      </c>
      <c r="G1250" s="5" t="s">
        <v>1917</v>
      </c>
    </row>
    <row r="1251" spans="4:7" hidden="1">
      <c r="D1251" s="5" t="s">
        <v>3183</v>
      </c>
      <c r="E1251" s="5" t="s">
        <v>135</v>
      </c>
      <c r="G1251" s="5" t="s">
        <v>1917</v>
      </c>
    </row>
    <row r="1252" spans="4:7" hidden="1">
      <c r="D1252" s="5" t="s">
        <v>3184</v>
      </c>
      <c r="E1252" s="5" t="s">
        <v>135</v>
      </c>
      <c r="G1252" s="5" t="s">
        <v>1920</v>
      </c>
    </row>
    <row r="1253" spans="4:7" hidden="1">
      <c r="D1253" s="5" t="s">
        <v>3185</v>
      </c>
      <c r="E1253" s="5" t="s">
        <v>135</v>
      </c>
      <c r="G1253" s="5" t="s">
        <v>1920</v>
      </c>
    </row>
    <row r="1254" spans="4:7" hidden="1">
      <c r="D1254" s="5" t="s">
        <v>3186</v>
      </c>
      <c r="E1254" s="5" t="s">
        <v>135</v>
      </c>
      <c r="G1254" s="5" t="s">
        <v>1917</v>
      </c>
    </row>
    <row r="1255" spans="4:7" hidden="1">
      <c r="D1255" s="5" t="s">
        <v>3187</v>
      </c>
      <c r="E1255" s="5" t="s">
        <v>135</v>
      </c>
      <c r="G1255" s="5" t="s">
        <v>1917</v>
      </c>
    </row>
    <row r="1256" spans="4:7" hidden="1">
      <c r="D1256" s="5" t="s">
        <v>3188</v>
      </c>
      <c r="E1256" s="5" t="s">
        <v>135</v>
      </c>
      <c r="G1256" s="5" t="s">
        <v>1917</v>
      </c>
    </row>
    <row r="1257" spans="4:7" hidden="1">
      <c r="D1257" s="5" t="s">
        <v>3189</v>
      </c>
      <c r="E1257" s="5" t="s">
        <v>135</v>
      </c>
      <c r="G1257" s="5" t="s">
        <v>1917</v>
      </c>
    </row>
    <row r="1258" spans="4:7" hidden="1">
      <c r="D1258" s="5" t="s">
        <v>511</v>
      </c>
      <c r="E1258" s="5" t="s">
        <v>135</v>
      </c>
      <c r="G1258" s="5" t="s">
        <v>1917</v>
      </c>
    </row>
    <row r="1259" spans="4:7" hidden="1">
      <c r="D1259" s="5" t="s">
        <v>3190</v>
      </c>
      <c r="E1259" s="5" t="s">
        <v>135</v>
      </c>
      <c r="G1259" s="5" t="s">
        <v>1917</v>
      </c>
    </row>
    <row r="1260" spans="4:7" hidden="1">
      <c r="D1260" s="5" t="s">
        <v>3191</v>
      </c>
      <c r="E1260" s="5" t="s">
        <v>135</v>
      </c>
      <c r="G1260" s="5" t="s">
        <v>1917</v>
      </c>
    </row>
    <row r="1261" spans="4:7" hidden="1">
      <c r="D1261" s="5" t="s">
        <v>3192</v>
      </c>
      <c r="E1261" s="5" t="s">
        <v>135</v>
      </c>
      <c r="G1261" s="5" t="s">
        <v>1920</v>
      </c>
    </row>
    <row r="1262" spans="4:7" hidden="1">
      <c r="D1262" s="5" t="s">
        <v>3193</v>
      </c>
      <c r="E1262" s="5" t="s">
        <v>135</v>
      </c>
      <c r="G1262" s="5" t="s">
        <v>1920</v>
      </c>
    </row>
    <row r="1263" spans="4:7" hidden="1">
      <c r="D1263" s="5" t="s">
        <v>3194</v>
      </c>
      <c r="E1263" s="5" t="s">
        <v>135</v>
      </c>
      <c r="G1263" s="5" t="s">
        <v>1920</v>
      </c>
    </row>
    <row r="1264" spans="4:7" hidden="1">
      <c r="D1264" s="5" t="s">
        <v>3195</v>
      </c>
      <c r="E1264" s="5" t="s">
        <v>135</v>
      </c>
      <c r="G1264" s="5" t="s">
        <v>1917</v>
      </c>
    </row>
    <row r="1265" spans="4:7" hidden="1">
      <c r="D1265" s="5" t="s">
        <v>3196</v>
      </c>
      <c r="E1265" s="5" t="s">
        <v>135</v>
      </c>
      <c r="G1265" s="5" t="s">
        <v>1917</v>
      </c>
    </row>
    <row r="1266" spans="4:7" hidden="1">
      <c r="D1266" s="5" t="s">
        <v>3197</v>
      </c>
      <c r="E1266" s="5" t="s">
        <v>135</v>
      </c>
      <c r="G1266" s="5" t="s">
        <v>1917</v>
      </c>
    </row>
    <row r="1267" spans="4:7" hidden="1">
      <c r="D1267" s="5" t="s">
        <v>3198</v>
      </c>
      <c r="E1267" s="5" t="s">
        <v>135</v>
      </c>
      <c r="G1267" s="5" t="s">
        <v>1917</v>
      </c>
    </row>
    <row r="1268" spans="4:7" hidden="1">
      <c r="D1268" s="5" t="s">
        <v>3199</v>
      </c>
      <c r="E1268" s="5" t="s">
        <v>135</v>
      </c>
      <c r="G1268" s="5" t="s">
        <v>1917</v>
      </c>
    </row>
    <row r="1269" spans="4:7" hidden="1">
      <c r="D1269" s="5" t="s">
        <v>3200</v>
      </c>
      <c r="E1269" s="5" t="s">
        <v>135</v>
      </c>
      <c r="G1269" s="5" t="s">
        <v>1920</v>
      </c>
    </row>
    <row r="1270" spans="4:7" hidden="1">
      <c r="D1270" s="5" t="s">
        <v>3201</v>
      </c>
      <c r="E1270" s="5" t="s">
        <v>2872</v>
      </c>
      <c r="G1270" s="5" t="s">
        <v>1920</v>
      </c>
    </row>
    <row r="1271" spans="4:7" hidden="1">
      <c r="D1271" s="5" t="s">
        <v>3202</v>
      </c>
      <c r="E1271" s="5" t="s">
        <v>135</v>
      </c>
      <c r="G1271" s="5" t="s">
        <v>1920</v>
      </c>
    </row>
    <row r="1272" spans="4:7" hidden="1">
      <c r="D1272" s="5" t="s">
        <v>3203</v>
      </c>
      <c r="E1272" s="5" t="s">
        <v>135</v>
      </c>
      <c r="G1272" s="5" t="s">
        <v>1917</v>
      </c>
    </row>
    <row r="1273" spans="4:7" hidden="1">
      <c r="D1273" s="5" t="s">
        <v>3204</v>
      </c>
      <c r="E1273" s="5" t="s">
        <v>135</v>
      </c>
      <c r="G1273" s="5" t="s">
        <v>1917</v>
      </c>
    </row>
    <row r="1274" spans="4:7" hidden="1">
      <c r="D1274" s="5" t="s">
        <v>3205</v>
      </c>
      <c r="E1274" s="5" t="s">
        <v>135</v>
      </c>
      <c r="G1274" s="5" t="s">
        <v>1917</v>
      </c>
    </row>
    <row r="1275" spans="4:7" hidden="1">
      <c r="D1275" s="5" t="s">
        <v>3206</v>
      </c>
      <c r="E1275" s="5" t="s">
        <v>135</v>
      </c>
      <c r="G1275" s="5" t="s">
        <v>1917</v>
      </c>
    </row>
    <row r="1276" spans="4:7" hidden="1">
      <c r="D1276" s="5" t="s">
        <v>3207</v>
      </c>
      <c r="E1276" s="5" t="s">
        <v>135</v>
      </c>
      <c r="G1276" s="5" t="s">
        <v>1926</v>
      </c>
    </row>
    <row r="1277" spans="4:7" hidden="1">
      <c r="D1277" s="5" t="s">
        <v>3208</v>
      </c>
      <c r="E1277" s="5" t="s">
        <v>89</v>
      </c>
      <c r="G1277" s="5" t="s">
        <v>1917</v>
      </c>
    </row>
    <row r="1278" spans="4:7" hidden="1">
      <c r="D1278" s="5" t="s">
        <v>3209</v>
      </c>
      <c r="E1278" s="5" t="s">
        <v>89</v>
      </c>
      <c r="G1278" s="5" t="s">
        <v>1917</v>
      </c>
    </row>
    <row r="1279" spans="4:7" hidden="1">
      <c r="D1279" s="5" t="s">
        <v>3210</v>
      </c>
      <c r="E1279" s="5" t="s">
        <v>89</v>
      </c>
      <c r="G1279" s="5" t="s">
        <v>1917</v>
      </c>
    </row>
    <row r="1280" spans="4:7" hidden="1">
      <c r="D1280" s="5" t="s">
        <v>3211</v>
      </c>
      <c r="E1280" s="5" t="s">
        <v>89</v>
      </c>
      <c r="G1280" s="5" t="s">
        <v>1917</v>
      </c>
    </row>
    <row r="1281" spans="4:7" hidden="1">
      <c r="D1281" s="5" t="s">
        <v>3212</v>
      </c>
      <c r="E1281" s="5" t="s">
        <v>89</v>
      </c>
      <c r="G1281" s="5" t="s">
        <v>1917</v>
      </c>
    </row>
    <row r="1282" spans="4:7" hidden="1">
      <c r="D1282" s="5" t="s">
        <v>3213</v>
      </c>
      <c r="E1282" s="5" t="s">
        <v>89</v>
      </c>
      <c r="G1282" s="5" t="s">
        <v>1917</v>
      </c>
    </row>
    <row r="1283" spans="4:7" hidden="1">
      <c r="D1283" s="5" t="s">
        <v>3214</v>
      </c>
      <c r="E1283" s="5" t="s">
        <v>89</v>
      </c>
      <c r="G1283" s="5" t="s">
        <v>1917</v>
      </c>
    </row>
    <row r="1284" spans="4:7" hidden="1">
      <c r="D1284" s="5" t="s">
        <v>3215</v>
      </c>
      <c r="E1284" s="5" t="s">
        <v>89</v>
      </c>
      <c r="G1284" s="5" t="s">
        <v>1917</v>
      </c>
    </row>
    <row r="1285" spans="4:7" hidden="1">
      <c r="D1285" s="5" t="s">
        <v>3216</v>
      </c>
      <c r="E1285" s="5" t="s">
        <v>89</v>
      </c>
      <c r="G1285" s="5" t="s">
        <v>1917</v>
      </c>
    </row>
    <row r="1286" spans="4:7" hidden="1">
      <c r="D1286" s="5" t="s">
        <v>3217</v>
      </c>
      <c r="E1286" s="5" t="s">
        <v>89</v>
      </c>
      <c r="G1286" s="5" t="s">
        <v>1917</v>
      </c>
    </row>
    <row r="1287" spans="4:7" hidden="1">
      <c r="D1287" s="5" t="s">
        <v>3218</v>
      </c>
      <c r="E1287" s="5" t="s">
        <v>89</v>
      </c>
      <c r="G1287" s="5" t="s">
        <v>1917</v>
      </c>
    </row>
    <row r="1288" spans="4:7" hidden="1">
      <c r="D1288" s="5" t="s">
        <v>3219</v>
      </c>
      <c r="E1288" s="5" t="s">
        <v>89</v>
      </c>
      <c r="G1288" s="5" t="s">
        <v>1917</v>
      </c>
    </row>
    <row r="1289" spans="4:7" hidden="1">
      <c r="D1289" s="5" t="s">
        <v>3220</v>
      </c>
      <c r="E1289" s="5" t="s">
        <v>89</v>
      </c>
      <c r="G1289" s="5" t="s">
        <v>1917</v>
      </c>
    </row>
    <row r="1290" spans="4:7" hidden="1">
      <c r="D1290" s="5" t="s">
        <v>3221</v>
      </c>
      <c r="E1290" s="5" t="s">
        <v>89</v>
      </c>
      <c r="G1290" s="5" t="s">
        <v>1917</v>
      </c>
    </row>
    <row r="1291" spans="4:7" hidden="1">
      <c r="D1291" s="5" t="s">
        <v>3222</v>
      </c>
      <c r="E1291" s="5" t="s">
        <v>89</v>
      </c>
      <c r="G1291" s="5" t="s">
        <v>1917</v>
      </c>
    </row>
    <row r="1292" spans="4:7" hidden="1">
      <c r="D1292" s="5" t="s">
        <v>3223</v>
      </c>
      <c r="E1292" s="5" t="s">
        <v>89</v>
      </c>
      <c r="G1292" s="5" t="s">
        <v>1917</v>
      </c>
    </row>
    <row r="1293" spans="4:7" hidden="1">
      <c r="D1293" s="5" t="s">
        <v>3224</v>
      </c>
      <c r="E1293" s="5" t="s">
        <v>89</v>
      </c>
      <c r="G1293" s="5" t="s">
        <v>1917</v>
      </c>
    </row>
    <row r="1294" spans="4:7" hidden="1">
      <c r="D1294" s="5" t="s">
        <v>3225</v>
      </c>
      <c r="E1294" s="5" t="s">
        <v>89</v>
      </c>
      <c r="G1294" s="5" t="s">
        <v>1917</v>
      </c>
    </row>
    <row r="1295" spans="4:7" hidden="1">
      <c r="D1295" s="5" t="s">
        <v>3226</v>
      </c>
      <c r="E1295" s="5" t="s">
        <v>89</v>
      </c>
      <c r="G1295" s="5" t="s">
        <v>1917</v>
      </c>
    </row>
    <row r="1296" spans="4:7" hidden="1">
      <c r="D1296" s="5" t="s">
        <v>3227</v>
      </c>
      <c r="E1296" s="5" t="s">
        <v>89</v>
      </c>
      <c r="G1296" s="5" t="s">
        <v>1917</v>
      </c>
    </row>
    <row r="1297" spans="4:7" hidden="1">
      <c r="D1297" s="5" t="s">
        <v>3228</v>
      </c>
      <c r="E1297" s="5" t="s">
        <v>89</v>
      </c>
      <c r="G1297" s="5" t="s">
        <v>1917</v>
      </c>
    </row>
    <row r="1298" spans="4:7" hidden="1">
      <c r="D1298" s="5" t="s">
        <v>3229</v>
      </c>
      <c r="E1298" s="5" t="s">
        <v>89</v>
      </c>
      <c r="G1298" s="5" t="s">
        <v>1917</v>
      </c>
    </row>
    <row r="1299" spans="4:7" hidden="1">
      <c r="D1299" s="5" t="s">
        <v>3230</v>
      </c>
      <c r="E1299" s="5" t="s">
        <v>89</v>
      </c>
      <c r="G1299" s="5" t="s">
        <v>1917</v>
      </c>
    </row>
    <row r="1300" spans="4:7" hidden="1">
      <c r="D1300" s="5" t="s">
        <v>3231</v>
      </c>
      <c r="E1300" s="5" t="s">
        <v>89</v>
      </c>
      <c r="G1300" s="5" t="s">
        <v>1917</v>
      </c>
    </row>
    <row r="1301" spans="4:7" hidden="1">
      <c r="D1301" s="5" t="s">
        <v>3232</v>
      </c>
      <c r="E1301" s="5" t="s">
        <v>89</v>
      </c>
      <c r="G1301" s="5" t="s">
        <v>1917</v>
      </c>
    </row>
    <row r="1302" spans="4:7" hidden="1">
      <c r="D1302" s="5" t="s">
        <v>3233</v>
      </c>
      <c r="E1302" s="5" t="s">
        <v>89</v>
      </c>
      <c r="G1302" s="5" t="s">
        <v>1917</v>
      </c>
    </row>
    <row r="1303" spans="4:7" hidden="1">
      <c r="D1303" s="5" t="s">
        <v>3234</v>
      </c>
      <c r="E1303" s="5" t="s">
        <v>89</v>
      </c>
      <c r="G1303" s="5" t="s">
        <v>1917</v>
      </c>
    </row>
    <row r="1304" spans="4:7" hidden="1">
      <c r="D1304" s="5" t="s">
        <v>3235</v>
      </c>
      <c r="E1304" s="5" t="s">
        <v>89</v>
      </c>
      <c r="G1304" s="5" t="s">
        <v>1917</v>
      </c>
    </row>
    <row r="1305" spans="4:7" hidden="1">
      <c r="D1305" s="5" t="s">
        <v>3236</v>
      </c>
      <c r="E1305" s="5" t="s">
        <v>89</v>
      </c>
      <c r="G1305" s="5" t="s">
        <v>1917</v>
      </c>
    </row>
    <row r="1306" spans="4:7" hidden="1">
      <c r="D1306" s="5" t="s">
        <v>3237</v>
      </c>
      <c r="E1306" s="5" t="s">
        <v>89</v>
      </c>
      <c r="G1306" s="5" t="s">
        <v>1917</v>
      </c>
    </row>
    <row r="1307" spans="4:7" hidden="1">
      <c r="D1307" s="5" t="s">
        <v>3238</v>
      </c>
      <c r="E1307" s="5" t="s">
        <v>89</v>
      </c>
      <c r="G1307" s="5" t="s">
        <v>1917</v>
      </c>
    </row>
    <row r="1308" spans="4:7" hidden="1">
      <c r="D1308" s="5" t="s">
        <v>3239</v>
      </c>
      <c r="E1308" s="5" t="s">
        <v>89</v>
      </c>
      <c r="G1308" s="5" t="s">
        <v>1917</v>
      </c>
    </row>
    <row r="1309" spans="4:7" hidden="1">
      <c r="D1309" s="5" t="s">
        <v>3240</v>
      </c>
      <c r="E1309" s="5" t="s">
        <v>89</v>
      </c>
      <c r="G1309" s="5" t="s">
        <v>1917</v>
      </c>
    </row>
    <row r="1310" spans="4:7" hidden="1">
      <c r="D1310" s="5" t="s">
        <v>3241</v>
      </c>
      <c r="E1310" s="5" t="s">
        <v>89</v>
      </c>
      <c r="G1310" s="5" t="s">
        <v>1917</v>
      </c>
    </row>
    <row r="1311" spans="4:7" hidden="1">
      <c r="D1311" s="5" t="s">
        <v>3242</v>
      </c>
      <c r="E1311" s="5" t="s">
        <v>89</v>
      </c>
      <c r="G1311" s="5" t="s">
        <v>1917</v>
      </c>
    </row>
    <row r="1312" spans="4:7" hidden="1">
      <c r="D1312" s="5" t="s">
        <v>3243</v>
      </c>
      <c r="E1312" s="5" t="s">
        <v>89</v>
      </c>
      <c r="G1312" s="5" t="s">
        <v>1917</v>
      </c>
    </row>
    <row r="1313" spans="4:7" hidden="1">
      <c r="D1313" s="5" t="s">
        <v>3244</v>
      </c>
      <c r="E1313" s="5" t="s">
        <v>89</v>
      </c>
      <c r="G1313" s="5" t="s">
        <v>1917</v>
      </c>
    </row>
    <row r="1314" spans="4:7" hidden="1">
      <c r="D1314" s="5" t="s">
        <v>3245</v>
      </c>
      <c r="E1314" s="5" t="s">
        <v>89</v>
      </c>
      <c r="G1314" s="5" t="s">
        <v>1917</v>
      </c>
    </row>
    <row r="1315" spans="4:7" hidden="1">
      <c r="D1315" s="5" t="s">
        <v>3246</v>
      </c>
      <c r="E1315" s="5" t="s">
        <v>89</v>
      </c>
      <c r="G1315" s="5" t="s">
        <v>1917</v>
      </c>
    </row>
    <row r="1316" spans="4:7" hidden="1">
      <c r="D1316" s="5" t="s">
        <v>3247</v>
      </c>
      <c r="E1316" s="5" t="s">
        <v>89</v>
      </c>
      <c r="G1316" s="5" t="s">
        <v>1917</v>
      </c>
    </row>
    <row r="1317" spans="4:7" hidden="1">
      <c r="D1317" s="5" t="s">
        <v>3248</v>
      </c>
      <c r="E1317" s="5" t="s">
        <v>89</v>
      </c>
      <c r="G1317" s="5" t="s">
        <v>1917</v>
      </c>
    </row>
    <row r="1318" spans="4:7" hidden="1">
      <c r="D1318" s="5" t="s">
        <v>3249</v>
      </c>
      <c r="E1318" s="5" t="s">
        <v>89</v>
      </c>
      <c r="G1318" s="5" t="s">
        <v>1917</v>
      </c>
    </row>
    <row r="1319" spans="4:7" hidden="1">
      <c r="D1319" s="5" t="s">
        <v>3250</v>
      </c>
      <c r="E1319" s="5" t="s">
        <v>89</v>
      </c>
      <c r="G1319" s="5" t="s">
        <v>1917</v>
      </c>
    </row>
    <row r="1320" spans="4:7" hidden="1">
      <c r="D1320" s="5" t="s">
        <v>3251</v>
      </c>
      <c r="E1320" s="5" t="s">
        <v>89</v>
      </c>
      <c r="G1320" s="5" t="s">
        <v>1917</v>
      </c>
    </row>
    <row r="1321" spans="4:7" hidden="1">
      <c r="D1321" s="5" t="s">
        <v>3252</v>
      </c>
      <c r="E1321" s="5" t="s">
        <v>89</v>
      </c>
      <c r="G1321" s="5" t="s">
        <v>1926</v>
      </c>
    </row>
    <row r="1322" spans="4:7" hidden="1">
      <c r="D1322" s="5" t="s">
        <v>3253</v>
      </c>
      <c r="E1322" s="5" t="s">
        <v>89</v>
      </c>
      <c r="G1322" s="5" t="s">
        <v>1917</v>
      </c>
    </row>
    <row r="1323" spans="4:7" hidden="1">
      <c r="D1323" s="5" t="s">
        <v>3254</v>
      </c>
      <c r="E1323" s="5" t="s">
        <v>89</v>
      </c>
      <c r="G1323" s="5" t="s">
        <v>1917</v>
      </c>
    </row>
    <row r="1324" spans="4:7" hidden="1">
      <c r="D1324" s="5" t="s">
        <v>3255</v>
      </c>
      <c r="E1324" s="5" t="s">
        <v>89</v>
      </c>
      <c r="G1324" s="5" t="s">
        <v>1917</v>
      </c>
    </row>
    <row r="1325" spans="4:7" hidden="1">
      <c r="D1325" s="5" t="s">
        <v>3256</v>
      </c>
      <c r="E1325" s="5" t="s">
        <v>89</v>
      </c>
      <c r="G1325" s="5" t="s">
        <v>1917</v>
      </c>
    </row>
    <row r="1326" spans="4:7" hidden="1">
      <c r="D1326" s="5" t="s">
        <v>3257</v>
      </c>
      <c r="E1326" s="5" t="s">
        <v>89</v>
      </c>
      <c r="G1326" s="5" t="s">
        <v>1917</v>
      </c>
    </row>
    <row r="1327" spans="4:7" hidden="1">
      <c r="D1327" s="5" t="s">
        <v>3258</v>
      </c>
      <c r="E1327" s="5" t="s">
        <v>89</v>
      </c>
      <c r="G1327" s="5" t="s">
        <v>1917</v>
      </c>
    </row>
    <row r="1328" spans="4:7" hidden="1">
      <c r="D1328" s="5" t="s">
        <v>3259</v>
      </c>
      <c r="E1328" s="5" t="s">
        <v>89</v>
      </c>
      <c r="G1328" s="5" t="s">
        <v>1917</v>
      </c>
    </row>
    <row r="1329" spans="4:7" hidden="1">
      <c r="D1329" s="5" t="s">
        <v>3260</v>
      </c>
      <c r="E1329" s="5" t="s">
        <v>89</v>
      </c>
      <c r="G1329" s="5" t="s">
        <v>1917</v>
      </c>
    </row>
    <row r="1330" spans="4:7" hidden="1">
      <c r="D1330" s="5" t="s">
        <v>3261</v>
      </c>
      <c r="E1330" s="5" t="s">
        <v>89</v>
      </c>
      <c r="G1330" s="5" t="s">
        <v>1917</v>
      </c>
    </row>
    <row r="1331" spans="4:7" hidden="1">
      <c r="D1331" s="5" t="s">
        <v>3262</v>
      </c>
      <c r="E1331" s="5" t="s">
        <v>89</v>
      </c>
      <c r="G1331" s="5" t="s">
        <v>1917</v>
      </c>
    </row>
    <row r="1332" spans="4:7" hidden="1">
      <c r="D1332" s="5" t="s">
        <v>3263</v>
      </c>
      <c r="E1332" s="5" t="s">
        <v>82</v>
      </c>
      <c r="G1332" s="5" t="s">
        <v>1917</v>
      </c>
    </row>
    <row r="1333" spans="4:7" hidden="1">
      <c r="D1333" s="5" t="s">
        <v>3264</v>
      </c>
      <c r="E1333" s="5" t="s">
        <v>89</v>
      </c>
      <c r="G1333" s="5" t="s">
        <v>1917</v>
      </c>
    </row>
    <row r="1334" spans="4:7" hidden="1">
      <c r="D1334" s="5" t="s">
        <v>3265</v>
      </c>
      <c r="E1334" s="5" t="s">
        <v>89</v>
      </c>
      <c r="G1334" s="5" t="s">
        <v>1917</v>
      </c>
    </row>
    <row r="1335" spans="4:7" hidden="1">
      <c r="D1335" s="5" t="s">
        <v>3266</v>
      </c>
      <c r="E1335" s="5" t="s">
        <v>89</v>
      </c>
      <c r="G1335" s="5" t="s">
        <v>1917</v>
      </c>
    </row>
    <row r="1336" spans="4:7" hidden="1">
      <c r="D1336" s="5" t="s">
        <v>3267</v>
      </c>
      <c r="E1336" s="5" t="s">
        <v>89</v>
      </c>
      <c r="G1336" s="5" t="s">
        <v>1917</v>
      </c>
    </row>
    <row r="1337" spans="4:7" hidden="1">
      <c r="D1337" s="5" t="s">
        <v>3268</v>
      </c>
      <c r="E1337" s="5" t="s">
        <v>89</v>
      </c>
      <c r="G1337" s="5" t="s">
        <v>1917</v>
      </c>
    </row>
    <row r="1338" spans="4:7" hidden="1">
      <c r="D1338" s="5" t="s">
        <v>3269</v>
      </c>
      <c r="E1338" s="5" t="s">
        <v>89</v>
      </c>
      <c r="G1338" s="5" t="s">
        <v>1917</v>
      </c>
    </row>
    <row r="1339" spans="4:7" hidden="1">
      <c r="D1339" s="5" t="s">
        <v>3270</v>
      </c>
      <c r="E1339" s="5" t="s">
        <v>89</v>
      </c>
      <c r="G1339" s="5" t="s">
        <v>1917</v>
      </c>
    </row>
    <row r="1340" spans="4:7" hidden="1">
      <c r="D1340" s="5" t="s">
        <v>3271</v>
      </c>
      <c r="E1340" s="5" t="s">
        <v>89</v>
      </c>
      <c r="G1340" s="5" t="s">
        <v>1917</v>
      </c>
    </row>
    <row r="1341" spans="4:7" hidden="1">
      <c r="D1341" s="5" t="s">
        <v>3272</v>
      </c>
      <c r="E1341" s="5" t="s">
        <v>89</v>
      </c>
      <c r="G1341" s="5" t="s">
        <v>1917</v>
      </c>
    </row>
    <row r="1342" spans="4:7" hidden="1">
      <c r="D1342" s="5" t="s">
        <v>3273</v>
      </c>
      <c r="E1342" s="5" t="s">
        <v>89</v>
      </c>
      <c r="G1342" s="5" t="s">
        <v>1917</v>
      </c>
    </row>
    <row r="1343" spans="4:7" hidden="1">
      <c r="D1343" s="5" t="s">
        <v>3274</v>
      </c>
      <c r="E1343" s="5" t="s">
        <v>89</v>
      </c>
      <c r="G1343" s="5" t="s">
        <v>1917</v>
      </c>
    </row>
    <row r="1344" spans="4:7" hidden="1">
      <c r="D1344" s="5" t="s">
        <v>3275</v>
      </c>
      <c r="E1344" s="5" t="s">
        <v>89</v>
      </c>
      <c r="G1344" s="5" t="s">
        <v>1917</v>
      </c>
    </row>
    <row r="1345" spans="4:7" hidden="1">
      <c r="D1345" s="5" t="s">
        <v>3276</v>
      </c>
      <c r="E1345" s="5" t="s">
        <v>89</v>
      </c>
      <c r="G1345" s="5" t="s">
        <v>1917</v>
      </c>
    </row>
    <row r="1346" spans="4:7" hidden="1">
      <c r="D1346" s="5" t="s">
        <v>3277</v>
      </c>
      <c r="E1346" s="5" t="s">
        <v>89</v>
      </c>
      <c r="G1346" s="5" t="s">
        <v>1926</v>
      </c>
    </row>
    <row r="1347" spans="4:7" hidden="1">
      <c r="D1347" s="5" t="s">
        <v>3278</v>
      </c>
      <c r="E1347" s="5" t="s">
        <v>89</v>
      </c>
      <c r="G1347" s="5" t="s">
        <v>1917</v>
      </c>
    </row>
    <row r="1348" spans="4:7" hidden="1">
      <c r="D1348" s="5" t="s">
        <v>3279</v>
      </c>
      <c r="E1348" s="5" t="s">
        <v>89</v>
      </c>
      <c r="G1348" s="5" t="s">
        <v>1917</v>
      </c>
    </row>
    <row r="1349" spans="4:7" hidden="1">
      <c r="D1349" s="5" t="s">
        <v>3280</v>
      </c>
      <c r="E1349" s="5" t="s">
        <v>89</v>
      </c>
      <c r="G1349" s="5" t="s">
        <v>1917</v>
      </c>
    </row>
    <row r="1350" spans="4:7" hidden="1">
      <c r="D1350" s="5" t="s">
        <v>3281</v>
      </c>
      <c r="E1350" s="5" t="s">
        <v>89</v>
      </c>
      <c r="G1350" s="5" t="s">
        <v>1917</v>
      </c>
    </row>
    <row r="1351" spans="4:7" hidden="1">
      <c r="D1351" s="5" t="s">
        <v>3282</v>
      </c>
      <c r="E1351" s="5" t="s">
        <v>89</v>
      </c>
      <c r="G1351" s="5" t="s">
        <v>1917</v>
      </c>
    </row>
    <row r="1352" spans="4:7" hidden="1">
      <c r="D1352" s="5" t="s">
        <v>3283</v>
      </c>
      <c r="E1352" s="5" t="s">
        <v>89</v>
      </c>
      <c r="G1352" s="5" t="s">
        <v>1926</v>
      </c>
    </row>
    <row r="1353" spans="4:7" hidden="1">
      <c r="D1353" s="5" t="s">
        <v>103</v>
      </c>
      <c r="E1353" s="5" t="s">
        <v>89</v>
      </c>
      <c r="G1353" s="5" t="s">
        <v>1917</v>
      </c>
    </row>
    <row r="1354" spans="4:7" hidden="1">
      <c r="D1354" s="5" t="s">
        <v>3284</v>
      </c>
      <c r="E1354" s="5" t="s">
        <v>89</v>
      </c>
      <c r="G1354" s="5" t="s">
        <v>1917</v>
      </c>
    </row>
    <row r="1355" spans="4:7" hidden="1">
      <c r="D1355" s="5" t="s">
        <v>3285</v>
      </c>
      <c r="E1355" s="5" t="s">
        <v>89</v>
      </c>
      <c r="G1355" s="5" t="s">
        <v>1917</v>
      </c>
    </row>
    <row r="1356" spans="4:7" hidden="1">
      <c r="D1356" s="5" t="s">
        <v>3286</v>
      </c>
      <c r="E1356" s="5" t="s">
        <v>89</v>
      </c>
      <c r="G1356" s="5" t="s">
        <v>1917</v>
      </c>
    </row>
    <row r="1357" spans="4:7" hidden="1">
      <c r="D1357" s="5" t="s">
        <v>3287</v>
      </c>
      <c r="E1357" s="5" t="s">
        <v>89</v>
      </c>
      <c r="G1357" s="5" t="s">
        <v>1917</v>
      </c>
    </row>
    <row r="1358" spans="4:7" hidden="1">
      <c r="D1358" s="5" t="s">
        <v>3288</v>
      </c>
      <c r="E1358" s="5" t="s">
        <v>89</v>
      </c>
      <c r="G1358" s="5" t="s">
        <v>1917</v>
      </c>
    </row>
    <row r="1359" spans="4:7" hidden="1">
      <c r="D1359" s="5" t="s">
        <v>3289</v>
      </c>
      <c r="E1359" s="5" t="s">
        <v>89</v>
      </c>
      <c r="G1359" s="5" t="s">
        <v>1917</v>
      </c>
    </row>
    <row r="1360" spans="4:7" hidden="1">
      <c r="D1360" s="5" t="s">
        <v>3290</v>
      </c>
      <c r="E1360" s="5" t="s">
        <v>89</v>
      </c>
      <c r="G1360" s="5" t="s">
        <v>1917</v>
      </c>
    </row>
    <row r="1361" spans="4:7" hidden="1">
      <c r="D1361" s="5" t="s">
        <v>3291</v>
      </c>
      <c r="E1361" s="5" t="s">
        <v>89</v>
      </c>
      <c r="G1361" s="5" t="s">
        <v>1917</v>
      </c>
    </row>
    <row r="1362" spans="4:7" hidden="1">
      <c r="D1362" s="5" t="s">
        <v>3292</v>
      </c>
      <c r="E1362" s="5" t="s">
        <v>89</v>
      </c>
      <c r="G1362" s="5" t="s">
        <v>1917</v>
      </c>
    </row>
    <row r="1363" spans="4:7" hidden="1">
      <c r="D1363" s="5" t="s">
        <v>3293</v>
      </c>
      <c r="E1363" s="5" t="s">
        <v>3294</v>
      </c>
      <c r="G1363" s="5" t="s">
        <v>1926</v>
      </c>
    </row>
    <row r="1364" spans="4:7" hidden="1">
      <c r="D1364" s="5" t="s">
        <v>3295</v>
      </c>
      <c r="E1364" s="5" t="s">
        <v>89</v>
      </c>
      <c r="G1364" s="5" t="s">
        <v>1917</v>
      </c>
    </row>
    <row r="1365" spans="4:7" hidden="1">
      <c r="D1365" s="5" t="s">
        <v>3296</v>
      </c>
      <c r="E1365" s="5" t="s">
        <v>89</v>
      </c>
      <c r="G1365" s="5" t="s">
        <v>1917</v>
      </c>
    </row>
    <row r="1366" spans="4:7" hidden="1">
      <c r="D1366" s="5" t="s">
        <v>3297</v>
      </c>
      <c r="E1366" s="5" t="s">
        <v>89</v>
      </c>
      <c r="G1366" s="5" t="s">
        <v>1917</v>
      </c>
    </row>
    <row r="1367" spans="4:7" hidden="1">
      <c r="D1367" s="5" t="s">
        <v>3298</v>
      </c>
      <c r="E1367" s="5" t="s">
        <v>89</v>
      </c>
      <c r="G1367" s="5" t="s">
        <v>1917</v>
      </c>
    </row>
    <row r="1368" spans="4:7" hidden="1">
      <c r="D1368" s="5" t="s">
        <v>123</v>
      </c>
      <c r="E1368" s="5" t="s">
        <v>114</v>
      </c>
      <c r="G1368" s="5" t="s">
        <v>1917</v>
      </c>
    </row>
    <row r="1369" spans="4:7" hidden="1">
      <c r="D1369" s="5" t="s">
        <v>3299</v>
      </c>
      <c r="E1369" s="5" t="s">
        <v>114</v>
      </c>
      <c r="G1369" s="5" t="s">
        <v>1917</v>
      </c>
    </row>
    <row r="1370" spans="4:7" hidden="1">
      <c r="D1370" s="5" t="s">
        <v>3300</v>
      </c>
      <c r="E1370" s="5" t="s">
        <v>114</v>
      </c>
      <c r="G1370" s="5" t="s">
        <v>1917</v>
      </c>
    </row>
    <row r="1371" spans="4:7" hidden="1">
      <c r="D1371" s="5" t="s">
        <v>3301</v>
      </c>
      <c r="E1371" s="5" t="s">
        <v>114</v>
      </c>
      <c r="G1371" s="5" t="s">
        <v>1917</v>
      </c>
    </row>
    <row r="1372" spans="4:7" hidden="1">
      <c r="D1372" s="5" t="s">
        <v>3302</v>
      </c>
      <c r="E1372" s="5" t="s">
        <v>114</v>
      </c>
      <c r="G1372" s="5" t="s">
        <v>1917</v>
      </c>
    </row>
    <row r="1373" spans="4:7" hidden="1">
      <c r="D1373" s="5" t="s">
        <v>3303</v>
      </c>
      <c r="E1373" s="5" t="s">
        <v>114</v>
      </c>
      <c r="G1373" s="5" t="s">
        <v>1926</v>
      </c>
    </row>
    <row r="1374" spans="4:7" hidden="1">
      <c r="D1374" s="5" t="s">
        <v>3304</v>
      </c>
      <c r="E1374" s="5" t="s">
        <v>89</v>
      </c>
      <c r="G1374" s="5" t="s">
        <v>1917</v>
      </c>
    </row>
    <row r="1375" spans="4:7" hidden="1">
      <c r="D1375" s="5" t="s">
        <v>3305</v>
      </c>
      <c r="E1375" s="5" t="s">
        <v>89</v>
      </c>
      <c r="G1375" s="5" t="s">
        <v>1917</v>
      </c>
    </row>
    <row r="1376" spans="4:7" hidden="1">
      <c r="D1376" s="5" t="s">
        <v>3306</v>
      </c>
      <c r="E1376" s="5" t="s">
        <v>89</v>
      </c>
      <c r="G1376" s="5" t="s">
        <v>1926</v>
      </c>
    </row>
    <row r="1377" spans="4:7" hidden="1">
      <c r="D1377" s="5" t="s">
        <v>3307</v>
      </c>
      <c r="E1377" s="5" t="s">
        <v>89</v>
      </c>
      <c r="G1377" s="5" t="s">
        <v>1917</v>
      </c>
    </row>
    <row r="1378" spans="4:7" hidden="1">
      <c r="D1378" s="5" t="s">
        <v>3308</v>
      </c>
      <c r="E1378" s="5" t="s">
        <v>89</v>
      </c>
      <c r="G1378" s="5" t="s">
        <v>1917</v>
      </c>
    </row>
    <row r="1379" spans="4:7" hidden="1">
      <c r="D1379" s="5" t="s">
        <v>3309</v>
      </c>
      <c r="E1379" s="5" t="s">
        <v>89</v>
      </c>
      <c r="G1379" s="5" t="s">
        <v>1917</v>
      </c>
    </row>
    <row r="1380" spans="4:7" hidden="1">
      <c r="D1380" s="5" t="s">
        <v>3310</v>
      </c>
      <c r="E1380" s="5" t="s">
        <v>89</v>
      </c>
      <c r="G1380" s="5" t="s">
        <v>1917</v>
      </c>
    </row>
    <row r="1381" spans="4:7" hidden="1">
      <c r="D1381" s="5" t="s">
        <v>3311</v>
      </c>
      <c r="E1381" s="5" t="s">
        <v>89</v>
      </c>
      <c r="G1381" s="5" t="s">
        <v>1917</v>
      </c>
    </row>
    <row r="1382" spans="4:7" hidden="1">
      <c r="D1382" s="5" t="s">
        <v>3312</v>
      </c>
      <c r="E1382" s="5" t="s">
        <v>89</v>
      </c>
      <c r="G1382" s="5" t="s">
        <v>1917</v>
      </c>
    </row>
    <row r="1383" spans="4:7" hidden="1">
      <c r="D1383" s="5" t="s">
        <v>3313</v>
      </c>
      <c r="E1383" s="5" t="s">
        <v>752</v>
      </c>
      <c r="G1383" s="5" t="s">
        <v>1917</v>
      </c>
    </row>
    <row r="1384" spans="4:7" hidden="1">
      <c r="D1384" s="5" t="s">
        <v>3314</v>
      </c>
      <c r="E1384" s="5" t="s">
        <v>89</v>
      </c>
      <c r="G1384" s="5" t="s">
        <v>1917</v>
      </c>
    </row>
    <row r="1385" spans="4:7" hidden="1">
      <c r="D1385" s="5" t="s">
        <v>3315</v>
      </c>
      <c r="E1385" s="5" t="s">
        <v>89</v>
      </c>
      <c r="G1385" s="5" t="s">
        <v>1917</v>
      </c>
    </row>
    <row r="1386" spans="4:7" hidden="1">
      <c r="D1386" s="5" t="s">
        <v>3316</v>
      </c>
      <c r="E1386" s="5" t="s">
        <v>89</v>
      </c>
      <c r="G1386" s="5" t="s">
        <v>1917</v>
      </c>
    </row>
    <row r="1387" spans="4:7" hidden="1">
      <c r="D1387" s="5" t="s">
        <v>3317</v>
      </c>
      <c r="E1387" s="5" t="s">
        <v>89</v>
      </c>
      <c r="G1387" s="5" t="s">
        <v>1917</v>
      </c>
    </row>
    <row r="1388" spans="4:7" hidden="1">
      <c r="D1388" s="5" t="s">
        <v>3318</v>
      </c>
      <c r="E1388" s="5" t="s">
        <v>89</v>
      </c>
      <c r="G1388" s="5" t="s">
        <v>1917</v>
      </c>
    </row>
    <row r="1389" spans="4:7" hidden="1">
      <c r="D1389" s="5" t="s">
        <v>3319</v>
      </c>
      <c r="E1389" s="5" t="s">
        <v>89</v>
      </c>
      <c r="G1389" s="5" t="s">
        <v>1917</v>
      </c>
    </row>
    <row r="1390" spans="4:7" hidden="1">
      <c r="D1390" s="5" t="s">
        <v>3320</v>
      </c>
      <c r="E1390" s="5" t="s">
        <v>89</v>
      </c>
      <c r="G1390" s="5" t="s">
        <v>1917</v>
      </c>
    </row>
    <row r="1391" spans="4:7" hidden="1">
      <c r="D1391" s="5" t="s">
        <v>3321</v>
      </c>
      <c r="E1391" s="5" t="s">
        <v>89</v>
      </c>
      <c r="G1391" s="5" t="s">
        <v>1917</v>
      </c>
    </row>
    <row r="1392" spans="4:7" hidden="1">
      <c r="D1392" s="5" t="s">
        <v>3322</v>
      </c>
      <c r="E1392" s="5" t="s">
        <v>89</v>
      </c>
      <c r="G1392" s="5" t="s">
        <v>1917</v>
      </c>
    </row>
    <row r="1393" spans="4:7" hidden="1">
      <c r="D1393" s="5" t="s">
        <v>3323</v>
      </c>
      <c r="E1393" s="5" t="s">
        <v>89</v>
      </c>
      <c r="G1393" s="5" t="s">
        <v>1917</v>
      </c>
    </row>
    <row r="1394" spans="4:7" hidden="1">
      <c r="D1394" s="5" t="s">
        <v>3324</v>
      </c>
      <c r="E1394" s="5" t="s">
        <v>89</v>
      </c>
      <c r="G1394" s="5" t="s">
        <v>1917</v>
      </c>
    </row>
    <row r="1395" spans="4:7" hidden="1">
      <c r="D1395" s="5" t="s">
        <v>3325</v>
      </c>
      <c r="E1395" s="5" t="s">
        <v>89</v>
      </c>
      <c r="G1395" s="5" t="s">
        <v>1917</v>
      </c>
    </row>
    <row r="1396" spans="4:7" hidden="1">
      <c r="D1396" s="5" t="s">
        <v>3326</v>
      </c>
      <c r="E1396" s="5" t="s">
        <v>89</v>
      </c>
      <c r="G1396" s="5" t="s">
        <v>1917</v>
      </c>
    </row>
    <row r="1397" spans="4:7" hidden="1">
      <c r="D1397" s="5" t="s">
        <v>3327</v>
      </c>
      <c r="E1397" s="5" t="s">
        <v>89</v>
      </c>
      <c r="G1397" s="5" t="s">
        <v>1917</v>
      </c>
    </row>
    <row r="1398" spans="4:7" hidden="1">
      <c r="D1398" s="5" t="s">
        <v>3328</v>
      </c>
      <c r="E1398" s="5" t="s">
        <v>89</v>
      </c>
      <c r="G1398" s="5" t="s">
        <v>1917</v>
      </c>
    </row>
    <row r="1399" spans="4:7" hidden="1">
      <c r="D1399" s="5" t="s">
        <v>3329</v>
      </c>
      <c r="E1399" s="5" t="s">
        <v>752</v>
      </c>
      <c r="G1399" s="5" t="s">
        <v>1917</v>
      </c>
    </row>
    <row r="1400" spans="4:7" hidden="1">
      <c r="D1400" s="5" t="s">
        <v>3330</v>
      </c>
      <c r="E1400" s="5" t="s">
        <v>89</v>
      </c>
      <c r="G1400" s="5" t="s">
        <v>1917</v>
      </c>
    </row>
    <row r="1401" spans="4:7" hidden="1">
      <c r="D1401" s="5" t="s">
        <v>3331</v>
      </c>
      <c r="E1401" s="5" t="s">
        <v>752</v>
      </c>
      <c r="G1401" s="5" t="s">
        <v>1917</v>
      </c>
    </row>
    <row r="1402" spans="4:7" hidden="1">
      <c r="D1402" s="5" t="s">
        <v>3332</v>
      </c>
      <c r="E1402" s="5" t="s">
        <v>89</v>
      </c>
      <c r="G1402" s="5" t="s">
        <v>1917</v>
      </c>
    </row>
    <row r="1403" spans="4:7" hidden="1">
      <c r="D1403" s="5" t="s">
        <v>3333</v>
      </c>
      <c r="E1403" s="5" t="s">
        <v>752</v>
      </c>
      <c r="G1403" s="5" t="s">
        <v>1917</v>
      </c>
    </row>
    <row r="1404" spans="4:7" hidden="1">
      <c r="D1404" s="5" t="s">
        <v>3334</v>
      </c>
      <c r="E1404" s="5" t="s">
        <v>752</v>
      </c>
      <c r="G1404" s="5" t="s">
        <v>1917</v>
      </c>
    </row>
    <row r="1405" spans="4:7" hidden="1">
      <c r="D1405" s="5" t="s">
        <v>3335</v>
      </c>
      <c r="E1405" s="5" t="s">
        <v>752</v>
      </c>
      <c r="G1405" s="5" t="s">
        <v>1917</v>
      </c>
    </row>
    <row r="1406" spans="4:7" hidden="1">
      <c r="D1406" s="5" t="s">
        <v>3336</v>
      </c>
      <c r="E1406" s="5" t="s">
        <v>89</v>
      </c>
      <c r="G1406" s="5" t="s">
        <v>1917</v>
      </c>
    </row>
    <row r="1407" spans="4:7" hidden="1">
      <c r="D1407" s="5" t="s">
        <v>3337</v>
      </c>
      <c r="E1407" s="5" t="s">
        <v>89</v>
      </c>
      <c r="G1407" s="5" t="s">
        <v>1917</v>
      </c>
    </row>
    <row r="1408" spans="4:7" hidden="1">
      <c r="D1408" s="5" t="s">
        <v>3338</v>
      </c>
      <c r="E1408" s="5" t="s">
        <v>89</v>
      </c>
      <c r="G1408" s="5" t="s">
        <v>1917</v>
      </c>
    </row>
    <row r="1409" spans="4:7" hidden="1">
      <c r="D1409" s="5" t="s">
        <v>3339</v>
      </c>
      <c r="E1409" s="5" t="s">
        <v>89</v>
      </c>
      <c r="G1409" s="5" t="s">
        <v>1917</v>
      </c>
    </row>
    <row r="1410" spans="4:7" hidden="1">
      <c r="D1410" s="5" t="s">
        <v>3340</v>
      </c>
      <c r="E1410" s="5" t="s">
        <v>89</v>
      </c>
      <c r="G1410" s="5" t="s">
        <v>1917</v>
      </c>
    </row>
    <row r="1411" spans="4:7" hidden="1">
      <c r="D1411" s="5" t="s">
        <v>3341</v>
      </c>
      <c r="E1411" s="5" t="s">
        <v>89</v>
      </c>
      <c r="G1411" s="5" t="s">
        <v>1917</v>
      </c>
    </row>
    <row r="1412" spans="4:7" hidden="1">
      <c r="D1412" s="5" t="s">
        <v>3342</v>
      </c>
      <c r="E1412" s="5" t="s">
        <v>89</v>
      </c>
      <c r="G1412" s="5" t="s">
        <v>1917</v>
      </c>
    </row>
    <row r="1413" spans="4:7" hidden="1">
      <c r="D1413" s="5" t="s">
        <v>3343</v>
      </c>
      <c r="E1413" s="5" t="s">
        <v>89</v>
      </c>
      <c r="G1413" s="5" t="s">
        <v>1917</v>
      </c>
    </row>
    <row r="1414" spans="4:7" hidden="1">
      <c r="D1414" s="5" t="s">
        <v>3344</v>
      </c>
      <c r="E1414" s="5" t="s">
        <v>89</v>
      </c>
      <c r="G1414" s="5" t="s">
        <v>1917</v>
      </c>
    </row>
    <row r="1415" spans="4:7" hidden="1">
      <c r="D1415" s="5" t="s">
        <v>3345</v>
      </c>
      <c r="E1415" s="5" t="s">
        <v>89</v>
      </c>
      <c r="G1415" s="5" t="s">
        <v>1917</v>
      </c>
    </row>
    <row r="1416" spans="4:7" hidden="1">
      <c r="D1416" s="5" t="s">
        <v>3346</v>
      </c>
      <c r="E1416" s="5" t="s">
        <v>82</v>
      </c>
      <c r="G1416" s="5" t="s">
        <v>1917</v>
      </c>
    </row>
    <row r="1417" spans="4:7" hidden="1">
      <c r="D1417" s="5" t="s">
        <v>3347</v>
      </c>
      <c r="E1417" s="5" t="s">
        <v>89</v>
      </c>
      <c r="G1417" s="5" t="s">
        <v>1917</v>
      </c>
    </row>
    <row r="1418" spans="4:7" hidden="1">
      <c r="D1418" s="5" t="s">
        <v>3348</v>
      </c>
      <c r="E1418" s="5" t="s">
        <v>89</v>
      </c>
      <c r="G1418" s="5" t="s">
        <v>1917</v>
      </c>
    </row>
    <row r="1419" spans="4:7" hidden="1">
      <c r="D1419" s="5" t="s">
        <v>3349</v>
      </c>
      <c r="E1419" s="5" t="s">
        <v>89</v>
      </c>
      <c r="G1419" s="5" t="s">
        <v>1917</v>
      </c>
    </row>
    <row r="1420" spans="4:7" hidden="1">
      <c r="D1420" s="5" t="s">
        <v>3350</v>
      </c>
      <c r="E1420" s="5" t="s">
        <v>89</v>
      </c>
      <c r="G1420" s="5" t="s">
        <v>1917</v>
      </c>
    </row>
    <row r="1421" spans="4:7" hidden="1">
      <c r="D1421" s="5" t="s">
        <v>3351</v>
      </c>
      <c r="E1421" s="5" t="s">
        <v>752</v>
      </c>
      <c r="G1421" s="5" t="s">
        <v>1917</v>
      </c>
    </row>
    <row r="1422" spans="4:7" hidden="1">
      <c r="D1422" s="5" t="s">
        <v>3352</v>
      </c>
      <c r="E1422" s="5" t="s">
        <v>752</v>
      </c>
      <c r="G1422" s="5" t="s">
        <v>1917</v>
      </c>
    </row>
    <row r="1423" spans="4:7" hidden="1">
      <c r="D1423" s="5" t="s">
        <v>3353</v>
      </c>
      <c r="E1423" s="5" t="s">
        <v>89</v>
      </c>
      <c r="G1423" s="5" t="s">
        <v>1917</v>
      </c>
    </row>
    <row r="1424" spans="4:7" hidden="1">
      <c r="D1424" s="5" t="s">
        <v>3354</v>
      </c>
      <c r="E1424" s="5" t="s">
        <v>89</v>
      </c>
      <c r="G1424" s="5" t="s">
        <v>1917</v>
      </c>
    </row>
    <row r="1425" spans="4:7" hidden="1">
      <c r="D1425" s="5" t="s">
        <v>3355</v>
      </c>
      <c r="E1425" s="5" t="s">
        <v>89</v>
      </c>
      <c r="G1425" s="5" t="s">
        <v>1917</v>
      </c>
    </row>
    <row r="1426" spans="4:7" hidden="1">
      <c r="D1426" s="5" t="s">
        <v>3356</v>
      </c>
      <c r="E1426" s="5" t="s">
        <v>752</v>
      </c>
      <c r="G1426" s="5" t="s">
        <v>1917</v>
      </c>
    </row>
    <row r="1427" spans="4:7" hidden="1">
      <c r="D1427" s="5" t="s">
        <v>3357</v>
      </c>
      <c r="E1427" s="5" t="s">
        <v>752</v>
      </c>
      <c r="G1427" s="5" t="s">
        <v>1917</v>
      </c>
    </row>
    <row r="1428" spans="4:7" hidden="1">
      <c r="D1428" s="5" t="s">
        <v>3358</v>
      </c>
      <c r="E1428" s="5" t="s">
        <v>752</v>
      </c>
      <c r="G1428" s="5" t="s">
        <v>1917</v>
      </c>
    </row>
    <row r="1429" spans="4:7" hidden="1">
      <c r="D1429" s="5" t="s">
        <v>3359</v>
      </c>
      <c r="E1429" s="5" t="s">
        <v>89</v>
      </c>
      <c r="G1429" s="5" t="s">
        <v>1917</v>
      </c>
    </row>
    <row r="1430" spans="4:7" hidden="1">
      <c r="D1430" s="5" t="s">
        <v>3360</v>
      </c>
      <c r="E1430" s="5" t="s">
        <v>89</v>
      </c>
      <c r="G1430" s="5" t="s">
        <v>1917</v>
      </c>
    </row>
    <row r="1431" spans="4:7" hidden="1">
      <c r="D1431" s="5" t="s">
        <v>3361</v>
      </c>
      <c r="E1431" s="5" t="s">
        <v>89</v>
      </c>
      <c r="G1431" s="5" t="s">
        <v>1917</v>
      </c>
    </row>
    <row r="1432" spans="4:7" hidden="1">
      <c r="D1432" s="5" t="s">
        <v>3362</v>
      </c>
      <c r="E1432" s="5" t="s">
        <v>89</v>
      </c>
      <c r="G1432" s="5" t="s">
        <v>1917</v>
      </c>
    </row>
    <row r="1433" spans="4:7" hidden="1">
      <c r="D1433" s="5" t="s">
        <v>3363</v>
      </c>
      <c r="E1433" s="5" t="s">
        <v>89</v>
      </c>
      <c r="G1433" s="5" t="s">
        <v>1917</v>
      </c>
    </row>
    <row r="1434" spans="4:7" hidden="1">
      <c r="D1434" s="5" t="s">
        <v>3364</v>
      </c>
      <c r="E1434" s="5" t="s">
        <v>89</v>
      </c>
      <c r="G1434" s="5" t="s">
        <v>1917</v>
      </c>
    </row>
    <row r="1435" spans="4:7" hidden="1">
      <c r="D1435" s="5" t="s">
        <v>3365</v>
      </c>
      <c r="E1435" s="5" t="s">
        <v>89</v>
      </c>
      <c r="G1435" s="5" t="s">
        <v>1917</v>
      </c>
    </row>
    <row r="1436" spans="4:7" hidden="1">
      <c r="D1436" s="5" t="s">
        <v>3366</v>
      </c>
      <c r="E1436" s="5" t="s">
        <v>89</v>
      </c>
      <c r="G1436" s="5" t="s">
        <v>1917</v>
      </c>
    </row>
    <row r="1437" spans="4:7" hidden="1">
      <c r="D1437" s="5" t="s">
        <v>3367</v>
      </c>
      <c r="E1437" s="5" t="s">
        <v>89</v>
      </c>
      <c r="G1437" s="5" t="s">
        <v>1917</v>
      </c>
    </row>
    <row r="1438" spans="4:7" hidden="1">
      <c r="D1438" s="5" t="s">
        <v>3368</v>
      </c>
      <c r="E1438" s="5" t="s">
        <v>752</v>
      </c>
      <c r="G1438" s="5" t="s">
        <v>1917</v>
      </c>
    </row>
    <row r="1439" spans="4:7" hidden="1">
      <c r="D1439" s="5" t="s">
        <v>3369</v>
      </c>
      <c r="E1439" s="5" t="s">
        <v>752</v>
      </c>
      <c r="G1439" s="5" t="s">
        <v>1917</v>
      </c>
    </row>
    <row r="1440" spans="4:7" hidden="1">
      <c r="D1440" s="5" t="s">
        <v>3370</v>
      </c>
      <c r="E1440" s="5" t="s">
        <v>752</v>
      </c>
      <c r="G1440" s="5" t="s">
        <v>1917</v>
      </c>
    </row>
    <row r="1441" spans="4:7" hidden="1">
      <c r="D1441" s="5" t="s">
        <v>3371</v>
      </c>
      <c r="E1441" s="5" t="s">
        <v>752</v>
      </c>
      <c r="G1441" s="5" t="s">
        <v>1917</v>
      </c>
    </row>
    <row r="1442" spans="4:7" hidden="1">
      <c r="D1442" s="5" t="s">
        <v>3372</v>
      </c>
      <c r="E1442" s="5" t="s">
        <v>752</v>
      </c>
      <c r="G1442" s="5" t="s">
        <v>1917</v>
      </c>
    </row>
    <row r="1443" spans="4:7" hidden="1">
      <c r="D1443" s="5" t="s">
        <v>3373</v>
      </c>
      <c r="E1443" s="5" t="s">
        <v>752</v>
      </c>
      <c r="G1443" s="5" t="s">
        <v>1917</v>
      </c>
    </row>
    <row r="1444" spans="4:7" hidden="1">
      <c r="D1444" s="5" t="s">
        <v>3374</v>
      </c>
      <c r="E1444" s="5" t="s">
        <v>89</v>
      </c>
      <c r="G1444" s="5" t="s">
        <v>1917</v>
      </c>
    </row>
    <row r="1445" spans="4:7" hidden="1">
      <c r="D1445" s="5" t="s">
        <v>3375</v>
      </c>
      <c r="E1445" s="5" t="s">
        <v>89</v>
      </c>
      <c r="G1445" s="5" t="s">
        <v>1917</v>
      </c>
    </row>
    <row r="1446" spans="4:7" hidden="1">
      <c r="D1446" s="5" t="s">
        <v>3376</v>
      </c>
      <c r="E1446" s="5" t="s">
        <v>89</v>
      </c>
      <c r="G1446" s="5" t="s">
        <v>1917</v>
      </c>
    </row>
    <row r="1447" spans="4:7" hidden="1">
      <c r="D1447" s="5" t="s">
        <v>3377</v>
      </c>
      <c r="E1447" s="5" t="s">
        <v>89</v>
      </c>
      <c r="G1447" s="5" t="s">
        <v>1926</v>
      </c>
    </row>
    <row r="1448" spans="4:7" hidden="1">
      <c r="D1448" s="5" t="s">
        <v>3378</v>
      </c>
      <c r="E1448" s="5" t="s">
        <v>89</v>
      </c>
      <c r="G1448" s="5" t="s">
        <v>1917</v>
      </c>
    </row>
    <row r="1449" spans="4:7" hidden="1">
      <c r="D1449" s="5" t="s">
        <v>3379</v>
      </c>
      <c r="E1449" s="5" t="s">
        <v>89</v>
      </c>
      <c r="G1449" s="5" t="s">
        <v>1917</v>
      </c>
    </row>
    <row r="1450" spans="4:7" hidden="1">
      <c r="D1450" s="5" t="s">
        <v>3380</v>
      </c>
      <c r="E1450" s="5" t="s">
        <v>89</v>
      </c>
      <c r="G1450" s="5" t="s">
        <v>1917</v>
      </c>
    </row>
    <row r="1451" spans="4:7" hidden="1">
      <c r="D1451" s="5" t="s">
        <v>3381</v>
      </c>
      <c r="E1451" s="5" t="s">
        <v>89</v>
      </c>
      <c r="G1451" s="5" t="s">
        <v>1917</v>
      </c>
    </row>
    <row r="1452" spans="4:7" hidden="1">
      <c r="D1452" s="5" t="s">
        <v>3382</v>
      </c>
      <c r="E1452" s="5" t="s">
        <v>89</v>
      </c>
      <c r="G1452" s="5" t="s">
        <v>1917</v>
      </c>
    </row>
    <row r="1453" spans="4:7" hidden="1">
      <c r="D1453" s="5" t="s">
        <v>3383</v>
      </c>
      <c r="E1453" s="5" t="s">
        <v>89</v>
      </c>
      <c r="G1453" s="5" t="s">
        <v>1917</v>
      </c>
    </row>
    <row r="1454" spans="4:7" hidden="1">
      <c r="D1454" s="5" t="s">
        <v>3384</v>
      </c>
      <c r="E1454" s="5" t="s">
        <v>89</v>
      </c>
      <c r="G1454" s="5" t="s">
        <v>1917</v>
      </c>
    </row>
    <row r="1455" spans="4:7" hidden="1">
      <c r="D1455" s="5" t="s">
        <v>3385</v>
      </c>
      <c r="E1455" s="5" t="s">
        <v>89</v>
      </c>
      <c r="G1455" s="5" t="s">
        <v>1917</v>
      </c>
    </row>
    <row r="1456" spans="4:7" hidden="1">
      <c r="D1456" s="5" t="s">
        <v>3386</v>
      </c>
      <c r="E1456" s="5" t="s">
        <v>89</v>
      </c>
      <c r="G1456" s="5" t="s">
        <v>1917</v>
      </c>
    </row>
    <row r="1457" spans="4:7" hidden="1">
      <c r="D1457" s="5" t="s">
        <v>3387</v>
      </c>
      <c r="E1457" s="5" t="s">
        <v>89</v>
      </c>
      <c r="G1457" s="5" t="s">
        <v>1917</v>
      </c>
    </row>
    <row r="1458" spans="4:7" hidden="1">
      <c r="D1458" s="5" t="s">
        <v>3388</v>
      </c>
      <c r="E1458" s="5" t="s">
        <v>89</v>
      </c>
      <c r="G1458" s="5" t="s">
        <v>1917</v>
      </c>
    </row>
    <row r="1459" spans="4:7" hidden="1">
      <c r="D1459" s="5" t="s">
        <v>3389</v>
      </c>
      <c r="E1459" s="5" t="s">
        <v>89</v>
      </c>
      <c r="G1459" s="5" t="s">
        <v>1917</v>
      </c>
    </row>
    <row r="1460" spans="4:7" hidden="1">
      <c r="D1460" s="5" t="s">
        <v>3390</v>
      </c>
      <c r="E1460" s="5" t="s">
        <v>89</v>
      </c>
      <c r="G1460" s="5" t="s">
        <v>1917</v>
      </c>
    </row>
    <row r="1461" spans="4:7" hidden="1">
      <c r="D1461" s="5" t="s">
        <v>3391</v>
      </c>
      <c r="E1461" s="5" t="s">
        <v>89</v>
      </c>
      <c r="G1461" s="5" t="s">
        <v>1917</v>
      </c>
    </row>
    <row r="1462" spans="4:7" hidden="1">
      <c r="D1462" s="5" t="s">
        <v>3392</v>
      </c>
      <c r="E1462" s="5" t="s">
        <v>89</v>
      </c>
      <c r="G1462" s="5" t="s">
        <v>1917</v>
      </c>
    </row>
    <row r="1463" spans="4:7" hidden="1">
      <c r="D1463" s="5" t="s">
        <v>3393</v>
      </c>
      <c r="E1463" s="5" t="s">
        <v>89</v>
      </c>
      <c r="G1463" s="5" t="s">
        <v>1917</v>
      </c>
    </row>
    <row r="1464" spans="4:7" hidden="1">
      <c r="D1464" s="5" t="s">
        <v>3394</v>
      </c>
      <c r="E1464" s="5" t="s">
        <v>752</v>
      </c>
      <c r="G1464" s="5" t="s">
        <v>1917</v>
      </c>
    </row>
    <row r="1465" spans="4:7" hidden="1">
      <c r="D1465" s="5" t="s">
        <v>3395</v>
      </c>
      <c r="E1465" s="5" t="s">
        <v>752</v>
      </c>
      <c r="G1465" s="5" t="s">
        <v>1917</v>
      </c>
    </row>
    <row r="1466" spans="4:7" hidden="1">
      <c r="D1466" s="5" t="s">
        <v>3396</v>
      </c>
      <c r="E1466" s="5" t="s">
        <v>89</v>
      </c>
      <c r="G1466" s="5" t="s">
        <v>1917</v>
      </c>
    </row>
    <row r="1467" spans="4:7" hidden="1">
      <c r="D1467" s="5" t="s">
        <v>3397</v>
      </c>
      <c r="E1467" s="5" t="s">
        <v>89</v>
      </c>
      <c r="G1467" s="5" t="s">
        <v>1917</v>
      </c>
    </row>
    <row r="1468" spans="4:7" hidden="1">
      <c r="D1468" s="5" t="s">
        <v>3398</v>
      </c>
      <c r="E1468" s="5" t="s">
        <v>89</v>
      </c>
      <c r="G1468" s="5" t="s">
        <v>1917</v>
      </c>
    </row>
    <row r="1469" spans="4:7" hidden="1">
      <c r="D1469" s="5" t="s">
        <v>3399</v>
      </c>
      <c r="E1469" s="5" t="s">
        <v>89</v>
      </c>
      <c r="G1469" s="5" t="s">
        <v>1917</v>
      </c>
    </row>
    <row r="1470" spans="4:7" hidden="1">
      <c r="D1470" s="5" t="s">
        <v>3400</v>
      </c>
      <c r="E1470" s="5" t="s">
        <v>89</v>
      </c>
      <c r="G1470" s="5" t="s">
        <v>1917</v>
      </c>
    </row>
    <row r="1471" spans="4:7" hidden="1">
      <c r="D1471" s="5" t="s">
        <v>3401</v>
      </c>
      <c r="E1471" s="5" t="s">
        <v>89</v>
      </c>
      <c r="G1471" s="5" t="s">
        <v>1917</v>
      </c>
    </row>
    <row r="1472" spans="4:7" hidden="1">
      <c r="D1472" s="5" t="s">
        <v>3402</v>
      </c>
      <c r="E1472" s="5" t="s">
        <v>89</v>
      </c>
      <c r="G1472" s="5" t="s">
        <v>1917</v>
      </c>
    </row>
    <row r="1473" spans="4:7" hidden="1">
      <c r="D1473" s="5" t="s">
        <v>3403</v>
      </c>
      <c r="E1473" s="5" t="s">
        <v>89</v>
      </c>
      <c r="G1473" s="5" t="s">
        <v>1917</v>
      </c>
    </row>
    <row r="1474" spans="4:7" hidden="1">
      <c r="D1474" s="5" t="s">
        <v>92</v>
      </c>
      <c r="E1474" s="5" t="s">
        <v>89</v>
      </c>
      <c r="G1474" s="5" t="s">
        <v>1917</v>
      </c>
    </row>
    <row r="1475" spans="4:7" hidden="1">
      <c r="D1475" s="5" t="s">
        <v>3404</v>
      </c>
      <c r="E1475" s="5" t="s">
        <v>752</v>
      </c>
      <c r="G1475" s="5" t="s">
        <v>1917</v>
      </c>
    </row>
    <row r="1476" spans="4:7" hidden="1">
      <c r="D1476" s="5" t="s">
        <v>3405</v>
      </c>
      <c r="E1476" s="5" t="s">
        <v>752</v>
      </c>
      <c r="G1476" s="5" t="s">
        <v>1917</v>
      </c>
    </row>
    <row r="1477" spans="4:7" hidden="1">
      <c r="D1477" s="5" t="s">
        <v>3406</v>
      </c>
      <c r="E1477" s="5" t="s">
        <v>752</v>
      </c>
      <c r="G1477" s="5" t="s">
        <v>1917</v>
      </c>
    </row>
    <row r="1478" spans="4:7" hidden="1">
      <c r="D1478" s="5" t="s">
        <v>3407</v>
      </c>
      <c r="E1478" s="5" t="s">
        <v>752</v>
      </c>
      <c r="G1478" s="5" t="s">
        <v>1917</v>
      </c>
    </row>
    <row r="1479" spans="4:7" hidden="1">
      <c r="D1479" s="5" t="s">
        <v>3408</v>
      </c>
      <c r="E1479" s="5" t="s">
        <v>89</v>
      </c>
      <c r="G1479" s="5" t="s">
        <v>1917</v>
      </c>
    </row>
    <row r="1480" spans="4:7" hidden="1">
      <c r="D1480" s="5" t="s">
        <v>3409</v>
      </c>
      <c r="E1480" s="5" t="s">
        <v>752</v>
      </c>
      <c r="G1480" s="5" t="s">
        <v>1917</v>
      </c>
    </row>
    <row r="1481" spans="4:7" hidden="1">
      <c r="D1481" s="5" t="s">
        <v>3410</v>
      </c>
      <c r="E1481" s="5" t="s">
        <v>89</v>
      </c>
      <c r="G1481" s="5" t="s">
        <v>1917</v>
      </c>
    </row>
    <row r="1482" spans="4:7" hidden="1">
      <c r="D1482" s="5" t="s">
        <v>3411</v>
      </c>
      <c r="E1482" s="5" t="s">
        <v>752</v>
      </c>
      <c r="G1482" s="5" t="s">
        <v>1917</v>
      </c>
    </row>
    <row r="1483" spans="4:7" hidden="1">
      <c r="D1483" s="5" t="s">
        <v>3412</v>
      </c>
      <c r="E1483" s="5" t="s">
        <v>89</v>
      </c>
      <c r="G1483" s="5" t="s">
        <v>1917</v>
      </c>
    </row>
    <row r="1484" spans="4:7" hidden="1">
      <c r="D1484" s="5" t="s">
        <v>3413</v>
      </c>
      <c r="E1484" s="5" t="s">
        <v>89</v>
      </c>
      <c r="G1484" s="5" t="s">
        <v>1917</v>
      </c>
    </row>
    <row r="1485" spans="4:7" hidden="1">
      <c r="D1485" s="5" t="s">
        <v>3414</v>
      </c>
      <c r="E1485" s="5" t="s">
        <v>89</v>
      </c>
      <c r="G1485" s="5" t="s">
        <v>1917</v>
      </c>
    </row>
    <row r="1486" spans="4:7" hidden="1">
      <c r="D1486" s="5" t="s">
        <v>3415</v>
      </c>
      <c r="E1486" s="5" t="s">
        <v>89</v>
      </c>
      <c r="G1486" s="5" t="s">
        <v>1917</v>
      </c>
    </row>
    <row r="1487" spans="4:7" hidden="1">
      <c r="D1487" s="5" t="s">
        <v>3416</v>
      </c>
      <c r="E1487" s="5" t="s">
        <v>89</v>
      </c>
      <c r="G1487" s="5" t="s">
        <v>1917</v>
      </c>
    </row>
    <row r="1488" spans="4:7" hidden="1">
      <c r="D1488" s="5" t="s">
        <v>3417</v>
      </c>
      <c r="E1488" s="5" t="s">
        <v>89</v>
      </c>
      <c r="G1488" s="5" t="s">
        <v>1917</v>
      </c>
    </row>
    <row r="1489" spans="4:7" hidden="1">
      <c r="D1489" s="5" t="s">
        <v>3418</v>
      </c>
      <c r="E1489" s="5" t="s">
        <v>89</v>
      </c>
      <c r="G1489" s="5" t="s">
        <v>1917</v>
      </c>
    </row>
    <row r="1490" spans="4:7" hidden="1">
      <c r="D1490" s="5" t="s">
        <v>3419</v>
      </c>
      <c r="E1490" s="5" t="s">
        <v>89</v>
      </c>
      <c r="G1490" s="5" t="s">
        <v>1917</v>
      </c>
    </row>
    <row r="1491" spans="4:7" hidden="1">
      <c r="D1491" s="5" t="s">
        <v>3420</v>
      </c>
      <c r="E1491" s="5" t="s">
        <v>89</v>
      </c>
      <c r="G1491" s="5" t="s">
        <v>1917</v>
      </c>
    </row>
    <row r="1492" spans="4:7" hidden="1">
      <c r="D1492" s="5" t="s">
        <v>3421</v>
      </c>
      <c r="E1492" s="5" t="s">
        <v>89</v>
      </c>
      <c r="G1492" s="5" t="s">
        <v>1917</v>
      </c>
    </row>
    <row r="1493" spans="4:7" hidden="1">
      <c r="D1493" s="5" t="s">
        <v>3422</v>
      </c>
      <c r="E1493" s="5" t="s">
        <v>89</v>
      </c>
      <c r="G1493" s="5" t="s">
        <v>1917</v>
      </c>
    </row>
    <row r="1494" spans="4:7" hidden="1">
      <c r="D1494" s="5" t="s">
        <v>3423</v>
      </c>
      <c r="E1494" s="5" t="s">
        <v>3294</v>
      </c>
      <c r="G1494" s="5" t="s">
        <v>1926</v>
      </c>
    </row>
    <row r="1495" spans="4:7" hidden="1">
      <c r="D1495" s="5" t="s">
        <v>3424</v>
      </c>
      <c r="E1495" s="5" t="s">
        <v>89</v>
      </c>
      <c r="G1495" s="5" t="s">
        <v>1917</v>
      </c>
    </row>
    <row r="1496" spans="4:7" hidden="1">
      <c r="D1496" s="5" t="s">
        <v>3425</v>
      </c>
      <c r="E1496" s="5" t="s">
        <v>89</v>
      </c>
      <c r="G1496" s="5" t="s">
        <v>1917</v>
      </c>
    </row>
    <row r="1497" spans="4:7" hidden="1">
      <c r="D1497" s="5" t="s">
        <v>3426</v>
      </c>
      <c r="E1497" s="5" t="s">
        <v>89</v>
      </c>
      <c r="G1497" s="5" t="s">
        <v>1917</v>
      </c>
    </row>
    <row r="1498" spans="4:7" hidden="1">
      <c r="D1498" s="5" t="s">
        <v>3427</v>
      </c>
      <c r="E1498" s="5" t="s">
        <v>89</v>
      </c>
      <c r="G1498" s="5" t="s">
        <v>1917</v>
      </c>
    </row>
    <row r="1499" spans="4:7" hidden="1">
      <c r="D1499" s="5" t="s">
        <v>3428</v>
      </c>
      <c r="E1499" s="5" t="s">
        <v>752</v>
      </c>
      <c r="G1499" s="5" t="s">
        <v>1917</v>
      </c>
    </row>
    <row r="1500" spans="4:7" hidden="1">
      <c r="D1500" s="5" t="s">
        <v>3429</v>
      </c>
      <c r="E1500" s="5" t="s">
        <v>89</v>
      </c>
      <c r="G1500" s="5" t="s">
        <v>1917</v>
      </c>
    </row>
    <row r="1501" spans="4:7" hidden="1">
      <c r="D1501" s="5" t="s">
        <v>3430</v>
      </c>
      <c r="E1501" s="5" t="s">
        <v>89</v>
      </c>
      <c r="G1501" s="5" t="s">
        <v>1917</v>
      </c>
    </row>
    <row r="1502" spans="4:7" hidden="1">
      <c r="D1502" s="5" t="s">
        <v>3431</v>
      </c>
      <c r="E1502" s="5" t="s">
        <v>752</v>
      </c>
      <c r="G1502" s="5" t="s">
        <v>1917</v>
      </c>
    </row>
    <row r="1503" spans="4:7" hidden="1">
      <c r="D1503" s="5" t="s">
        <v>3432</v>
      </c>
      <c r="E1503" s="5" t="s">
        <v>752</v>
      </c>
      <c r="G1503" s="5" t="s">
        <v>1917</v>
      </c>
    </row>
    <row r="1504" spans="4:7" hidden="1">
      <c r="D1504" s="5" t="s">
        <v>3433</v>
      </c>
      <c r="E1504" s="5" t="s">
        <v>89</v>
      </c>
      <c r="G1504" s="5" t="s">
        <v>1917</v>
      </c>
    </row>
    <row r="1505" spans="4:7" hidden="1">
      <c r="D1505" s="5" t="s">
        <v>3434</v>
      </c>
      <c r="E1505" s="5" t="s">
        <v>89</v>
      </c>
      <c r="G1505" s="5" t="s">
        <v>1917</v>
      </c>
    </row>
    <row r="1506" spans="4:7" hidden="1">
      <c r="D1506" s="5" t="s">
        <v>3435</v>
      </c>
      <c r="E1506" s="5" t="s">
        <v>89</v>
      </c>
      <c r="G1506" s="5" t="s">
        <v>1917</v>
      </c>
    </row>
    <row r="1507" spans="4:7" hidden="1">
      <c r="D1507" s="5" t="s">
        <v>3436</v>
      </c>
      <c r="E1507" s="5" t="s">
        <v>89</v>
      </c>
      <c r="G1507" s="5" t="s">
        <v>1917</v>
      </c>
    </row>
    <row r="1508" spans="4:7" hidden="1">
      <c r="D1508" s="5" t="s">
        <v>3437</v>
      </c>
      <c r="E1508" s="5" t="s">
        <v>89</v>
      </c>
      <c r="G1508" s="5" t="s">
        <v>1917</v>
      </c>
    </row>
    <row r="1509" spans="4:7" hidden="1">
      <c r="D1509" s="5" t="s">
        <v>3438</v>
      </c>
      <c r="E1509" s="5" t="s">
        <v>89</v>
      </c>
      <c r="G1509" s="5" t="s">
        <v>1917</v>
      </c>
    </row>
    <row r="1510" spans="4:7" hidden="1">
      <c r="D1510" s="5" t="s">
        <v>3439</v>
      </c>
      <c r="E1510" s="5" t="s">
        <v>89</v>
      </c>
      <c r="G1510" s="5" t="s">
        <v>1917</v>
      </c>
    </row>
    <row r="1511" spans="4:7" hidden="1">
      <c r="D1511" s="5" t="s">
        <v>210</v>
      </c>
      <c r="E1511" s="5" t="s">
        <v>89</v>
      </c>
      <c r="G1511" s="5" t="s">
        <v>1917</v>
      </c>
    </row>
    <row r="1512" spans="4:7" hidden="1">
      <c r="D1512" s="5" t="s">
        <v>3440</v>
      </c>
      <c r="E1512" s="5" t="s">
        <v>89</v>
      </c>
      <c r="G1512" s="5" t="s">
        <v>1917</v>
      </c>
    </row>
    <row r="1513" spans="4:7" hidden="1">
      <c r="D1513" s="5" t="s">
        <v>3441</v>
      </c>
      <c r="E1513" s="5" t="s">
        <v>89</v>
      </c>
      <c r="G1513" s="5" t="s">
        <v>1917</v>
      </c>
    </row>
    <row r="1514" spans="4:7" hidden="1">
      <c r="D1514" s="5" t="s">
        <v>3442</v>
      </c>
      <c r="E1514" s="5" t="s">
        <v>89</v>
      </c>
      <c r="G1514" s="5" t="s">
        <v>1917</v>
      </c>
    </row>
    <row r="1515" spans="4:7" hidden="1">
      <c r="D1515" s="5" t="s">
        <v>3443</v>
      </c>
      <c r="E1515" s="5" t="s">
        <v>89</v>
      </c>
      <c r="G1515" s="5" t="s">
        <v>1917</v>
      </c>
    </row>
    <row r="1516" spans="4:7" hidden="1">
      <c r="D1516" s="5" t="s">
        <v>3444</v>
      </c>
      <c r="E1516" s="5" t="s">
        <v>89</v>
      </c>
      <c r="G1516" s="5" t="s">
        <v>1917</v>
      </c>
    </row>
    <row r="1517" spans="4:7" hidden="1">
      <c r="D1517" s="5" t="s">
        <v>3445</v>
      </c>
      <c r="E1517" s="5" t="s">
        <v>89</v>
      </c>
      <c r="G1517" s="5" t="s">
        <v>1917</v>
      </c>
    </row>
    <row r="1518" spans="4:7" hidden="1">
      <c r="D1518" s="5" t="s">
        <v>3446</v>
      </c>
      <c r="E1518" s="5" t="s">
        <v>89</v>
      </c>
      <c r="G1518" s="5" t="s">
        <v>1917</v>
      </c>
    </row>
    <row r="1519" spans="4:7" hidden="1">
      <c r="D1519" s="5" t="s">
        <v>3447</v>
      </c>
      <c r="E1519" s="5" t="s">
        <v>89</v>
      </c>
      <c r="G1519" s="5" t="s">
        <v>1917</v>
      </c>
    </row>
    <row r="1520" spans="4:7" hidden="1">
      <c r="D1520" s="5" t="s">
        <v>3448</v>
      </c>
      <c r="E1520" s="5" t="s">
        <v>114</v>
      </c>
      <c r="G1520" s="5" t="s">
        <v>1917</v>
      </c>
    </row>
    <row r="1521" spans="4:7" hidden="1">
      <c r="D1521" s="5" t="s">
        <v>117</v>
      </c>
      <c r="E1521" s="5" t="s">
        <v>114</v>
      </c>
      <c r="G1521" s="5" t="s">
        <v>1917</v>
      </c>
    </row>
    <row r="1522" spans="4:7" hidden="1">
      <c r="D1522" s="5" t="s">
        <v>3449</v>
      </c>
      <c r="E1522" s="5" t="s">
        <v>114</v>
      </c>
      <c r="G1522" s="5" t="s">
        <v>1926</v>
      </c>
    </row>
    <row r="1523" spans="4:7" hidden="1">
      <c r="D1523" s="5" t="s">
        <v>3450</v>
      </c>
      <c r="E1523" s="5" t="s">
        <v>114</v>
      </c>
      <c r="G1523" s="5" t="s">
        <v>1917</v>
      </c>
    </row>
    <row r="1524" spans="4:7" hidden="1">
      <c r="D1524" s="5" t="s">
        <v>3451</v>
      </c>
      <c r="E1524" s="5" t="s">
        <v>752</v>
      </c>
      <c r="G1524" s="5" t="s">
        <v>1917</v>
      </c>
    </row>
    <row r="1525" spans="4:7" hidden="1">
      <c r="D1525" s="5" t="s">
        <v>3452</v>
      </c>
      <c r="E1525" s="5" t="s">
        <v>752</v>
      </c>
      <c r="G1525" s="5" t="s">
        <v>1917</v>
      </c>
    </row>
    <row r="1526" spans="4:7" hidden="1">
      <c r="D1526" s="5" t="s">
        <v>3453</v>
      </c>
      <c r="E1526" s="5" t="s">
        <v>752</v>
      </c>
      <c r="G1526" s="5" t="s">
        <v>1917</v>
      </c>
    </row>
    <row r="1527" spans="4:7" hidden="1">
      <c r="D1527" s="5" t="s">
        <v>3454</v>
      </c>
      <c r="E1527" s="5" t="s">
        <v>752</v>
      </c>
      <c r="G1527" s="5" t="s">
        <v>1917</v>
      </c>
    </row>
    <row r="1528" spans="4:7" hidden="1">
      <c r="D1528" s="5" t="s">
        <v>3455</v>
      </c>
      <c r="E1528" s="5" t="s">
        <v>89</v>
      </c>
      <c r="G1528" s="5" t="s">
        <v>1917</v>
      </c>
    </row>
    <row r="1529" spans="4:7" hidden="1">
      <c r="D1529" s="5" t="s">
        <v>3456</v>
      </c>
      <c r="E1529" s="5" t="s">
        <v>89</v>
      </c>
      <c r="G1529" s="5" t="s">
        <v>1917</v>
      </c>
    </row>
    <row r="1530" spans="4:7" hidden="1">
      <c r="D1530" s="5" t="s">
        <v>3457</v>
      </c>
      <c r="E1530" s="5" t="s">
        <v>89</v>
      </c>
      <c r="G1530" s="5" t="s">
        <v>1917</v>
      </c>
    </row>
    <row r="1531" spans="4:7" hidden="1">
      <c r="D1531" s="5" t="s">
        <v>3458</v>
      </c>
      <c r="E1531" s="5" t="s">
        <v>89</v>
      </c>
      <c r="G1531" s="5" t="s">
        <v>1917</v>
      </c>
    </row>
    <row r="1532" spans="4:7" hidden="1">
      <c r="D1532" s="5" t="s">
        <v>3459</v>
      </c>
      <c r="E1532" s="5" t="s">
        <v>89</v>
      </c>
      <c r="G1532" s="5" t="s">
        <v>1917</v>
      </c>
    </row>
    <row r="1533" spans="4:7" hidden="1">
      <c r="D1533" s="5" t="s">
        <v>3460</v>
      </c>
      <c r="E1533" s="5" t="s">
        <v>89</v>
      </c>
      <c r="G1533" s="5" t="s">
        <v>1917</v>
      </c>
    </row>
    <row r="1534" spans="4:7" hidden="1">
      <c r="D1534" s="5" t="s">
        <v>3461</v>
      </c>
      <c r="E1534" s="5" t="s">
        <v>89</v>
      </c>
      <c r="G1534" s="5" t="s">
        <v>1917</v>
      </c>
    </row>
    <row r="1535" spans="4:7" hidden="1">
      <c r="D1535" s="5" t="s">
        <v>3462</v>
      </c>
      <c r="E1535" s="5" t="s">
        <v>89</v>
      </c>
      <c r="G1535" s="5" t="s">
        <v>1917</v>
      </c>
    </row>
    <row r="1536" spans="4:7" hidden="1">
      <c r="D1536" s="5" t="s">
        <v>3463</v>
      </c>
      <c r="E1536" s="5" t="s">
        <v>89</v>
      </c>
      <c r="G1536" s="5" t="s">
        <v>1917</v>
      </c>
    </row>
    <row r="1537" spans="4:7" hidden="1">
      <c r="D1537" s="5" t="s">
        <v>3464</v>
      </c>
      <c r="E1537" s="5" t="s">
        <v>89</v>
      </c>
      <c r="G1537" s="5" t="s">
        <v>1917</v>
      </c>
    </row>
    <row r="1538" spans="4:7" hidden="1">
      <c r="D1538" s="5" t="s">
        <v>3465</v>
      </c>
      <c r="E1538" s="5" t="s">
        <v>89</v>
      </c>
      <c r="G1538" s="5" t="s">
        <v>1917</v>
      </c>
    </row>
    <row r="1539" spans="4:7" hidden="1">
      <c r="D1539" s="5" t="s">
        <v>3466</v>
      </c>
      <c r="E1539" s="5" t="s">
        <v>89</v>
      </c>
      <c r="G1539" s="5" t="s">
        <v>1917</v>
      </c>
    </row>
    <row r="1540" spans="4:7" hidden="1">
      <c r="D1540" s="5" t="s">
        <v>3467</v>
      </c>
      <c r="E1540" s="5" t="s">
        <v>89</v>
      </c>
      <c r="G1540" s="5" t="s">
        <v>1917</v>
      </c>
    </row>
    <row r="1541" spans="4:7" hidden="1">
      <c r="D1541" s="5" t="s">
        <v>3468</v>
      </c>
      <c r="E1541" s="5" t="s">
        <v>89</v>
      </c>
      <c r="G1541" s="5" t="s">
        <v>1917</v>
      </c>
    </row>
    <row r="1542" spans="4:7" hidden="1">
      <c r="D1542" s="5" t="s">
        <v>3469</v>
      </c>
      <c r="E1542" s="5" t="s">
        <v>89</v>
      </c>
      <c r="G1542" s="5" t="s">
        <v>1917</v>
      </c>
    </row>
    <row r="1543" spans="4:7" hidden="1">
      <c r="D1543" s="5" t="s">
        <v>3470</v>
      </c>
      <c r="E1543" s="5" t="s">
        <v>89</v>
      </c>
      <c r="G1543" s="5" t="s">
        <v>1917</v>
      </c>
    </row>
    <row r="1544" spans="4:7" hidden="1">
      <c r="D1544" s="5" t="s">
        <v>3471</v>
      </c>
      <c r="E1544" s="5" t="s">
        <v>89</v>
      </c>
      <c r="G1544" s="5" t="s">
        <v>1917</v>
      </c>
    </row>
    <row r="1545" spans="4:7" hidden="1">
      <c r="D1545" s="5" t="s">
        <v>3472</v>
      </c>
      <c r="E1545" s="5" t="s">
        <v>89</v>
      </c>
      <c r="G1545" s="5" t="s">
        <v>1917</v>
      </c>
    </row>
    <row r="1546" spans="4:7" hidden="1">
      <c r="D1546" s="5" t="s">
        <v>3473</v>
      </c>
      <c r="E1546" s="5" t="s">
        <v>89</v>
      </c>
      <c r="G1546" s="5" t="s">
        <v>1917</v>
      </c>
    </row>
    <row r="1547" spans="4:7" hidden="1">
      <c r="D1547" s="5" t="s">
        <v>3474</v>
      </c>
      <c r="E1547" s="5" t="s">
        <v>1393</v>
      </c>
      <c r="G1547" s="5" t="s">
        <v>1926</v>
      </c>
    </row>
    <row r="1548" spans="4:7" hidden="1">
      <c r="D1548" s="5" t="s">
        <v>3475</v>
      </c>
      <c r="E1548" s="5" t="s">
        <v>171</v>
      </c>
      <c r="G1548" s="5" t="s">
        <v>1926</v>
      </c>
    </row>
    <row r="1549" spans="4:7" hidden="1">
      <c r="D1549" s="5" t="s">
        <v>3476</v>
      </c>
      <c r="E1549" s="5" t="s">
        <v>171</v>
      </c>
      <c r="G1549" s="5" t="s">
        <v>1926</v>
      </c>
    </row>
    <row r="1550" spans="4:7" hidden="1">
      <c r="D1550" s="5" t="s">
        <v>3477</v>
      </c>
      <c r="E1550" s="5" t="s">
        <v>128</v>
      </c>
      <c r="G1550" s="5" t="s">
        <v>1926</v>
      </c>
    </row>
    <row r="1551" spans="4:7" hidden="1">
      <c r="D1551" s="5" t="s">
        <v>3478</v>
      </c>
      <c r="E1551" s="5" t="s">
        <v>128</v>
      </c>
      <c r="G1551" s="5" t="s">
        <v>1926</v>
      </c>
    </row>
    <row r="1552" spans="4:7" hidden="1">
      <c r="D1552" s="5" t="s">
        <v>3479</v>
      </c>
      <c r="E1552" s="5" t="s">
        <v>171</v>
      </c>
      <c r="G1552" s="5" t="s">
        <v>1926</v>
      </c>
    </row>
    <row r="1553" spans="4:7" hidden="1">
      <c r="D1553" s="5" t="s">
        <v>3480</v>
      </c>
      <c r="E1553" s="5" t="s">
        <v>171</v>
      </c>
      <c r="G1553" s="5" t="s">
        <v>1926</v>
      </c>
    </row>
    <row r="1554" spans="4:7" hidden="1">
      <c r="D1554" s="5" t="s">
        <v>3481</v>
      </c>
      <c r="E1554" s="5" t="s">
        <v>52</v>
      </c>
      <c r="G1554" s="5" t="s">
        <v>1926</v>
      </c>
    </row>
    <row r="1555" spans="4:7" hidden="1">
      <c r="D1555" s="5" t="s">
        <v>3482</v>
      </c>
      <c r="E1555" s="5" t="s">
        <v>178</v>
      </c>
      <c r="G1555" s="5" t="s">
        <v>1926</v>
      </c>
    </row>
    <row r="1556" spans="4:7" hidden="1">
      <c r="D1556" s="5" t="s">
        <v>3483</v>
      </c>
      <c r="E1556" s="5" t="s">
        <v>52</v>
      </c>
      <c r="G1556" s="5" t="s">
        <v>1926</v>
      </c>
    </row>
    <row r="1557" spans="4:7" hidden="1">
      <c r="D1557" s="5" t="s">
        <v>3484</v>
      </c>
      <c r="E1557" s="5" t="s">
        <v>168</v>
      </c>
      <c r="G1557" s="5" t="s">
        <v>1926</v>
      </c>
    </row>
    <row r="1558" spans="4:7" hidden="1">
      <c r="D1558" s="5" t="s">
        <v>3485</v>
      </c>
      <c r="E1558" s="5" t="s">
        <v>128</v>
      </c>
      <c r="G1558" s="5" t="s">
        <v>1926</v>
      </c>
    </row>
    <row r="1559" spans="4:7" hidden="1">
      <c r="D1559" s="5" t="s">
        <v>3486</v>
      </c>
      <c r="E1559" s="5" t="s">
        <v>752</v>
      </c>
      <c r="G1559" s="5" t="s">
        <v>1926</v>
      </c>
    </row>
    <row r="1560" spans="4:7" hidden="1">
      <c r="D1560" s="5" t="s">
        <v>3487</v>
      </c>
      <c r="E1560" s="5" t="s">
        <v>128</v>
      </c>
      <c r="G1560" s="5" t="s">
        <v>1926</v>
      </c>
    </row>
    <row r="1561" spans="4:7" hidden="1">
      <c r="D1561" s="5" t="s">
        <v>3488</v>
      </c>
      <c r="E1561" s="5" t="s">
        <v>1442</v>
      </c>
      <c r="G1561" s="5" t="s">
        <v>1926</v>
      </c>
    </row>
    <row r="1562" spans="4:7" hidden="1">
      <c r="D1562" s="5" t="s">
        <v>3489</v>
      </c>
      <c r="E1562" s="5" t="s">
        <v>128</v>
      </c>
      <c r="G1562" s="5" t="s">
        <v>1926</v>
      </c>
    </row>
    <row r="1563" spans="4:7" hidden="1">
      <c r="D1563" s="5" t="s">
        <v>3490</v>
      </c>
      <c r="E1563" s="5" t="s">
        <v>178</v>
      </c>
      <c r="G1563" s="5" t="s">
        <v>1926</v>
      </c>
    </row>
    <row r="1564" spans="4:7" hidden="1">
      <c r="D1564" s="5" t="s">
        <v>3491</v>
      </c>
      <c r="E1564" s="5" t="s">
        <v>52</v>
      </c>
      <c r="G1564" s="5" t="s">
        <v>1926</v>
      </c>
    </row>
    <row r="1565" spans="4:7" hidden="1">
      <c r="D1565" s="5" t="s">
        <v>3492</v>
      </c>
      <c r="E1565" s="5" t="s">
        <v>279</v>
      </c>
      <c r="G1565" s="5" t="s">
        <v>1926</v>
      </c>
    </row>
    <row r="1566" spans="4:7" hidden="1">
      <c r="D1566" s="5" t="s">
        <v>3493</v>
      </c>
      <c r="E1566" s="5" t="s">
        <v>3494</v>
      </c>
      <c r="G1566" s="5" t="s">
        <v>1926</v>
      </c>
    </row>
    <row r="1567" spans="4:7" hidden="1">
      <c r="D1567" s="5" t="s">
        <v>3495</v>
      </c>
      <c r="E1567" s="5" t="s">
        <v>82</v>
      </c>
      <c r="G1567" s="5" t="s">
        <v>1926</v>
      </c>
    </row>
    <row r="1568" spans="4:7" hidden="1">
      <c r="D1568" s="5" t="s">
        <v>3496</v>
      </c>
      <c r="E1568" s="5" t="s">
        <v>128</v>
      </c>
      <c r="G1568" s="5" t="s">
        <v>1926</v>
      </c>
    </row>
    <row r="1569" spans="4:7" hidden="1">
      <c r="D1569" s="5" t="s">
        <v>3497</v>
      </c>
      <c r="E1569" s="5" t="s">
        <v>52</v>
      </c>
      <c r="G1569" s="5" t="s">
        <v>1926</v>
      </c>
    </row>
    <row r="1570" spans="4:7" hidden="1">
      <c r="D1570" s="5" t="s">
        <v>3498</v>
      </c>
      <c r="E1570" s="5" t="s">
        <v>128</v>
      </c>
      <c r="G1570" s="5" t="s">
        <v>1926</v>
      </c>
    </row>
    <row r="1571" spans="4:7" hidden="1">
      <c r="D1571" s="5" t="s">
        <v>3499</v>
      </c>
      <c r="E1571" s="5" t="s">
        <v>178</v>
      </c>
      <c r="G1571" s="5" t="s">
        <v>1926</v>
      </c>
    </row>
    <row r="1572" spans="4:7" hidden="1">
      <c r="D1572" s="5" t="s">
        <v>3500</v>
      </c>
      <c r="E1572" s="5" t="s">
        <v>178</v>
      </c>
      <c r="G1572" s="5" t="s">
        <v>1926</v>
      </c>
    </row>
    <row r="1573" spans="4:7" hidden="1">
      <c r="D1573" s="5" t="s">
        <v>3501</v>
      </c>
      <c r="E1573" s="5" t="s">
        <v>279</v>
      </c>
      <c r="G1573" s="5" t="s">
        <v>1926</v>
      </c>
    </row>
    <row r="1574" spans="4:7" hidden="1">
      <c r="D1574" s="5" t="s">
        <v>3502</v>
      </c>
      <c r="E1574" s="5" t="s">
        <v>1442</v>
      </c>
      <c r="G1574" s="5" t="s">
        <v>1926</v>
      </c>
    </row>
    <row r="1575" spans="4:7" hidden="1">
      <c r="D1575" s="5" t="s">
        <v>3503</v>
      </c>
      <c r="E1575" s="5" t="s">
        <v>1442</v>
      </c>
      <c r="G1575" s="5" t="s">
        <v>1926</v>
      </c>
    </row>
    <row r="1576" spans="4:7" hidden="1">
      <c r="D1576" s="5" t="s">
        <v>3504</v>
      </c>
      <c r="E1576" s="5" t="s">
        <v>171</v>
      </c>
      <c r="G1576" s="5" t="s">
        <v>1926</v>
      </c>
    </row>
    <row r="1577" spans="4:7" hidden="1">
      <c r="D1577" s="5" t="s">
        <v>3505</v>
      </c>
      <c r="E1577" s="5" t="s">
        <v>1945</v>
      </c>
      <c r="G1577" s="5" t="s">
        <v>1917</v>
      </c>
    </row>
    <row r="1578" spans="4:7" hidden="1">
      <c r="D1578" s="5" t="s">
        <v>3506</v>
      </c>
      <c r="E1578" s="5" t="s">
        <v>3507</v>
      </c>
      <c r="G1578" s="5" t="s">
        <v>1926</v>
      </c>
    </row>
    <row r="1579" spans="4:7" hidden="1">
      <c r="D1579" s="5" t="s">
        <v>3508</v>
      </c>
      <c r="E1579" s="5" t="s">
        <v>752</v>
      </c>
      <c r="G1579" s="5" t="s">
        <v>1926</v>
      </c>
    </row>
    <row r="1580" spans="4:7" hidden="1">
      <c r="D1580" s="5" t="s">
        <v>3509</v>
      </c>
      <c r="E1580" s="5" t="s">
        <v>178</v>
      </c>
      <c r="G1580" s="5" t="s">
        <v>1926</v>
      </c>
    </row>
    <row r="1581" spans="4:7" hidden="1">
      <c r="D1581" s="5" t="s">
        <v>3510</v>
      </c>
      <c r="E1581" s="5" t="s">
        <v>128</v>
      </c>
      <c r="G1581" s="5" t="s">
        <v>1926</v>
      </c>
    </row>
    <row r="1582" spans="4:7" hidden="1">
      <c r="D1582" s="5" t="s">
        <v>3511</v>
      </c>
      <c r="E1582" s="5" t="s">
        <v>178</v>
      </c>
      <c r="G1582" s="5" t="s">
        <v>1926</v>
      </c>
    </row>
    <row r="1583" spans="4:7" hidden="1">
      <c r="D1583" s="5" t="s">
        <v>3512</v>
      </c>
      <c r="E1583" s="5" t="s">
        <v>128</v>
      </c>
      <c r="G1583" s="5" t="s">
        <v>1926</v>
      </c>
    </row>
    <row r="1584" spans="4:7" hidden="1">
      <c r="D1584" s="5" t="s">
        <v>3513</v>
      </c>
      <c r="E1584" s="5" t="s">
        <v>3514</v>
      </c>
      <c r="G1584" s="5" t="s">
        <v>1920</v>
      </c>
    </row>
    <row r="1585" spans="4:7" hidden="1">
      <c r="D1585" s="5" t="s">
        <v>3515</v>
      </c>
      <c r="E1585" s="5" t="s">
        <v>151</v>
      </c>
      <c r="G1585" s="5" t="s">
        <v>1917</v>
      </c>
    </row>
    <row r="1586" spans="4:7" hidden="1">
      <c r="D1586" s="5" t="s">
        <v>3516</v>
      </c>
      <c r="E1586" s="5" t="s">
        <v>3494</v>
      </c>
      <c r="G1586" s="5" t="s">
        <v>1917</v>
      </c>
    </row>
    <row r="1587" spans="4:7" hidden="1">
      <c r="D1587" s="5" t="s">
        <v>3517</v>
      </c>
      <c r="E1587" s="5" t="s">
        <v>3494</v>
      </c>
      <c r="G1587" s="5" t="s">
        <v>1917</v>
      </c>
    </row>
    <row r="1588" spans="4:7" hidden="1">
      <c r="D1588" s="5" t="s">
        <v>3518</v>
      </c>
      <c r="E1588" s="5" t="s">
        <v>2468</v>
      </c>
      <c r="G1588" s="5" t="s">
        <v>406</v>
      </c>
    </row>
    <row r="1589" spans="4:7" hidden="1">
      <c r="D1589" s="5" t="s">
        <v>3519</v>
      </c>
      <c r="E1589" s="5" t="s">
        <v>2468</v>
      </c>
      <c r="G1589" s="5" t="s">
        <v>406</v>
      </c>
    </row>
    <row r="1590" spans="4:7" hidden="1">
      <c r="D1590" s="5" t="s">
        <v>3520</v>
      </c>
      <c r="E1590" s="5" t="s">
        <v>2150</v>
      </c>
      <c r="G1590" s="5" t="s">
        <v>406</v>
      </c>
    </row>
    <row r="1591" spans="4:7" hidden="1">
      <c r="D1591" s="5" t="s">
        <v>3521</v>
      </c>
      <c r="E1591" s="5" t="s">
        <v>1425</v>
      </c>
      <c r="G1591" s="5" t="s">
        <v>1917</v>
      </c>
    </row>
    <row r="1592" spans="4:7" hidden="1">
      <c r="D1592" s="5" t="s">
        <v>3522</v>
      </c>
      <c r="E1592" s="5" t="s">
        <v>128</v>
      </c>
      <c r="G1592" s="5" t="s">
        <v>1917</v>
      </c>
    </row>
    <row r="1593" spans="4:7" hidden="1">
      <c r="D1593" s="5" t="s">
        <v>3523</v>
      </c>
      <c r="E1593" s="5" t="s">
        <v>1425</v>
      </c>
      <c r="G1593" s="5" t="s">
        <v>1920</v>
      </c>
    </row>
    <row r="1594" spans="4:7" hidden="1">
      <c r="D1594" s="5" t="s">
        <v>524</v>
      </c>
      <c r="E1594" s="5" t="s">
        <v>1425</v>
      </c>
      <c r="G1594" s="5" t="s">
        <v>1920</v>
      </c>
    </row>
    <row r="1595" spans="4:7" hidden="1">
      <c r="D1595" s="5" t="s">
        <v>3524</v>
      </c>
      <c r="E1595" s="5" t="s">
        <v>1425</v>
      </c>
      <c r="G1595" s="5" t="s">
        <v>1917</v>
      </c>
    </row>
    <row r="1596" spans="4:7" hidden="1">
      <c r="D1596" s="5" t="s">
        <v>3525</v>
      </c>
      <c r="E1596" s="5" t="s">
        <v>1425</v>
      </c>
      <c r="G1596" s="5" t="s">
        <v>1917</v>
      </c>
    </row>
    <row r="1597" spans="4:7" hidden="1">
      <c r="D1597" s="5" t="s">
        <v>3526</v>
      </c>
      <c r="E1597" s="5" t="s">
        <v>1425</v>
      </c>
      <c r="G1597" s="5" t="s">
        <v>1917</v>
      </c>
    </row>
    <row r="1598" spans="4:7" hidden="1">
      <c r="D1598" s="5" t="s">
        <v>3527</v>
      </c>
      <c r="E1598" s="5" t="s">
        <v>1425</v>
      </c>
      <c r="G1598" s="5" t="s">
        <v>1917</v>
      </c>
    </row>
    <row r="1599" spans="4:7" hidden="1">
      <c r="D1599" s="5" t="s">
        <v>3528</v>
      </c>
      <c r="E1599" s="5" t="s">
        <v>128</v>
      </c>
      <c r="G1599" s="5" t="s">
        <v>1917</v>
      </c>
    </row>
    <row r="1600" spans="4:7" hidden="1">
      <c r="D1600" s="5" t="s">
        <v>3529</v>
      </c>
      <c r="E1600" s="5" t="s">
        <v>1425</v>
      </c>
      <c r="G1600" s="5" t="s">
        <v>1917</v>
      </c>
    </row>
    <row r="1601" spans="4:7" hidden="1">
      <c r="D1601" s="5" t="s">
        <v>3530</v>
      </c>
      <c r="E1601" s="5" t="s">
        <v>1425</v>
      </c>
      <c r="G1601" s="5" t="s">
        <v>1917</v>
      </c>
    </row>
    <row r="1602" spans="4:7" hidden="1">
      <c r="D1602" s="5" t="s">
        <v>3531</v>
      </c>
      <c r="E1602" s="5" t="s">
        <v>1425</v>
      </c>
      <c r="G1602" s="5" t="s">
        <v>1917</v>
      </c>
    </row>
    <row r="1603" spans="4:7" hidden="1">
      <c r="D1603" s="5" t="s">
        <v>3532</v>
      </c>
      <c r="E1603" s="5" t="s">
        <v>1425</v>
      </c>
      <c r="G1603" s="5" t="s">
        <v>1917</v>
      </c>
    </row>
    <row r="1604" spans="4:7" hidden="1">
      <c r="D1604" s="5" t="s">
        <v>3533</v>
      </c>
      <c r="E1604" s="5" t="s">
        <v>128</v>
      </c>
      <c r="G1604" s="5" t="s">
        <v>1926</v>
      </c>
    </row>
    <row r="1605" spans="4:7" hidden="1">
      <c r="D1605" s="5" t="s">
        <v>3534</v>
      </c>
      <c r="E1605" s="5" t="s">
        <v>1425</v>
      </c>
      <c r="G1605" s="5" t="s">
        <v>1917</v>
      </c>
    </row>
    <row r="1606" spans="4:7" hidden="1">
      <c r="D1606" s="5" t="s">
        <v>3535</v>
      </c>
      <c r="E1606" s="5" t="s">
        <v>1425</v>
      </c>
      <c r="G1606" s="5" t="s">
        <v>1917</v>
      </c>
    </row>
    <row r="1607" spans="4:7" hidden="1">
      <c r="D1607" s="5" t="s">
        <v>3536</v>
      </c>
      <c r="E1607" s="5" t="s">
        <v>1425</v>
      </c>
      <c r="G1607" s="5" t="s">
        <v>1917</v>
      </c>
    </row>
    <row r="1608" spans="4:7" hidden="1">
      <c r="D1608" s="5" t="s">
        <v>3537</v>
      </c>
      <c r="E1608" s="5" t="s">
        <v>1425</v>
      </c>
      <c r="G1608" s="5" t="s">
        <v>1926</v>
      </c>
    </row>
    <row r="1609" spans="4:7" hidden="1">
      <c r="D1609" s="5" t="s">
        <v>3538</v>
      </c>
      <c r="E1609" s="5" t="s">
        <v>1425</v>
      </c>
      <c r="G1609" s="5" t="s">
        <v>1917</v>
      </c>
    </row>
    <row r="1610" spans="4:7" hidden="1">
      <c r="D1610" s="5" t="s">
        <v>3539</v>
      </c>
      <c r="E1610" s="5" t="s">
        <v>1425</v>
      </c>
      <c r="G1610" s="5" t="s">
        <v>1917</v>
      </c>
    </row>
    <row r="1611" spans="4:7" hidden="1">
      <c r="D1611" s="5" t="s">
        <v>3540</v>
      </c>
      <c r="E1611" s="5" t="s">
        <v>1425</v>
      </c>
      <c r="G1611" s="5" t="s">
        <v>1917</v>
      </c>
    </row>
    <row r="1612" spans="4:7" hidden="1">
      <c r="D1612" s="5" t="s">
        <v>3541</v>
      </c>
      <c r="E1612" s="5" t="s">
        <v>1425</v>
      </c>
      <c r="G1612" s="5" t="s">
        <v>1917</v>
      </c>
    </row>
    <row r="1613" spans="4:7" hidden="1">
      <c r="D1613" s="5" t="s">
        <v>3542</v>
      </c>
      <c r="E1613" s="5" t="s">
        <v>1425</v>
      </c>
      <c r="G1613" s="5" t="s">
        <v>1917</v>
      </c>
    </row>
    <row r="1614" spans="4:7" hidden="1">
      <c r="D1614" s="5" t="s">
        <v>3543</v>
      </c>
      <c r="E1614" s="5" t="s">
        <v>1425</v>
      </c>
      <c r="G1614" s="5" t="s">
        <v>1917</v>
      </c>
    </row>
    <row r="1615" spans="4:7" hidden="1">
      <c r="D1615" s="5" t="s">
        <v>3544</v>
      </c>
      <c r="E1615" s="5" t="s">
        <v>1425</v>
      </c>
      <c r="G1615" s="5" t="s">
        <v>1917</v>
      </c>
    </row>
    <row r="1616" spans="4:7" hidden="1">
      <c r="D1616" s="5" t="s">
        <v>3545</v>
      </c>
      <c r="E1616" s="5" t="s">
        <v>1425</v>
      </c>
      <c r="G1616" s="5" t="s">
        <v>1917</v>
      </c>
    </row>
    <row r="1617" spans="4:7" hidden="1">
      <c r="D1617" s="5" t="s">
        <v>3546</v>
      </c>
      <c r="E1617" s="5" t="s">
        <v>178</v>
      </c>
      <c r="G1617" s="5" t="s">
        <v>1920</v>
      </c>
    </row>
    <row r="1618" spans="4:7" hidden="1">
      <c r="D1618" s="5" t="s">
        <v>3547</v>
      </c>
      <c r="E1618" s="5" t="s">
        <v>178</v>
      </c>
      <c r="G1618" s="5" t="s">
        <v>1926</v>
      </c>
    </row>
    <row r="1619" spans="4:7" hidden="1">
      <c r="D1619" s="5" t="s">
        <v>3548</v>
      </c>
      <c r="E1619" s="5" t="s">
        <v>1425</v>
      </c>
      <c r="G1619" s="5" t="s">
        <v>1917</v>
      </c>
    </row>
    <row r="1620" spans="4:7" hidden="1">
      <c r="D1620" s="5" t="s">
        <v>1337</v>
      </c>
      <c r="E1620" s="5" t="s">
        <v>1425</v>
      </c>
      <c r="G1620" s="5" t="s">
        <v>1917</v>
      </c>
    </row>
    <row r="1621" spans="4:7" hidden="1">
      <c r="D1621" s="5" t="s">
        <v>3549</v>
      </c>
      <c r="E1621" s="5" t="s">
        <v>1425</v>
      </c>
      <c r="G1621" s="5" t="s">
        <v>1926</v>
      </c>
    </row>
    <row r="1622" spans="4:7" hidden="1">
      <c r="D1622" s="5" t="s">
        <v>3550</v>
      </c>
      <c r="E1622" s="5" t="s">
        <v>1425</v>
      </c>
      <c r="G1622" s="5" t="s">
        <v>1926</v>
      </c>
    </row>
    <row r="1623" spans="4:7" hidden="1">
      <c r="D1623" s="5" t="s">
        <v>3551</v>
      </c>
      <c r="E1623" s="5" t="s">
        <v>178</v>
      </c>
      <c r="G1623" s="5" t="s">
        <v>1920</v>
      </c>
    </row>
    <row r="1624" spans="4:7" hidden="1">
      <c r="D1624" s="5" t="s">
        <v>3552</v>
      </c>
      <c r="E1624" s="5" t="s">
        <v>178</v>
      </c>
      <c r="G1624" s="5" t="s">
        <v>1920</v>
      </c>
    </row>
    <row r="1625" spans="4:7" hidden="1">
      <c r="D1625" s="5" t="s">
        <v>1330</v>
      </c>
      <c r="E1625" s="5" t="s">
        <v>178</v>
      </c>
      <c r="G1625" s="5" t="s">
        <v>1917</v>
      </c>
    </row>
    <row r="1626" spans="4:7" hidden="1">
      <c r="D1626" s="5" t="s">
        <v>3553</v>
      </c>
      <c r="E1626" s="5" t="s">
        <v>1425</v>
      </c>
      <c r="G1626" s="5" t="s">
        <v>1917</v>
      </c>
    </row>
    <row r="1627" spans="4:7" hidden="1">
      <c r="D1627" s="5" t="s">
        <v>3554</v>
      </c>
      <c r="E1627" s="5" t="s">
        <v>178</v>
      </c>
      <c r="G1627" s="5" t="s">
        <v>1917</v>
      </c>
    </row>
    <row r="1628" spans="4:7" hidden="1">
      <c r="D1628" s="5" t="s">
        <v>3555</v>
      </c>
      <c r="E1628" s="5" t="s">
        <v>178</v>
      </c>
      <c r="G1628" s="5" t="s">
        <v>1920</v>
      </c>
    </row>
    <row r="1629" spans="4:7" hidden="1">
      <c r="D1629" s="5" t="s">
        <v>3556</v>
      </c>
      <c r="E1629" s="5" t="s">
        <v>178</v>
      </c>
      <c r="G1629" s="5" t="s">
        <v>1926</v>
      </c>
    </row>
    <row r="1630" spans="4:7" hidden="1">
      <c r="D1630" s="5" t="s">
        <v>3557</v>
      </c>
      <c r="E1630" s="5" t="s">
        <v>171</v>
      </c>
      <c r="G1630" s="5" t="s">
        <v>1920</v>
      </c>
    </row>
    <row r="1631" spans="4:7" hidden="1">
      <c r="D1631" s="5" t="s">
        <v>3558</v>
      </c>
      <c r="E1631" s="5" t="s">
        <v>171</v>
      </c>
      <c r="G1631" s="5" t="s">
        <v>1917</v>
      </c>
    </row>
    <row r="1632" spans="4:7" hidden="1">
      <c r="D1632" s="5" t="s">
        <v>3559</v>
      </c>
      <c r="E1632" s="5" t="s">
        <v>171</v>
      </c>
      <c r="G1632" s="5" t="s">
        <v>1920</v>
      </c>
    </row>
    <row r="1633" spans="4:7" hidden="1">
      <c r="D1633" s="5" t="s">
        <v>3560</v>
      </c>
      <c r="E1633" s="5" t="s">
        <v>2150</v>
      </c>
      <c r="G1633" s="5" t="s">
        <v>406</v>
      </c>
    </row>
    <row r="1634" spans="4:7" hidden="1">
      <c r="D1634" s="5" t="s">
        <v>3561</v>
      </c>
      <c r="E1634" s="5" t="s">
        <v>2150</v>
      </c>
      <c r="G1634" s="5" t="s">
        <v>406</v>
      </c>
    </row>
    <row r="1635" spans="4:7" hidden="1">
      <c r="D1635" s="5" t="s">
        <v>3562</v>
      </c>
      <c r="E1635" s="5" t="s">
        <v>2150</v>
      </c>
      <c r="G1635" s="5" t="s">
        <v>406</v>
      </c>
    </row>
    <row r="1636" spans="4:7" hidden="1">
      <c r="D1636" s="5" t="s">
        <v>3563</v>
      </c>
      <c r="E1636" s="5" t="s">
        <v>1969</v>
      </c>
      <c r="G1636" s="5" t="s">
        <v>1920</v>
      </c>
    </row>
    <row r="1637" spans="4:7" hidden="1">
      <c r="D1637" s="5" t="s">
        <v>3564</v>
      </c>
      <c r="E1637" s="5" t="s">
        <v>1969</v>
      </c>
      <c r="G1637" s="5" t="s">
        <v>1920</v>
      </c>
    </row>
    <row r="1638" spans="4:7" hidden="1">
      <c r="D1638" s="5" t="s">
        <v>3565</v>
      </c>
      <c r="E1638" s="5" t="s">
        <v>1969</v>
      </c>
      <c r="G1638" s="5" t="s">
        <v>1920</v>
      </c>
    </row>
    <row r="1639" spans="4:7" hidden="1">
      <c r="D1639" s="5" t="s">
        <v>3566</v>
      </c>
      <c r="E1639" s="5" t="s">
        <v>1969</v>
      </c>
      <c r="G1639" s="5" t="s">
        <v>1920</v>
      </c>
    </row>
    <row r="1640" spans="4:7" hidden="1">
      <c r="D1640" s="5" t="s">
        <v>3567</v>
      </c>
      <c r="E1640" s="5" t="s">
        <v>1969</v>
      </c>
      <c r="G1640" s="5" t="s">
        <v>1920</v>
      </c>
    </row>
    <row r="1641" spans="4:7" hidden="1">
      <c r="D1641" s="5" t="s">
        <v>3568</v>
      </c>
      <c r="E1641" s="5" t="s">
        <v>1969</v>
      </c>
      <c r="G1641" s="5" t="s">
        <v>1920</v>
      </c>
    </row>
    <row r="1642" spans="4:7" hidden="1">
      <c r="D1642" s="5" t="s">
        <v>3569</v>
      </c>
      <c r="E1642" s="5" t="s">
        <v>1969</v>
      </c>
      <c r="G1642" s="5" t="s">
        <v>1920</v>
      </c>
    </row>
    <row r="1643" spans="4:7" hidden="1">
      <c r="D1643" s="5" t="s">
        <v>3570</v>
      </c>
      <c r="E1643" s="5" t="s">
        <v>1969</v>
      </c>
      <c r="G1643" s="5" t="s">
        <v>1920</v>
      </c>
    </row>
    <row r="1644" spans="4:7" hidden="1">
      <c r="D1644" s="5" t="s">
        <v>3571</v>
      </c>
      <c r="E1644" s="5" t="s">
        <v>1969</v>
      </c>
      <c r="G1644" s="5" t="s">
        <v>1920</v>
      </c>
    </row>
    <row r="1645" spans="4:7" hidden="1">
      <c r="D1645" s="5" t="s">
        <v>3572</v>
      </c>
      <c r="E1645" s="5" t="s">
        <v>1969</v>
      </c>
      <c r="G1645" s="5" t="s">
        <v>1920</v>
      </c>
    </row>
    <row r="1646" spans="4:7" hidden="1">
      <c r="D1646" s="5" t="s">
        <v>3573</v>
      </c>
      <c r="E1646" s="5" t="s">
        <v>1969</v>
      </c>
      <c r="G1646" s="5" t="s">
        <v>1920</v>
      </c>
    </row>
    <row r="1647" spans="4:7" hidden="1">
      <c r="D1647" s="5" t="s">
        <v>3574</v>
      </c>
      <c r="E1647" s="5" t="s">
        <v>1969</v>
      </c>
      <c r="G1647" s="5" t="s">
        <v>1920</v>
      </c>
    </row>
    <row r="1648" spans="4:7" hidden="1">
      <c r="D1648" s="5" t="s">
        <v>3575</v>
      </c>
      <c r="E1648" s="5" t="s">
        <v>3576</v>
      </c>
      <c r="G1648" s="5" t="s">
        <v>1917</v>
      </c>
    </row>
    <row r="1649" spans="4:7" hidden="1">
      <c r="D1649" s="5" t="s">
        <v>3577</v>
      </c>
      <c r="E1649" s="5" t="s">
        <v>185</v>
      </c>
      <c r="G1649" s="5" t="s">
        <v>1917</v>
      </c>
    </row>
    <row r="1650" spans="4:7" hidden="1">
      <c r="D1650" s="5" t="s">
        <v>3578</v>
      </c>
      <c r="E1650" s="5" t="s">
        <v>185</v>
      </c>
      <c r="G1650" s="5" t="s">
        <v>1917</v>
      </c>
    </row>
    <row r="1651" spans="4:7" hidden="1">
      <c r="D1651" s="5" t="s">
        <v>3579</v>
      </c>
      <c r="E1651" s="5" t="s">
        <v>185</v>
      </c>
      <c r="G1651" s="5" t="s">
        <v>1917</v>
      </c>
    </row>
    <row r="1652" spans="4:7" hidden="1">
      <c r="D1652" s="5" t="s">
        <v>3580</v>
      </c>
      <c r="E1652" s="5" t="s">
        <v>185</v>
      </c>
      <c r="G1652" s="5" t="s">
        <v>1917</v>
      </c>
    </row>
    <row r="1653" spans="4:7" hidden="1">
      <c r="D1653" s="5" t="s">
        <v>3581</v>
      </c>
      <c r="E1653" s="5" t="s">
        <v>185</v>
      </c>
      <c r="G1653" s="5" t="s">
        <v>1917</v>
      </c>
    </row>
    <row r="1654" spans="4:7" hidden="1">
      <c r="D1654" s="5" t="s">
        <v>3582</v>
      </c>
      <c r="E1654" s="5" t="s">
        <v>185</v>
      </c>
      <c r="G1654" s="5" t="s">
        <v>1926</v>
      </c>
    </row>
    <row r="1655" spans="4:7" hidden="1">
      <c r="D1655" s="5" t="s">
        <v>3583</v>
      </c>
      <c r="E1655" s="5" t="s">
        <v>185</v>
      </c>
      <c r="G1655" s="5" t="s">
        <v>1917</v>
      </c>
    </row>
    <row r="1656" spans="4:7" hidden="1">
      <c r="D1656" s="5" t="s">
        <v>3584</v>
      </c>
      <c r="E1656" s="5" t="s">
        <v>185</v>
      </c>
      <c r="G1656" s="5" t="s">
        <v>1917</v>
      </c>
    </row>
    <row r="1657" spans="4:7" hidden="1">
      <c r="D1657" s="5" t="s">
        <v>3585</v>
      </c>
      <c r="E1657" s="5" t="s">
        <v>185</v>
      </c>
      <c r="G1657" s="5" t="s">
        <v>1917</v>
      </c>
    </row>
    <row r="1658" spans="4:7" hidden="1">
      <c r="D1658" s="5" t="s">
        <v>3586</v>
      </c>
      <c r="E1658" s="5" t="s">
        <v>185</v>
      </c>
      <c r="G1658" s="5" t="s">
        <v>1917</v>
      </c>
    </row>
    <row r="1659" spans="4:7" hidden="1">
      <c r="D1659" s="5" t="s">
        <v>3587</v>
      </c>
      <c r="E1659" s="5" t="s">
        <v>185</v>
      </c>
      <c r="G1659" s="5" t="s">
        <v>1917</v>
      </c>
    </row>
    <row r="1660" spans="4:7" hidden="1">
      <c r="D1660" s="5" t="s">
        <v>3588</v>
      </c>
      <c r="E1660" s="5" t="s">
        <v>185</v>
      </c>
      <c r="G1660" s="5" t="s">
        <v>1926</v>
      </c>
    </row>
    <row r="1661" spans="4:7" hidden="1">
      <c r="D1661" s="5" t="s">
        <v>3589</v>
      </c>
      <c r="E1661" s="5" t="s">
        <v>185</v>
      </c>
      <c r="G1661" s="5" t="s">
        <v>1917</v>
      </c>
    </row>
    <row r="1662" spans="4:7" hidden="1">
      <c r="D1662" s="5" t="s">
        <v>3590</v>
      </c>
      <c r="E1662" s="5" t="s">
        <v>185</v>
      </c>
      <c r="G1662" s="5" t="s">
        <v>1917</v>
      </c>
    </row>
    <row r="1663" spans="4:7" hidden="1">
      <c r="D1663" s="5" t="s">
        <v>3591</v>
      </c>
      <c r="E1663" s="5" t="s">
        <v>185</v>
      </c>
      <c r="G1663" s="5" t="s">
        <v>1917</v>
      </c>
    </row>
    <row r="1664" spans="4:7" hidden="1">
      <c r="D1664" s="5" t="s">
        <v>3592</v>
      </c>
      <c r="E1664" s="5" t="s">
        <v>185</v>
      </c>
      <c r="G1664" s="5" t="s">
        <v>1917</v>
      </c>
    </row>
    <row r="1665" spans="4:7" hidden="1">
      <c r="D1665" s="5" t="s">
        <v>3593</v>
      </c>
      <c r="E1665" s="5" t="s">
        <v>185</v>
      </c>
      <c r="G1665" s="5" t="s">
        <v>1917</v>
      </c>
    </row>
    <row r="1666" spans="4:7" hidden="1">
      <c r="D1666" s="5" t="s">
        <v>3594</v>
      </c>
      <c r="E1666" s="5" t="s">
        <v>185</v>
      </c>
      <c r="G1666" s="5" t="s">
        <v>1926</v>
      </c>
    </row>
    <row r="1667" spans="4:7" hidden="1">
      <c r="D1667" s="5" t="s">
        <v>3595</v>
      </c>
      <c r="E1667" s="5" t="s">
        <v>1969</v>
      </c>
      <c r="G1667" s="5" t="s">
        <v>1920</v>
      </c>
    </row>
    <row r="1668" spans="4:7" hidden="1">
      <c r="D1668" s="5" t="s">
        <v>3596</v>
      </c>
      <c r="E1668" s="5" t="s">
        <v>1969</v>
      </c>
      <c r="G1668" s="5" t="s">
        <v>1920</v>
      </c>
    </row>
    <row r="1669" spans="4:7" hidden="1">
      <c r="D1669" s="5" t="s">
        <v>3597</v>
      </c>
      <c r="E1669" s="5" t="s">
        <v>1969</v>
      </c>
      <c r="G1669" s="5" t="s">
        <v>1920</v>
      </c>
    </row>
    <row r="1670" spans="4:7" hidden="1">
      <c r="D1670" s="5" t="s">
        <v>3598</v>
      </c>
      <c r="E1670" s="5" t="s">
        <v>1969</v>
      </c>
      <c r="G1670" s="5" t="s">
        <v>1920</v>
      </c>
    </row>
    <row r="1671" spans="4:7" hidden="1">
      <c r="D1671" s="5" t="s">
        <v>3599</v>
      </c>
      <c r="E1671" s="5" t="s">
        <v>1969</v>
      </c>
      <c r="G1671" s="5" t="s">
        <v>1920</v>
      </c>
    </row>
    <row r="1672" spans="4:7" hidden="1">
      <c r="D1672" s="5" t="s">
        <v>3600</v>
      </c>
      <c r="E1672" s="5" t="s">
        <v>1969</v>
      </c>
      <c r="G1672" s="5" t="s">
        <v>1920</v>
      </c>
    </row>
    <row r="1673" spans="4:7" hidden="1">
      <c r="D1673" s="5" t="s">
        <v>3601</v>
      </c>
      <c r="E1673" s="5" t="s">
        <v>1969</v>
      </c>
      <c r="G1673" s="5" t="s">
        <v>1920</v>
      </c>
    </row>
    <row r="1674" spans="4:7" hidden="1">
      <c r="D1674" s="5" t="s">
        <v>3602</v>
      </c>
      <c r="E1674" s="5" t="s">
        <v>1969</v>
      </c>
      <c r="G1674" s="5" t="s">
        <v>1920</v>
      </c>
    </row>
    <row r="1675" spans="4:7" hidden="1">
      <c r="D1675" s="5" t="s">
        <v>3603</v>
      </c>
      <c r="E1675" s="5" t="s">
        <v>1969</v>
      </c>
      <c r="G1675" s="5" t="s">
        <v>1920</v>
      </c>
    </row>
    <row r="1676" spans="4:7" hidden="1">
      <c r="D1676" s="5" t="s">
        <v>3604</v>
      </c>
      <c r="E1676" s="5" t="s">
        <v>1969</v>
      </c>
      <c r="G1676" s="5" t="s">
        <v>1920</v>
      </c>
    </row>
    <row r="1677" spans="4:7" hidden="1">
      <c r="D1677" s="5" t="s">
        <v>3605</v>
      </c>
      <c r="E1677" s="5" t="s">
        <v>1969</v>
      </c>
      <c r="G1677" s="5" t="s">
        <v>1920</v>
      </c>
    </row>
    <row r="1678" spans="4:7" hidden="1">
      <c r="D1678" s="5" t="s">
        <v>3606</v>
      </c>
      <c r="E1678" s="5" t="s">
        <v>185</v>
      </c>
      <c r="G1678" s="5" t="s">
        <v>1917</v>
      </c>
    </row>
    <row r="1679" spans="4:7" hidden="1">
      <c r="D1679" s="5" t="s">
        <v>3607</v>
      </c>
      <c r="E1679" s="5" t="s">
        <v>185</v>
      </c>
      <c r="G1679" s="5" t="s">
        <v>1917</v>
      </c>
    </row>
    <row r="1680" spans="4:7" hidden="1">
      <c r="D1680" s="5" t="s">
        <v>3608</v>
      </c>
      <c r="E1680" s="5" t="s">
        <v>185</v>
      </c>
      <c r="G1680" s="5" t="s">
        <v>1917</v>
      </c>
    </row>
    <row r="1681" spans="4:7" hidden="1">
      <c r="D1681" s="5" t="s">
        <v>3609</v>
      </c>
      <c r="E1681" s="5" t="s">
        <v>185</v>
      </c>
      <c r="G1681" s="5" t="s">
        <v>1917</v>
      </c>
    </row>
    <row r="1682" spans="4:7" hidden="1">
      <c r="D1682" s="5" t="s">
        <v>3610</v>
      </c>
      <c r="E1682" s="5" t="s">
        <v>3576</v>
      </c>
      <c r="G1682" s="5" t="s">
        <v>1917</v>
      </c>
    </row>
    <row r="1683" spans="4:7" hidden="1">
      <c r="D1683" s="5" t="s">
        <v>3611</v>
      </c>
      <c r="E1683" s="5" t="s">
        <v>185</v>
      </c>
      <c r="G1683" s="5" t="s">
        <v>1917</v>
      </c>
    </row>
    <row r="1684" spans="4:7" hidden="1">
      <c r="D1684" s="5" t="s">
        <v>3612</v>
      </c>
      <c r="E1684" s="5" t="s">
        <v>1969</v>
      </c>
      <c r="G1684" s="5" t="s">
        <v>1920</v>
      </c>
    </row>
    <row r="1685" spans="4:7" hidden="1">
      <c r="D1685" s="5" t="s">
        <v>3613</v>
      </c>
      <c r="E1685" s="5" t="s">
        <v>1969</v>
      </c>
      <c r="G1685" s="5" t="s">
        <v>1920</v>
      </c>
    </row>
    <row r="1686" spans="4:7" hidden="1">
      <c r="D1686" s="5" t="s">
        <v>3614</v>
      </c>
      <c r="E1686" s="5" t="s">
        <v>1969</v>
      </c>
      <c r="G1686" s="5" t="s">
        <v>1920</v>
      </c>
    </row>
    <row r="1687" spans="4:7" hidden="1">
      <c r="D1687" s="5" t="s">
        <v>3615</v>
      </c>
      <c r="E1687" s="5" t="s">
        <v>1969</v>
      </c>
      <c r="G1687" s="5" t="s">
        <v>1920</v>
      </c>
    </row>
    <row r="1688" spans="4:7" hidden="1">
      <c r="D1688" s="5" t="s">
        <v>3616</v>
      </c>
      <c r="E1688" s="5" t="s">
        <v>1969</v>
      </c>
      <c r="G1688" s="5" t="s">
        <v>1920</v>
      </c>
    </row>
    <row r="1689" spans="4:7" hidden="1">
      <c r="D1689" s="5" t="s">
        <v>3617</v>
      </c>
      <c r="E1689" s="5" t="s">
        <v>1969</v>
      </c>
      <c r="G1689" s="5" t="s">
        <v>1926</v>
      </c>
    </row>
    <row r="1690" spans="4:7" hidden="1">
      <c r="D1690" s="5" t="s">
        <v>3618</v>
      </c>
      <c r="E1690" s="5" t="s">
        <v>1969</v>
      </c>
      <c r="G1690" s="5" t="s">
        <v>1920</v>
      </c>
    </row>
    <row r="1691" spans="4:7" hidden="1">
      <c r="D1691" s="5" t="s">
        <v>3619</v>
      </c>
      <c r="E1691" s="5" t="s">
        <v>1969</v>
      </c>
      <c r="G1691" s="5" t="s">
        <v>1920</v>
      </c>
    </row>
    <row r="1692" spans="4:7" hidden="1">
      <c r="D1692" s="5" t="s">
        <v>3620</v>
      </c>
      <c r="E1692" s="5" t="s">
        <v>1969</v>
      </c>
      <c r="G1692" s="5" t="s">
        <v>1920</v>
      </c>
    </row>
    <row r="1693" spans="4:7" hidden="1">
      <c r="D1693" s="5" t="s">
        <v>3621</v>
      </c>
      <c r="E1693" s="5" t="s">
        <v>1969</v>
      </c>
      <c r="G1693" s="5" t="s">
        <v>1920</v>
      </c>
    </row>
    <row r="1694" spans="4:7" hidden="1">
      <c r="D1694" s="5" t="s">
        <v>3622</v>
      </c>
      <c r="E1694" s="5" t="s">
        <v>1969</v>
      </c>
      <c r="G1694" s="5" t="s">
        <v>1920</v>
      </c>
    </row>
    <row r="1695" spans="4:7" hidden="1">
      <c r="D1695" s="5" t="s">
        <v>3623</v>
      </c>
      <c r="E1695" s="5" t="s">
        <v>151</v>
      </c>
      <c r="G1695" s="5" t="s">
        <v>1917</v>
      </c>
    </row>
    <row r="1696" spans="4:7" hidden="1">
      <c r="D1696" s="5" t="s">
        <v>3624</v>
      </c>
      <c r="E1696" s="5" t="s">
        <v>151</v>
      </c>
      <c r="G1696" s="5" t="s">
        <v>1926</v>
      </c>
    </row>
    <row r="1697" spans="4:7" hidden="1">
      <c r="D1697" s="5" t="s">
        <v>3625</v>
      </c>
      <c r="E1697" s="5" t="s">
        <v>151</v>
      </c>
      <c r="G1697" s="5" t="s">
        <v>1926</v>
      </c>
    </row>
    <row r="1698" spans="4:7" hidden="1">
      <c r="D1698" s="5" t="s">
        <v>3626</v>
      </c>
      <c r="E1698" s="5" t="s">
        <v>171</v>
      </c>
      <c r="G1698" s="5" t="s">
        <v>1917</v>
      </c>
    </row>
    <row r="1699" spans="4:7" hidden="1">
      <c r="D1699" s="5" t="s">
        <v>3627</v>
      </c>
      <c r="E1699" s="5" t="s">
        <v>178</v>
      </c>
      <c r="G1699" s="5" t="s">
        <v>1917</v>
      </c>
    </row>
    <row r="1700" spans="4:7" hidden="1">
      <c r="D1700" s="5" t="s">
        <v>3628</v>
      </c>
      <c r="E1700" s="5" t="s">
        <v>128</v>
      </c>
      <c r="G1700" s="5" t="s">
        <v>1917</v>
      </c>
    </row>
    <row r="1701" spans="4:7" hidden="1">
      <c r="D1701" s="5" t="s">
        <v>3629</v>
      </c>
      <c r="E1701" s="5" t="s">
        <v>178</v>
      </c>
      <c r="G1701" s="5" t="s">
        <v>1917</v>
      </c>
    </row>
    <row r="1702" spans="4:7" hidden="1">
      <c r="D1702" s="5" t="s">
        <v>3630</v>
      </c>
      <c r="E1702" s="5" t="s">
        <v>2962</v>
      </c>
      <c r="G1702" s="5" t="s">
        <v>1917</v>
      </c>
    </row>
    <row r="1703" spans="4:7" hidden="1">
      <c r="D1703" s="5" t="s">
        <v>3631</v>
      </c>
      <c r="E1703" s="5" t="s">
        <v>171</v>
      </c>
      <c r="G1703" s="5" t="s">
        <v>1917</v>
      </c>
    </row>
    <row r="1704" spans="4:7" hidden="1">
      <c r="D1704" s="5" t="s">
        <v>3632</v>
      </c>
      <c r="E1704" s="5" t="s">
        <v>171</v>
      </c>
      <c r="G1704" s="5" t="s">
        <v>1917</v>
      </c>
    </row>
    <row r="1705" spans="4:7" hidden="1">
      <c r="D1705" s="5" t="s">
        <v>3633</v>
      </c>
      <c r="E1705" s="5" t="s">
        <v>128</v>
      </c>
      <c r="G1705" s="5" t="s">
        <v>1917</v>
      </c>
    </row>
    <row r="1706" spans="4:7" hidden="1">
      <c r="D1706" s="5" t="s">
        <v>3634</v>
      </c>
      <c r="E1706" s="5" t="s">
        <v>178</v>
      </c>
      <c r="G1706" s="5" t="s">
        <v>1917</v>
      </c>
    </row>
    <row r="1707" spans="4:7" hidden="1">
      <c r="D1707" s="5" t="s">
        <v>3635</v>
      </c>
      <c r="E1707" s="5" t="s">
        <v>215</v>
      </c>
      <c r="G1707" s="5" t="s">
        <v>1917</v>
      </c>
    </row>
    <row r="1708" spans="4:7" hidden="1">
      <c r="D1708" s="5" t="s">
        <v>3636</v>
      </c>
      <c r="E1708" s="5" t="s">
        <v>242</v>
      </c>
      <c r="G1708" s="5" t="s">
        <v>1917</v>
      </c>
    </row>
    <row r="1709" spans="4:7" hidden="1">
      <c r="D1709" s="5" t="s">
        <v>3637</v>
      </c>
      <c r="E1709" s="5" t="s">
        <v>128</v>
      </c>
      <c r="G1709" s="5" t="s">
        <v>1917</v>
      </c>
    </row>
    <row r="1710" spans="4:7" hidden="1">
      <c r="D1710" s="5" t="s">
        <v>3638</v>
      </c>
      <c r="E1710" s="5" t="s">
        <v>178</v>
      </c>
      <c r="G1710" s="5" t="s">
        <v>1917</v>
      </c>
    </row>
    <row r="1711" spans="4:7" hidden="1">
      <c r="D1711" s="5" t="s">
        <v>3639</v>
      </c>
      <c r="E1711" s="5" t="s">
        <v>128</v>
      </c>
      <c r="G1711" s="5" t="s">
        <v>1917</v>
      </c>
    </row>
    <row r="1712" spans="4:7" hidden="1">
      <c r="D1712" s="5" t="s">
        <v>3640</v>
      </c>
      <c r="E1712" s="5" t="s">
        <v>144</v>
      </c>
      <c r="G1712" s="5" t="s">
        <v>1917</v>
      </c>
    </row>
    <row r="1713" spans="4:7" hidden="1">
      <c r="D1713" s="5" t="s">
        <v>3641</v>
      </c>
      <c r="E1713" s="5" t="s">
        <v>178</v>
      </c>
      <c r="G1713" s="5" t="s">
        <v>1917</v>
      </c>
    </row>
    <row r="1714" spans="4:7" hidden="1">
      <c r="D1714" s="5" t="s">
        <v>3642</v>
      </c>
      <c r="E1714" s="5" t="s">
        <v>128</v>
      </c>
      <c r="G1714" s="5" t="s">
        <v>1917</v>
      </c>
    </row>
    <row r="1715" spans="4:7" hidden="1">
      <c r="D1715" s="5" t="s">
        <v>3643</v>
      </c>
      <c r="E1715" s="5" t="s">
        <v>215</v>
      </c>
      <c r="G1715" s="5" t="s">
        <v>1917</v>
      </c>
    </row>
    <row r="1716" spans="4:7" hidden="1">
      <c r="D1716" s="5" t="s">
        <v>3644</v>
      </c>
      <c r="E1716" s="5" t="s">
        <v>2614</v>
      </c>
      <c r="G1716" s="5" t="s">
        <v>1917</v>
      </c>
    </row>
    <row r="1717" spans="4:7" hidden="1">
      <c r="D1717" s="5" t="s">
        <v>3645</v>
      </c>
      <c r="E1717" s="5" t="s">
        <v>1916</v>
      </c>
      <c r="G1717" s="5" t="s">
        <v>1917</v>
      </c>
    </row>
    <row r="1718" spans="4:7" hidden="1">
      <c r="D1718" s="5" t="s">
        <v>3646</v>
      </c>
      <c r="E1718" s="5" t="s">
        <v>52</v>
      </c>
      <c r="G1718" s="5" t="s">
        <v>1920</v>
      </c>
    </row>
    <row r="1719" spans="4:7" hidden="1">
      <c r="D1719" s="5" t="s">
        <v>3647</v>
      </c>
      <c r="E1719" s="5" t="s">
        <v>67</v>
      </c>
      <c r="G1719" s="5" t="s">
        <v>1917</v>
      </c>
    </row>
    <row r="1720" spans="4:7" hidden="1">
      <c r="D1720" s="5" t="s">
        <v>3648</v>
      </c>
      <c r="E1720" s="5" t="s">
        <v>67</v>
      </c>
      <c r="G1720" s="5" t="s">
        <v>1917</v>
      </c>
    </row>
    <row r="1721" spans="4:7" hidden="1">
      <c r="D1721" s="5" t="s">
        <v>3649</v>
      </c>
      <c r="E1721" s="5" t="s">
        <v>720</v>
      </c>
      <c r="G1721" s="5" t="s">
        <v>1917</v>
      </c>
    </row>
    <row r="1722" spans="4:7" hidden="1">
      <c r="D1722" s="5" t="s">
        <v>3650</v>
      </c>
      <c r="E1722" s="5" t="s">
        <v>2792</v>
      </c>
      <c r="G1722" s="5" t="s">
        <v>1917</v>
      </c>
    </row>
    <row r="1723" spans="4:7" hidden="1">
      <c r="D1723" s="5" t="s">
        <v>3651</v>
      </c>
      <c r="E1723" s="5" t="s">
        <v>2020</v>
      </c>
      <c r="G1723" s="5" t="s">
        <v>1917</v>
      </c>
    </row>
    <row r="1724" spans="4:7" hidden="1">
      <c r="D1724" s="5" t="s">
        <v>3652</v>
      </c>
      <c r="E1724" s="5" t="s">
        <v>427</v>
      </c>
      <c r="G1724" s="5" t="s">
        <v>1917</v>
      </c>
    </row>
    <row r="1725" spans="4:7" hidden="1">
      <c r="D1725" s="5" t="s">
        <v>3653</v>
      </c>
      <c r="E1725" s="5" t="s">
        <v>720</v>
      </c>
      <c r="G1725" s="5" t="s">
        <v>1926</v>
      </c>
    </row>
    <row r="1726" spans="4:7" hidden="1">
      <c r="D1726" s="5" t="s">
        <v>3654</v>
      </c>
      <c r="E1726" s="5" t="s">
        <v>2792</v>
      </c>
      <c r="G1726" s="5" t="s">
        <v>1917</v>
      </c>
    </row>
    <row r="1727" spans="4:7" hidden="1">
      <c r="D1727" s="5" t="s">
        <v>3655</v>
      </c>
      <c r="E1727" s="5" t="s">
        <v>3656</v>
      </c>
      <c r="G1727" s="5" t="s">
        <v>1917</v>
      </c>
    </row>
    <row r="1728" spans="4:7" hidden="1">
      <c r="D1728" s="5" t="s">
        <v>3657</v>
      </c>
      <c r="E1728" s="5" t="s">
        <v>2020</v>
      </c>
      <c r="G1728" s="5" t="s">
        <v>1917</v>
      </c>
    </row>
    <row r="1729" spans="4:7" hidden="1">
      <c r="D1729" s="5" t="s">
        <v>3658</v>
      </c>
      <c r="E1729" s="5" t="s">
        <v>427</v>
      </c>
      <c r="G1729" s="5" t="s">
        <v>1917</v>
      </c>
    </row>
    <row r="1730" spans="4:7" hidden="1">
      <c r="D1730" s="5" t="s">
        <v>3659</v>
      </c>
      <c r="E1730" s="5" t="s">
        <v>427</v>
      </c>
      <c r="G1730" s="5" t="s">
        <v>1917</v>
      </c>
    </row>
    <row r="1731" spans="4:7" hidden="1">
      <c r="D1731" s="5" t="s">
        <v>3660</v>
      </c>
      <c r="E1731" s="5" t="s">
        <v>3661</v>
      </c>
      <c r="G1731" s="5" t="s">
        <v>1926</v>
      </c>
    </row>
    <row r="1732" spans="4:7" hidden="1">
      <c r="D1732" s="5" t="s">
        <v>3662</v>
      </c>
      <c r="E1732" s="5" t="s">
        <v>427</v>
      </c>
      <c r="G1732" s="5" t="s">
        <v>1917</v>
      </c>
    </row>
    <row r="1733" spans="4:7" hidden="1">
      <c r="D1733" s="5" t="s">
        <v>3663</v>
      </c>
      <c r="E1733" s="5" t="s">
        <v>791</v>
      </c>
      <c r="G1733" s="5" t="s">
        <v>1926</v>
      </c>
    </row>
    <row r="1734" spans="4:7" hidden="1">
      <c r="D1734" s="5" t="s">
        <v>3664</v>
      </c>
      <c r="E1734" s="5" t="s">
        <v>427</v>
      </c>
      <c r="G1734" s="5" t="s">
        <v>1926</v>
      </c>
    </row>
    <row r="1735" spans="4:7" hidden="1">
      <c r="D1735" s="5" t="s">
        <v>3665</v>
      </c>
      <c r="E1735" s="5" t="s">
        <v>451</v>
      </c>
      <c r="G1735" s="5" t="s">
        <v>1917</v>
      </c>
    </row>
    <row r="1736" spans="4:7" hidden="1">
      <c r="D1736" s="5" t="s">
        <v>3666</v>
      </c>
      <c r="E1736" s="5" t="s">
        <v>427</v>
      </c>
      <c r="G1736" s="5" t="s">
        <v>1926</v>
      </c>
    </row>
    <row r="1737" spans="4:7" hidden="1">
      <c r="D1737" s="5" t="s">
        <v>3667</v>
      </c>
      <c r="E1737" s="5" t="s">
        <v>427</v>
      </c>
      <c r="G1737" s="5" t="s">
        <v>1917</v>
      </c>
    </row>
    <row r="1738" spans="4:7" hidden="1">
      <c r="D1738" s="5" t="s">
        <v>3668</v>
      </c>
      <c r="E1738" s="5" t="s">
        <v>427</v>
      </c>
      <c r="G1738" s="5" t="s">
        <v>1926</v>
      </c>
    </row>
    <row r="1739" spans="4:7" hidden="1">
      <c r="D1739" s="5" t="s">
        <v>3669</v>
      </c>
      <c r="E1739" s="5" t="s">
        <v>427</v>
      </c>
      <c r="G1739" s="5" t="s">
        <v>1917</v>
      </c>
    </row>
    <row r="1740" spans="4:7" hidden="1">
      <c r="D1740" s="5" t="s">
        <v>3670</v>
      </c>
      <c r="E1740" s="5" t="s">
        <v>1890</v>
      </c>
      <c r="G1740" s="5" t="s">
        <v>1917</v>
      </c>
    </row>
    <row r="1741" spans="4:7" hidden="1">
      <c r="D1741" s="5" t="s">
        <v>3671</v>
      </c>
      <c r="E1741" s="5" t="s">
        <v>3656</v>
      </c>
      <c r="G1741" s="5" t="s">
        <v>1917</v>
      </c>
    </row>
    <row r="1742" spans="4:7" hidden="1">
      <c r="D1742" s="5" t="s">
        <v>3672</v>
      </c>
      <c r="E1742" s="5" t="s">
        <v>427</v>
      </c>
      <c r="G1742" s="5" t="s">
        <v>1926</v>
      </c>
    </row>
    <row r="1743" spans="4:7" hidden="1">
      <c r="D1743" s="5" t="s">
        <v>3673</v>
      </c>
      <c r="E1743" s="5" t="s">
        <v>1953</v>
      </c>
      <c r="G1743" s="5" t="s">
        <v>1917</v>
      </c>
    </row>
    <row r="1744" spans="4:7" hidden="1">
      <c r="D1744" s="5" t="s">
        <v>3674</v>
      </c>
      <c r="E1744" s="5" t="s">
        <v>1890</v>
      </c>
      <c r="G1744" s="5" t="s">
        <v>1917</v>
      </c>
    </row>
    <row r="1745" spans="4:7" hidden="1">
      <c r="D1745" s="5" t="s">
        <v>3675</v>
      </c>
      <c r="E1745" s="5" t="s">
        <v>3661</v>
      </c>
      <c r="G1745" s="5" t="s">
        <v>1917</v>
      </c>
    </row>
    <row r="1746" spans="4:7" hidden="1">
      <c r="D1746" s="5" t="s">
        <v>3676</v>
      </c>
      <c r="E1746" s="5" t="s">
        <v>3656</v>
      </c>
      <c r="G1746" s="5" t="s">
        <v>1917</v>
      </c>
    </row>
    <row r="1747" spans="4:7" hidden="1">
      <c r="D1747" s="5" t="s">
        <v>3677</v>
      </c>
      <c r="E1747" s="5" t="s">
        <v>427</v>
      </c>
      <c r="G1747" s="5" t="s">
        <v>1926</v>
      </c>
    </row>
    <row r="1748" spans="4:7" hidden="1">
      <c r="D1748" s="5" t="s">
        <v>3678</v>
      </c>
      <c r="E1748" s="5" t="s">
        <v>1953</v>
      </c>
      <c r="G1748" s="5" t="s">
        <v>1917</v>
      </c>
    </row>
    <row r="1749" spans="4:7" hidden="1">
      <c r="D1749" s="5" t="s">
        <v>3679</v>
      </c>
      <c r="E1749" s="5" t="s">
        <v>1890</v>
      </c>
      <c r="G1749" s="5" t="s">
        <v>1917</v>
      </c>
    </row>
    <row r="1750" spans="4:7" hidden="1">
      <c r="D1750" s="5" t="s">
        <v>3680</v>
      </c>
      <c r="E1750" s="5" t="s">
        <v>430</v>
      </c>
      <c r="G1750" s="5" t="s">
        <v>1917</v>
      </c>
    </row>
    <row r="1751" spans="4:7" hidden="1">
      <c r="D1751" s="5" t="s">
        <v>3681</v>
      </c>
      <c r="E1751" s="5" t="s">
        <v>3656</v>
      </c>
      <c r="G1751" s="5" t="s">
        <v>1917</v>
      </c>
    </row>
    <row r="1752" spans="4:7" hidden="1">
      <c r="D1752" s="5" t="s">
        <v>3682</v>
      </c>
      <c r="E1752" s="5" t="s">
        <v>1890</v>
      </c>
      <c r="G1752" s="5" t="s">
        <v>1917</v>
      </c>
    </row>
    <row r="1753" spans="4:7" hidden="1">
      <c r="D1753" s="5" t="s">
        <v>3683</v>
      </c>
      <c r="E1753" s="5" t="s">
        <v>3656</v>
      </c>
      <c r="G1753" s="5" t="s">
        <v>1917</v>
      </c>
    </row>
    <row r="1754" spans="4:7" hidden="1">
      <c r="D1754" s="5" t="s">
        <v>3684</v>
      </c>
      <c r="E1754" s="5" t="s">
        <v>2056</v>
      </c>
      <c r="G1754" s="5" t="s">
        <v>1917</v>
      </c>
    </row>
    <row r="1755" spans="4:7" hidden="1">
      <c r="D1755" s="5" t="s">
        <v>3685</v>
      </c>
      <c r="E1755" s="5" t="s">
        <v>427</v>
      </c>
      <c r="G1755" s="5" t="s">
        <v>1917</v>
      </c>
    </row>
    <row r="1756" spans="4:7" hidden="1">
      <c r="D1756" s="5" t="s">
        <v>3686</v>
      </c>
      <c r="E1756" s="5" t="s">
        <v>309</v>
      </c>
      <c r="G1756" s="5" t="s">
        <v>1917</v>
      </c>
    </row>
    <row r="1757" spans="4:7" hidden="1">
      <c r="D1757" s="5" t="s">
        <v>3687</v>
      </c>
      <c r="E1757" s="5" t="s">
        <v>3656</v>
      </c>
      <c r="G1757" s="5" t="s">
        <v>1917</v>
      </c>
    </row>
    <row r="1758" spans="4:7" hidden="1">
      <c r="D1758" s="5" t="s">
        <v>3688</v>
      </c>
      <c r="E1758" s="5" t="s">
        <v>2056</v>
      </c>
      <c r="G1758" s="5" t="s">
        <v>1917</v>
      </c>
    </row>
    <row r="1759" spans="4:7" hidden="1">
      <c r="D1759" s="5" t="s">
        <v>3689</v>
      </c>
      <c r="E1759" s="5" t="s">
        <v>2056</v>
      </c>
      <c r="G1759" s="5" t="s">
        <v>1917</v>
      </c>
    </row>
    <row r="1760" spans="4:7" hidden="1">
      <c r="D1760" s="5" t="s">
        <v>3690</v>
      </c>
      <c r="E1760" s="5" t="s">
        <v>2091</v>
      </c>
      <c r="G1760" s="5" t="s">
        <v>1917</v>
      </c>
    </row>
    <row r="1761" spans="4:7" hidden="1">
      <c r="D1761" s="5" t="s">
        <v>3691</v>
      </c>
      <c r="E1761" s="5" t="s">
        <v>1890</v>
      </c>
      <c r="G1761" s="5" t="s">
        <v>1917</v>
      </c>
    </row>
    <row r="1762" spans="4:7" hidden="1">
      <c r="D1762" s="5" t="s">
        <v>3692</v>
      </c>
      <c r="E1762" s="5" t="s">
        <v>2056</v>
      </c>
      <c r="G1762" s="5" t="s">
        <v>1917</v>
      </c>
    </row>
    <row r="1763" spans="4:7" hidden="1">
      <c r="D1763" s="5" t="s">
        <v>3693</v>
      </c>
      <c r="E1763" s="5" t="s">
        <v>2899</v>
      </c>
      <c r="G1763" s="5" t="s">
        <v>406</v>
      </c>
    </row>
    <row r="1764" spans="4:7" hidden="1">
      <c r="D1764" s="5" t="s">
        <v>3694</v>
      </c>
      <c r="E1764" s="5" t="s">
        <v>2091</v>
      </c>
      <c r="G1764" s="5" t="s">
        <v>1926</v>
      </c>
    </row>
    <row r="1765" spans="4:7" hidden="1">
      <c r="D1765" s="5" t="s">
        <v>3695</v>
      </c>
      <c r="E1765" s="5" t="s">
        <v>3656</v>
      </c>
      <c r="G1765" s="5" t="s">
        <v>1917</v>
      </c>
    </row>
    <row r="1766" spans="4:7" hidden="1">
      <c r="D1766" s="5" t="s">
        <v>3696</v>
      </c>
      <c r="E1766" s="5" t="s">
        <v>309</v>
      </c>
      <c r="G1766" s="5" t="s">
        <v>1917</v>
      </c>
    </row>
    <row r="1767" spans="4:7" hidden="1">
      <c r="D1767" s="5" t="s">
        <v>3697</v>
      </c>
      <c r="E1767" s="5" t="s">
        <v>3656</v>
      </c>
      <c r="G1767" s="5" t="s">
        <v>1917</v>
      </c>
    </row>
    <row r="1768" spans="4:7" hidden="1">
      <c r="D1768" s="5" t="s">
        <v>3698</v>
      </c>
      <c r="E1768" s="5" t="s">
        <v>309</v>
      </c>
      <c r="G1768" s="5" t="s">
        <v>1917</v>
      </c>
    </row>
    <row r="1769" spans="4:7" hidden="1">
      <c r="D1769" s="5" t="s">
        <v>3699</v>
      </c>
      <c r="E1769" s="5" t="s">
        <v>427</v>
      </c>
      <c r="G1769" s="5" t="s">
        <v>1917</v>
      </c>
    </row>
    <row r="1770" spans="4:7" hidden="1">
      <c r="D1770" s="5" t="s">
        <v>3700</v>
      </c>
      <c r="E1770" s="5" t="s">
        <v>2091</v>
      </c>
      <c r="G1770" s="5" t="s">
        <v>1917</v>
      </c>
    </row>
    <row r="1771" spans="4:7" hidden="1">
      <c r="D1771" s="5" t="s">
        <v>3701</v>
      </c>
      <c r="E1771" s="5" t="s">
        <v>427</v>
      </c>
      <c r="G1771" s="5" t="s">
        <v>1917</v>
      </c>
    </row>
    <row r="1772" spans="4:7" hidden="1">
      <c r="D1772" s="5" t="s">
        <v>3702</v>
      </c>
      <c r="E1772" s="5" t="s">
        <v>309</v>
      </c>
      <c r="G1772" s="5" t="s">
        <v>1917</v>
      </c>
    </row>
    <row r="1773" spans="4:7" hidden="1">
      <c r="D1773" s="5" t="s">
        <v>3703</v>
      </c>
      <c r="E1773" s="5" t="s">
        <v>1890</v>
      </c>
      <c r="G1773" s="5" t="s">
        <v>1917</v>
      </c>
    </row>
    <row r="1774" spans="4:7" hidden="1">
      <c r="D1774" s="5" t="s">
        <v>3704</v>
      </c>
      <c r="E1774" s="5" t="s">
        <v>3705</v>
      </c>
      <c r="G1774" s="5" t="s">
        <v>1926</v>
      </c>
    </row>
    <row r="1775" spans="4:7" hidden="1">
      <c r="D1775" s="5" t="s">
        <v>3706</v>
      </c>
      <c r="E1775" s="5" t="s">
        <v>171</v>
      </c>
      <c r="G1775" s="5" t="s">
        <v>1917</v>
      </c>
    </row>
    <row r="1776" spans="4:7" hidden="1">
      <c r="D1776" s="5" t="s">
        <v>3707</v>
      </c>
      <c r="E1776" s="5" t="s">
        <v>3656</v>
      </c>
      <c r="G1776" s="5" t="s">
        <v>1917</v>
      </c>
    </row>
    <row r="1777" spans="4:7" hidden="1">
      <c r="D1777" s="5" t="s">
        <v>3708</v>
      </c>
      <c r="E1777" s="5" t="s">
        <v>171</v>
      </c>
      <c r="G1777" s="5" t="s">
        <v>1917</v>
      </c>
    </row>
    <row r="1778" spans="4:7" hidden="1">
      <c r="D1778" s="5" t="s">
        <v>3709</v>
      </c>
      <c r="E1778" s="5" t="s">
        <v>427</v>
      </c>
      <c r="G1778" s="5" t="s">
        <v>1917</v>
      </c>
    </row>
    <row r="1779" spans="4:7" hidden="1">
      <c r="D1779" s="5" t="s">
        <v>3710</v>
      </c>
      <c r="E1779" s="5" t="s">
        <v>2091</v>
      </c>
      <c r="G1779" s="5" t="s">
        <v>1917</v>
      </c>
    </row>
    <row r="1780" spans="4:7" hidden="1">
      <c r="D1780" s="5" t="s">
        <v>3711</v>
      </c>
      <c r="E1780" s="5" t="s">
        <v>427</v>
      </c>
      <c r="G1780" s="5" t="s">
        <v>1917</v>
      </c>
    </row>
    <row r="1781" spans="4:7" hidden="1">
      <c r="D1781" s="5" t="s">
        <v>3712</v>
      </c>
      <c r="E1781" s="5" t="s">
        <v>427</v>
      </c>
      <c r="G1781" s="5" t="s">
        <v>1917</v>
      </c>
    </row>
    <row r="1782" spans="4:7" hidden="1">
      <c r="D1782" s="5" t="s">
        <v>3713</v>
      </c>
      <c r="E1782" s="5" t="s">
        <v>791</v>
      </c>
      <c r="G1782" s="5" t="s">
        <v>1917</v>
      </c>
    </row>
    <row r="1783" spans="4:7" hidden="1">
      <c r="D1783" s="5" t="s">
        <v>3714</v>
      </c>
      <c r="E1783" s="5" t="s">
        <v>427</v>
      </c>
      <c r="G1783" s="5" t="s">
        <v>1917</v>
      </c>
    </row>
    <row r="1784" spans="4:7" hidden="1">
      <c r="D1784" s="5" t="s">
        <v>3715</v>
      </c>
      <c r="E1784" s="5" t="s">
        <v>427</v>
      </c>
      <c r="G1784" s="5" t="s">
        <v>1917</v>
      </c>
    </row>
    <row r="1785" spans="4:7" hidden="1">
      <c r="D1785" s="5" t="s">
        <v>3716</v>
      </c>
      <c r="E1785" s="5" t="s">
        <v>427</v>
      </c>
      <c r="G1785" s="5" t="s">
        <v>1917</v>
      </c>
    </row>
    <row r="1786" spans="4:7" hidden="1">
      <c r="D1786" s="5" t="s">
        <v>3717</v>
      </c>
      <c r="E1786" s="5" t="s">
        <v>309</v>
      </c>
      <c r="G1786" s="5" t="s">
        <v>1917</v>
      </c>
    </row>
    <row r="1787" spans="4:7" hidden="1">
      <c r="D1787" s="5" t="s">
        <v>3718</v>
      </c>
      <c r="E1787" s="5" t="s">
        <v>427</v>
      </c>
      <c r="G1787" s="5" t="s">
        <v>1917</v>
      </c>
    </row>
    <row r="1788" spans="4:7" hidden="1">
      <c r="D1788" s="5" t="s">
        <v>3719</v>
      </c>
      <c r="E1788" s="5" t="s">
        <v>427</v>
      </c>
      <c r="G1788" s="5" t="s">
        <v>1917</v>
      </c>
    </row>
    <row r="1789" spans="4:7" hidden="1">
      <c r="D1789" s="5" t="s">
        <v>3720</v>
      </c>
      <c r="E1789" s="5" t="s">
        <v>2899</v>
      </c>
      <c r="G1789" s="5" t="s">
        <v>406</v>
      </c>
    </row>
    <row r="1790" spans="4:7" hidden="1">
      <c r="D1790" s="5" t="s">
        <v>3721</v>
      </c>
      <c r="E1790" s="5" t="s">
        <v>427</v>
      </c>
      <c r="G1790" s="5" t="s">
        <v>1917</v>
      </c>
    </row>
    <row r="1791" spans="4:7" hidden="1">
      <c r="D1791" s="5" t="s">
        <v>3722</v>
      </c>
      <c r="E1791" s="5" t="s">
        <v>3656</v>
      </c>
      <c r="G1791" s="5" t="s">
        <v>1917</v>
      </c>
    </row>
    <row r="1792" spans="4:7" hidden="1">
      <c r="D1792" s="5" t="s">
        <v>3723</v>
      </c>
      <c r="E1792" s="5" t="s">
        <v>2005</v>
      </c>
      <c r="G1792" s="5" t="s">
        <v>1917</v>
      </c>
    </row>
    <row r="1793" spans="4:7" hidden="1">
      <c r="D1793" s="5" t="s">
        <v>3724</v>
      </c>
      <c r="E1793" s="5" t="s">
        <v>3656</v>
      </c>
      <c r="G1793" s="5" t="s">
        <v>1917</v>
      </c>
    </row>
    <row r="1794" spans="4:7" hidden="1">
      <c r="D1794" s="5" t="s">
        <v>3725</v>
      </c>
      <c r="E1794" s="5" t="s">
        <v>2005</v>
      </c>
      <c r="G1794" s="5" t="s">
        <v>1917</v>
      </c>
    </row>
    <row r="1795" spans="4:7" hidden="1">
      <c r="D1795" s="5" t="s">
        <v>3726</v>
      </c>
      <c r="E1795" s="5" t="s">
        <v>2005</v>
      </c>
      <c r="G1795" s="5" t="s">
        <v>1917</v>
      </c>
    </row>
    <row r="1796" spans="4:7" hidden="1">
      <c r="D1796" s="5" t="s">
        <v>3727</v>
      </c>
      <c r="E1796" s="5" t="s">
        <v>309</v>
      </c>
      <c r="G1796" s="5" t="s">
        <v>1917</v>
      </c>
    </row>
    <row r="1797" spans="4:7" hidden="1">
      <c r="D1797" s="5" t="s">
        <v>3728</v>
      </c>
      <c r="E1797" s="5" t="s">
        <v>3656</v>
      </c>
      <c r="G1797" s="5" t="s">
        <v>1917</v>
      </c>
    </row>
    <row r="1798" spans="4:7" hidden="1">
      <c r="D1798" s="5" t="s">
        <v>3729</v>
      </c>
      <c r="E1798" s="5" t="s">
        <v>2005</v>
      </c>
      <c r="G1798" s="5" t="s">
        <v>1917</v>
      </c>
    </row>
    <row r="1799" spans="4:7" hidden="1">
      <c r="D1799" s="5" t="s">
        <v>3730</v>
      </c>
      <c r="E1799" s="5" t="s">
        <v>2899</v>
      </c>
      <c r="G1799" s="5" t="s">
        <v>406</v>
      </c>
    </row>
    <row r="1800" spans="4:7" hidden="1">
      <c r="D1800" s="5" t="s">
        <v>3731</v>
      </c>
      <c r="E1800" s="5" t="s">
        <v>3656</v>
      </c>
      <c r="G1800" s="5" t="s">
        <v>1917</v>
      </c>
    </row>
    <row r="1801" spans="4:7" hidden="1">
      <c r="D1801" s="5" t="s">
        <v>3732</v>
      </c>
      <c r="E1801" s="5" t="s">
        <v>3656</v>
      </c>
      <c r="G1801" s="5" t="s">
        <v>1917</v>
      </c>
    </row>
    <row r="1802" spans="4:7" hidden="1">
      <c r="D1802" s="5" t="s">
        <v>3733</v>
      </c>
      <c r="E1802" s="5" t="s">
        <v>3656</v>
      </c>
      <c r="G1802" s="5" t="s">
        <v>1917</v>
      </c>
    </row>
    <row r="1803" spans="4:7" hidden="1">
      <c r="D1803" s="5" t="s">
        <v>3734</v>
      </c>
      <c r="E1803" s="5" t="s">
        <v>2150</v>
      </c>
      <c r="G1803" s="5" t="s">
        <v>406</v>
      </c>
    </row>
    <row r="1804" spans="4:7" hidden="1">
      <c r="D1804" s="5" t="s">
        <v>3735</v>
      </c>
      <c r="E1804" s="5" t="s">
        <v>309</v>
      </c>
      <c r="G1804" s="5" t="s">
        <v>1917</v>
      </c>
    </row>
    <row r="1805" spans="4:7" hidden="1">
      <c r="D1805" s="5" t="s">
        <v>3736</v>
      </c>
      <c r="E1805" s="5" t="s">
        <v>2091</v>
      </c>
      <c r="G1805" s="5" t="s">
        <v>1917</v>
      </c>
    </row>
    <row r="1806" spans="4:7" hidden="1">
      <c r="D1806" s="5" t="s">
        <v>3737</v>
      </c>
      <c r="E1806" s="5" t="s">
        <v>2091</v>
      </c>
      <c r="G1806" s="5" t="s">
        <v>1917</v>
      </c>
    </row>
    <row r="1807" spans="4:7" hidden="1">
      <c r="D1807" s="5" t="s">
        <v>3738</v>
      </c>
      <c r="E1807" s="5" t="s">
        <v>427</v>
      </c>
      <c r="G1807" s="5" t="s">
        <v>1917</v>
      </c>
    </row>
    <row r="1808" spans="4:7" hidden="1">
      <c r="D1808" s="5" t="s">
        <v>3739</v>
      </c>
      <c r="E1808" s="5" t="s">
        <v>2091</v>
      </c>
      <c r="G1808" s="5" t="s">
        <v>1917</v>
      </c>
    </row>
    <row r="1809" spans="4:7" hidden="1">
      <c r="D1809" s="5" t="s">
        <v>3740</v>
      </c>
      <c r="E1809" s="5" t="s">
        <v>2056</v>
      </c>
      <c r="G1809" s="5" t="s">
        <v>1917</v>
      </c>
    </row>
    <row r="1810" spans="4:7" hidden="1">
      <c r="D1810" s="5" t="s">
        <v>3741</v>
      </c>
      <c r="E1810" s="5" t="s">
        <v>427</v>
      </c>
      <c r="G1810" s="5" t="s">
        <v>1917</v>
      </c>
    </row>
    <row r="1811" spans="4:7" hidden="1">
      <c r="D1811" s="5" t="s">
        <v>3742</v>
      </c>
      <c r="E1811" s="5" t="s">
        <v>2091</v>
      </c>
      <c r="G1811" s="5" t="s">
        <v>1917</v>
      </c>
    </row>
    <row r="1812" spans="4:7" hidden="1">
      <c r="D1812" s="5" t="s">
        <v>3743</v>
      </c>
      <c r="E1812" s="5" t="s">
        <v>2056</v>
      </c>
      <c r="G1812" s="5" t="s">
        <v>1917</v>
      </c>
    </row>
    <row r="1813" spans="4:7" hidden="1">
      <c r="D1813" s="5" t="s">
        <v>3744</v>
      </c>
      <c r="E1813" s="5" t="s">
        <v>2056</v>
      </c>
      <c r="G1813" s="5" t="s">
        <v>1917</v>
      </c>
    </row>
    <row r="1814" spans="4:7" hidden="1">
      <c r="D1814" s="5" t="s">
        <v>3745</v>
      </c>
      <c r="E1814" s="5" t="s">
        <v>812</v>
      </c>
      <c r="G1814" s="5" t="s">
        <v>1917</v>
      </c>
    </row>
    <row r="1815" spans="4:7" hidden="1">
      <c r="D1815" s="5" t="s">
        <v>3746</v>
      </c>
      <c r="E1815" s="5" t="s">
        <v>812</v>
      </c>
      <c r="G1815" s="5" t="s">
        <v>1917</v>
      </c>
    </row>
    <row r="1816" spans="4:7" hidden="1">
      <c r="D1816" s="5" t="s">
        <v>3747</v>
      </c>
      <c r="E1816" s="5" t="s">
        <v>2056</v>
      </c>
      <c r="G1816" s="5" t="s">
        <v>1917</v>
      </c>
    </row>
    <row r="1817" spans="4:7" hidden="1">
      <c r="D1817" s="5" t="s">
        <v>3748</v>
      </c>
      <c r="E1817" s="5" t="s">
        <v>168</v>
      </c>
      <c r="G1817" s="5" t="s">
        <v>1917</v>
      </c>
    </row>
    <row r="1818" spans="4:7" hidden="1">
      <c r="D1818" s="5" t="s">
        <v>3749</v>
      </c>
      <c r="E1818" s="5" t="s">
        <v>168</v>
      </c>
      <c r="G1818" s="5" t="s">
        <v>1917</v>
      </c>
    </row>
    <row r="1819" spans="4:7" hidden="1">
      <c r="D1819" s="5" t="s">
        <v>3750</v>
      </c>
      <c r="E1819" s="5" t="s">
        <v>3656</v>
      </c>
      <c r="G1819" s="5" t="s">
        <v>1917</v>
      </c>
    </row>
    <row r="1820" spans="4:7" hidden="1">
      <c r="D1820" s="5" t="s">
        <v>3751</v>
      </c>
      <c r="E1820" s="5" t="s">
        <v>812</v>
      </c>
      <c r="G1820" s="5" t="s">
        <v>1917</v>
      </c>
    </row>
    <row r="1821" spans="4:7" hidden="1">
      <c r="D1821" s="5" t="s">
        <v>3752</v>
      </c>
      <c r="E1821" s="5" t="s">
        <v>2005</v>
      </c>
      <c r="G1821" s="5" t="s">
        <v>1917</v>
      </c>
    </row>
    <row r="1822" spans="4:7" hidden="1">
      <c r="D1822" s="5" t="s">
        <v>3753</v>
      </c>
      <c r="E1822" s="5" t="s">
        <v>427</v>
      </c>
      <c r="G1822" s="5" t="s">
        <v>1917</v>
      </c>
    </row>
    <row r="1823" spans="4:7" hidden="1">
      <c r="D1823" s="5" t="s">
        <v>3754</v>
      </c>
      <c r="E1823" s="5" t="s">
        <v>3661</v>
      </c>
      <c r="G1823" s="5" t="s">
        <v>1917</v>
      </c>
    </row>
    <row r="1824" spans="4:7" hidden="1">
      <c r="D1824" s="5" t="s">
        <v>3755</v>
      </c>
      <c r="E1824" s="5" t="s">
        <v>2056</v>
      </c>
      <c r="G1824" s="5" t="s">
        <v>1917</v>
      </c>
    </row>
    <row r="1825" spans="4:7" hidden="1">
      <c r="D1825" s="5" t="s">
        <v>3756</v>
      </c>
      <c r="E1825" s="5" t="s">
        <v>1890</v>
      </c>
      <c r="G1825" s="5" t="s">
        <v>1917</v>
      </c>
    </row>
    <row r="1826" spans="4:7" hidden="1">
      <c r="D1826" s="5" t="s">
        <v>3757</v>
      </c>
      <c r="E1826" s="5" t="s">
        <v>1953</v>
      </c>
      <c r="G1826" s="5" t="s">
        <v>1917</v>
      </c>
    </row>
    <row r="1827" spans="4:7" hidden="1">
      <c r="D1827" s="5" t="s">
        <v>3758</v>
      </c>
      <c r="E1827" s="5" t="s">
        <v>2056</v>
      </c>
      <c r="G1827" s="5" t="s">
        <v>1917</v>
      </c>
    </row>
    <row r="1828" spans="4:7" hidden="1">
      <c r="D1828" s="5" t="s">
        <v>3759</v>
      </c>
      <c r="E1828" s="5" t="s">
        <v>1890</v>
      </c>
      <c r="G1828" s="5" t="s">
        <v>1917</v>
      </c>
    </row>
    <row r="1829" spans="4:7" hidden="1">
      <c r="D1829" s="5" t="s">
        <v>3760</v>
      </c>
      <c r="E1829" s="5" t="s">
        <v>427</v>
      </c>
      <c r="G1829" s="5" t="s">
        <v>1917</v>
      </c>
    </row>
    <row r="1830" spans="4:7" hidden="1">
      <c r="D1830" s="5" t="s">
        <v>3761</v>
      </c>
      <c r="E1830" s="5" t="s">
        <v>2005</v>
      </c>
      <c r="G1830" s="5" t="s">
        <v>1917</v>
      </c>
    </row>
    <row r="1831" spans="4:7" hidden="1">
      <c r="D1831" s="5" t="s">
        <v>3762</v>
      </c>
      <c r="E1831" s="5" t="s">
        <v>309</v>
      </c>
      <c r="G1831" s="5" t="s">
        <v>1917</v>
      </c>
    </row>
    <row r="1832" spans="4:7" hidden="1">
      <c r="D1832" s="5" t="s">
        <v>3763</v>
      </c>
      <c r="E1832" s="5" t="s">
        <v>168</v>
      </c>
      <c r="G1832" s="5" t="s">
        <v>1917</v>
      </c>
    </row>
    <row r="1833" spans="4:7" hidden="1">
      <c r="D1833" s="5" t="s">
        <v>3764</v>
      </c>
      <c r="E1833" s="5" t="s">
        <v>309</v>
      </c>
      <c r="G1833" s="5" t="s">
        <v>1917</v>
      </c>
    </row>
    <row r="1834" spans="4:7" hidden="1">
      <c r="D1834" s="5" t="s">
        <v>3765</v>
      </c>
      <c r="E1834" s="5" t="s">
        <v>2056</v>
      </c>
      <c r="G1834" s="5" t="s">
        <v>1917</v>
      </c>
    </row>
    <row r="1835" spans="4:7" hidden="1">
      <c r="D1835" s="5" t="s">
        <v>3766</v>
      </c>
      <c r="E1835" s="5" t="s">
        <v>2899</v>
      </c>
      <c r="G1835" s="5" t="s">
        <v>406</v>
      </c>
    </row>
    <row r="1836" spans="4:7" hidden="1">
      <c r="D1836" s="5" t="s">
        <v>3767</v>
      </c>
      <c r="E1836" s="5" t="s">
        <v>168</v>
      </c>
      <c r="G1836" s="5" t="s">
        <v>1926</v>
      </c>
    </row>
    <row r="1837" spans="4:7" hidden="1">
      <c r="D1837" s="5" t="s">
        <v>3768</v>
      </c>
      <c r="E1837" s="5" t="s">
        <v>168</v>
      </c>
      <c r="G1837" s="5" t="s">
        <v>1917</v>
      </c>
    </row>
    <row r="1838" spans="4:7" hidden="1">
      <c r="D1838" s="5" t="s">
        <v>3769</v>
      </c>
      <c r="E1838" s="5" t="s">
        <v>3661</v>
      </c>
      <c r="G1838" s="5" t="s">
        <v>1917</v>
      </c>
    </row>
    <row r="1839" spans="4:7" hidden="1">
      <c r="D1839" s="5" t="s">
        <v>3770</v>
      </c>
      <c r="E1839" s="5" t="s">
        <v>2899</v>
      </c>
      <c r="G1839" s="5" t="s">
        <v>406</v>
      </c>
    </row>
    <row r="1840" spans="4:7" hidden="1">
      <c r="D1840" s="5" t="s">
        <v>3771</v>
      </c>
      <c r="E1840" s="5" t="s">
        <v>427</v>
      </c>
      <c r="G1840" s="5" t="s">
        <v>1917</v>
      </c>
    </row>
    <row r="1841" spans="4:7" hidden="1">
      <c r="D1841" s="5" t="s">
        <v>3772</v>
      </c>
      <c r="E1841" s="5" t="s">
        <v>1953</v>
      </c>
      <c r="G1841" s="5" t="s">
        <v>1917</v>
      </c>
    </row>
    <row r="1842" spans="4:7" hidden="1">
      <c r="D1842" s="5" t="s">
        <v>3773</v>
      </c>
      <c r="E1842" s="5" t="s">
        <v>2899</v>
      </c>
      <c r="G1842" s="5" t="s">
        <v>406</v>
      </c>
    </row>
    <row r="1843" spans="4:7" hidden="1">
      <c r="D1843" s="5" t="s">
        <v>3774</v>
      </c>
      <c r="E1843" s="5" t="s">
        <v>3661</v>
      </c>
      <c r="G1843" s="5" t="s">
        <v>1917</v>
      </c>
    </row>
    <row r="1844" spans="4:7" hidden="1">
      <c r="D1844" s="5" t="s">
        <v>3775</v>
      </c>
      <c r="E1844" s="5" t="s">
        <v>451</v>
      </c>
      <c r="G1844" s="5" t="s">
        <v>1917</v>
      </c>
    </row>
    <row r="1845" spans="4:7" hidden="1">
      <c r="D1845" s="5" t="s">
        <v>3776</v>
      </c>
      <c r="E1845" s="5" t="s">
        <v>309</v>
      </c>
      <c r="G1845" s="5" t="s">
        <v>1917</v>
      </c>
    </row>
    <row r="1846" spans="4:7" hidden="1">
      <c r="D1846" s="5" t="s">
        <v>3777</v>
      </c>
      <c r="E1846" s="5" t="s">
        <v>1945</v>
      </c>
      <c r="G1846" s="5" t="s">
        <v>1917</v>
      </c>
    </row>
    <row r="1847" spans="4:7" hidden="1">
      <c r="D1847" s="5" t="s">
        <v>3778</v>
      </c>
      <c r="E1847" s="5" t="s">
        <v>2468</v>
      </c>
      <c r="G1847" s="5" t="s">
        <v>406</v>
      </c>
    </row>
    <row r="1848" spans="4:7" hidden="1">
      <c r="D1848" s="5" t="s">
        <v>3779</v>
      </c>
      <c r="E1848" s="5" t="s">
        <v>451</v>
      </c>
      <c r="G1848" s="5" t="s">
        <v>1917</v>
      </c>
    </row>
    <row r="1849" spans="4:7" hidden="1">
      <c r="D1849" s="5" t="s">
        <v>3780</v>
      </c>
      <c r="E1849" s="5" t="s">
        <v>1953</v>
      </c>
      <c r="G1849" s="5" t="s">
        <v>1917</v>
      </c>
    </row>
    <row r="1850" spans="4:7" hidden="1">
      <c r="D1850" s="5" t="s">
        <v>3781</v>
      </c>
      <c r="E1850" s="5" t="s">
        <v>2056</v>
      </c>
      <c r="G1850" s="5" t="s">
        <v>1917</v>
      </c>
    </row>
    <row r="1851" spans="4:7" hidden="1">
      <c r="D1851" s="5" t="s">
        <v>3782</v>
      </c>
      <c r="E1851" s="5" t="s">
        <v>451</v>
      </c>
      <c r="G1851" s="5" t="s">
        <v>1917</v>
      </c>
    </row>
    <row r="1852" spans="4:7" hidden="1">
      <c r="D1852" s="5" t="s">
        <v>3783</v>
      </c>
      <c r="E1852" s="5" t="s">
        <v>427</v>
      </c>
      <c r="G1852" s="5" t="s">
        <v>1917</v>
      </c>
    </row>
    <row r="1853" spans="4:7" hidden="1">
      <c r="D1853" s="5" t="s">
        <v>3784</v>
      </c>
      <c r="E1853" s="5" t="s">
        <v>3785</v>
      </c>
      <c r="G1853" s="5" t="s">
        <v>1926</v>
      </c>
    </row>
    <row r="1854" spans="4:7" hidden="1">
      <c r="D1854" s="5" t="s">
        <v>3786</v>
      </c>
      <c r="E1854" s="5" t="s">
        <v>309</v>
      </c>
      <c r="G1854" s="5" t="s">
        <v>1917</v>
      </c>
    </row>
    <row r="1855" spans="4:7" hidden="1">
      <c r="D1855" s="5" t="s">
        <v>3787</v>
      </c>
      <c r="E1855" s="5" t="s">
        <v>2056</v>
      </c>
      <c r="G1855" s="5" t="s">
        <v>1917</v>
      </c>
    </row>
    <row r="1856" spans="4:7" hidden="1">
      <c r="D1856" s="5" t="s">
        <v>3788</v>
      </c>
      <c r="E1856" s="5" t="s">
        <v>451</v>
      </c>
      <c r="G1856" s="5" t="s">
        <v>1917</v>
      </c>
    </row>
    <row r="1857" spans="4:7" hidden="1">
      <c r="D1857" s="5" t="s">
        <v>761</v>
      </c>
      <c r="E1857" s="5" t="s">
        <v>3785</v>
      </c>
      <c r="G1857" s="5" t="s">
        <v>1926</v>
      </c>
    </row>
    <row r="1858" spans="4:7" hidden="1">
      <c r="D1858" s="5" t="s">
        <v>3789</v>
      </c>
      <c r="E1858" s="5" t="s">
        <v>2056</v>
      </c>
      <c r="G1858" s="5" t="s">
        <v>1917</v>
      </c>
    </row>
    <row r="1859" spans="4:7" hidden="1">
      <c r="D1859" s="5" t="s">
        <v>3790</v>
      </c>
      <c r="E1859" s="5" t="s">
        <v>1953</v>
      </c>
      <c r="G1859" s="5" t="s">
        <v>1917</v>
      </c>
    </row>
    <row r="1860" spans="4:7" hidden="1">
      <c r="D1860" s="5" t="s">
        <v>3791</v>
      </c>
      <c r="E1860" s="5" t="s">
        <v>2056</v>
      </c>
      <c r="G1860" s="5" t="s">
        <v>1917</v>
      </c>
    </row>
    <row r="1861" spans="4:7" hidden="1">
      <c r="D1861" s="5" t="s">
        <v>3792</v>
      </c>
      <c r="E1861" s="5" t="s">
        <v>1953</v>
      </c>
      <c r="G1861" s="5" t="s">
        <v>1917</v>
      </c>
    </row>
    <row r="1862" spans="4:7" hidden="1">
      <c r="D1862" s="5" t="s">
        <v>3793</v>
      </c>
      <c r="E1862" s="5" t="s">
        <v>3785</v>
      </c>
      <c r="G1862" s="5" t="s">
        <v>1917</v>
      </c>
    </row>
    <row r="1863" spans="4:7" hidden="1">
      <c r="D1863" s="5" t="s">
        <v>3794</v>
      </c>
      <c r="E1863" s="5" t="s">
        <v>2468</v>
      </c>
      <c r="G1863" s="5" t="s">
        <v>406</v>
      </c>
    </row>
    <row r="1864" spans="4:7" hidden="1">
      <c r="D1864" s="5" t="s">
        <v>3795</v>
      </c>
      <c r="E1864" s="5" t="s">
        <v>3785</v>
      </c>
      <c r="G1864" s="5" t="s">
        <v>1917</v>
      </c>
    </row>
    <row r="1865" spans="4:7" hidden="1">
      <c r="D1865" s="5" t="s">
        <v>3796</v>
      </c>
      <c r="E1865" s="5" t="s">
        <v>309</v>
      </c>
      <c r="G1865" s="5" t="s">
        <v>1917</v>
      </c>
    </row>
    <row r="1866" spans="4:7" hidden="1">
      <c r="D1866" s="5" t="s">
        <v>3797</v>
      </c>
      <c r="E1866" s="5" t="s">
        <v>2056</v>
      </c>
      <c r="G1866" s="5" t="s">
        <v>1917</v>
      </c>
    </row>
    <row r="1867" spans="4:7" hidden="1">
      <c r="D1867" s="5" t="s">
        <v>3798</v>
      </c>
      <c r="E1867" s="5" t="s">
        <v>2005</v>
      </c>
      <c r="G1867" s="5" t="s">
        <v>1917</v>
      </c>
    </row>
    <row r="1868" spans="4:7" hidden="1">
      <c r="D1868" s="5" t="s">
        <v>3799</v>
      </c>
      <c r="E1868" s="5" t="s">
        <v>3656</v>
      </c>
      <c r="G1868" s="5" t="s">
        <v>1917</v>
      </c>
    </row>
    <row r="1869" spans="4:7" hidden="1">
      <c r="D1869" s="5" t="s">
        <v>3800</v>
      </c>
      <c r="E1869" s="5" t="s">
        <v>1901</v>
      </c>
      <c r="G1869" s="5" t="s">
        <v>1917</v>
      </c>
    </row>
    <row r="1870" spans="4:7" hidden="1">
      <c r="D1870" s="5" t="s">
        <v>3801</v>
      </c>
      <c r="E1870" s="5" t="s">
        <v>2056</v>
      </c>
      <c r="G1870" s="5" t="s">
        <v>1917</v>
      </c>
    </row>
    <row r="1871" spans="4:7" hidden="1">
      <c r="D1871" s="5" t="s">
        <v>3802</v>
      </c>
      <c r="E1871" s="5" t="s">
        <v>2056</v>
      </c>
      <c r="G1871" s="5" t="s">
        <v>1917</v>
      </c>
    </row>
    <row r="1872" spans="4:7" hidden="1">
      <c r="D1872" s="5" t="s">
        <v>3803</v>
      </c>
      <c r="E1872" s="5" t="s">
        <v>2091</v>
      </c>
      <c r="G1872" s="5" t="s">
        <v>1917</v>
      </c>
    </row>
    <row r="1873" spans="4:7" hidden="1">
      <c r="D1873" s="5" t="s">
        <v>3804</v>
      </c>
      <c r="E1873" s="5" t="s">
        <v>427</v>
      </c>
      <c r="G1873" s="5" t="s">
        <v>1917</v>
      </c>
    </row>
    <row r="1874" spans="4:7" hidden="1">
      <c r="D1874" s="5" t="s">
        <v>3805</v>
      </c>
      <c r="E1874" s="5" t="s">
        <v>2091</v>
      </c>
      <c r="G1874" s="5" t="s">
        <v>1917</v>
      </c>
    </row>
    <row r="1875" spans="4:7" hidden="1">
      <c r="D1875" s="5" t="s">
        <v>3806</v>
      </c>
      <c r="E1875" s="5" t="s">
        <v>2824</v>
      </c>
      <c r="G1875" s="5" t="s">
        <v>3807</v>
      </c>
    </row>
    <row r="1876" spans="4:7" hidden="1">
      <c r="D1876" s="5" t="s">
        <v>3808</v>
      </c>
      <c r="E1876" s="5" t="s">
        <v>3656</v>
      </c>
      <c r="G1876" s="5" t="s">
        <v>1917</v>
      </c>
    </row>
    <row r="1877" spans="4:7" hidden="1">
      <c r="D1877" s="5" t="s">
        <v>3809</v>
      </c>
      <c r="E1877" s="5" t="s">
        <v>791</v>
      </c>
      <c r="G1877" s="5" t="s">
        <v>1917</v>
      </c>
    </row>
    <row r="1878" spans="4:7" hidden="1">
      <c r="D1878" s="5" t="s">
        <v>3810</v>
      </c>
      <c r="E1878" s="5" t="s">
        <v>1953</v>
      </c>
      <c r="G1878" s="5" t="s">
        <v>1917</v>
      </c>
    </row>
    <row r="1879" spans="4:7" hidden="1">
      <c r="D1879" s="5" t="s">
        <v>3811</v>
      </c>
      <c r="E1879" s="5" t="s">
        <v>309</v>
      </c>
      <c r="G1879" s="5" t="s">
        <v>1917</v>
      </c>
    </row>
    <row r="1880" spans="4:7" hidden="1">
      <c r="D1880" s="5" t="s">
        <v>3812</v>
      </c>
      <c r="E1880" s="5" t="s">
        <v>2106</v>
      </c>
      <c r="G1880" s="5" t="s">
        <v>406</v>
      </c>
    </row>
    <row r="1881" spans="4:7" hidden="1">
      <c r="D1881" s="5" t="s">
        <v>3813</v>
      </c>
      <c r="E1881" s="5" t="s">
        <v>309</v>
      </c>
      <c r="G1881" s="5" t="s">
        <v>1917</v>
      </c>
    </row>
    <row r="1882" spans="4:7" hidden="1">
      <c r="D1882" s="5" t="s">
        <v>3814</v>
      </c>
      <c r="E1882" s="5" t="s">
        <v>2056</v>
      </c>
      <c r="G1882" s="5" t="s">
        <v>1917</v>
      </c>
    </row>
    <row r="1883" spans="4:7" hidden="1">
      <c r="D1883" s="5" t="s">
        <v>3815</v>
      </c>
      <c r="E1883" s="5" t="s">
        <v>427</v>
      </c>
      <c r="G1883" s="5" t="s">
        <v>1917</v>
      </c>
    </row>
    <row r="1884" spans="4:7" hidden="1">
      <c r="D1884" s="5" t="s">
        <v>3816</v>
      </c>
      <c r="E1884" s="5" t="s">
        <v>309</v>
      </c>
      <c r="G1884" s="5" t="s">
        <v>1917</v>
      </c>
    </row>
    <row r="1885" spans="4:7" hidden="1">
      <c r="D1885" s="5" t="s">
        <v>3817</v>
      </c>
      <c r="E1885" s="5" t="s">
        <v>1953</v>
      </c>
      <c r="G1885" s="5" t="s">
        <v>1917</v>
      </c>
    </row>
    <row r="1886" spans="4:7" hidden="1">
      <c r="D1886" s="5" t="s">
        <v>3818</v>
      </c>
      <c r="E1886" s="5" t="s">
        <v>2056</v>
      </c>
      <c r="G1886" s="5" t="s">
        <v>1926</v>
      </c>
    </row>
    <row r="1887" spans="4:7" hidden="1">
      <c r="D1887" s="5" t="s">
        <v>3819</v>
      </c>
      <c r="E1887" s="5" t="s">
        <v>2056</v>
      </c>
      <c r="G1887" s="5" t="s">
        <v>1917</v>
      </c>
    </row>
    <row r="1888" spans="4:7" hidden="1">
      <c r="D1888" s="5" t="s">
        <v>3820</v>
      </c>
      <c r="E1888" s="5" t="s">
        <v>309</v>
      </c>
      <c r="G1888" s="5" t="s">
        <v>1917</v>
      </c>
    </row>
    <row r="1889" spans="4:7" hidden="1">
      <c r="D1889" s="5" t="s">
        <v>3821</v>
      </c>
      <c r="E1889" s="5" t="s">
        <v>2493</v>
      </c>
      <c r="G1889" s="5" t="s">
        <v>3822</v>
      </c>
    </row>
    <row r="1890" spans="4:7" hidden="1">
      <c r="D1890" s="5" t="s">
        <v>3823</v>
      </c>
      <c r="E1890" s="5" t="s">
        <v>309</v>
      </c>
      <c r="G1890" s="5" t="s">
        <v>1917</v>
      </c>
    </row>
    <row r="1891" spans="4:7" hidden="1">
      <c r="D1891" s="5" t="s">
        <v>3824</v>
      </c>
      <c r="E1891" s="5" t="s">
        <v>2056</v>
      </c>
      <c r="G1891" s="5" t="s">
        <v>1917</v>
      </c>
    </row>
    <row r="1892" spans="4:7" hidden="1">
      <c r="D1892" s="5" t="s">
        <v>3825</v>
      </c>
      <c r="E1892" s="5" t="s">
        <v>168</v>
      </c>
      <c r="G1892" s="5" t="s">
        <v>3822</v>
      </c>
    </row>
    <row r="1893" spans="4:7" hidden="1">
      <c r="D1893" s="5" t="s">
        <v>3826</v>
      </c>
      <c r="E1893" s="5" t="s">
        <v>52</v>
      </c>
      <c r="G1893" s="5" t="s">
        <v>1917</v>
      </c>
    </row>
    <row r="1894" spans="4:7" hidden="1">
      <c r="D1894" s="5" t="s">
        <v>3827</v>
      </c>
      <c r="E1894" s="5" t="s">
        <v>2056</v>
      </c>
      <c r="G1894" s="5" t="s">
        <v>1917</v>
      </c>
    </row>
    <row r="1895" spans="4:7" hidden="1">
      <c r="D1895" s="5" t="s">
        <v>3828</v>
      </c>
      <c r="E1895" s="5" t="s">
        <v>427</v>
      </c>
      <c r="G1895" s="5" t="s">
        <v>1917</v>
      </c>
    </row>
    <row r="1896" spans="4:7" hidden="1">
      <c r="D1896" s="5" t="s">
        <v>3829</v>
      </c>
      <c r="E1896" s="5" t="s">
        <v>309</v>
      </c>
      <c r="G1896" s="5" t="s">
        <v>1917</v>
      </c>
    </row>
    <row r="1897" spans="4:7" hidden="1">
      <c r="D1897" s="5" t="s">
        <v>3830</v>
      </c>
      <c r="E1897" s="5" t="s">
        <v>52</v>
      </c>
      <c r="G1897" s="5" t="s">
        <v>1917</v>
      </c>
    </row>
    <row r="1898" spans="4:7" hidden="1">
      <c r="D1898" s="5" t="s">
        <v>3831</v>
      </c>
      <c r="E1898" s="5" t="s">
        <v>168</v>
      </c>
      <c r="G1898" s="5" t="s">
        <v>3822</v>
      </c>
    </row>
    <row r="1899" spans="4:7" hidden="1">
      <c r="D1899" s="5" t="s">
        <v>3832</v>
      </c>
      <c r="E1899" s="5" t="s">
        <v>52</v>
      </c>
      <c r="G1899" s="5" t="s">
        <v>1917</v>
      </c>
    </row>
    <row r="1900" spans="4:7" hidden="1">
      <c r="D1900" s="5" t="s">
        <v>3833</v>
      </c>
      <c r="E1900" s="5" t="s">
        <v>430</v>
      </c>
      <c r="G1900" s="5" t="s">
        <v>1917</v>
      </c>
    </row>
    <row r="1901" spans="4:7" hidden="1">
      <c r="D1901" s="5" t="s">
        <v>3834</v>
      </c>
      <c r="E1901" s="5" t="s">
        <v>2020</v>
      </c>
      <c r="G1901" s="5" t="s">
        <v>1917</v>
      </c>
    </row>
    <row r="1902" spans="4:7" hidden="1">
      <c r="D1902" s="5" t="s">
        <v>3835</v>
      </c>
      <c r="E1902" s="5" t="s">
        <v>2056</v>
      </c>
      <c r="G1902" s="5" t="s">
        <v>1917</v>
      </c>
    </row>
    <row r="1903" spans="4:7" hidden="1">
      <c r="D1903" s="5" t="s">
        <v>3836</v>
      </c>
      <c r="E1903" s="5" t="s">
        <v>1940</v>
      </c>
      <c r="G1903" s="5" t="s">
        <v>1917</v>
      </c>
    </row>
    <row r="1904" spans="4:7" hidden="1">
      <c r="D1904" s="5" t="s">
        <v>3837</v>
      </c>
      <c r="E1904" s="5" t="s">
        <v>3838</v>
      </c>
      <c r="G1904" s="5" t="s">
        <v>1917</v>
      </c>
    </row>
    <row r="1905" spans="4:7" hidden="1">
      <c r="D1905" s="5" t="s">
        <v>3839</v>
      </c>
      <c r="E1905" s="5" t="s">
        <v>2056</v>
      </c>
      <c r="G1905" s="5" t="s">
        <v>1917</v>
      </c>
    </row>
    <row r="1906" spans="4:7" hidden="1">
      <c r="D1906" s="5" t="s">
        <v>3840</v>
      </c>
      <c r="E1906" s="5" t="s">
        <v>2056</v>
      </c>
      <c r="G1906" s="5" t="s">
        <v>1917</v>
      </c>
    </row>
    <row r="1907" spans="4:7" hidden="1">
      <c r="D1907" s="5" t="s">
        <v>3841</v>
      </c>
      <c r="E1907" s="5" t="s">
        <v>2056</v>
      </c>
      <c r="G1907" s="5" t="s">
        <v>1917</v>
      </c>
    </row>
    <row r="1908" spans="4:7" hidden="1">
      <c r="D1908" s="5" t="s">
        <v>3842</v>
      </c>
      <c r="E1908" s="5" t="s">
        <v>2056</v>
      </c>
      <c r="G1908" s="5" t="s">
        <v>1917</v>
      </c>
    </row>
    <row r="1909" spans="4:7" hidden="1">
      <c r="D1909" s="5" t="s">
        <v>3843</v>
      </c>
      <c r="E1909" s="5" t="s">
        <v>309</v>
      </c>
      <c r="G1909" s="5" t="s">
        <v>1917</v>
      </c>
    </row>
    <row r="1910" spans="4:7" hidden="1">
      <c r="D1910" s="5" t="s">
        <v>3844</v>
      </c>
      <c r="E1910" s="5" t="s">
        <v>2005</v>
      </c>
      <c r="G1910" s="5" t="s">
        <v>1917</v>
      </c>
    </row>
    <row r="1911" spans="4:7" hidden="1">
      <c r="D1911" s="5" t="s">
        <v>3845</v>
      </c>
      <c r="E1911" s="5" t="s">
        <v>3838</v>
      </c>
      <c r="G1911" s="5" t="s">
        <v>1917</v>
      </c>
    </row>
    <row r="1912" spans="4:7" hidden="1">
      <c r="D1912" s="5" t="s">
        <v>3846</v>
      </c>
      <c r="E1912" s="5" t="s">
        <v>451</v>
      </c>
      <c r="G1912" s="5" t="s">
        <v>1917</v>
      </c>
    </row>
    <row r="1913" spans="4:7" hidden="1">
      <c r="D1913" s="5" t="s">
        <v>3847</v>
      </c>
      <c r="E1913" s="5" t="s">
        <v>451</v>
      </c>
      <c r="G1913" s="5" t="s">
        <v>1917</v>
      </c>
    </row>
    <row r="1914" spans="4:7" hidden="1">
      <c r="D1914" s="5" t="s">
        <v>3848</v>
      </c>
      <c r="E1914" s="5" t="s">
        <v>451</v>
      </c>
      <c r="G1914" s="5" t="s">
        <v>1926</v>
      </c>
    </row>
    <row r="1915" spans="4:7" hidden="1">
      <c r="D1915" s="5" t="s">
        <v>3849</v>
      </c>
      <c r="E1915" s="5" t="s">
        <v>427</v>
      </c>
      <c r="G1915" s="5" t="s">
        <v>1917</v>
      </c>
    </row>
    <row r="1916" spans="4:7" hidden="1">
      <c r="D1916" s="5" t="s">
        <v>3850</v>
      </c>
      <c r="E1916" s="5" t="s">
        <v>812</v>
      </c>
      <c r="G1916" s="5" t="s">
        <v>1926</v>
      </c>
    </row>
    <row r="1917" spans="4:7" hidden="1">
      <c r="D1917" s="5" t="s">
        <v>3851</v>
      </c>
      <c r="E1917" s="5" t="s">
        <v>451</v>
      </c>
      <c r="G1917" s="5" t="s">
        <v>1917</v>
      </c>
    </row>
    <row r="1918" spans="4:7" hidden="1">
      <c r="D1918" s="5" t="s">
        <v>1057</v>
      </c>
      <c r="E1918" s="5" t="s">
        <v>451</v>
      </c>
      <c r="G1918" s="5" t="s">
        <v>1917</v>
      </c>
    </row>
    <row r="1919" spans="4:7" hidden="1">
      <c r="D1919" s="5" t="s">
        <v>3852</v>
      </c>
      <c r="E1919" s="5" t="s">
        <v>812</v>
      </c>
      <c r="G1919" s="5" t="s">
        <v>1917</v>
      </c>
    </row>
    <row r="1920" spans="4:7" hidden="1">
      <c r="D1920" s="5" t="s">
        <v>3853</v>
      </c>
      <c r="E1920" s="5" t="s">
        <v>3854</v>
      </c>
      <c r="G1920" s="5" t="s">
        <v>1917</v>
      </c>
    </row>
    <row r="1921" spans="4:7" hidden="1">
      <c r="D1921" s="5" t="s">
        <v>3855</v>
      </c>
      <c r="E1921" s="5" t="s">
        <v>451</v>
      </c>
      <c r="G1921" s="5" t="s">
        <v>1917</v>
      </c>
    </row>
    <row r="1922" spans="4:7" hidden="1">
      <c r="D1922" s="5" t="s">
        <v>3856</v>
      </c>
      <c r="E1922" s="5" t="s">
        <v>451</v>
      </c>
      <c r="G1922" s="5" t="s">
        <v>1926</v>
      </c>
    </row>
    <row r="1923" spans="4:7" hidden="1">
      <c r="D1923" s="5" t="s">
        <v>3857</v>
      </c>
      <c r="E1923" s="5" t="s">
        <v>451</v>
      </c>
      <c r="G1923" s="5" t="s">
        <v>1917</v>
      </c>
    </row>
    <row r="1924" spans="4:7" hidden="1">
      <c r="D1924" s="5" t="s">
        <v>3858</v>
      </c>
      <c r="E1924" s="5" t="s">
        <v>451</v>
      </c>
      <c r="G1924" s="5" t="s">
        <v>1917</v>
      </c>
    </row>
    <row r="1925" spans="4:7" hidden="1">
      <c r="D1925" s="5" t="s">
        <v>3859</v>
      </c>
      <c r="E1925" s="5" t="s">
        <v>812</v>
      </c>
      <c r="G1925" s="5" t="s">
        <v>1917</v>
      </c>
    </row>
    <row r="1926" spans="4:7" hidden="1">
      <c r="D1926" s="5" t="s">
        <v>3860</v>
      </c>
      <c r="E1926" s="5" t="s">
        <v>1945</v>
      </c>
      <c r="G1926" s="5" t="s">
        <v>1917</v>
      </c>
    </row>
    <row r="1927" spans="4:7" hidden="1">
      <c r="D1927" s="5" t="s">
        <v>3861</v>
      </c>
      <c r="E1927" s="5" t="s">
        <v>451</v>
      </c>
      <c r="G1927" s="5" t="s">
        <v>1917</v>
      </c>
    </row>
    <row r="1928" spans="4:7" hidden="1">
      <c r="D1928" s="5" t="s">
        <v>3862</v>
      </c>
      <c r="E1928" s="5" t="s">
        <v>451</v>
      </c>
      <c r="G1928" s="5" t="s">
        <v>1917</v>
      </c>
    </row>
    <row r="1929" spans="4:7" hidden="1">
      <c r="D1929" s="5" t="s">
        <v>3863</v>
      </c>
      <c r="E1929" s="5" t="s">
        <v>1894</v>
      </c>
      <c r="G1929" s="5" t="s">
        <v>1917</v>
      </c>
    </row>
    <row r="1930" spans="4:7" hidden="1">
      <c r="D1930" s="5" t="s">
        <v>3864</v>
      </c>
      <c r="E1930" s="5" t="s">
        <v>451</v>
      </c>
      <c r="G1930" s="5" t="s">
        <v>1917</v>
      </c>
    </row>
    <row r="1931" spans="4:7" hidden="1">
      <c r="D1931" s="5" t="s">
        <v>3865</v>
      </c>
      <c r="E1931" s="5" t="s">
        <v>2005</v>
      </c>
      <c r="G1931" s="5" t="s">
        <v>1917</v>
      </c>
    </row>
    <row r="1932" spans="4:7" hidden="1">
      <c r="D1932" s="5" t="s">
        <v>3866</v>
      </c>
      <c r="E1932" s="5" t="s">
        <v>1945</v>
      </c>
      <c r="G1932" s="5" t="s">
        <v>1917</v>
      </c>
    </row>
    <row r="1933" spans="4:7" hidden="1">
      <c r="D1933" s="5" t="s">
        <v>3867</v>
      </c>
      <c r="E1933" s="5" t="s">
        <v>451</v>
      </c>
      <c r="G1933" s="5" t="s">
        <v>1917</v>
      </c>
    </row>
    <row r="1934" spans="4:7" hidden="1">
      <c r="D1934" s="5" t="s">
        <v>3868</v>
      </c>
      <c r="E1934" s="5" t="s">
        <v>451</v>
      </c>
      <c r="G1934" s="5" t="s">
        <v>1917</v>
      </c>
    </row>
    <row r="1935" spans="4:7" hidden="1">
      <c r="D1935" s="5" t="s">
        <v>3869</v>
      </c>
      <c r="E1935" s="5" t="s">
        <v>451</v>
      </c>
      <c r="G1935" s="5" t="s">
        <v>1917</v>
      </c>
    </row>
    <row r="1936" spans="4:7" hidden="1">
      <c r="D1936" s="5" t="s">
        <v>3870</v>
      </c>
      <c r="E1936" s="5" t="s">
        <v>2005</v>
      </c>
      <c r="G1936" s="5" t="s">
        <v>1917</v>
      </c>
    </row>
    <row r="1937" spans="4:7" hidden="1">
      <c r="D1937" s="5" t="s">
        <v>990</v>
      </c>
      <c r="E1937" s="5" t="s">
        <v>1894</v>
      </c>
      <c r="G1937" s="5" t="s">
        <v>1917</v>
      </c>
    </row>
    <row r="1938" spans="4:7" hidden="1">
      <c r="D1938" s="5" t="s">
        <v>3871</v>
      </c>
      <c r="E1938" s="5" t="s">
        <v>451</v>
      </c>
      <c r="G1938" s="5" t="s">
        <v>1917</v>
      </c>
    </row>
    <row r="1939" spans="4:7" hidden="1">
      <c r="D1939" s="5" t="s">
        <v>947</v>
      </c>
      <c r="E1939" s="5" t="s">
        <v>451</v>
      </c>
      <c r="G1939" s="5" t="s">
        <v>1917</v>
      </c>
    </row>
    <row r="1940" spans="4:7" hidden="1">
      <c r="D1940" s="5" t="s">
        <v>3872</v>
      </c>
      <c r="E1940" s="5" t="s">
        <v>1890</v>
      </c>
      <c r="G1940" s="5" t="s">
        <v>1917</v>
      </c>
    </row>
    <row r="1941" spans="4:7" hidden="1">
      <c r="D1941" s="5" t="s">
        <v>3873</v>
      </c>
      <c r="E1941" s="5" t="s">
        <v>427</v>
      </c>
      <c r="G1941" s="5" t="s">
        <v>1917</v>
      </c>
    </row>
    <row r="1942" spans="4:7" hidden="1">
      <c r="D1942" s="5" t="s">
        <v>3874</v>
      </c>
      <c r="E1942" s="5" t="s">
        <v>451</v>
      </c>
      <c r="G1942" s="5" t="s">
        <v>1917</v>
      </c>
    </row>
    <row r="1943" spans="4:7" hidden="1">
      <c r="D1943" s="5" t="s">
        <v>3875</v>
      </c>
      <c r="E1943" s="5" t="s">
        <v>1945</v>
      </c>
      <c r="G1943" s="5" t="s">
        <v>1917</v>
      </c>
    </row>
    <row r="1944" spans="4:7" hidden="1">
      <c r="D1944" s="5" t="s">
        <v>3876</v>
      </c>
      <c r="E1944" s="5" t="s">
        <v>168</v>
      </c>
      <c r="G1944" s="5" t="s">
        <v>1920</v>
      </c>
    </row>
    <row r="1945" spans="4:7" hidden="1">
      <c r="D1945" s="5" t="s">
        <v>3877</v>
      </c>
      <c r="E1945" s="5" t="s">
        <v>451</v>
      </c>
      <c r="G1945" s="5" t="s">
        <v>1917</v>
      </c>
    </row>
    <row r="1946" spans="4:7" hidden="1">
      <c r="D1946" s="5" t="s">
        <v>3878</v>
      </c>
      <c r="E1946" s="5" t="s">
        <v>1945</v>
      </c>
      <c r="G1946" s="5" t="s">
        <v>1917</v>
      </c>
    </row>
    <row r="1947" spans="4:7" hidden="1">
      <c r="D1947" s="5" t="s">
        <v>3879</v>
      </c>
      <c r="E1947" s="5" t="s">
        <v>168</v>
      </c>
      <c r="G1947" s="5" t="s">
        <v>1920</v>
      </c>
    </row>
    <row r="1948" spans="4:7" hidden="1">
      <c r="D1948" s="5" t="s">
        <v>3880</v>
      </c>
      <c r="E1948" s="5" t="s">
        <v>451</v>
      </c>
      <c r="G1948" s="5" t="s">
        <v>1917</v>
      </c>
    </row>
    <row r="1949" spans="4:7" hidden="1">
      <c r="D1949" s="5" t="s">
        <v>3881</v>
      </c>
      <c r="E1949" s="5" t="s">
        <v>1945</v>
      </c>
      <c r="G1949" s="5" t="s">
        <v>1917</v>
      </c>
    </row>
    <row r="1950" spans="4:7" hidden="1">
      <c r="D1950" s="5" t="s">
        <v>3882</v>
      </c>
      <c r="E1950" s="5" t="s">
        <v>427</v>
      </c>
      <c r="G1950" s="5" t="s">
        <v>1917</v>
      </c>
    </row>
    <row r="1951" spans="4:7" hidden="1">
      <c r="D1951" s="5" t="s">
        <v>3883</v>
      </c>
      <c r="E1951" s="5" t="s">
        <v>1890</v>
      </c>
      <c r="G1951" s="5" t="s">
        <v>1917</v>
      </c>
    </row>
    <row r="1952" spans="4:7" hidden="1">
      <c r="D1952" s="5" t="s">
        <v>3884</v>
      </c>
      <c r="E1952" s="5" t="s">
        <v>427</v>
      </c>
      <c r="G1952" s="5" t="s">
        <v>1926</v>
      </c>
    </row>
    <row r="1953" spans="4:7" hidden="1">
      <c r="D1953" s="5" t="s">
        <v>3885</v>
      </c>
      <c r="E1953" s="5" t="s">
        <v>427</v>
      </c>
      <c r="G1953" s="5" t="s">
        <v>1926</v>
      </c>
    </row>
    <row r="1954" spans="4:7" hidden="1">
      <c r="D1954" s="5" t="s">
        <v>3886</v>
      </c>
      <c r="E1954" s="5" t="s">
        <v>52</v>
      </c>
      <c r="G1954" s="5" t="s">
        <v>1917</v>
      </c>
    </row>
    <row r="1955" spans="4:7" hidden="1">
      <c r="D1955" s="5" t="s">
        <v>3887</v>
      </c>
      <c r="E1955" s="5" t="s">
        <v>427</v>
      </c>
      <c r="G1955" s="5" t="s">
        <v>1926</v>
      </c>
    </row>
    <row r="1956" spans="4:7" hidden="1">
      <c r="D1956" s="5" t="s">
        <v>3888</v>
      </c>
      <c r="E1956" s="5" t="s">
        <v>52</v>
      </c>
      <c r="G1956" s="5" t="s">
        <v>1917</v>
      </c>
    </row>
    <row r="1957" spans="4:7" hidden="1">
      <c r="D1957" s="5" t="s">
        <v>3889</v>
      </c>
      <c r="E1957" s="5" t="s">
        <v>427</v>
      </c>
      <c r="G1957" s="5" t="s">
        <v>1926</v>
      </c>
    </row>
    <row r="1958" spans="4:7" hidden="1">
      <c r="D1958" s="5" t="s">
        <v>3890</v>
      </c>
      <c r="E1958" s="5" t="s">
        <v>427</v>
      </c>
      <c r="G1958" s="5" t="s">
        <v>1917</v>
      </c>
    </row>
    <row r="1959" spans="4:7" hidden="1">
      <c r="D1959" s="5" t="s">
        <v>3891</v>
      </c>
      <c r="E1959" s="5" t="s">
        <v>752</v>
      </c>
      <c r="G1959" s="5" t="s">
        <v>1917</v>
      </c>
    </row>
    <row r="1960" spans="4:7" hidden="1">
      <c r="D1960" s="5" t="s">
        <v>3892</v>
      </c>
      <c r="E1960" s="5" t="s">
        <v>52</v>
      </c>
      <c r="G1960" s="5" t="s">
        <v>1917</v>
      </c>
    </row>
    <row r="1961" spans="4:7" hidden="1">
      <c r="D1961" s="5" t="s">
        <v>3893</v>
      </c>
      <c r="E1961" s="5" t="s">
        <v>1945</v>
      </c>
      <c r="G1961" s="5" t="s">
        <v>1917</v>
      </c>
    </row>
    <row r="1962" spans="4:7" hidden="1">
      <c r="D1962" s="5" t="s">
        <v>3894</v>
      </c>
      <c r="E1962" s="5" t="s">
        <v>1890</v>
      </c>
      <c r="G1962" s="5" t="s">
        <v>1917</v>
      </c>
    </row>
    <row r="1963" spans="4:7" hidden="1">
      <c r="D1963" s="5" t="s">
        <v>3895</v>
      </c>
      <c r="E1963" s="5" t="s">
        <v>52</v>
      </c>
      <c r="G1963" s="5" t="s">
        <v>1917</v>
      </c>
    </row>
    <row r="1964" spans="4:7" hidden="1">
      <c r="D1964" s="5" t="s">
        <v>3896</v>
      </c>
      <c r="E1964" s="5" t="s">
        <v>1894</v>
      </c>
      <c r="G1964" s="5" t="s">
        <v>1917</v>
      </c>
    </row>
    <row r="1965" spans="4:7" hidden="1">
      <c r="D1965" s="5" t="s">
        <v>3897</v>
      </c>
      <c r="E1965" s="5" t="s">
        <v>427</v>
      </c>
      <c r="G1965" s="5" t="s">
        <v>1917</v>
      </c>
    </row>
    <row r="1966" spans="4:7" hidden="1">
      <c r="D1966" s="5" t="s">
        <v>3898</v>
      </c>
      <c r="E1966" s="5" t="s">
        <v>430</v>
      </c>
      <c r="G1966" s="5" t="s">
        <v>1917</v>
      </c>
    </row>
    <row r="1967" spans="4:7" hidden="1">
      <c r="D1967" s="5" t="s">
        <v>3899</v>
      </c>
      <c r="E1967" s="5" t="s">
        <v>1890</v>
      </c>
      <c r="G1967" s="5" t="s">
        <v>1917</v>
      </c>
    </row>
    <row r="1968" spans="4:7" hidden="1">
      <c r="D1968" s="5" t="s">
        <v>3900</v>
      </c>
      <c r="E1968" s="5" t="s">
        <v>427</v>
      </c>
      <c r="G1968" s="5" t="s">
        <v>1917</v>
      </c>
    </row>
    <row r="1969" spans="4:7" hidden="1">
      <c r="D1969" s="5" t="s">
        <v>3901</v>
      </c>
      <c r="E1969" s="5" t="s">
        <v>812</v>
      </c>
      <c r="G1969" s="5" t="s">
        <v>1917</v>
      </c>
    </row>
    <row r="1970" spans="4:7" hidden="1">
      <c r="D1970" s="5" t="s">
        <v>3902</v>
      </c>
      <c r="E1970" s="5" t="s">
        <v>1894</v>
      </c>
      <c r="G1970" s="5" t="s">
        <v>1917</v>
      </c>
    </row>
    <row r="1971" spans="4:7" hidden="1">
      <c r="D1971" s="5" t="s">
        <v>3903</v>
      </c>
      <c r="E1971" s="5" t="s">
        <v>2091</v>
      </c>
      <c r="G1971" s="5" t="s">
        <v>1917</v>
      </c>
    </row>
    <row r="1972" spans="4:7" hidden="1">
      <c r="D1972" s="5" t="s">
        <v>3904</v>
      </c>
      <c r="E1972" s="5" t="s">
        <v>430</v>
      </c>
      <c r="G1972" s="5" t="s">
        <v>3822</v>
      </c>
    </row>
    <row r="1973" spans="4:7" hidden="1">
      <c r="D1973" s="5" t="s">
        <v>3905</v>
      </c>
      <c r="E1973" s="5" t="s">
        <v>812</v>
      </c>
      <c r="G1973" s="5" t="s">
        <v>1917</v>
      </c>
    </row>
    <row r="1974" spans="4:7" hidden="1">
      <c r="D1974" s="5" t="s">
        <v>3906</v>
      </c>
      <c r="E1974" s="5" t="s">
        <v>2091</v>
      </c>
      <c r="G1974" s="5" t="s">
        <v>1917</v>
      </c>
    </row>
    <row r="1975" spans="4:7" hidden="1">
      <c r="D1975" s="5" t="s">
        <v>3907</v>
      </c>
      <c r="E1975" s="5" t="s">
        <v>430</v>
      </c>
      <c r="G1975" s="5" t="s">
        <v>1917</v>
      </c>
    </row>
    <row r="1976" spans="4:7" hidden="1">
      <c r="D1976" s="5" t="s">
        <v>3908</v>
      </c>
      <c r="E1976" s="5" t="s">
        <v>427</v>
      </c>
      <c r="G1976" s="5" t="s">
        <v>1917</v>
      </c>
    </row>
    <row r="1977" spans="4:7" hidden="1">
      <c r="D1977" s="5" t="s">
        <v>3909</v>
      </c>
      <c r="E1977" s="5" t="s">
        <v>3910</v>
      </c>
      <c r="F1977" s="5" t="s">
        <v>3911</v>
      </c>
      <c r="G1977" s="5" t="s">
        <v>1926</v>
      </c>
    </row>
    <row r="1978" spans="4:7" hidden="1">
      <c r="D1978" s="5" t="s">
        <v>3912</v>
      </c>
      <c r="E1978" s="5" t="s">
        <v>430</v>
      </c>
      <c r="G1978" s="5" t="s">
        <v>1926</v>
      </c>
    </row>
    <row r="1979" spans="4:7" hidden="1">
      <c r="D1979" s="5" t="s">
        <v>3913</v>
      </c>
      <c r="E1979" s="5" t="s">
        <v>2091</v>
      </c>
      <c r="G1979" s="5" t="s">
        <v>1917</v>
      </c>
    </row>
    <row r="1980" spans="4:7" hidden="1">
      <c r="D1980" s="5" t="s">
        <v>3914</v>
      </c>
      <c r="E1980" s="5" t="s">
        <v>720</v>
      </c>
      <c r="G1980" s="5" t="s">
        <v>1917</v>
      </c>
    </row>
    <row r="1981" spans="4:7" hidden="1">
      <c r="D1981" s="5" t="s">
        <v>3915</v>
      </c>
      <c r="E1981" s="5" t="s">
        <v>720</v>
      </c>
      <c r="G1981" s="5" t="s">
        <v>1917</v>
      </c>
    </row>
    <row r="1982" spans="4:7" hidden="1">
      <c r="D1982" s="5" t="s">
        <v>3916</v>
      </c>
      <c r="E1982" s="5" t="s">
        <v>3785</v>
      </c>
      <c r="G1982" s="5" t="s">
        <v>1917</v>
      </c>
    </row>
    <row r="1983" spans="4:7" hidden="1">
      <c r="D1983" s="5" t="s">
        <v>3917</v>
      </c>
      <c r="E1983" s="5" t="s">
        <v>2091</v>
      </c>
      <c r="G1983" s="5" t="s">
        <v>1917</v>
      </c>
    </row>
    <row r="1984" spans="4:7" hidden="1">
      <c r="D1984" s="5" t="s">
        <v>3918</v>
      </c>
      <c r="E1984" s="5" t="s">
        <v>171</v>
      </c>
      <c r="G1984" s="5" t="s">
        <v>1920</v>
      </c>
    </row>
    <row r="1985" spans="4:7" hidden="1">
      <c r="D1985" s="5" t="s">
        <v>3919</v>
      </c>
      <c r="E1985" s="5" t="s">
        <v>1916</v>
      </c>
      <c r="G1985" s="5" t="s">
        <v>1917</v>
      </c>
    </row>
    <row r="1986" spans="4:7" hidden="1">
      <c r="D1986" s="5" t="s">
        <v>3920</v>
      </c>
      <c r="E1986" s="5" t="s">
        <v>168</v>
      </c>
      <c r="G1986" s="5" t="s">
        <v>3822</v>
      </c>
    </row>
    <row r="1987" spans="4:7" hidden="1">
      <c r="D1987" s="5" t="s">
        <v>3921</v>
      </c>
      <c r="E1987" s="5" t="s">
        <v>168</v>
      </c>
      <c r="G1987" s="5" t="s">
        <v>3822</v>
      </c>
    </row>
    <row r="1988" spans="4:7" hidden="1">
      <c r="D1988" s="5" t="s">
        <v>3922</v>
      </c>
      <c r="E1988" s="5" t="s">
        <v>168</v>
      </c>
      <c r="G1988" s="5" t="s">
        <v>3822</v>
      </c>
    </row>
    <row r="1989" spans="4:7" hidden="1">
      <c r="D1989" s="5" t="s">
        <v>3923</v>
      </c>
      <c r="E1989" s="5" t="s">
        <v>720</v>
      </c>
      <c r="G1989" s="5" t="s">
        <v>1917</v>
      </c>
    </row>
    <row r="1990" spans="4:7" hidden="1">
      <c r="D1990" s="5" t="s">
        <v>3924</v>
      </c>
      <c r="E1990" s="5" t="s">
        <v>2091</v>
      </c>
      <c r="G1990" s="5" t="s">
        <v>1917</v>
      </c>
    </row>
    <row r="1991" spans="4:7" hidden="1">
      <c r="D1991" s="5" t="s">
        <v>3925</v>
      </c>
      <c r="E1991" s="5" t="s">
        <v>720</v>
      </c>
      <c r="G1991" s="5" t="s">
        <v>1917</v>
      </c>
    </row>
    <row r="1992" spans="4:7" hidden="1">
      <c r="D1992" s="5" t="s">
        <v>3926</v>
      </c>
      <c r="E1992" s="5" t="s">
        <v>720</v>
      </c>
      <c r="G1992" s="5" t="s">
        <v>1917</v>
      </c>
    </row>
    <row r="1993" spans="4:7" hidden="1">
      <c r="D1993" s="5" t="s">
        <v>3927</v>
      </c>
      <c r="E1993" s="5" t="s">
        <v>2091</v>
      </c>
      <c r="G1993" s="5" t="s">
        <v>1917</v>
      </c>
    </row>
    <row r="1994" spans="4:7" hidden="1">
      <c r="D1994" s="5" t="s">
        <v>3928</v>
      </c>
      <c r="E1994" s="5" t="s">
        <v>720</v>
      </c>
      <c r="G1994" s="5" t="s">
        <v>1917</v>
      </c>
    </row>
    <row r="1995" spans="4:7" hidden="1">
      <c r="D1995" s="5" t="s">
        <v>3929</v>
      </c>
      <c r="E1995" s="5" t="s">
        <v>1940</v>
      </c>
      <c r="G1995" s="5" t="s">
        <v>1917</v>
      </c>
    </row>
    <row r="1996" spans="4:7" hidden="1">
      <c r="D1996" s="5" t="s">
        <v>3930</v>
      </c>
      <c r="E1996" s="5" t="s">
        <v>791</v>
      </c>
      <c r="G1996" s="5" t="s">
        <v>1917</v>
      </c>
    </row>
    <row r="1997" spans="4:7" hidden="1">
      <c r="D1997" s="5" t="s">
        <v>3931</v>
      </c>
      <c r="E1997" s="5" t="s">
        <v>2091</v>
      </c>
      <c r="G1997" s="5" t="s">
        <v>1917</v>
      </c>
    </row>
    <row r="1998" spans="4:7" hidden="1">
      <c r="D1998" s="5" t="s">
        <v>3932</v>
      </c>
      <c r="E1998" s="5" t="s">
        <v>720</v>
      </c>
      <c r="G1998" s="5" t="s">
        <v>1926</v>
      </c>
    </row>
    <row r="1999" spans="4:7" hidden="1">
      <c r="D1999" s="5" t="s">
        <v>3933</v>
      </c>
      <c r="E1999" s="5" t="s">
        <v>168</v>
      </c>
      <c r="G1999" s="5" t="s">
        <v>1917</v>
      </c>
    </row>
    <row r="2000" spans="4:7" hidden="1">
      <c r="D2000" s="5" t="s">
        <v>3934</v>
      </c>
      <c r="E2000" s="5" t="s">
        <v>2091</v>
      </c>
      <c r="G2000" s="5" t="s">
        <v>1917</v>
      </c>
    </row>
    <row r="2001" spans="4:7" hidden="1">
      <c r="D2001" s="5" t="s">
        <v>3935</v>
      </c>
      <c r="E2001" s="5" t="s">
        <v>430</v>
      </c>
      <c r="G2001" s="5" t="s">
        <v>1917</v>
      </c>
    </row>
    <row r="2002" spans="4:7" hidden="1">
      <c r="D2002" s="5" t="s">
        <v>3936</v>
      </c>
      <c r="E2002" s="5" t="s">
        <v>720</v>
      </c>
      <c r="G2002" s="5" t="s">
        <v>1917</v>
      </c>
    </row>
    <row r="2003" spans="4:7" hidden="1">
      <c r="D2003" s="5" t="s">
        <v>3937</v>
      </c>
      <c r="E2003" s="5" t="s">
        <v>168</v>
      </c>
      <c r="G2003" s="5" t="s">
        <v>1917</v>
      </c>
    </row>
    <row r="2004" spans="4:7" hidden="1">
      <c r="D2004" s="5" t="s">
        <v>3938</v>
      </c>
      <c r="E2004" s="5" t="s">
        <v>2091</v>
      </c>
      <c r="G2004" s="5" t="s">
        <v>1917</v>
      </c>
    </row>
    <row r="2005" spans="4:7" hidden="1">
      <c r="D2005" s="5" t="s">
        <v>3939</v>
      </c>
      <c r="E2005" s="5" t="s">
        <v>171</v>
      </c>
      <c r="G2005" s="5" t="s">
        <v>1917</v>
      </c>
    </row>
    <row r="2006" spans="4:7" hidden="1">
      <c r="D2006" s="5" t="s">
        <v>3940</v>
      </c>
      <c r="E2006" s="5" t="s">
        <v>52</v>
      </c>
      <c r="G2006" s="5" t="s">
        <v>1917</v>
      </c>
    </row>
    <row r="2007" spans="4:7" hidden="1">
      <c r="D2007" s="5" t="s">
        <v>3941</v>
      </c>
      <c r="E2007" s="5" t="s">
        <v>2824</v>
      </c>
      <c r="G2007" s="5" t="s">
        <v>3807</v>
      </c>
    </row>
    <row r="2008" spans="4:7" hidden="1">
      <c r="D2008" s="5" t="s">
        <v>1876</v>
      </c>
      <c r="E2008" s="5" t="s">
        <v>720</v>
      </c>
      <c r="G2008" s="5" t="s">
        <v>1926</v>
      </c>
    </row>
    <row r="2009" spans="4:7" hidden="1">
      <c r="D2009" s="5" t="s">
        <v>3942</v>
      </c>
      <c r="E2009" s="5" t="s">
        <v>430</v>
      </c>
      <c r="G2009" s="5" t="s">
        <v>1926</v>
      </c>
    </row>
    <row r="2010" spans="4:7" hidden="1">
      <c r="D2010" s="5" t="s">
        <v>1064</v>
      </c>
      <c r="E2010" s="5" t="s">
        <v>720</v>
      </c>
      <c r="G2010" s="5" t="s">
        <v>1917</v>
      </c>
    </row>
    <row r="2011" spans="4:7" hidden="1">
      <c r="D2011" s="5" t="s">
        <v>3943</v>
      </c>
      <c r="E2011" s="5" t="s">
        <v>720</v>
      </c>
      <c r="G2011" s="5" t="s">
        <v>1917</v>
      </c>
    </row>
    <row r="2012" spans="4:7" hidden="1">
      <c r="D2012" s="5" t="s">
        <v>3944</v>
      </c>
      <c r="E2012" s="5" t="s">
        <v>427</v>
      </c>
      <c r="G2012" s="5" t="s">
        <v>1917</v>
      </c>
    </row>
    <row r="2013" spans="4:7" hidden="1">
      <c r="D2013" s="5" t="s">
        <v>3945</v>
      </c>
      <c r="E2013" s="5" t="s">
        <v>309</v>
      </c>
      <c r="G2013" s="5" t="s">
        <v>1917</v>
      </c>
    </row>
    <row r="2014" spans="4:7" hidden="1">
      <c r="D2014" s="5" t="s">
        <v>3946</v>
      </c>
      <c r="E2014" s="5" t="s">
        <v>720</v>
      </c>
      <c r="G2014" s="5" t="s">
        <v>1917</v>
      </c>
    </row>
    <row r="2015" spans="4:7" hidden="1">
      <c r="D2015" s="5" t="s">
        <v>3947</v>
      </c>
      <c r="E2015" s="5" t="s">
        <v>2020</v>
      </c>
      <c r="G2015" s="5" t="s">
        <v>1917</v>
      </c>
    </row>
    <row r="2016" spans="4:7" hidden="1">
      <c r="D2016" s="5" t="s">
        <v>3948</v>
      </c>
      <c r="E2016" s="5" t="s">
        <v>430</v>
      </c>
      <c r="G2016" s="5" t="s">
        <v>1917</v>
      </c>
    </row>
    <row r="2017" spans="4:7" hidden="1">
      <c r="D2017" s="5" t="s">
        <v>3949</v>
      </c>
      <c r="E2017" s="5" t="s">
        <v>720</v>
      </c>
      <c r="G2017" s="5" t="s">
        <v>1917</v>
      </c>
    </row>
    <row r="2018" spans="4:7" hidden="1">
      <c r="D2018" s="5" t="s">
        <v>3950</v>
      </c>
      <c r="E2018" s="5" t="s">
        <v>430</v>
      </c>
      <c r="G2018" s="5" t="s">
        <v>1917</v>
      </c>
    </row>
    <row r="2019" spans="4:7" hidden="1">
      <c r="D2019" s="5" t="s">
        <v>3951</v>
      </c>
      <c r="E2019" s="5" t="s">
        <v>168</v>
      </c>
      <c r="G2019" s="5" t="s">
        <v>1926</v>
      </c>
    </row>
    <row r="2020" spans="4:7" hidden="1">
      <c r="D2020" s="5" t="s">
        <v>3952</v>
      </c>
      <c r="E2020" s="5" t="s">
        <v>168</v>
      </c>
      <c r="G2020" s="5" t="s">
        <v>3822</v>
      </c>
    </row>
    <row r="2021" spans="4:7" hidden="1">
      <c r="D2021" s="5" t="s">
        <v>3953</v>
      </c>
      <c r="E2021" s="5" t="s">
        <v>720</v>
      </c>
      <c r="G2021" s="5" t="s">
        <v>1917</v>
      </c>
    </row>
    <row r="2022" spans="4:7" hidden="1">
      <c r="D2022" s="5" t="s">
        <v>3954</v>
      </c>
      <c r="E2022" s="5" t="s">
        <v>1894</v>
      </c>
      <c r="G2022" s="5" t="s">
        <v>1926</v>
      </c>
    </row>
    <row r="2023" spans="4:7" hidden="1">
      <c r="D2023" s="5" t="s">
        <v>3955</v>
      </c>
      <c r="E2023" s="5" t="s">
        <v>1945</v>
      </c>
      <c r="G2023" s="5" t="s">
        <v>1917</v>
      </c>
    </row>
    <row r="2024" spans="4:7" hidden="1">
      <c r="D2024" s="5" t="s">
        <v>3956</v>
      </c>
      <c r="E2024" s="5" t="s">
        <v>2056</v>
      </c>
      <c r="G2024" s="5" t="s">
        <v>1917</v>
      </c>
    </row>
    <row r="2025" spans="4:7" hidden="1">
      <c r="D2025" s="5" t="s">
        <v>3957</v>
      </c>
      <c r="E2025" s="5" t="s">
        <v>168</v>
      </c>
      <c r="G2025" s="5" t="s">
        <v>3822</v>
      </c>
    </row>
    <row r="2026" spans="4:7" hidden="1">
      <c r="D2026" s="5" t="s">
        <v>3958</v>
      </c>
      <c r="E2026" s="5" t="s">
        <v>2020</v>
      </c>
      <c r="G2026" s="5" t="s">
        <v>1917</v>
      </c>
    </row>
    <row r="2027" spans="4:7" hidden="1">
      <c r="D2027" s="5" t="s">
        <v>3959</v>
      </c>
      <c r="E2027" s="5" t="s">
        <v>2056</v>
      </c>
      <c r="G2027" s="5" t="s">
        <v>1917</v>
      </c>
    </row>
    <row r="2028" spans="4:7" hidden="1">
      <c r="D2028" s="5" t="s">
        <v>3960</v>
      </c>
      <c r="E2028" s="5" t="s">
        <v>309</v>
      </c>
      <c r="G2028" s="5" t="s">
        <v>3822</v>
      </c>
    </row>
    <row r="2029" spans="4:7" hidden="1">
      <c r="D2029" s="5" t="s">
        <v>3961</v>
      </c>
      <c r="E2029" s="5" t="s">
        <v>2056</v>
      </c>
      <c r="G2029" s="5" t="s">
        <v>1917</v>
      </c>
    </row>
    <row r="2030" spans="4:7" hidden="1">
      <c r="D2030" s="5" t="s">
        <v>3962</v>
      </c>
      <c r="E2030" s="5" t="s">
        <v>2020</v>
      </c>
      <c r="G2030" s="5" t="s">
        <v>3822</v>
      </c>
    </row>
    <row r="2031" spans="4:7" hidden="1">
      <c r="D2031" s="5" t="s">
        <v>3963</v>
      </c>
      <c r="E2031" s="5" t="s">
        <v>2056</v>
      </c>
      <c r="G2031" s="5" t="s">
        <v>1917</v>
      </c>
    </row>
    <row r="2032" spans="4:7" hidden="1">
      <c r="D2032" s="5" t="s">
        <v>3964</v>
      </c>
      <c r="E2032" s="5" t="s">
        <v>427</v>
      </c>
      <c r="G2032" s="5" t="s">
        <v>3822</v>
      </c>
    </row>
    <row r="2033" spans="4:7" hidden="1">
      <c r="D2033" s="5" t="s">
        <v>3965</v>
      </c>
      <c r="E2033" s="5" t="s">
        <v>309</v>
      </c>
      <c r="G2033" s="5" t="s">
        <v>1917</v>
      </c>
    </row>
    <row r="2034" spans="4:7" hidden="1">
      <c r="D2034" s="5" t="s">
        <v>3966</v>
      </c>
      <c r="E2034" s="5" t="s">
        <v>1945</v>
      </c>
      <c r="G2034" s="5" t="s">
        <v>1917</v>
      </c>
    </row>
    <row r="2035" spans="4:7" hidden="1">
      <c r="D2035" s="5" t="s">
        <v>3967</v>
      </c>
      <c r="E2035" s="5" t="s">
        <v>52</v>
      </c>
      <c r="G2035" s="5" t="s">
        <v>1917</v>
      </c>
    </row>
    <row r="2036" spans="4:7" hidden="1">
      <c r="D2036" s="5" t="s">
        <v>3968</v>
      </c>
      <c r="E2036" s="5" t="s">
        <v>309</v>
      </c>
      <c r="G2036" s="5" t="s">
        <v>1917</v>
      </c>
    </row>
    <row r="2037" spans="4:7" hidden="1">
      <c r="D2037" s="5" t="s">
        <v>3969</v>
      </c>
      <c r="E2037" s="5" t="s">
        <v>1945</v>
      </c>
      <c r="G2037" s="5" t="s">
        <v>1917</v>
      </c>
    </row>
    <row r="2038" spans="4:7" hidden="1">
      <c r="D2038" s="5" t="s">
        <v>3970</v>
      </c>
      <c r="E2038" s="5" t="s">
        <v>2005</v>
      </c>
      <c r="G2038" s="5" t="s">
        <v>1917</v>
      </c>
    </row>
    <row r="2039" spans="4:7" hidden="1">
      <c r="D2039" s="5" t="s">
        <v>3971</v>
      </c>
      <c r="E2039" s="5" t="s">
        <v>309</v>
      </c>
      <c r="G2039" s="5" t="s">
        <v>1917</v>
      </c>
    </row>
    <row r="2040" spans="4:7" hidden="1">
      <c r="D2040" s="5" t="s">
        <v>3972</v>
      </c>
      <c r="E2040" s="5" t="s">
        <v>427</v>
      </c>
      <c r="G2040" s="5" t="s">
        <v>1917</v>
      </c>
    </row>
    <row r="2041" spans="4:7" hidden="1">
      <c r="D2041" s="5" t="s">
        <v>3973</v>
      </c>
      <c r="E2041" s="5" t="s">
        <v>430</v>
      </c>
      <c r="G2041" s="5" t="s">
        <v>1917</v>
      </c>
    </row>
    <row r="2042" spans="4:7" hidden="1">
      <c r="D2042" s="5" t="s">
        <v>3974</v>
      </c>
      <c r="E2042" s="5" t="s">
        <v>2056</v>
      </c>
      <c r="G2042" s="5" t="s">
        <v>1917</v>
      </c>
    </row>
    <row r="2043" spans="4:7" hidden="1">
      <c r="D2043" s="5" t="s">
        <v>3975</v>
      </c>
      <c r="E2043" s="5" t="s">
        <v>2056</v>
      </c>
      <c r="G2043" s="5" t="s">
        <v>1917</v>
      </c>
    </row>
    <row r="2044" spans="4:7" hidden="1">
      <c r="D2044" s="5" t="s">
        <v>3976</v>
      </c>
      <c r="E2044" s="5" t="s">
        <v>3656</v>
      </c>
      <c r="G2044" s="5" t="s">
        <v>1917</v>
      </c>
    </row>
    <row r="2045" spans="4:7" hidden="1">
      <c r="D2045" s="5" t="s">
        <v>3977</v>
      </c>
      <c r="E2045" s="5" t="s">
        <v>430</v>
      </c>
      <c r="G2045" s="5" t="s">
        <v>1917</v>
      </c>
    </row>
    <row r="2046" spans="4:7" hidden="1">
      <c r="D2046" s="5" t="s">
        <v>1230</v>
      </c>
      <c r="E2046" s="5" t="s">
        <v>2792</v>
      </c>
      <c r="G2046" s="5" t="s">
        <v>1926</v>
      </c>
    </row>
    <row r="2047" spans="4:7" hidden="1">
      <c r="D2047" s="5" t="s">
        <v>3978</v>
      </c>
      <c r="E2047" s="5" t="s">
        <v>3979</v>
      </c>
      <c r="G2047" s="5" t="s">
        <v>1926</v>
      </c>
    </row>
    <row r="2048" spans="4:7" hidden="1">
      <c r="D2048" s="5" t="s">
        <v>3980</v>
      </c>
      <c r="E2048" s="5" t="s">
        <v>1890</v>
      </c>
      <c r="G2048" s="5" t="s">
        <v>1917</v>
      </c>
    </row>
    <row r="2049" spans="4:7" hidden="1">
      <c r="D2049" s="5" t="s">
        <v>3981</v>
      </c>
      <c r="E2049" s="5" t="s">
        <v>427</v>
      </c>
      <c r="G2049" s="5" t="s">
        <v>1926</v>
      </c>
    </row>
    <row r="2050" spans="4:7" hidden="1">
      <c r="D2050" s="5" t="s">
        <v>3982</v>
      </c>
      <c r="E2050" s="5" t="s">
        <v>427</v>
      </c>
      <c r="G2050" s="5" t="s">
        <v>1917</v>
      </c>
    </row>
    <row r="2051" spans="4:7" hidden="1">
      <c r="D2051" s="5" t="s">
        <v>3983</v>
      </c>
      <c r="E2051" s="5" t="s">
        <v>52</v>
      </c>
      <c r="G2051" s="5" t="s">
        <v>1917</v>
      </c>
    </row>
    <row r="2052" spans="4:7" hidden="1">
      <c r="D2052" s="5" t="s">
        <v>3984</v>
      </c>
      <c r="E2052" s="5" t="s">
        <v>1890</v>
      </c>
      <c r="G2052" s="5" t="s">
        <v>1917</v>
      </c>
    </row>
    <row r="2053" spans="4:7" hidden="1">
      <c r="D2053" s="5" t="s">
        <v>3985</v>
      </c>
      <c r="E2053" s="5" t="s">
        <v>2254</v>
      </c>
      <c r="G2053" s="5" t="s">
        <v>1917</v>
      </c>
    </row>
    <row r="2054" spans="4:7" hidden="1">
      <c r="D2054" s="5" t="s">
        <v>3986</v>
      </c>
      <c r="E2054" s="5" t="s">
        <v>430</v>
      </c>
      <c r="G2054" s="5" t="s">
        <v>1917</v>
      </c>
    </row>
    <row r="2055" spans="4:7" hidden="1">
      <c r="D2055" s="5" t="s">
        <v>3987</v>
      </c>
      <c r="E2055" s="5" t="s">
        <v>2254</v>
      </c>
      <c r="G2055" s="5" t="s">
        <v>1917</v>
      </c>
    </row>
    <row r="2056" spans="4:7" hidden="1">
      <c r="D2056" s="5" t="s">
        <v>3988</v>
      </c>
      <c r="E2056" s="5" t="s">
        <v>1890</v>
      </c>
      <c r="G2056" s="5" t="s">
        <v>1917</v>
      </c>
    </row>
    <row r="2057" spans="4:7" hidden="1">
      <c r="D2057" s="5" t="s">
        <v>3989</v>
      </c>
      <c r="E2057" s="5" t="s">
        <v>430</v>
      </c>
      <c r="G2057" s="5" t="s">
        <v>1917</v>
      </c>
    </row>
    <row r="2058" spans="4:7" hidden="1">
      <c r="D2058" s="5" t="s">
        <v>3990</v>
      </c>
      <c r="E2058" s="5" t="s">
        <v>309</v>
      </c>
      <c r="G2058" s="5" t="s">
        <v>3822</v>
      </c>
    </row>
    <row r="2059" spans="4:7" hidden="1">
      <c r="D2059" s="5" t="s">
        <v>3991</v>
      </c>
      <c r="E2059" s="5" t="s">
        <v>168</v>
      </c>
      <c r="G2059" s="5" t="s">
        <v>3822</v>
      </c>
    </row>
    <row r="2060" spans="4:7" hidden="1">
      <c r="D2060" s="5" t="s">
        <v>3992</v>
      </c>
      <c r="E2060" s="5" t="s">
        <v>1890</v>
      </c>
      <c r="G2060" s="5" t="s">
        <v>1917</v>
      </c>
    </row>
    <row r="2061" spans="4:7" hidden="1">
      <c r="D2061" s="5" t="s">
        <v>3993</v>
      </c>
      <c r="E2061" s="5" t="s">
        <v>168</v>
      </c>
      <c r="G2061" s="5" t="s">
        <v>3822</v>
      </c>
    </row>
    <row r="2062" spans="4:7" hidden="1">
      <c r="D2062" s="5" t="s">
        <v>3994</v>
      </c>
      <c r="E2062" s="5" t="s">
        <v>3995</v>
      </c>
      <c r="G2062" s="5" t="s">
        <v>3807</v>
      </c>
    </row>
    <row r="2063" spans="4:7" hidden="1">
      <c r="D2063" s="5" t="s">
        <v>3996</v>
      </c>
      <c r="E2063" s="5" t="s">
        <v>1890</v>
      </c>
      <c r="G2063" s="5" t="s">
        <v>1917</v>
      </c>
    </row>
    <row r="2064" spans="4:7" hidden="1">
      <c r="D2064" s="5" t="s">
        <v>3997</v>
      </c>
      <c r="E2064" s="5" t="s">
        <v>791</v>
      </c>
      <c r="G2064" s="5" t="s">
        <v>1917</v>
      </c>
    </row>
    <row r="2065" spans="4:7" hidden="1">
      <c r="D2065" s="5" t="s">
        <v>3998</v>
      </c>
      <c r="E2065" s="5" t="s">
        <v>1953</v>
      </c>
      <c r="G2065" s="5" t="s">
        <v>1917</v>
      </c>
    </row>
    <row r="2066" spans="4:7" hidden="1">
      <c r="D2066" s="5" t="s">
        <v>3999</v>
      </c>
      <c r="E2066" s="5" t="s">
        <v>1890</v>
      </c>
      <c r="G2066" s="5" t="s">
        <v>1917</v>
      </c>
    </row>
    <row r="2067" spans="4:7" hidden="1">
      <c r="D2067" s="5" t="s">
        <v>4000</v>
      </c>
      <c r="E2067" s="5" t="s">
        <v>1953</v>
      </c>
      <c r="G2067" s="5" t="s">
        <v>1917</v>
      </c>
    </row>
    <row r="2068" spans="4:7" hidden="1">
      <c r="D2068" s="5" t="s">
        <v>4001</v>
      </c>
      <c r="E2068" s="5" t="s">
        <v>3854</v>
      </c>
      <c r="G2068" s="5" t="s">
        <v>1917</v>
      </c>
    </row>
    <row r="2069" spans="4:7" hidden="1">
      <c r="D2069" s="5" t="s">
        <v>4002</v>
      </c>
      <c r="E2069" s="5" t="s">
        <v>427</v>
      </c>
      <c r="G2069" s="5" t="s">
        <v>1926</v>
      </c>
    </row>
    <row r="2070" spans="4:7" hidden="1">
      <c r="D2070" s="5" t="s">
        <v>4003</v>
      </c>
      <c r="E2070" s="5" t="s">
        <v>427</v>
      </c>
      <c r="G2070" s="5" t="s">
        <v>1926</v>
      </c>
    </row>
    <row r="2071" spans="4:7" hidden="1">
      <c r="D2071" s="5" t="s">
        <v>4004</v>
      </c>
      <c r="E2071" s="5" t="s">
        <v>309</v>
      </c>
      <c r="G2071" s="5" t="s">
        <v>3822</v>
      </c>
    </row>
    <row r="2072" spans="4:7" hidden="1">
      <c r="D2072" s="5" t="s">
        <v>4005</v>
      </c>
      <c r="E2072" s="5" t="s">
        <v>2020</v>
      </c>
      <c r="G2072" s="5" t="s">
        <v>3822</v>
      </c>
    </row>
    <row r="2073" spans="4:7" hidden="1">
      <c r="D2073" s="5" t="s">
        <v>4006</v>
      </c>
      <c r="E2073" s="5" t="s">
        <v>427</v>
      </c>
      <c r="G2073" s="5" t="s">
        <v>1917</v>
      </c>
    </row>
    <row r="2074" spans="4:7" hidden="1">
      <c r="D2074" s="5" t="s">
        <v>4007</v>
      </c>
      <c r="E2074" s="5" t="s">
        <v>1945</v>
      </c>
      <c r="G2074" s="5" t="s">
        <v>1917</v>
      </c>
    </row>
    <row r="2075" spans="4:7" hidden="1">
      <c r="D2075" s="5" t="s">
        <v>4008</v>
      </c>
      <c r="E2075" s="5" t="s">
        <v>309</v>
      </c>
      <c r="G2075" s="5" t="s">
        <v>3822</v>
      </c>
    </row>
    <row r="2076" spans="4:7" hidden="1">
      <c r="D2076" s="5" t="s">
        <v>4009</v>
      </c>
      <c r="E2076" s="5" t="s">
        <v>1940</v>
      </c>
      <c r="G2076" s="5" t="s">
        <v>1917</v>
      </c>
    </row>
    <row r="2077" spans="4:7" hidden="1">
      <c r="D2077" s="5" t="s">
        <v>4010</v>
      </c>
      <c r="E2077" s="5" t="s">
        <v>427</v>
      </c>
      <c r="G2077" s="5" t="s">
        <v>1917</v>
      </c>
    </row>
    <row r="2078" spans="4:7" hidden="1">
      <c r="D2078" s="5" t="s">
        <v>4011</v>
      </c>
      <c r="E2078" s="5" t="s">
        <v>720</v>
      </c>
      <c r="G2078" s="5" t="s">
        <v>1917</v>
      </c>
    </row>
    <row r="2079" spans="4:7" hidden="1">
      <c r="D2079" s="5" t="s">
        <v>4012</v>
      </c>
      <c r="E2079" s="5" t="s">
        <v>427</v>
      </c>
      <c r="G2079" s="5" t="s">
        <v>1917</v>
      </c>
    </row>
    <row r="2080" spans="4:7" hidden="1">
      <c r="D2080" s="5" t="s">
        <v>4013</v>
      </c>
      <c r="E2080" s="5" t="s">
        <v>720</v>
      </c>
      <c r="G2080" s="5" t="s">
        <v>1917</v>
      </c>
    </row>
    <row r="2081" spans="4:7" hidden="1">
      <c r="D2081" s="5" t="s">
        <v>4014</v>
      </c>
      <c r="E2081" s="5" t="s">
        <v>1890</v>
      </c>
      <c r="G2081" s="5" t="s">
        <v>3822</v>
      </c>
    </row>
    <row r="2082" spans="4:7" hidden="1">
      <c r="D2082" s="5" t="s">
        <v>4015</v>
      </c>
      <c r="E2082" s="5" t="s">
        <v>1890</v>
      </c>
      <c r="G2082" s="5" t="s">
        <v>3822</v>
      </c>
    </row>
    <row r="2083" spans="4:7" hidden="1">
      <c r="D2083" s="5" t="s">
        <v>4016</v>
      </c>
      <c r="E2083" s="5" t="s">
        <v>3854</v>
      </c>
      <c r="G2083" s="5" t="s">
        <v>1917</v>
      </c>
    </row>
    <row r="2084" spans="4:7" hidden="1">
      <c r="D2084" s="5" t="s">
        <v>4017</v>
      </c>
      <c r="E2084" s="5" t="s">
        <v>168</v>
      </c>
      <c r="G2084" s="5" t="s">
        <v>3822</v>
      </c>
    </row>
    <row r="2085" spans="4:7" hidden="1">
      <c r="D2085" s="5" t="s">
        <v>4018</v>
      </c>
      <c r="E2085" s="5" t="s">
        <v>720</v>
      </c>
      <c r="G2085" s="5" t="s">
        <v>1917</v>
      </c>
    </row>
    <row r="2086" spans="4:7" hidden="1">
      <c r="D2086" s="5" t="s">
        <v>4019</v>
      </c>
      <c r="E2086" s="5" t="s">
        <v>52</v>
      </c>
      <c r="G2086" s="5" t="s">
        <v>1926</v>
      </c>
    </row>
    <row r="2087" spans="4:7" hidden="1">
      <c r="D2087" s="5" t="s">
        <v>4020</v>
      </c>
      <c r="E2087" s="5" t="s">
        <v>1890</v>
      </c>
      <c r="G2087" s="5" t="s">
        <v>3822</v>
      </c>
    </row>
    <row r="2088" spans="4:7" hidden="1">
      <c r="D2088" s="5" t="s">
        <v>4021</v>
      </c>
      <c r="E2088" s="5" t="s">
        <v>720</v>
      </c>
      <c r="G2088" s="5" t="s">
        <v>1917</v>
      </c>
    </row>
    <row r="2089" spans="4:7" hidden="1">
      <c r="D2089" s="5" t="s">
        <v>4022</v>
      </c>
      <c r="E2089" s="5" t="s">
        <v>427</v>
      </c>
      <c r="G2089" s="5" t="s">
        <v>1917</v>
      </c>
    </row>
    <row r="2090" spans="4:7" hidden="1">
      <c r="D2090" s="5" t="s">
        <v>4023</v>
      </c>
      <c r="E2090" s="5" t="s">
        <v>720</v>
      </c>
      <c r="G2090" s="5" t="s">
        <v>1917</v>
      </c>
    </row>
    <row r="2091" spans="4:7" hidden="1">
      <c r="D2091" s="5" t="s">
        <v>4024</v>
      </c>
      <c r="E2091" s="5" t="s">
        <v>3656</v>
      </c>
      <c r="G2091" s="5" t="s">
        <v>1917</v>
      </c>
    </row>
    <row r="2092" spans="4:7" hidden="1">
      <c r="D2092" s="5" t="s">
        <v>4025</v>
      </c>
      <c r="E2092" s="5" t="s">
        <v>720</v>
      </c>
      <c r="G2092" s="5" t="s">
        <v>1917</v>
      </c>
    </row>
    <row r="2093" spans="4:7" hidden="1">
      <c r="D2093" s="5" t="s">
        <v>4026</v>
      </c>
      <c r="E2093" s="5" t="s">
        <v>427</v>
      </c>
      <c r="G2093" s="5" t="s">
        <v>1926</v>
      </c>
    </row>
    <row r="2094" spans="4:7" hidden="1">
      <c r="D2094" s="5" t="s">
        <v>4027</v>
      </c>
      <c r="E2094" s="5" t="s">
        <v>3656</v>
      </c>
      <c r="G2094" s="5" t="s">
        <v>1917</v>
      </c>
    </row>
    <row r="2095" spans="4:7" hidden="1">
      <c r="D2095" s="5" t="s">
        <v>4028</v>
      </c>
      <c r="E2095" s="5" t="s">
        <v>720</v>
      </c>
      <c r="G2095" s="5" t="s">
        <v>1917</v>
      </c>
    </row>
    <row r="2096" spans="4:7" hidden="1">
      <c r="D2096" s="5" t="s">
        <v>4029</v>
      </c>
      <c r="E2096" s="5" t="s">
        <v>812</v>
      </c>
      <c r="G2096" s="5" t="s">
        <v>1917</v>
      </c>
    </row>
    <row r="2097" spans="4:7" hidden="1">
      <c r="D2097" s="5" t="s">
        <v>4030</v>
      </c>
      <c r="E2097" s="5" t="s">
        <v>3656</v>
      </c>
      <c r="G2097" s="5" t="s">
        <v>1917</v>
      </c>
    </row>
    <row r="2098" spans="4:7" hidden="1">
      <c r="D2098" s="5" t="s">
        <v>4031</v>
      </c>
      <c r="E2098" s="5" t="s">
        <v>720</v>
      </c>
      <c r="G2098" s="5" t="s">
        <v>1917</v>
      </c>
    </row>
    <row r="2099" spans="4:7" hidden="1">
      <c r="D2099" s="5" t="s">
        <v>4032</v>
      </c>
      <c r="E2099" s="5" t="s">
        <v>812</v>
      </c>
      <c r="G2099" s="5" t="s">
        <v>1917</v>
      </c>
    </row>
    <row r="2100" spans="4:7" hidden="1">
      <c r="D2100" s="5" t="s">
        <v>4033</v>
      </c>
      <c r="E2100" s="5" t="s">
        <v>3656</v>
      </c>
      <c r="G2100" s="5" t="s">
        <v>1917</v>
      </c>
    </row>
    <row r="2101" spans="4:7" hidden="1">
      <c r="D2101" s="5" t="s">
        <v>4034</v>
      </c>
      <c r="E2101" s="5" t="s">
        <v>720</v>
      </c>
      <c r="G2101" s="5" t="s">
        <v>1917</v>
      </c>
    </row>
    <row r="2102" spans="4:7" hidden="1">
      <c r="D2102" s="5" t="s">
        <v>4035</v>
      </c>
      <c r="E2102" s="5" t="s">
        <v>4036</v>
      </c>
      <c r="F2102" s="5" t="s">
        <v>4037</v>
      </c>
      <c r="G2102" s="5" t="s">
        <v>3807</v>
      </c>
    </row>
    <row r="2103" spans="4:7" hidden="1">
      <c r="D2103" s="5" t="s">
        <v>4038</v>
      </c>
      <c r="E2103" s="5" t="s">
        <v>812</v>
      </c>
      <c r="G2103" s="5" t="s">
        <v>1926</v>
      </c>
    </row>
    <row r="2104" spans="4:7" hidden="1">
      <c r="D2104" s="5" t="s">
        <v>4039</v>
      </c>
      <c r="E2104" s="5" t="s">
        <v>3656</v>
      </c>
      <c r="G2104" s="5" t="s">
        <v>1917</v>
      </c>
    </row>
    <row r="2105" spans="4:7" hidden="1">
      <c r="D2105" s="5" t="s">
        <v>4040</v>
      </c>
      <c r="E2105" s="5" t="s">
        <v>812</v>
      </c>
      <c r="G2105" s="5" t="s">
        <v>1917</v>
      </c>
    </row>
    <row r="2106" spans="4:7" hidden="1">
      <c r="D2106" s="5" t="s">
        <v>4041</v>
      </c>
      <c r="E2106" s="5" t="s">
        <v>2536</v>
      </c>
      <c r="G2106" s="5" t="s">
        <v>1926</v>
      </c>
    </row>
    <row r="2107" spans="4:7" hidden="1">
      <c r="D2107" s="5" t="s">
        <v>4042</v>
      </c>
      <c r="E2107" s="5" t="s">
        <v>430</v>
      </c>
      <c r="G2107" s="5" t="s">
        <v>1917</v>
      </c>
    </row>
    <row r="2108" spans="4:7" hidden="1">
      <c r="D2108" s="5" t="s">
        <v>4043</v>
      </c>
      <c r="E2108" s="5" t="s">
        <v>812</v>
      </c>
      <c r="G2108" s="5" t="s">
        <v>1917</v>
      </c>
    </row>
    <row r="2109" spans="4:7" hidden="1">
      <c r="D2109" s="5" t="s">
        <v>4044</v>
      </c>
      <c r="E2109" s="5" t="s">
        <v>2536</v>
      </c>
      <c r="G2109" s="5" t="s">
        <v>1926</v>
      </c>
    </row>
    <row r="2110" spans="4:7" hidden="1">
      <c r="D2110" s="5" t="s">
        <v>4045</v>
      </c>
      <c r="E2110" s="5" t="s">
        <v>451</v>
      </c>
      <c r="G2110" s="5" t="s">
        <v>1917</v>
      </c>
    </row>
    <row r="2111" spans="4:7" hidden="1">
      <c r="D2111" s="5" t="s">
        <v>4046</v>
      </c>
      <c r="E2111" s="5" t="s">
        <v>1945</v>
      </c>
      <c r="G2111" s="5" t="s">
        <v>1917</v>
      </c>
    </row>
    <row r="2112" spans="4:7" hidden="1">
      <c r="D2112" s="5" t="s">
        <v>693</v>
      </c>
      <c r="E2112" s="5" t="s">
        <v>2056</v>
      </c>
      <c r="G2112" s="5" t="s">
        <v>1926</v>
      </c>
    </row>
    <row r="2113" spans="4:7" hidden="1">
      <c r="D2113" s="5" t="s">
        <v>4047</v>
      </c>
      <c r="E2113" s="5" t="s">
        <v>427</v>
      </c>
      <c r="G2113" s="5" t="s">
        <v>1926</v>
      </c>
    </row>
    <row r="2114" spans="4:7" hidden="1">
      <c r="D2114" s="5" t="s">
        <v>4048</v>
      </c>
      <c r="E2114" s="5" t="s">
        <v>2056</v>
      </c>
      <c r="G2114" s="5" t="s">
        <v>1917</v>
      </c>
    </row>
    <row r="2115" spans="4:7" hidden="1">
      <c r="D2115" s="5" t="s">
        <v>4049</v>
      </c>
      <c r="E2115" s="5" t="s">
        <v>1983</v>
      </c>
      <c r="G2115" s="5" t="s">
        <v>3822</v>
      </c>
    </row>
    <row r="2116" spans="4:7" hidden="1">
      <c r="D2116" s="5" t="s">
        <v>4050</v>
      </c>
      <c r="E2116" s="5" t="s">
        <v>427</v>
      </c>
      <c r="G2116" s="5" t="s">
        <v>1926</v>
      </c>
    </row>
    <row r="2117" spans="4:7" hidden="1">
      <c r="D2117" s="5" t="s">
        <v>4051</v>
      </c>
      <c r="E2117" s="5" t="s">
        <v>309</v>
      </c>
      <c r="G2117" s="5" t="s">
        <v>1917</v>
      </c>
    </row>
    <row r="2118" spans="4:7" hidden="1">
      <c r="D2118" s="5" t="s">
        <v>4052</v>
      </c>
      <c r="E2118" s="5" t="s">
        <v>2056</v>
      </c>
      <c r="G2118" s="5" t="s">
        <v>1917</v>
      </c>
    </row>
    <row r="2119" spans="4:7" hidden="1">
      <c r="D2119" s="5" t="s">
        <v>4053</v>
      </c>
      <c r="E2119" s="5" t="s">
        <v>427</v>
      </c>
      <c r="G2119" s="5" t="s">
        <v>3822</v>
      </c>
    </row>
    <row r="2120" spans="4:7" hidden="1">
      <c r="D2120" s="5" t="s">
        <v>4054</v>
      </c>
      <c r="E2120" s="5" t="s">
        <v>2056</v>
      </c>
      <c r="G2120" s="5" t="s">
        <v>1917</v>
      </c>
    </row>
    <row r="2121" spans="4:7" hidden="1">
      <c r="D2121" s="5" t="s">
        <v>4055</v>
      </c>
      <c r="E2121" s="5" t="s">
        <v>1953</v>
      </c>
      <c r="G2121" s="5" t="s">
        <v>1917</v>
      </c>
    </row>
    <row r="2122" spans="4:7" hidden="1">
      <c r="D2122" s="5" t="s">
        <v>1009</v>
      </c>
      <c r="E2122" s="5" t="s">
        <v>427</v>
      </c>
      <c r="G2122" s="5" t="s">
        <v>3822</v>
      </c>
    </row>
    <row r="2123" spans="4:7" hidden="1">
      <c r="D2123" s="5" t="s">
        <v>4056</v>
      </c>
      <c r="E2123" s="5" t="s">
        <v>2091</v>
      </c>
      <c r="G2123" s="5" t="s">
        <v>1917</v>
      </c>
    </row>
    <row r="2124" spans="4:7" hidden="1">
      <c r="D2124" s="5" t="s">
        <v>4057</v>
      </c>
      <c r="E2124" s="5" t="s">
        <v>3705</v>
      </c>
      <c r="G2124" s="5" t="s">
        <v>1926</v>
      </c>
    </row>
    <row r="2125" spans="4:7" hidden="1">
      <c r="D2125" s="5" t="s">
        <v>4058</v>
      </c>
      <c r="E2125" s="5" t="s">
        <v>2056</v>
      </c>
      <c r="G2125" s="5" t="s">
        <v>1917</v>
      </c>
    </row>
    <row r="2126" spans="4:7" hidden="1">
      <c r="D2126" s="5" t="s">
        <v>4059</v>
      </c>
      <c r="E2126" s="5" t="s">
        <v>309</v>
      </c>
      <c r="G2126" s="5" t="s">
        <v>3822</v>
      </c>
    </row>
    <row r="2127" spans="4:7" hidden="1">
      <c r="D2127" s="5" t="s">
        <v>4060</v>
      </c>
      <c r="E2127" s="5" t="s">
        <v>309</v>
      </c>
      <c r="G2127" s="5" t="s">
        <v>3822</v>
      </c>
    </row>
    <row r="2128" spans="4:7" hidden="1">
      <c r="D2128" s="5" t="s">
        <v>4061</v>
      </c>
      <c r="E2128" s="5" t="s">
        <v>2056</v>
      </c>
      <c r="G2128" s="5" t="s">
        <v>1917</v>
      </c>
    </row>
    <row r="2129" spans="4:7" hidden="1">
      <c r="D2129" s="5" t="s">
        <v>4062</v>
      </c>
      <c r="E2129" s="5" t="s">
        <v>309</v>
      </c>
      <c r="G2129" s="5" t="s">
        <v>3822</v>
      </c>
    </row>
    <row r="2130" spans="4:7" hidden="1">
      <c r="D2130" s="5" t="s">
        <v>4063</v>
      </c>
      <c r="E2130" s="5" t="s">
        <v>168</v>
      </c>
      <c r="G2130" s="5" t="s">
        <v>1917</v>
      </c>
    </row>
    <row r="2131" spans="4:7" hidden="1">
      <c r="D2131" s="5" t="s">
        <v>4064</v>
      </c>
      <c r="E2131" s="5" t="s">
        <v>309</v>
      </c>
      <c r="G2131" s="5" t="s">
        <v>3822</v>
      </c>
    </row>
    <row r="2132" spans="4:7" hidden="1">
      <c r="D2132" s="5" t="s">
        <v>4065</v>
      </c>
      <c r="E2132" s="5" t="s">
        <v>2056</v>
      </c>
      <c r="G2132" s="5" t="s">
        <v>1917</v>
      </c>
    </row>
    <row r="2133" spans="4:7" hidden="1">
      <c r="D2133" s="5" t="s">
        <v>1048</v>
      </c>
      <c r="E2133" s="5" t="s">
        <v>451</v>
      </c>
      <c r="G2133" s="5" t="s">
        <v>3822</v>
      </c>
    </row>
    <row r="2134" spans="4:7" hidden="1">
      <c r="D2134" s="5" t="s">
        <v>4066</v>
      </c>
      <c r="E2134" s="5" t="s">
        <v>168</v>
      </c>
      <c r="G2134" s="5" t="s">
        <v>1917</v>
      </c>
    </row>
    <row r="2135" spans="4:7" hidden="1">
      <c r="D2135" s="5" t="s">
        <v>4067</v>
      </c>
      <c r="E2135" s="5" t="s">
        <v>427</v>
      </c>
      <c r="G2135" s="5" t="s">
        <v>1917</v>
      </c>
    </row>
    <row r="2136" spans="4:7" hidden="1">
      <c r="D2136" s="5" t="s">
        <v>4068</v>
      </c>
      <c r="E2136" s="5" t="s">
        <v>3979</v>
      </c>
      <c r="G2136" s="5" t="s">
        <v>1920</v>
      </c>
    </row>
    <row r="2137" spans="4:7" hidden="1">
      <c r="D2137" s="5" t="s">
        <v>4069</v>
      </c>
      <c r="E2137" s="5" t="s">
        <v>2056</v>
      </c>
      <c r="G2137" s="5" t="s">
        <v>1917</v>
      </c>
    </row>
    <row r="2138" spans="4:7" hidden="1">
      <c r="D2138" s="5" t="s">
        <v>4070</v>
      </c>
      <c r="E2138" s="5" t="s">
        <v>1953</v>
      </c>
      <c r="G2138" s="5" t="s">
        <v>1917</v>
      </c>
    </row>
    <row r="2139" spans="4:7" hidden="1">
      <c r="D2139" s="5" t="s">
        <v>4071</v>
      </c>
      <c r="E2139" s="5" t="s">
        <v>168</v>
      </c>
      <c r="G2139" s="5" t="s">
        <v>1917</v>
      </c>
    </row>
    <row r="2140" spans="4:7" hidden="1">
      <c r="D2140" s="5" t="s">
        <v>4072</v>
      </c>
      <c r="E2140" s="5" t="s">
        <v>427</v>
      </c>
      <c r="G2140" s="5" t="s">
        <v>1917</v>
      </c>
    </row>
    <row r="2141" spans="4:7" hidden="1">
      <c r="D2141" s="5" t="s">
        <v>4073</v>
      </c>
      <c r="E2141" s="5" t="s">
        <v>309</v>
      </c>
      <c r="G2141" s="5" t="s">
        <v>3822</v>
      </c>
    </row>
    <row r="2142" spans="4:7" hidden="1">
      <c r="D2142" s="5" t="s">
        <v>4074</v>
      </c>
      <c r="E2142" s="5" t="s">
        <v>3661</v>
      </c>
      <c r="G2142" s="5" t="s">
        <v>1926</v>
      </c>
    </row>
    <row r="2143" spans="4:7" hidden="1">
      <c r="D2143" s="5" t="s">
        <v>4075</v>
      </c>
      <c r="E2143" s="5" t="s">
        <v>427</v>
      </c>
      <c r="G2143" s="5" t="s">
        <v>1917</v>
      </c>
    </row>
    <row r="2144" spans="4:7" hidden="1">
      <c r="D2144" s="5" t="s">
        <v>4076</v>
      </c>
      <c r="E2144" s="5" t="s">
        <v>427</v>
      </c>
      <c r="G2144" s="5" t="s">
        <v>1917</v>
      </c>
    </row>
    <row r="2145" spans="4:7" hidden="1">
      <c r="D2145" s="5" t="s">
        <v>4077</v>
      </c>
      <c r="E2145" s="5" t="s">
        <v>427</v>
      </c>
      <c r="G2145" s="5" t="s">
        <v>1917</v>
      </c>
    </row>
    <row r="2146" spans="4:7" hidden="1">
      <c r="D2146" s="5" t="s">
        <v>951</v>
      </c>
      <c r="E2146" s="5" t="s">
        <v>1945</v>
      </c>
      <c r="G2146" s="5" t="s">
        <v>1917</v>
      </c>
    </row>
    <row r="2147" spans="4:7" hidden="1">
      <c r="D2147" s="5" t="s">
        <v>4078</v>
      </c>
      <c r="E2147" s="5" t="s">
        <v>1945</v>
      </c>
      <c r="G2147" s="5" t="s">
        <v>1926</v>
      </c>
    </row>
    <row r="2148" spans="4:7" hidden="1">
      <c r="D2148" s="5" t="s">
        <v>868</v>
      </c>
      <c r="E2148" s="5" t="s">
        <v>430</v>
      </c>
      <c r="G2148" s="5" t="s">
        <v>1926</v>
      </c>
    </row>
    <row r="2149" spans="4:7" hidden="1">
      <c r="D2149" s="5" t="s">
        <v>4079</v>
      </c>
      <c r="E2149" s="5" t="s">
        <v>309</v>
      </c>
      <c r="G2149" s="5" t="s">
        <v>1917</v>
      </c>
    </row>
    <row r="2150" spans="4:7" hidden="1">
      <c r="D2150" s="5" t="s">
        <v>4080</v>
      </c>
      <c r="E2150" s="5" t="s">
        <v>2824</v>
      </c>
      <c r="G2150" s="5" t="s">
        <v>2364</v>
      </c>
    </row>
    <row r="2151" spans="4:7" hidden="1">
      <c r="D2151" s="5" t="s">
        <v>4081</v>
      </c>
      <c r="E2151" s="5" t="s">
        <v>430</v>
      </c>
      <c r="G2151" s="5" t="s">
        <v>1926</v>
      </c>
    </row>
    <row r="2152" spans="4:7" hidden="1">
      <c r="D2152" s="5" t="s">
        <v>4082</v>
      </c>
      <c r="E2152" s="5" t="s">
        <v>430</v>
      </c>
      <c r="G2152" s="5" t="s">
        <v>1917</v>
      </c>
    </row>
    <row r="2153" spans="4:7" hidden="1">
      <c r="D2153" s="5" t="s">
        <v>4083</v>
      </c>
      <c r="E2153" s="5" t="s">
        <v>430</v>
      </c>
      <c r="G2153" s="5" t="s">
        <v>1917</v>
      </c>
    </row>
    <row r="2154" spans="4:7" hidden="1">
      <c r="D2154" s="5" t="s">
        <v>4084</v>
      </c>
      <c r="E2154" s="5" t="s">
        <v>430</v>
      </c>
      <c r="G2154" s="5" t="s">
        <v>1917</v>
      </c>
    </row>
    <row r="2155" spans="4:7" hidden="1">
      <c r="D2155" s="5" t="s">
        <v>4085</v>
      </c>
      <c r="E2155" s="5" t="s">
        <v>451</v>
      </c>
      <c r="G2155" s="5" t="s">
        <v>1917</v>
      </c>
    </row>
    <row r="2156" spans="4:7" hidden="1">
      <c r="D2156" s="5" t="s">
        <v>1075</v>
      </c>
      <c r="E2156" s="5" t="s">
        <v>430</v>
      </c>
      <c r="G2156" s="5" t="s">
        <v>1917</v>
      </c>
    </row>
    <row r="2157" spans="4:7" hidden="1">
      <c r="D2157" s="5" t="s">
        <v>4086</v>
      </c>
      <c r="E2157" s="5" t="s">
        <v>168</v>
      </c>
      <c r="G2157" s="5" t="s">
        <v>1917</v>
      </c>
    </row>
    <row r="2158" spans="4:7" hidden="1">
      <c r="D2158" s="5" t="s">
        <v>4087</v>
      </c>
      <c r="E2158" s="5" t="s">
        <v>2091</v>
      </c>
      <c r="G2158" s="5" t="s">
        <v>1917</v>
      </c>
    </row>
    <row r="2159" spans="4:7" hidden="1">
      <c r="D2159" s="5" t="s">
        <v>4088</v>
      </c>
      <c r="E2159" s="5" t="s">
        <v>451</v>
      </c>
      <c r="G2159" s="5" t="s">
        <v>1917</v>
      </c>
    </row>
    <row r="2160" spans="4:7" hidden="1">
      <c r="D2160" s="5" t="s">
        <v>4089</v>
      </c>
      <c r="E2160" s="5" t="s">
        <v>430</v>
      </c>
      <c r="G2160" s="5" t="s">
        <v>1926</v>
      </c>
    </row>
    <row r="2161" spans="4:7" hidden="1">
      <c r="D2161" s="5" t="s">
        <v>4090</v>
      </c>
      <c r="E2161" s="5" t="s">
        <v>168</v>
      </c>
      <c r="G2161" s="5" t="s">
        <v>1917</v>
      </c>
    </row>
    <row r="2162" spans="4:7" hidden="1">
      <c r="D2162" s="5" t="s">
        <v>4091</v>
      </c>
      <c r="E2162" s="5" t="s">
        <v>168</v>
      </c>
      <c r="G2162" s="5" t="s">
        <v>1917</v>
      </c>
    </row>
    <row r="2163" spans="4:7" hidden="1">
      <c r="D2163" s="5" t="s">
        <v>4092</v>
      </c>
      <c r="E2163" s="5" t="s">
        <v>2091</v>
      </c>
      <c r="G2163" s="5" t="s">
        <v>1917</v>
      </c>
    </row>
    <row r="2164" spans="4:7" hidden="1">
      <c r="D2164" s="5" t="s">
        <v>4093</v>
      </c>
      <c r="E2164" s="5" t="s">
        <v>451</v>
      </c>
      <c r="G2164" s="5" t="s">
        <v>1917</v>
      </c>
    </row>
    <row r="2165" spans="4:7" hidden="1">
      <c r="D2165" s="5" t="s">
        <v>4094</v>
      </c>
      <c r="E2165" s="5" t="s">
        <v>430</v>
      </c>
      <c r="G2165" s="5" t="s">
        <v>1926</v>
      </c>
    </row>
    <row r="2166" spans="4:7" hidden="1">
      <c r="D2166" s="5" t="s">
        <v>4095</v>
      </c>
      <c r="E2166" s="5" t="s">
        <v>2091</v>
      </c>
      <c r="G2166" s="5" t="s">
        <v>1917</v>
      </c>
    </row>
    <row r="2167" spans="4:7" hidden="1">
      <c r="D2167" s="5" t="s">
        <v>4096</v>
      </c>
      <c r="E2167" s="5" t="s">
        <v>171</v>
      </c>
      <c r="G2167" s="5" t="s">
        <v>1920</v>
      </c>
    </row>
    <row r="2168" spans="4:7" hidden="1">
      <c r="D2168" s="5" t="s">
        <v>4097</v>
      </c>
      <c r="E2168" s="5" t="s">
        <v>2091</v>
      </c>
      <c r="G2168" s="5" t="s">
        <v>1917</v>
      </c>
    </row>
    <row r="2169" spans="4:7" hidden="1">
      <c r="D2169" s="5" t="s">
        <v>4098</v>
      </c>
      <c r="E2169" s="5" t="s">
        <v>451</v>
      </c>
      <c r="G2169" s="5" t="s">
        <v>1926</v>
      </c>
    </row>
    <row r="2170" spans="4:7" hidden="1">
      <c r="D2170" s="5" t="s">
        <v>4099</v>
      </c>
      <c r="E2170" s="5" t="s">
        <v>309</v>
      </c>
      <c r="G2170" s="5" t="s">
        <v>1917</v>
      </c>
    </row>
    <row r="2171" spans="4:7" hidden="1">
      <c r="D2171" s="5" t="s">
        <v>4100</v>
      </c>
      <c r="E2171" s="5" t="s">
        <v>2091</v>
      </c>
      <c r="G2171" s="5" t="s">
        <v>1917</v>
      </c>
    </row>
    <row r="2172" spans="4:7" hidden="1">
      <c r="D2172" s="5" t="s">
        <v>4101</v>
      </c>
      <c r="E2172" s="5" t="s">
        <v>2091</v>
      </c>
      <c r="G2172" s="5" t="s">
        <v>1917</v>
      </c>
    </row>
    <row r="2173" spans="4:7" hidden="1">
      <c r="D2173" s="5" t="s">
        <v>4102</v>
      </c>
      <c r="E2173" s="5" t="s">
        <v>451</v>
      </c>
      <c r="G2173" s="5" t="s">
        <v>1917</v>
      </c>
    </row>
    <row r="2174" spans="4:7" hidden="1">
      <c r="D2174" s="5" t="s">
        <v>4103</v>
      </c>
      <c r="E2174" s="5" t="s">
        <v>430</v>
      </c>
      <c r="G2174" s="5" t="s">
        <v>1917</v>
      </c>
    </row>
    <row r="2175" spans="4:7" hidden="1">
      <c r="D2175" s="5" t="s">
        <v>4104</v>
      </c>
      <c r="E2175" s="5" t="s">
        <v>2091</v>
      </c>
      <c r="G2175" s="5" t="s">
        <v>1917</v>
      </c>
    </row>
    <row r="2176" spans="4:7" hidden="1">
      <c r="D2176" s="5" t="s">
        <v>4105</v>
      </c>
      <c r="E2176" s="5" t="s">
        <v>2091</v>
      </c>
      <c r="G2176" s="5" t="s">
        <v>1917</v>
      </c>
    </row>
    <row r="2177" spans="4:7" hidden="1">
      <c r="D2177" s="5" t="s">
        <v>4106</v>
      </c>
      <c r="E2177" s="5" t="s">
        <v>427</v>
      </c>
      <c r="G2177" s="5" t="s">
        <v>1917</v>
      </c>
    </row>
    <row r="2178" spans="4:7" hidden="1">
      <c r="D2178" s="5" t="s">
        <v>4107</v>
      </c>
      <c r="E2178" s="5" t="s">
        <v>2091</v>
      </c>
      <c r="G2178" s="5" t="s">
        <v>1926</v>
      </c>
    </row>
    <row r="2179" spans="4:7" hidden="1">
      <c r="D2179" s="5" t="s">
        <v>4108</v>
      </c>
      <c r="E2179" s="5" t="s">
        <v>2056</v>
      </c>
      <c r="G2179" s="5" t="s">
        <v>1917</v>
      </c>
    </row>
    <row r="2180" spans="4:7" hidden="1">
      <c r="D2180" s="5" t="s">
        <v>4109</v>
      </c>
      <c r="E2180" s="5" t="s">
        <v>2091</v>
      </c>
      <c r="G2180" s="5" t="s">
        <v>1917</v>
      </c>
    </row>
    <row r="2181" spans="4:7" hidden="1">
      <c r="D2181" s="5" t="s">
        <v>4110</v>
      </c>
      <c r="E2181" s="5" t="s">
        <v>2056</v>
      </c>
      <c r="G2181" s="5" t="s">
        <v>1917</v>
      </c>
    </row>
    <row r="2182" spans="4:7" hidden="1">
      <c r="D2182" s="5" t="s">
        <v>4111</v>
      </c>
      <c r="E2182" s="5" t="s">
        <v>2091</v>
      </c>
      <c r="G2182" s="5" t="s">
        <v>1917</v>
      </c>
    </row>
    <row r="2183" spans="4:7" hidden="1">
      <c r="D2183" s="5" t="s">
        <v>4112</v>
      </c>
      <c r="E2183" s="5" t="s">
        <v>2091</v>
      </c>
      <c r="G2183" s="5" t="s">
        <v>1917</v>
      </c>
    </row>
    <row r="2184" spans="4:7" hidden="1">
      <c r="D2184" s="5" t="s">
        <v>4113</v>
      </c>
      <c r="E2184" s="5" t="s">
        <v>2091</v>
      </c>
      <c r="G2184" s="5" t="s">
        <v>1917</v>
      </c>
    </row>
    <row r="2185" spans="4:7" hidden="1">
      <c r="D2185" s="5" t="s">
        <v>4114</v>
      </c>
      <c r="E2185" s="5" t="s">
        <v>2091</v>
      </c>
      <c r="G2185" s="5" t="s">
        <v>1917</v>
      </c>
    </row>
    <row r="2186" spans="4:7" hidden="1">
      <c r="D2186" s="5" t="s">
        <v>4115</v>
      </c>
      <c r="E2186" s="5" t="s">
        <v>812</v>
      </c>
      <c r="G2186" s="5" t="s">
        <v>1917</v>
      </c>
    </row>
    <row r="2187" spans="4:7" hidden="1">
      <c r="D2187" s="5" t="s">
        <v>4116</v>
      </c>
      <c r="E2187" s="5" t="s">
        <v>2091</v>
      </c>
      <c r="G2187" s="5" t="s">
        <v>1917</v>
      </c>
    </row>
    <row r="2188" spans="4:7" hidden="1">
      <c r="D2188" s="5" t="s">
        <v>4117</v>
      </c>
      <c r="E2188" s="5" t="s">
        <v>2056</v>
      </c>
      <c r="G2188" s="5" t="s">
        <v>1917</v>
      </c>
    </row>
    <row r="2189" spans="4:7" hidden="1">
      <c r="D2189" s="5" t="s">
        <v>4118</v>
      </c>
      <c r="E2189" s="5" t="s">
        <v>2792</v>
      </c>
      <c r="G2189" s="5" t="s">
        <v>1926</v>
      </c>
    </row>
    <row r="2190" spans="4:7" hidden="1">
      <c r="D2190" s="5" t="s">
        <v>4119</v>
      </c>
      <c r="E2190" s="5" t="s">
        <v>430</v>
      </c>
      <c r="G2190" s="5" t="s">
        <v>1917</v>
      </c>
    </row>
    <row r="2191" spans="4:7" hidden="1">
      <c r="D2191" s="5" t="s">
        <v>4120</v>
      </c>
      <c r="E2191" s="5" t="s">
        <v>430</v>
      </c>
      <c r="G2191" s="5" t="s">
        <v>1926</v>
      </c>
    </row>
    <row r="2192" spans="4:7" hidden="1">
      <c r="D2192" s="5" t="s">
        <v>4121</v>
      </c>
      <c r="E2192" s="5" t="s">
        <v>430</v>
      </c>
      <c r="G2192" s="5" t="s">
        <v>1917</v>
      </c>
    </row>
    <row r="2193" spans="4:7" hidden="1">
      <c r="D2193" s="5" t="s">
        <v>4122</v>
      </c>
      <c r="E2193" s="5" t="s">
        <v>52</v>
      </c>
      <c r="G2193" s="5" t="s">
        <v>1926</v>
      </c>
    </row>
    <row r="2194" spans="4:7" hidden="1">
      <c r="D2194" s="5" t="s">
        <v>4123</v>
      </c>
      <c r="E2194" s="5" t="s">
        <v>430</v>
      </c>
      <c r="G2194" s="5" t="s">
        <v>1917</v>
      </c>
    </row>
    <row r="2195" spans="4:7" hidden="1">
      <c r="D2195" s="5" t="s">
        <v>4124</v>
      </c>
      <c r="E2195" s="5" t="s">
        <v>430</v>
      </c>
      <c r="G2195" s="5" t="s">
        <v>1917</v>
      </c>
    </row>
    <row r="2196" spans="4:7" hidden="1">
      <c r="D2196" s="5" t="s">
        <v>4125</v>
      </c>
      <c r="E2196" s="5" t="s">
        <v>430</v>
      </c>
      <c r="G2196" s="5" t="s">
        <v>1926</v>
      </c>
    </row>
    <row r="2197" spans="4:7" hidden="1">
      <c r="D2197" s="5" t="s">
        <v>4126</v>
      </c>
      <c r="E2197" s="5" t="s">
        <v>52</v>
      </c>
      <c r="G2197" s="5" t="s">
        <v>1917</v>
      </c>
    </row>
    <row r="2198" spans="4:7" hidden="1">
      <c r="D2198" s="5" t="s">
        <v>4127</v>
      </c>
      <c r="E2198" s="5" t="s">
        <v>52</v>
      </c>
      <c r="G2198" s="5" t="s">
        <v>1917</v>
      </c>
    </row>
    <row r="2199" spans="4:7" hidden="1">
      <c r="D2199" s="5" t="s">
        <v>4128</v>
      </c>
      <c r="E2199" s="5" t="s">
        <v>3979</v>
      </c>
      <c r="G2199" s="5" t="s">
        <v>1920</v>
      </c>
    </row>
    <row r="2200" spans="4:7" hidden="1">
      <c r="D2200" s="5" t="s">
        <v>4129</v>
      </c>
      <c r="E2200" s="5" t="s">
        <v>812</v>
      </c>
      <c r="G2200" s="5" t="s">
        <v>1917</v>
      </c>
    </row>
    <row r="2201" spans="4:7" hidden="1">
      <c r="D2201" s="5" t="s">
        <v>4130</v>
      </c>
      <c r="E2201" s="5" t="s">
        <v>430</v>
      </c>
      <c r="G2201" s="5" t="s">
        <v>1926</v>
      </c>
    </row>
    <row r="2202" spans="4:7" hidden="1">
      <c r="D2202" s="5" t="s">
        <v>4131</v>
      </c>
      <c r="E2202" s="5" t="s">
        <v>812</v>
      </c>
      <c r="G2202" s="5" t="s">
        <v>1917</v>
      </c>
    </row>
    <row r="2203" spans="4:7" hidden="1">
      <c r="D2203" s="5" t="s">
        <v>4132</v>
      </c>
      <c r="E2203" s="5" t="s">
        <v>52</v>
      </c>
      <c r="G2203" s="5" t="s">
        <v>1917</v>
      </c>
    </row>
    <row r="2204" spans="4:7" hidden="1">
      <c r="D2204" s="5" t="s">
        <v>4133</v>
      </c>
      <c r="E2204" s="5" t="s">
        <v>2005</v>
      </c>
      <c r="G2204" s="5" t="s">
        <v>1917</v>
      </c>
    </row>
    <row r="2205" spans="4:7" hidden="1">
      <c r="D2205" s="5" t="s">
        <v>1232</v>
      </c>
      <c r="E2205" s="5" t="s">
        <v>430</v>
      </c>
      <c r="G2205" s="5" t="s">
        <v>1926</v>
      </c>
    </row>
    <row r="2206" spans="4:7" hidden="1">
      <c r="D2206" s="5" t="s">
        <v>4134</v>
      </c>
      <c r="E2206" s="5" t="s">
        <v>2005</v>
      </c>
      <c r="G2206" s="5" t="s">
        <v>1917</v>
      </c>
    </row>
    <row r="2207" spans="4:7" hidden="1">
      <c r="D2207" s="5" t="s">
        <v>4135</v>
      </c>
      <c r="E2207" s="5" t="s">
        <v>791</v>
      </c>
      <c r="G2207" s="5" t="s">
        <v>1917</v>
      </c>
    </row>
    <row r="2208" spans="4:7" hidden="1">
      <c r="D2208" s="5" t="s">
        <v>4136</v>
      </c>
      <c r="E2208" s="5" t="s">
        <v>427</v>
      </c>
      <c r="G2208" s="5" t="s">
        <v>1917</v>
      </c>
    </row>
    <row r="2209" spans="4:7" hidden="1">
      <c r="D2209" s="5" t="s">
        <v>4137</v>
      </c>
      <c r="E2209" s="5" t="s">
        <v>812</v>
      </c>
      <c r="G2209" s="5" t="s">
        <v>1917</v>
      </c>
    </row>
    <row r="2210" spans="4:7" hidden="1">
      <c r="D2210" s="5" t="s">
        <v>4138</v>
      </c>
      <c r="E2210" s="5" t="s">
        <v>52</v>
      </c>
      <c r="G2210" s="5" t="s">
        <v>1917</v>
      </c>
    </row>
    <row r="2211" spans="4:7" hidden="1">
      <c r="D2211" s="5" t="s">
        <v>4139</v>
      </c>
      <c r="E2211" s="5" t="s">
        <v>309</v>
      </c>
      <c r="G2211" s="5" t="s">
        <v>1917</v>
      </c>
    </row>
    <row r="2212" spans="4:7" hidden="1">
      <c r="D2212" s="5" t="s">
        <v>4140</v>
      </c>
      <c r="E2212" s="5" t="s">
        <v>52</v>
      </c>
      <c r="G2212" s="5" t="s">
        <v>1917</v>
      </c>
    </row>
    <row r="2213" spans="4:7" hidden="1">
      <c r="D2213" s="5" t="s">
        <v>4141</v>
      </c>
      <c r="E2213" s="5" t="s">
        <v>3656</v>
      </c>
      <c r="G2213" s="5" t="s">
        <v>1917</v>
      </c>
    </row>
    <row r="2214" spans="4:7" hidden="1">
      <c r="D2214" s="5" t="s">
        <v>4142</v>
      </c>
      <c r="E2214" s="5" t="s">
        <v>171</v>
      </c>
      <c r="G2214" s="5" t="s">
        <v>1917</v>
      </c>
    </row>
    <row r="2215" spans="4:7" hidden="1">
      <c r="D2215" s="5" t="s">
        <v>4143</v>
      </c>
      <c r="E2215" s="5" t="s">
        <v>52</v>
      </c>
      <c r="G2215" s="5" t="s">
        <v>1917</v>
      </c>
    </row>
    <row r="2216" spans="4:7" hidden="1">
      <c r="D2216" s="5" t="s">
        <v>4144</v>
      </c>
      <c r="E2216" s="5" t="s">
        <v>1945</v>
      </c>
      <c r="G2216" s="5" t="s">
        <v>1917</v>
      </c>
    </row>
    <row r="2217" spans="4:7" hidden="1">
      <c r="D2217" s="5" t="s">
        <v>4145</v>
      </c>
      <c r="E2217" s="5" t="s">
        <v>2536</v>
      </c>
      <c r="G2217" s="5" t="s">
        <v>1926</v>
      </c>
    </row>
    <row r="2218" spans="4:7" hidden="1">
      <c r="D2218" s="5" t="s">
        <v>4146</v>
      </c>
      <c r="E2218" s="5" t="s">
        <v>309</v>
      </c>
      <c r="G2218" s="5" t="s">
        <v>1917</v>
      </c>
    </row>
    <row r="2219" spans="4:7" hidden="1">
      <c r="D2219" s="5" t="s">
        <v>4147</v>
      </c>
      <c r="E2219" s="5" t="s">
        <v>52</v>
      </c>
      <c r="G2219" s="5" t="s">
        <v>1917</v>
      </c>
    </row>
    <row r="2220" spans="4:7" hidden="1">
      <c r="D2220" s="5" t="s">
        <v>4148</v>
      </c>
      <c r="E2220" s="5" t="s">
        <v>2536</v>
      </c>
      <c r="G2220" s="5" t="s">
        <v>1926</v>
      </c>
    </row>
    <row r="2221" spans="4:7" hidden="1">
      <c r="D2221" s="5" t="s">
        <v>4149</v>
      </c>
      <c r="E2221" s="5" t="s">
        <v>3656</v>
      </c>
      <c r="G2221" s="5" t="s">
        <v>1917</v>
      </c>
    </row>
    <row r="2222" spans="4:7" hidden="1">
      <c r="D2222" s="5" t="s">
        <v>4150</v>
      </c>
      <c r="E2222" s="5" t="s">
        <v>309</v>
      </c>
      <c r="G2222" s="5" t="s">
        <v>1917</v>
      </c>
    </row>
    <row r="2223" spans="4:7" hidden="1">
      <c r="D2223" s="5" t="s">
        <v>4151</v>
      </c>
      <c r="E2223" s="5" t="s">
        <v>52</v>
      </c>
      <c r="G2223" s="5" t="s">
        <v>1917</v>
      </c>
    </row>
    <row r="2224" spans="4:7" hidden="1">
      <c r="D2224" s="5" t="s">
        <v>4152</v>
      </c>
      <c r="E2224" s="5" t="s">
        <v>2536</v>
      </c>
      <c r="G2224" s="5" t="s">
        <v>1926</v>
      </c>
    </row>
    <row r="2225" spans="4:7" hidden="1">
      <c r="D2225" s="5" t="s">
        <v>4153</v>
      </c>
      <c r="E2225" s="5" t="s">
        <v>309</v>
      </c>
      <c r="G2225" s="5" t="s">
        <v>1917</v>
      </c>
    </row>
    <row r="2226" spans="4:7" hidden="1">
      <c r="D2226" s="5" t="s">
        <v>4154</v>
      </c>
      <c r="E2226" s="5" t="s">
        <v>430</v>
      </c>
      <c r="G2226" s="5" t="s">
        <v>1926</v>
      </c>
    </row>
    <row r="2227" spans="4:7" hidden="1">
      <c r="D2227" s="5" t="s">
        <v>4155</v>
      </c>
      <c r="E2227" s="5" t="s">
        <v>52</v>
      </c>
      <c r="G2227" s="5" t="s">
        <v>1926</v>
      </c>
    </row>
    <row r="2228" spans="4:7" hidden="1">
      <c r="D2228" s="5" t="s">
        <v>4156</v>
      </c>
      <c r="E2228" s="5" t="s">
        <v>2536</v>
      </c>
      <c r="G2228" s="5" t="s">
        <v>1926</v>
      </c>
    </row>
    <row r="2229" spans="4:7" hidden="1">
      <c r="D2229" s="5" t="s">
        <v>4157</v>
      </c>
      <c r="E2229" s="5" t="s">
        <v>2056</v>
      </c>
      <c r="G2229" s="5" t="s">
        <v>1917</v>
      </c>
    </row>
    <row r="2230" spans="4:7" hidden="1">
      <c r="D2230" s="5" t="s">
        <v>4158</v>
      </c>
      <c r="E2230" s="5" t="s">
        <v>1890</v>
      </c>
      <c r="G2230" s="5" t="s">
        <v>1917</v>
      </c>
    </row>
    <row r="2231" spans="4:7" hidden="1">
      <c r="D2231" s="5" t="s">
        <v>4159</v>
      </c>
      <c r="E2231" s="5" t="s">
        <v>2056</v>
      </c>
      <c r="G2231" s="5" t="s">
        <v>1917</v>
      </c>
    </row>
    <row r="2232" spans="4:7" hidden="1">
      <c r="D2232" s="5" t="s">
        <v>4160</v>
      </c>
      <c r="E2232" s="5" t="s">
        <v>52</v>
      </c>
      <c r="G2232" s="5" t="s">
        <v>1917</v>
      </c>
    </row>
    <row r="2233" spans="4:7" hidden="1">
      <c r="D2233" s="5" t="s">
        <v>4161</v>
      </c>
      <c r="E2233" s="5" t="s">
        <v>2536</v>
      </c>
      <c r="G2233" s="5" t="s">
        <v>1926</v>
      </c>
    </row>
    <row r="2234" spans="4:7" hidden="1">
      <c r="D2234" s="5" t="s">
        <v>4162</v>
      </c>
      <c r="E2234" s="5" t="s">
        <v>2056</v>
      </c>
      <c r="G2234" s="5" t="s">
        <v>1917</v>
      </c>
    </row>
    <row r="2235" spans="4:7" hidden="1">
      <c r="D2235" s="5" t="s">
        <v>4163</v>
      </c>
      <c r="E2235" s="5" t="s">
        <v>52</v>
      </c>
      <c r="G2235" s="5" t="s">
        <v>1917</v>
      </c>
    </row>
    <row r="2236" spans="4:7" hidden="1">
      <c r="D2236" s="5" t="s">
        <v>4164</v>
      </c>
      <c r="E2236" s="5" t="s">
        <v>171</v>
      </c>
      <c r="G2236" s="5" t="s">
        <v>1917</v>
      </c>
    </row>
    <row r="2237" spans="4:7" hidden="1">
      <c r="D2237" s="5" t="s">
        <v>4165</v>
      </c>
      <c r="E2237" s="5" t="s">
        <v>52</v>
      </c>
      <c r="G2237" s="5" t="s">
        <v>1917</v>
      </c>
    </row>
    <row r="2238" spans="4:7" hidden="1">
      <c r="D2238" s="5" t="s">
        <v>4166</v>
      </c>
      <c r="E2238" s="5" t="s">
        <v>2536</v>
      </c>
      <c r="G2238" s="5" t="s">
        <v>1926</v>
      </c>
    </row>
    <row r="2239" spans="4:7" hidden="1">
      <c r="D2239" s="5" t="s">
        <v>4167</v>
      </c>
      <c r="E2239" s="5" t="s">
        <v>3995</v>
      </c>
      <c r="G2239" s="5" t="s">
        <v>3807</v>
      </c>
    </row>
    <row r="2240" spans="4:7" hidden="1">
      <c r="D2240" s="5" t="s">
        <v>4168</v>
      </c>
      <c r="E2240" s="5" t="s">
        <v>812</v>
      </c>
      <c r="G2240" s="5" t="s">
        <v>1917</v>
      </c>
    </row>
    <row r="2241" spans="4:7" hidden="1">
      <c r="D2241" s="5" t="s">
        <v>4169</v>
      </c>
      <c r="E2241" s="5" t="s">
        <v>52</v>
      </c>
      <c r="G2241" s="5" t="s">
        <v>1917</v>
      </c>
    </row>
    <row r="2242" spans="4:7" hidden="1">
      <c r="D2242" s="5" t="s">
        <v>4170</v>
      </c>
      <c r="E2242" s="5" t="s">
        <v>52</v>
      </c>
      <c r="G2242" s="5" t="s">
        <v>1917</v>
      </c>
    </row>
    <row r="2243" spans="4:7" hidden="1">
      <c r="D2243" s="5" t="s">
        <v>4171</v>
      </c>
      <c r="E2243" s="5" t="s">
        <v>2536</v>
      </c>
      <c r="G2243" s="5" t="s">
        <v>1926</v>
      </c>
    </row>
    <row r="2244" spans="4:7" hidden="1">
      <c r="D2244" s="5" t="s">
        <v>4172</v>
      </c>
      <c r="E2244" s="5" t="s">
        <v>52</v>
      </c>
      <c r="G2244" s="5" t="s">
        <v>1917</v>
      </c>
    </row>
    <row r="2245" spans="4:7" hidden="1">
      <c r="D2245" s="5" t="s">
        <v>4173</v>
      </c>
      <c r="E2245" s="5" t="s">
        <v>309</v>
      </c>
      <c r="G2245" s="5" t="s">
        <v>3822</v>
      </c>
    </row>
    <row r="2246" spans="4:7" hidden="1">
      <c r="D2246" s="5" t="s">
        <v>4174</v>
      </c>
      <c r="E2246" s="5" t="s">
        <v>2536</v>
      </c>
      <c r="G2246" s="5" t="s">
        <v>1926</v>
      </c>
    </row>
    <row r="2247" spans="4:7" hidden="1">
      <c r="D2247" s="5" t="s">
        <v>4175</v>
      </c>
      <c r="E2247" s="5" t="s">
        <v>52</v>
      </c>
      <c r="G2247" s="5" t="s">
        <v>1917</v>
      </c>
    </row>
    <row r="2248" spans="4:7" hidden="1">
      <c r="D2248" s="5" t="s">
        <v>4176</v>
      </c>
      <c r="E2248" s="5" t="s">
        <v>2536</v>
      </c>
      <c r="G2248" s="5" t="s">
        <v>1926</v>
      </c>
    </row>
    <row r="2249" spans="4:7" hidden="1">
      <c r="D2249" s="5" t="s">
        <v>4177</v>
      </c>
      <c r="E2249" s="5" t="s">
        <v>52</v>
      </c>
      <c r="G2249" s="5" t="s">
        <v>1917</v>
      </c>
    </row>
    <row r="2250" spans="4:7" hidden="1">
      <c r="D2250" s="5" t="s">
        <v>4178</v>
      </c>
      <c r="E2250" s="5" t="s">
        <v>2536</v>
      </c>
      <c r="G2250" s="5" t="s">
        <v>1926</v>
      </c>
    </row>
    <row r="2251" spans="4:7" hidden="1">
      <c r="D2251" s="5" t="s">
        <v>4179</v>
      </c>
      <c r="E2251" s="5" t="s">
        <v>812</v>
      </c>
      <c r="G2251" s="5" t="s">
        <v>1917</v>
      </c>
    </row>
    <row r="2252" spans="4:7" hidden="1">
      <c r="D2252" s="5" t="s">
        <v>4180</v>
      </c>
      <c r="E2252" s="5" t="s">
        <v>2536</v>
      </c>
      <c r="G2252" s="5" t="s">
        <v>1926</v>
      </c>
    </row>
    <row r="2253" spans="4:7" hidden="1">
      <c r="D2253" s="5" t="s">
        <v>4181</v>
      </c>
      <c r="E2253" s="5" t="s">
        <v>427</v>
      </c>
      <c r="G2253" s="5" t="s">
        <v>1917</v>
      </c>
    </row>
    <row r="2254" spans="4:7" hidden="1">
      <c r="D2254" s="5" t="s">
        <v>4182</v>
      </c>
      <c r="E2254" s="5" t="s">
        <v>2536</v>
      </c>
      <c r="G2254" s="5" t="s">
        <v>1926</v>
      </c>
    </row>
    <row r="2255" spans="4:7" hidden="1">
      <c r="D2255" s="5" t="s">
        <v>4183</v>
      </c>
      <c r="E2255" s="5" t="s">
        <v>52</v>
      </c>
      <c r="G2255" s="5" t="s">
        <v>1917</v>
      </c>
    </row>
    <row r="2256" spans="4:7" hidden="1">
      <c r="D2256" s="5" t="s">
        <v>4184</v>
      </c>
      <c r="E2256" s="5" t="s">
        <v>2536</v>
      </c>
      <c r="G2256" s="5" t="s">
        <v>1926</v>
      </c>
    </row>
    <row r="2257" spans="4:7" hidden="1">
      <c r="D2257" s="5" t="s">
        <v>4185</v>
      </c>
      <c r="E2257" s="5" t="s">
        <v>2056</v>
      </c>
      <c r="G2257" s="5" t="s">
        <v>1917</v>
      </c>
    </row>
    <row r="2258" spans="4:7" hidden="1">
      <c r="D2258" s="5" t="s">
        <v>4186</v>
      </c>
      <c r="E2258" s="5" t="s">
        <v>4187</v>
      </c>
      <c r="G2258" s="5" t="s">
        <v>1926</v>
      </c>
    </row>
    <row r="2259" spans="4:7" hidden="1">
      <c r="D2259" s="5" t="s">
        <v>4188</v>
      </c>
      <c r="E2259" s="5" t="s">
        <v>52</v>
      </c>
      <c r="G2259" s="5" t="s">
        <v>1917</v>
      </c>
    </row>
    <row r="2260" spans="4:7" hidden="1">
      <c r="D2260" s="5" t="s">
        <v>4189</v>
      </c>
      <c r="E2260" s="5" t="s">
        <v>2536</v>
      </c>
      <c r="G2260" s="5" t="s">
        <v>1926</v>
      </c>
    </row>
    <row r="2261" spans="4:7" hidden="1">
      <c r="D2261" s="5" t="s">
        <v>4190</v>
      </c>
      <c r="E2261" s="5" t="s">
        <v>309</v>
      </c>
      <c r="G2261" s="5" t="s">
        <v>3822</v>
      </c>
    </row>
    <row r="2262" spans="4:7" hidden="1">
      <c r="D2262" s="5" t="s">
        <v>4191</v>
      </c>
      <c r="E2262" s="5" t="s">
        <v>52</v>
      </c>
      <c r="G2262" s="5" t="s">
        <v>1917</v>
      </c>
    </row>
    <row r="2263" spans="4:7" hidden="1">
      <c r="D2263" s="5" t="s">
        <v>4192</v>
      </c>
      <c r="E2263" s="5" t="s">
        <v>2536</v>
      </c>
      <c r="G2263" s="5" t="s">
        <v>1926</v>
      </c>
    </row>
    <row r="2264" spans="4:7" hidden="1">
      <c r="D2264" s="5" t="s">
        <v>4193</v>
      </c>
      <c r="E2264" s="5" t="s">
        <v>309</v>
      </c>
      <c r="G2264" s="5" t="s">
        <v>3822</v>
      </c>
    </row>
    <row r="2265" spans="4:7" hidden="1">
      <c r="D2265" s="5" t="s">
        <v>4194</v>
      </c>
      <c r="E2265" s="5" t="s">
        <v>2536</v>
      </c>
      <c r="G2265" s="5" t="s">
        <v>1926</v>
      </c>
    </row>
    <row r="2266" spans="4:7" hidden="1">
      <c r="D2266" s="5" t="s">
        <v>4195</v>
      </c>
      <c r="E2266" s="5" t="s">
        <v>168</v>
      </c>
      <c r="G2266" s="5" t="s">
        <v>1920</v>
      </c>
    </row>
    <row r="2267" spans="4:7" hidden="1">
      <c r="D2267" s="5" t="s">
        <v>4196</v>
      </c>
      <c r="E2267" s="5" t="s">
        <v>2005</v>
      </c>
      <c r="G2267" s="5" t="s">
        <v>1917</v>
      </c>
    </row>
    <row r="2268" spans="4:7" hidden="1">
      <c r="D2268" s="5" t="s">
        <v>4197</v>
      </c>
      <c r="E2268" s="5" t="s">
        <v>52</v>
      </c>
      <c r="G2268" s="5" t="s">
        <v>1917</v>
      </c>
    </row>
    <row r="2269" spans="4:7" hidden="1">
      <c r="D2269" s="5" t="s">
        <v>4198</v>
      </c>
      <c r="E2269" s="5" t="s">
        <v>2091</v>
      </c>
      <c r="G2269" s="5" t="s">
        <v>1917</v>
      </c>
    </row>
    <row r="2270" spans="4:7" hidden="1">
      <c r="D2270" s="5" t="s">
        <v>4199</v>
      </c>
      <c r="E2270" s="5" t="s">
        <v>2536</v>
      </c>
      <c r="G2270" s="5" t="s">
        <v>1926</v>
      </c>
    </row>
    <row r="2271" spans="4:7" hidden="1">
      <c r="D2271" s="5" t="s">
        <v>4200</v>
      </c>
      <c r="E2271" s="5" t="s">
        <v>2091</v>
      </c>
      <c r="G2271" s="5" t="s">
        <v>1917</v>
      </c>
    </row>
    <row r="2272" spans="4:7" hidden="1">
      <c r="D2272" s="5" t="s">
        <v>4201</v>
      </c>
      <c r="E2272" s="5" t="s">
        <v>52</v>
      </c>
      <c r="G2272" s="5" t="s">
        <v>1926</v>
      </c>
    </row>
    <row r="2273" spans="4:7" hidden="1">
      <c r="D2273" s="5" t="s">
        <v>4202</v>
      </c>
      <c r="E2273" s="5" t="s">
        <v>2091</v>
      </c>
      <c r="G2273" s="5" t="s">
        <v>1917</v>
      </c>
    </row>
    <row r="2274" spans="4:7" hidden="1">
      <c r="D2274" s="5" t="s">
        <v>4203</v>
      </c>
      <c r="E2274" s="5" t="s">
        <v>2536</v>
      </c>
      <c r="G2274" s="5" t="s">
        <v>1926</v>
      </c>
    </row>
    <row r="2275" spans="4:7" hidden="1">
      <c r="D2275" s="5" t="s">
        <v>4204</v>
      </c>
      <c r="E2275" s="5" t="s">
        <v>3854</v>
      </c>
      <c r="G2275" s="5" t="s">
        <v>1917</v>
      </c>
    </row>
    <row r="2276" spans="4:7" hidden="1">
      <c r="D2276" s="5" t="s">
        <v>4205</v>
      </c>
      <c r="E2276" s="5" t="s">
        <v>3979</v>
      </c>
      <c r="G2276" s="5" t="s">
        <v>1917</v>
      </c>
    </row>
    <row r="2277" spans="4:7" hidden="1">
      <c r="D2277" s="5" t="s">
        <v>4206</v>
      </c>
      <c r="E2277" s="5" t="s">
        <v>3979</v>
      </c>
      <c r="G2277" s="5" t="s">
        <v>1920</v>
      </c>
    </row>
    <row r="2278" spans="4:7" hidden="1">
      <c r="D2278" s="5" t="s">
        <v>4207</v>
      </c>
      <c r="E2278" s="5" t="s">
        <v>52</v>
      </c>
      <c r="G2278" s="5" t="s">
        <v>1917</v>
      </c>
    </row>
    <row r="2279" spans="4:7" hidden="1">
      <c r="D2279" s="5" t="s">
        <v>4208</v>
      </c>
      <c r="E2279" s="5" t="s">
        <v>2091</v>
      </c>
      <c r="G2279" s="5" t="s">
        <v>1917</v>
      </c>
    </row>
    <row r="2280" spans="4:7" hidden="1">
      <c r="D2280" s="5" t="s">
        <v>4209</v>
      </c>
      <c r="E2280" s="5" t="s">
        <v>2536</v>
      </c>
      <c r="G2280" s="5" t="s">
        <v>1926</v>
      </c>
    </row>
    <row r="2281" spans="4:7" hidden="1">
      <c r="D2281" s="5" t="s">
        <v>4210</v>
      </c>
      <c r="E2281" s="5" t="s">
        <v>2091</v>
      </c>
      <c r="G2281" s="5" t="s">
        <v>1917</v>
      </c>
    </row>
    <row r="2282" spans="4:7" hidden="1">
      <c r="D2282" s="5" t="s">
        <v>4211</v>
      </c>
      <c r="E2282" s="5" t="s">
        <v>3979</v>
      </c>
      <c r="G2282" s="5" t="s">
        <v>1920</v>
      </c>
    </row>
    <row r="2283" spans="4:7" hidden="1">
      <c r="D2283" s="5" t="s">
        <v>4212</v>
      </c>
      <c r="E2283" s="5" t="s">
        <v>52</v>
      </c>
      <c r="G2283" s="5" t="s">
        <v>1917</v>
      </c>
    </row>
    <row r="2284" spans="4:7" hidden="1">
      <c r="D2284" s="5" t="s">
        <v>4213</v>
      </c>
      <c r="E2284" s="5" t="s">
        <v>1890</v>
      </c>
      <c r="G2284" s="5" t="s">
        <v>3822</v>
      </c>
    </row>
    <row r="2285" spans="4:7" hidden="1">
      <c r="D2285" s="5" t="s">
        <v>4214</v>
      </c>
      <c r="E2285" s="5" t="s">
        <v>720</v>
      </c>
      <c r="G2285" s="5" t="s">
        <v>3822</v>
      </c>
    </row>
    <row r="2286" spans="4:7" hidden="1">
      <c r="D2286" s="5" t="s">
        <v>4215</v>
      </c>
      <c r="E2286" s="5" t="s">
        <v>2091</v>
      </c>
      <c r="G2286" s="5" t="s">
        <v>1917</v>
      </c>
    </row>
    <row r="2287" spans="4:7" hidden="1">
      <c r="D2287" s="5" t="s">
        <v>4216</v>
      </c>
      <c r="E2287" s="5" t="s">
        <v>2536</v>
      </c>
      <c r="G2287" s="5" t="s">
        <v>1926</v>
      </c>
    </row>
    <row r="2288" spans="4:7" hidden="1">
      <c r="D2288" s="5" t="s">
        <v>4217</v>
      </c>
      <c r="E2288" s="5" t="s">
        <v>3979</v>
      </c>
      <c r="G2288" s="5" t="s">
        <v>1920</v>
      </c>
    </row>
    <row r="2289" spans="4:7" hidden="1">
      <c r="D2289" s="5" t="s">
        <v>4218</v>
      </c>
      <c r="E2289" s="5" t="s">
        <v>52</v>
      </c>
      <c r="G2289" s="5" t="s">
        <v>1917</v>
      </c>
    </row>
    <row r="2290" spans="4:7" hidden="1">
      <c r="D2290" s="5" t="s">
        <v>4219</v>
      </c>
      <c r="E2290" s="5" t="s">
        <v>2091</v>
      </c>
      <c r="G2290" s="5" t="s">
        <v>1926</v>
      </c>
    </row>
    <row r="2291" spans="4:7" hidden="1">
      <c r="D2291" s="5" t="s">
        <v>4220</v>
      </c>
      <c r="E2291" s="5" t="s">
        <v>2536</v>
      </c>
      <c r="G2291" s="5" t="s">
        <v>1926</v>
      </c>
    </row>
    <row r="2292" spans="4:7" hidden="1">
      <c r="D2292" s="5" t="s">
        <v>4221</v>
      </c>
      <c r="E2292" s="5" t="s">
        <v>1953</v>
      </c>
      <c r="G2292" s="5" t="s">
        <v>1917</v>
      </c>
    </row>
    <row r="2293" spans="4:7" hidden="1">
      <c r="D2293" s="5" t="s">
        <v>4222</v>
      </c>
      <c r="E2293" s="5" t="s">
        <v>4187</v>
      </c>
      <c r="G2293" s="5" t="s">
        <v>1926</v>
      </c>
    </row>
    <row r="2294" spans="4:7" hidden="1">
      <c r="D2294" s="5" t="s">
        <v>4223</v>
      </c>
      <c r="E2294" s="5" t="s">
        <v>2536</v>
      </c>
      <c r="G2294" s="5" t="s">
        <v>1926</v>
      </c>
    </row>
    <row r="2295" spans="4:7" hidden="1">
      <c r="D2295" s="5" t="s">
        <v>4224</v>
      </c>
      <c r="E2295" s="5" t="s">
        <v>1916</v>
      </c>
      <c r="G2295" s="5" t="s">
        <v>1917</v>
      </c>
    </row>
    <row r="2296" spans="4:7" hidden="1">
      <c r="D2296" s="5" t="s">
        <v>4225</v>
      </c>
      <c r="E2296" s="5" t="s">
        <v>52</v>
      </c>
      <c r="G2296" s="5" t="s">
        <v>1917</v>
      </c>
    </row>
    <row r="2297" spans="4:7" hidden="1">
      <c r="D2297" s="5" t="s">
        <v>4226</v>
      </c>
      <c r="E2297" s="5" t="s">
        <v>1890</v>
      </c>
      <c r="G2297" s="5" t="s">
        <v>1917</v>
      </c>
    </row>
    <row r="2298" spans="4:7" hidden="1">
      <c r="D2298" s="5" t="s">
        <v>4227</v>
      </c>
      <c r="E2298" s="5" t="s">
        <v>2091</v>
      </c>
      <c r="G2298" s="5" t="s">
        <v>1917</v>
      </c>
    </row>
    <row r="2299" spans="4:7" hidden="1">
      <c r="D2299" s="5" t="s">
        <v>4228</v>
      </c>
      <c r="E2299" s="5" t="s">
        <v>2536</v>
      </c>
      <c r="G2299" s="5" t="s">
        <v>1926</v>
      </c>
    </row>
    <row r="2300" spans="4:7" hidden="1">
      <c r="D2300" s="5" t="s">
        <v>4229</v>
      </c>
      <c r="E2300" s="5" t="s">
        <v>1901</v>
      </c>
      <c r="G2300" s="5" t="s">
        <v>1917</v>
      </c>
    </row>
    <row r="2301" spans="4:7" hidden="1">
      <c r="D2301" s="5" t="s">
        <v>4230</v>
      </c>
      <c r="E2301" s="5" t="s">
        <v>52</v>
      </c>
      <c r="G2301" s="5" t="s">
        <v>1917</v>
      </c>
    </row>
    <row r="2302" spans="4:7" hidden="1">
      <c r="D2302" s="5" t="s">
        <v>4231</v>
      </c>
      <c r="E2302" s="5" t="s">
        <v>168</v>
      </c>
      <c r="G2302" s="5" t="s">
        <v>3822</v>
      </c>
    </row>
    <row r="2303" spans="4:7" hidden="1">
      <c r="D2303" s="5" t="s">
        <v>4232</v>
      </c>
      <c r="E2303" s="5" t="s">
        <v>1945</v>
      </c>
      <c r="G2303" s="5" t="s">
        <v>1917</v>
      </c>
    </row>
    <row r="2304" spans="4:7" hidden="1">
      <c r="D2304" s="5" t="s">
        <v>543</v>
      </c>
      <c r="E2304" s="5" t="s">
        <v>168</v>
      </c>
      <c r="G2304" s="5" t="s">
        <v>3822</v>
      </c>
    </row>
    <row r="2305" spans="4:7" hidden="1">
      <c r="D2305" s="5" t="s">
        <v>4233</v>
      </c>
      <c r="E2305" s="5" t="s">
        <v>2536</v>
      </c>
      <c r="G2305" s="5" t="s">
        <v>1926</v>
      </c>
    </row>
    <row r="2306" spans="4:7" hidden="1">
      <c r="D2306" s="5" t="s">
        <v>4234</v>
      </c>
      <c r="E2306" s="5" t="s">
        <v>309</v>
      </c>
      <c r="G2306" s="5" t="s">
        <v>1917</v>
      </c>
    </row>
    <row r="2307" spans="4:7" hidden="1">
      <c r="D2307" s="5" t="s">
        <v>4235</v>
      </c>
      <c r="E2307" s="5" t="s">
        <v>52</v>
      </c>
      <c r="G2307" s="5" t="s">
        <v>1917</v>
      </c>
    </row>
    <row r="2308" spans="4:7" hidden="1">
      <c r="D2308" s="5" t="s">
        <v>4236</v>
      </c>
      <c r="E2308" s="5" t="s">
        <v>2536</v>
      </c>
      <c r="G2308" s="5" t="s">
        <v>1926</v>
      </c>
    </row>
    <row r="2309" spans="4:7" hidden="1">
      <c r="D2309" s="5" t="s">
        <v>4237</v>
      </c>
      <c r="E2309" s="5" t="s">
        <v>309</v>
      </c>
      <c r="G2309" s="5" t="s">
        <v>3822</v>
      </c>
    </row>
    <row r="2310" spans="4:7" hidden="1">
      <c r="D2310" s="5" t="s">
        <v>4238</v>
      </c>
      <c r="E2310" s="5" t="s">
        <v>52</v>
      </c>
      <c r="G2310" s="5" t="s">
        <v>1917</v>
      </c>
    </row>
    <row r="2311" spans="4:7" hidden="1">
      <c r="D2311" s="5" t="s">
        <v>4239</v>
      </c>
      <c r="E2311" s="5" t="s">
        <v>2536</v>
      </c>
      <c r="G2311" s="5" t="s">
        <v>1926</v>
      </c>
    </row>
    <row r="2312" spans="4:7" hidden="1">
      <c r="D2312" s="5" t="s">
        <v>4240</v>
      </c>
      <c r="E2312" s="5" t="s">
        <v>52</v>
      </c>
      <c r="G2312" s="5" t="s">
        <v>1917</v>
      </c>
    </row>
    <row r="2313" spans="4:7" hidden="1">
      <c r="D2313" s="5" t="s">
        <v>4241</v>
      </c>
      <c r="E2313" s="5" t="s">
        <v>2536</v>
      </c>
      <c r="G2313" s="5" t="s">
        <v>1926</v>
      </c>
    </row>
    <row r="2314" spans="4:7" hidden="1">
      <c r="D2314" s="5" t="s">
        <v>4242</v>
      </c>
      <c r="E2314" s="5" t="s">
        <v>427</v>
      </c>
      <c r="G2314" s="5" t="s">
        <v>1917</v>
      </c>
    </row>
    <row r="2315" spans="4:7" hidden="1">
      <c r="D2315" s="5" t="s">
        <v>4243</v>
      </c>
      <c r="E2315" s="5" t="s">
        <v>430</v>
      </c>
      <c r="G2315" s="5" t="s">
        <v>1917</v>
      </c>
    </row>
    <row r="2316" spans="4:7" hidden="1">
      <c r="D2316" s="5" t="s">
        <v>4244</v>
      </c>
      <c r="E2316" s="5" t="s">
        <v>52</v>
      </c>
      <c r="G2316" s="5" t="s">
        <v>1917</v>
      </c>
    </row>
    <row r="2317" spans="4:7" hidden="1">
      <c r="D2317" s="5" t="s">
        <v>4245</v>
      </c>
      <c r="E2317" s="5" t="s">
        <v>52</v>
      </c>
      <c r="G2317" s="5" t="s">
        <v>1917</v>
      </c>
    </row>
    <row r="2318" spans="4:7" hidden="1">
      <c r="D2318" s="5" t="s">
        <v>4246</v>
      </c>
      <c r="E2318" s="5" t="s">
        <v>2536</v>
      </c>
      <c r="G2318" s="5" t="s">
        <v>1926</v>
      </c>
    </row>
    <row r="2319" spans="4:7" hidden="1">
      <c r="D2319" s="5" t="s">
        <v>4247</v>
      </c>
      <c r="E2319" s="5" t="s">
        <v>3995</v>
      </c>
      <c r="G2319" s="5" t="s">
        <v>3807</v>
      </c>
    </row>
    <row r="2320" spans="4:7" hidden="1">
      <c r="D2320" s="5" t="s">
        <v>4248</v>
      </c>
      <c r="E2320" s="5" t="s">
        <v>427</v>
      </c>
      <c r="G2320" s="5" t="s">
        <v>1926</v>
      </c>
    </row>
    <row r="2321" spans="4:7" hidden="1">
      <c r="D2321" s="5" t="s">
        <v>4249</v>
      </c>
      <c r="E2321" s="5" t="s">
        <v>427</v>
      </c>
      <c r="G2321" s="5" t="s">
        <v>1917</v>
      </c>
    </row>
    <row r="2322" spans="4:7" hidden="1">
      <c r="D2322" s="5" t="s">
        <v>4250</v>
      </c>
      <c r="E2322" s="5" t="s">
        <v>52</v>
      </c>
      <c r="G2322" s="5" t="s">
        <v>1917</v>
      </c>
    </row>
    <row r="2323" spans="4:7" hidden="1">
      <c r="D2323" s="5" t="s">
        <v>4251</v>
      </c>
      <c r="E2323" s="5" t="s">
        <v>2536</v>
      </c>
      <c r="G2323" s="5" t="s">
        <v>1926</v>
      </c>
    </row>
    <row r="2324" spans="4:7" hidden="1">
      <c r="D2324" s="5" t="s">
        <v>4252</v>
      </c>
      <c r="E2324" s="5" t="s">
        <v>427</v>
      </c>
      <c r="G2324" s="5" t="s">
        <v>1917</v>
      </c>
    </row>
    <row r="2325" spans="4:7" hidden="1">
      <c r="D2325" s="5" t="s">
        <v>4253</v>
      </c>
      <c r="E2325" s="5" t="s">
        <v>2091</v>
      </c>
      <c r="G2325" s="5" t="s">
        <v>1917</v>
      </c>
    </row>
    <row r="2326" spans="4:7" hidden="1">
      <c r="D2326" s="5" t="s">
        <v>4254</v>
      </c>
      <c r="E2326" s="5" t="s">
        <v>52</v>
      </c>
      <c r="G2326" s="5" t="s">
        <v>1917</v>
      </c>
    </row>
    <row r="2327" spans="4:7" hidden="1">
      <c r="D2327" s="5" t="s">
        <v>4255</v>
      </c>
      <c r="E2327" s="5" t="s">
        <v>52</v>
      </c>
      <c r="G2327" s="5" t="s">
        <v>1917</v>
      </c>
    </row>
    <row r="2328" spans="4:7" hidden="1">
      <c r="D2328" s="5" t="s">
        <v>4256</v>
      </c>
      <c r="E2328" s="5" t="s">
        <v>52</v>
      </c>
      <c r="G2328" s="5" t="s">
        <v>1917</v>
      </c>
    </row>
    <row r="2329" spans="4:7" hidden="1">
      <c r="D2329" s="5" t="s">
        <v>4257</v>
      </c>
      <c r="E2329" s="5" t="s">
        <v>812</v>
      </c>
      <c r="G2329" s="5" t="s">
        <v>1917</v>
      </c>
    </row>
    <row r="2330" spans="4:7" hidden="1">
      <c r="D2330" s="5" t="s">
        <v>4258</v>
      </c>
      <c r="E2330" s="5" t="s">
        <v>427</v>
      </c>
      <c r="G2330" s="5" t="s">
        <v>1917</v>
      </c>
    </row>
    <row r="2331" spans="4:7" hidden="1">
      <c r="D2331" s="5" t="s">
        <v>4259</v>
      </c>
      <c r="E2331" s="5" t="s">
        <v>52</v>
      </c>
      <c r="G2331" s="5" t="s">
        <v>1917</v>
      </c>
    </row>
    <row r="2332" spans="4:7" hidden="1">
      <c r="D2332" s="5" t="s">
        <v>4260</v>
      </c>
      <c r="E2332" s="5" t="s">
        <v>1940</v>
      </c>
      <c r="G2332" s="5" t="s">
        <v>1917</v>
      </c>
    </row>
    <row r="2333" spans="4:7" hidden="1">
      <c r="D2333" s="5" t="s">
        <v>4261</v>
      </c>
      <c r="E2333" s="5" t="s">
        <v>812</v>
      </c>
      <c r="G2333" s="5" t="s">
        <v>1917</v>
      </c>
    </row>
    <row r="2334" spans="4:7" hidden="1">
      <c r="D2334" s="5" t="s">
        <v>4262</v>
      </c>
      <c r="E2334" s="5" t="s">
        <v>2091</v>
      </c>
      <c r="G2334" s="5" t="s">
        <v>1917</v>
      </c>
    </row>
    <row r="2335" spans="4:7" hidden="1">
      <c r="D2335" s="5" t="s">
        <v>4263</v>
      </c>
      <c r="E2335" s="5" t="s">
        <v>52</v>
      </c>
      <c r="G2335" s="5" t="s">
        <v>1917</v>
      </c>
    </row>
    <row r="2336" spans="4:7" hidden="1">
      <c r="D2336" s="5" t="s">
        <v>4264</v>
      </c>
      <c r="E2336" s="5" t="s">
        <v>52</v>
      </c>
      <c r="G2336" s="5" t="s">
        <v>1917</v>
      </c>
    </row>
    <row r="2337" spans="4:7" hidden="1">
      <c r="D2337" s="5" t="s">
        <v>4265</v>
      </c>
      <c r="E2337" s="5" t="s">
        <v>812</v>
      </c>
      <c r="G2337" s="5" t="s">
        <v>1917</v>
      </c>
    </row>
    <row r="2338" spans="4:7" hidden="1">
      <c r="D2338" s="5" t="s">
        <v>4266</v>
      </c>
      <c r="E2338" s="5" t="s">
        <v>2005</v>
      </c>
      <c r="G2338" s="5" t="s">
        <v>1917</v>
      </c>
    </row>
    <row r="2339" spans="4:7" hidden="1">
      <c r="D2339" s="5" t="s">
        <v>4267</v>
      </c>
      <c r="E2339" s="5" t="s">
        <v>52</v>
      </c>
      <c r="G2339" s="5" t="s">
        <v>1917</v>
      </c>
    </row>
    <row r="2340" spans="4:7" hidden="1">
      <c r="D2340" s="5" t="s">
        <v>4268</v>
      </c>
      <c r="E2340" s="5" t="s">
        <v>52</v>
      </c>
      <c r="G2340" s="5" t="s">
        <v>1917</v>
      </c>
    </row>
    <row r="2341" spans="4:7" hidden="1">
      <c r="D2341" s="5" t="s">
        <v>4269</v>
      </c>
      <c r="E2341" s="5" t="s">
        <v>427</v>
      </c>
      <c r="G2341" s="5" t="s">
        <v>1917</v>
      </c>
    </row>
    <row r="2342" spans="4:7" hidden="1">
      <c r="D2342" s="5" t="s">
        <v>4270</v>
      </c>
      <c r="E2342" s="5" t="s">
        <v>52</v>
      </c>
      <c r="G2342" s="5" t="s">
        <v>1917</v>
      </c>
    </row>
    <row r="2343" spans="4:7" hidden="1">
      <c r="D2343" s="5" t="s">
        <v>4271</v>
      </c>
      <c r="E2343" s="5" t="s">
        <v>1890</v>
      </c>
      <c r="G2343" s="5" t="s">
        <v>1917</v>
      </c>
    </row>
    <row r="2344" spans="4:7" hidden="1">
      <c r="D2344" s="5" t="s">
        <v>4272</v>
      </c>
      <c r="E2344" s="5" t="s">
        <v>52</v>
      </c>
      <c r="G2344" s="5" t="s">
        <v>1917</v>
      </c>
    </row>
    <row r="2345" spans="4:7" hidden="1">
      <c r="D2345" s="5" t="s">
        <v>4273</v>
      </c>
      <c r="E2345" s="5" t="s">
        <v>1940</v>
      </c>
      <c r="G2345" s="5" t="s">
        <v>3822</v>
      </c>
    </row>
    <row r="2346" spans="4:7" hidden="1">
      <c r="D2346" s="5" t="s">
        <v>1191</v>
      </c>
      <c r="E2346" s="5" t="s">
        <v>472</v>
      </c>
      <c r="G2346" s="5" t="s">
        <v>1926</v>
      </c>
    </row>
    <row r="2347" spans="4:7" hidden="1">
      <c r="D2347" s="5" t="s">
        <v>4274</v>
      </c>
      <c r="E2347" s="5" t="s">
        <v>52</v>
      </c>
      <c r="G2347" s="5" t="s">
        <v>1926</v>
      </c>
    </row>
    <row r="2348" spans="4:7" hidden="1">
      <c r="D2348" s="5" t="s">
        <v>473</v>
      </c>
      <c r="E2348" s="5" t="s">
        <v>472</v>
      </c>
      <c r="G2348" s="5" t="s">
        <v>1917</v>
      </c>
    </row>
    <row r="2349" spans="4:7" hidden="1">
      <c r="D2349" s="5" t="s">
        <v>4275</v>
      </c>
      <c r="E2349" s="5" t="s">
        <v>52</v>
      </c>
      <c r="G2349" s="5" t="s">
        <v>1917</v>
      </c>
    </row>
    <row r="2350" spans="4:7" hidden="1">
      <c r="D2350" s="5" t="s">
        <v>4276</v>
      </c>
      <c r="E2350" s="5" t="s">
        <v>812</v>
      </c>
      <c r="G2350" s="5" t="s">
        <v>1917</v>
      </c>
    </row>
    <row r="2351" spans="4:7" hidden="1">
      <c r="D2351" s="5" t="s">
        <v>4277</v>
      </c>
      <c r="E2351" s="5" t="s">
        <v>52</v>
      </c>
      <c r="G2351" s="5" t="s">
        <v>1917</v>
      </c>
    </row>
    <row r="2352" spans="4:7" hidden="1">
      <c r="D2352" s="5" t="s">
        <v>4278</v>
      </c>
      <c r="E2352" s="5" t="s">
        <v>427</v>
      </c>
      <c r="G2352" s="5" t="s">
        <v>1917</v>
      </c>
    </row>
    <row r="2353" spans="4:7" hidden="1">
      <c r="D2353" s="5" t="s">
        <v>4279</v>
      </c>
      <c r="E2353" s="5" t="s">
        <v>812</v>
      </c>
      <c r="G2353" s="5" t="s">
        <v>1917</v>
      </c>
    </row>
    <row r="2354" spans="4:7" hidden="1">
      <c r="D2354" s="5" t="s">
        <v>4280</v>
      </c>
      <c r="E2354" s="5" t="s">
        <v>52</v>
      </c>
      <c r="G2354" s="5" t="s">
        <v>1917</v>
      </c>
    </row>
    <row r="2355" spans="4:7" hidden="1">
      <c r="D2355" s="5" t="s">
        <v>4281</v>
      </c>
      <c r="E2355" s="5" t="s">
        <v>427</v>
      </c>
      <c r="G2355" s="5" t="s">
        <v>1917</v>
      </c>
    </row>
    <row r="2356" spans="4:7" hidden="1">
      <c r="D2356" s="5" t="s">
        <v>4282</v>
      </c>
      <c r="E2356" s="5" t="s">
        <v>812</v>
      </c>
      <c r="G2356" s="5" t="s">
        <v>1917</v>
      </c>
    </row>
    <row r="2357" spans="4:7" hidden="1">
      <c r="D2357" s="5" t="s">
        <v>4283</v>
      </c>
      <c r="E2357" s="5" t="s">
        <v>52</v>
      </c>
      <c r="G2357" s="5" t="s">
        <v>1917</v>
      </c>
    </row>
    <row r="2358" spans="4:7" hidden="1">
      <c r="D2358" s="5" t="s">
        <v>1039</v>
      </c>
      <c r="E2358" s="5" t="s">
        <v>52</v>
      </c>
      <c r="G2358" s="5" t="s">
        <v>1917</v>
      </c>
    </row>
    <row r="2359" spans="4:7" hidden="1">
      <c r="D2359" s="5" t="s">
        <v>4284</v>
      </c>
      <c r="E2359" s="5" t="s">
        <v>430</v>
      </c>
      <c r="G2359" s="5" t="s">
        <v>1926</v>
      </c>
    </row>
    <row r="2360" spans="4:7" hidden="1">
      <c r="D2360" s="5" t="s">
        <v>4285</v>
      </c>
      <c r="E2360" s="5" t="s">
        <v>427</v>
      </c>
      <c r="G2360" s="5" t="s">
        <v>1917</v>
      </c>
    </row>
    <row r="2361" spans="4:7" hidden="1">
      <c r="D2361" s="5" t="s">
        <v>4286</v>
      </c>
      <c r="E2361" s="5" t="s">
        <v>812</v>
      </c>
      <c r="G2361" s="5" t="s">
        <v>1917</v>
      </c>
    </row>
    <row r="2362" spans="4:7" hidden="1">
      <c r="D2362" s="5" t="s">
        <v>4287</v>
      </c>
      <c r="E2362" s="5" t="s">
        <v>812</v>
      </c>
      <c r="G2362" s="5" t="s">
        <v>1917</v>
      </c>
    </row>
    <row r="2363" spans="4:7" hidden="1">
      <c r="D2363" s="5" t="s">
        <v>4288</v>
      </c>
      <c r="E2363" s="5" t="s">
        <v>52</v>
      </c>
      <c r="G2363" s="5" t="s">
        <v>1917</v>
      </c>
    </row>
    <row r="2364" spans="4:7" hidden="1">
      <c r="D2364" s="5" t="s">
        <v>4289</v>
      </c>
      <c r="E2364" s="5" t="s">
        <v>427</v>
      </c>
      <c r="G2364" s="5" t="s">
        <v>1917</v>
      </c>
    </row>
    <row r="2365" spans="4:7" hidden="1">
      <c r="D2365" s="5" t="s">
        <v>4290</v>
      </c>
      <c r="E2365" s="5" t="s">
        <v>812</v>
      </c>
      <c r="G2365" s="5" t="s">
        <v>1917</v>
      </c>
    </row>
    <row r="2366" spans="4:7" hidden="1">
      <c r="D2366" s="5" t="s">
        <v>4291</v>
      </c>
      <c r="E2366" s="5" t="s">
        <v>52</v>
      </c>
      <c r="G2366" s="5" t="s">
        <v>1917</v>
      </c>
    </row>
    <row r="2367" spans="4:7" hidden="1">
      <c r="D2367" s="5" t="s">
        <v>4292</v>
      </c>
      <c r="E2367" s="5" t="s">
        <v>168</v>
      </c>
      <c r="G2367" s="5" t="s">
        <v>1917</v>
      </c>
    </row>
    <row r="2368" spans="4:7" hidden="1">
      <c r="D2368" s="5" t="s">
        <v>4293</v>
      </c>
      <c r="E2368" s="5" t="s">
        <v>52</v>
      </c>
      <c r="G2368" s="5" t="s">
        <v>1917</v>
      </c>
    </row>
    <row r="2369" spans="4:7" hidden="1">
      <c r="D2369" s="5" t="s">
        <v>4294</v>
      </c>
      <c r="E2369" s="5" t="s">
        <v>427</v>
      </c>
      <c r="G2369" s="5" t="s">
        <v>1917</v>
      </c>
    </row>
    <row r="2370" spans="4:7" hidden="1">
      <c r="D2370" s="5" t="s">
        <v>4295</v>
      </c>
      <c r="E2370" s="5" t="s">
        <v>1945</v>
      </c>
      <c r="G2370" s="5" t="s">
        <v>1917</v>
      </c>
    </row>
    <row r="2371" spans="4:7" hidden="1">
      <c r="D2371" s="5" t="s">
        <v>4296</v>
      </c>
      <c r="E2371" s="5" t="s">
        <v>812</v>
      </c>
      <c r="G2371" s="5" t="s">
        <v>1917</v>
      </c>
    </row>
    <row r="2372" spans="4:7" hidden="1">
      <c r="D2372" s="5" t="s">
        <v>4297</v>
      </c>
      <c r="E2372" s="5" t="s">
        <v>52</v>
      </c>
      <c r="G2372" s="5" t="s">
        <v>1917</v>
      </c>
    </row>
    <row r="2373" spans="4:7" hidden="1">
      <c r="D2373" s="5" t="s">
        <v>4298</v>
      </c>
      <c r="E2373" s="5" t="s">
        <v>451</v>
      </c>
      <c r="G2373" s="5" t="s">
        <v>1917</v>
      </c>
    </row>
    <row r="2374" spans="4:7" hidden="1">
      <c r="D2374" s="5" t="s">
        <v>4299</v>
      </c>
      <c r="E2374" s="5" t="s">
        <v>52</v>
      </c>
      <c r="G2374" s="5" t="s">
        <v>1926</v>
      </c>
    </row>
    <row r="2375" spans="4:7" hidden="1">
      <c r="D2375" s="5" t="s">
        <v>4300</v>
      </c>
      <c r="E2375" s="5" t="s">
        <v>427</v>
      </c>
      <c r="G2375" s="5" t="s">
        <v>1917</v>
      </c>
    </row>
    <row r="2376" spans="4:7" hidden="1">
      <c r="D2376" s="5" t="s">
        <v>4301</v>
      </c>
      <c r="E2376" s="5" t="s">
        <v>427</v>
      </c>
      <c r="G2376" s="5" t="s">
        <v>1926</v>
      </c>
    </row>
    <row r="2377" spans="4:7" hidden="1">
      <c r="D2377" s="5" t="s">
        <v>4302</v>
      </c>
      <c r="E2377" s="5" t="s">
        <v>812</v>
      </c>
      <c r="G2377" s="5" t="s">
        <v>1917</v>
      </c>
    </row>
    <row r="2378" spans="4:7" hidden="1">
      <c r="D2378" s="5" t="s">
        <v>4303</v>
      </c>
      <c r="E2378" s="5" t="s">
        <v>427</v>
      </c>
      <c r="G2378" s="5" t="s">
        <v>1917</v>
      </c>
    </row>
    <row r="2379" spans="4:7" hidden="1">
      <c r="D2379" s="5" t="s">
        <v>4304</v>
      </c>
      <c r="E2379" s="5" t="s">
        <v>2254</v>
      </c>
      <c r="G2379" s="5" t="s">
        <v>1917</v>
      </c>
    </row>
    <row r="2380" spans="4:7" hidden="1">
      <c r="D2380" s="5" t="s">
        <v>4305</v>
      </c>
      <c r="E2380" s="5" t="s">
        <v>812</v>
      </c>
      <c r="G2380" s="5" t="s">
        <v>1917</v>
      </c>
    </row>
    <row r="2381" spans="4:7" hidden="1">
      <c r="D2381" s="5" t="s">
        <v>4306</v>
      </c>
      <c r="E2381" s="5" t="s">
        <v>52</v>
      </c>
      <c r="G2381" s="5" t="s">
        <v>1917</v>
      </c>
    </row>
    <row r="2382" spans="4:7" hidden="1">
      <c r="D2382" s="5" t="s">
        <v>4307</v>
      </c>
      <c r="E2382" s="5" t="s">
        <v>52</v>
      </c>
      <c r="G2382" s="5" t="s">
        <v>1917</v>
      </c>
    </row>
    <row r="2383" spans="4:7" hidden="1">
      <c r="D2383" s="5" t="s">
        <v>4308</v>
      </c>
      <c r="E2383" s="5" t="s">
        <v>451</v>
      </c>
      <c r="G2383" s="5" t="s">
        <v>1917</v>
      </c>
    </row>
    <row r="2384" spans="4:7" hidden="1">
      <c r="D2384" s="5" t="s">
        <v>4309</v>
      </c>
      <c r="E2384" s="5" t="s">
        <v>2254</v>
      </c>
      <c r="G2384" s="5" t="s">
        <v>1917</v>
      </c>
    </row>
    <row r="2385" spans="4:7" hidden="1">
      <c r="D2385" s="5" t="s">
        <v>4310</v>
      </c>
      <c r="E2385" s="5" t="s">
        <v>812</v>
      </c>
      <c r="G2385" s="5" t="s">
        <v>1917</v>
      </c>
    </row>
    <row r="2386" spans="4:7" hidden="1">
      <c r="D2386" s="5" t="s">
        <v>4311</v>
      </c>
      <c r="E2386" s="5" t="s">
        <v>52</v>
      </c>
      <c r="G2386" s="5" t="s">
        <v>1917</v>
      </c>
    </row>
    <row r="2387" spans="4:7" hidden="1">
      <c r="D2387" s="5" t="s">
        <v>4312</v>
      </c>
      <c r="E2387" s="5" t="s">
        <v>2005</v>
      </c>
      <c r="G2387" s="5" t="s">
        <v>1917</v>
      </c>
    </row>
    <row r="2388" spans="4:7" hidden="1">
      <c r="D2388" s="5" t="s">
        <v>4313</v>
      </c>
      <c r="E2388" s="5" t="s">
        <v>427</v>
      </c>
      <c r="G2388" s="5" t="s">
        <v>1917</v>
      </c>
    </row>
    <row r="2389" spans="4:7" hidden="1">
      <c r="D2389" s="5" t="s">
        <v>4314</v>
      </c>
      <c r="E2389" s="5" t="s">
        <v>1945</v>
      </c>
      <c r="G2389" s="5" t="s">
        <v>1917</v>
      </c>
    </row>
    <row r="2390" spans="4:7" hidden="1">
      <c r="D2390" s="5" t="s">
        <v>4315</v>
      </c>
      <c r="E2390" s="5" t="s">
        <v>812</v>
      </c>
      <c r="G2390" s="5" t="s">
        <v>1917</v>
      </c>
    </row>
    <row r="2391" spans="4:7" hidden="1">
      <c r="D2391" s="5" t="s">
        <v>598</v>
      </c>
      <c r="E2391" s="5" t="s">
        <v>52</v>
      </c>
      <c r="G2391" s="5" t="s">
        <v>1917</v>
      </c>
    </row>
    <row r="2392" spans="4:7" hidden="1">
      <c r="D2392" s="5" t="s">
        <v>4316</v>
      </c>
      <c r="E2392" s="5" t="s">
        <v>427</v>
      </c>
      <c r="G2392" s="5" t="s">
        <v>1917</v>
      </c>
    </row>
    <row r="2393" spans="4:7" hidden="1">
      <c r="D2393" s="5" t="s">
        <v>4317</v>
      </c>
      <c r="E2393" s="5" t="s">
        <v>812</v>
      </c>
      <c r="G2393" s="5" t="s">
        <v>1917</v>
      </c>
    </row>
    <row r="2394" spans="4:7" hidden="1">
      <c r="D2394" s="5" t="s">
        <v>4318</v>
      </c>
      <c r="E2394" s="5" t="s">
        <v>52</v>
      </c>
      <c r="G2394" s="5" t="s">
        <v>1917</v>
      </c>
    </row>
    <row r="2395" spans="4:7" hidden="1">
      <c r="D2395" s="5" t="s">
        <v>4319</v>
      </c>
      <c r="E2395" s="5" t="s">
        <v>451</v>
      </c>
      <c r="G2395" s="5" t="s">
        <v>1917</v>
      </c>
    </row>
    <row r="2396" spans="4:7" hidden="1">
      <c r="D2396" s="5" t="s">
        <v>4320</v>
      </c>
      <c r="E2396" s="5" t="s">
        <v>309</v>
      </c>
      <c r="G2396" s="5" t="s">
        <v>1917</v>
      </c>
    </row>
    <row r="2397" spans="4:7" hidden="1">
      <c r="D2397" s="5" t="s">
        <v>4321</v>
      </c>
      <c r="E2397" s="5" t="s">
        <v>752</v>
      </c>
      <c r="G2397" s="5" t="s">
        <v>1917</v>
      </c>
    </row>
    <row r="2398" spans="4:7" hidden="1">
      <c r="D2398" s="5" t="s">
        <v>4322</v>
      </c>
      <c r="E2398" s="5" t="s">
        <v>812</v>
      </c>
      <c r="G2398" s="5" t="s">
        <v>1917</v>
      </c>
    </row>
    <row r="2399" spans="4:7" hidden="1">
      <c r="D2399" s="5" t="s">
        <v>4323</v>
      </c>
      <c r="E2399" s="5" t="s">
        <v>52</v>
      </c>
      <c r="G2399" s="5" t="s">
        <v>1917</v>
      </c>
    </row>
    <row r="2400" spans="4:7" hidden="1">
      <c r="D2400" s="5" t="s">
        <v>4324</v>
      </c>
      <c r="E2400" s="5" t="s">
        <v>451</v>
      </c>
      <c r="G2400" s="5" t="s">
        <v>1917</v>
      </c>
    </row>
    <row r="2401" spans="4:7" hidden="1">
      <c r="D2401" s="5" t="s">
        <v>4325</v>
      </c>
      <c r="E2401" s="5" t="s">
        <v>309</v>
      </c>
      <c r="G2401" s="5" t="s">
        <v>1917</v>
      </c>
    </row>
    <row r="2402" spans="4:7" hidden="1">
      <c r="D2402" s="5" t="s">
        <v>4326</v>
      </c>
      <c r="E2402" s="5" t="s">
        <v>812</v>
      </c>
      <c r="G2402" s="5" t="s">
        <v>1917</v>
      </c>
    </row>
    <row r="2403" spans="4:7" hidden="1">
      <c r="D2403" s="5" t="s">
        <v>4327</v>
      </c>
      <c r="E2403" s="5" t="s">
        <v>52</v>
      </c>
      <c r="G2403" s="5" t="s">
        <v>1917</v>
      </c>
    </row>
    <row r="2404" spans="4:7" hidden="1">
      <c r="D2404" s="5" t="s">
        <v>4328</v>
      </c>
      <c r="E2404" s="5" t="s">
        <v>451</v>
      </c>
      <c r="G2404" s="5" t="s">
        <v>1917</v>
      </c>
    </row>
    <row r="2405" spans="4:7" hidden="1">
      <c r="D2405" s="5" t="s">
        <v>4329</v>
      </c>
      <c r="E2405" s="5" t="s">
        <v>309</v>
      </c>
      <c r="G2405" s="5" t="s">
        <v>1917</v>
      </c>
    </row>
    <row r="2406" spans="4:7" hidden="1">
      <c r="D2406" s="5" t="s">
        <v>4330</v>
      </c>
      <c r="E2406" s="5" t="s">
        <v>812</v>
      </c>
      <c r="G2406" s="5" t="s">
        <v>1917</v>
      </c>
    </row>
    <row r="2407" spans="4:7" hidden="1">
      <c r="D2407" s="5" t="s">
        <v>4331</v>
      </c>
      <c r="E2407" s="5" t="s">
        <v>52</v>
      </c>
      <c r="G2407" s="5" t="s">
        <v>1917</v>
      </c>
    </row>
    <row r="2408" spans="4:7" hidden="1">
      <c r="D2408" s="5" t="s">
        <v>4332</v>
      </c>
      <c r="E2408" s="5" t="s">
        <v>812</v>
      </c>
      <c r="G2408" s="5" t="s">
        <v>1917</v>
      </c>
    </row>
    <row r="2409" spans="4:7" hidden="1">
      <c r="D2409" s="5" t="s">
        <v>4333</v>
      </c>
      <c r="E2409" s="5" t="s">
        <v>451</v>
      </c>
      <c r="G2409" s="5" t="s">
        <v>1926</v>
      </c>
    </row>
    <row r="2410" spans="4:7" hidden="1">
      <c r="D2410" s="5" t="s">
        <v>4334</v>
      </c>
      <c r="E2410" s="5" t="s">
        <v>1945</v>
      </c>
      <c r="G2410" s="5" t="s">
        <v>1917</v>
      </c>
    </row>
    <row r="2411" spans="4:7" hidden="1">
      <c r="D2411" s="5" t="s">
        <v>4335</v>
      </c>
      <c r="E2411" s="5" t="s">
        <v>812</v>
      </c>
      <c r="G2411" s="5" t="s">
        <v>1917</v>
      </c>
    </row>
    <row r="2412" spans="4:7" hidden="1">
      <c r="D2412" s="5" t="s">
        <v>4336</v>
      </c>
      <c r="E2412" s="5" t="s">
        <v>52</v>
      </c>
      <c r="G2412" s="5" t="s">
        <v>1917</v>
      </c>
    </row>
    <row r="2413" spans="4:7" hidden="1">
      <c r="D2413" s="5" t="s">
        <v>4337</v>
      </c>
      <c r="E2413" s="5" t="s">
        <v>812</v>
      </c>
      <c r="G2413" s="5" t="s">
        <v>1917</v>
      </c>
    </row>
    <row r="2414" spans="4:7" hidden="1">
      <c r="D2414" s="5" t="s">
        <v>4338</v>
      </c>
      <c r="E2414" s="5" t="s">
        <v>52</v>
      </c>
      <c r="G2414" s="5" t="s">
        <v>1917</v>
      </c>
    </row>
    <row r="2415" spans="4:7" hidden="1">
      <c r="D2415" s="5" t="s">
        <v>4339</v>
      </c>
      <c r="E2415" s="5" t="s">
        <v>168</v>
      </c>
      <c r="G2415" s="5" t="s">
        <v>1917</v>
      </c>
    </row>
    <row r="2416" spans="4:7" hidden="1">
      <c r="D2416" s="5" t="s">
        <v>4340</v>
      </c>
      <c r="E2416" s="5" t="s">
        <v>752</v>
      </c>
      <c r="G2416" s="5" t="s">
        <v>1917</v>
      </c>
    </row>
    <row r="2417" spans="4:7" hidden="1">
      <c r="D2417" s="5" t="s">
        <v>4341</v>
      </c>
      <c r="E2417" s="5" t="s">
        <v>52</v>
      </c>
      <c r="G2417" s="5" t="s">
        <v>1917</v>
      </c>
    </row>
    <row r="2418" spans="4:7" hidden="1">
      <c r="D2418" s="5" t="s">
        <v>4342</v>
      </c>
      <c r="E2418" s="5" t="s">
        <v>1945</v>
      </c>
      <c r="G2418" s="5" t="s">
        <v>1917</v>
      </c>
    </row>
    <row r="2419" spans="4:7" hidden="1">
      <c r="D2419" s="5" t="s">
        <v>4343</v>
      </c>
      <c r="E2419" s="5" t="s">
        <v>52</v>
      </c>
      <c r="G2419" s="5" t="s">
        <v>1917</v>
      </c>
    </row>
    <row r="2420" spans="4:7" hidden="1">
      <c r="D2420" s="5" t="s">
        <v>4344</v>
      </c>
      <c r="E2420" s="5" t="s">
        <v>3656</v>
      </c>
      <c r="G2420" s="5" t="s">
        <v>1917</v>
      </c>
    </row>
    <row r="2421" spans="4:7" hidden="1">
      <c r="D2421" s="5" t="s">
        <v>4345</v>
      </c>
      <c r="E2421" s="5" t="s">
        <v>427</v>
      </c>
      <c r="G2421" s="5" t="s">
        <v>1917</v>
      </c>
    </row>
    <row r="2422" spans="4:7" hidden="1">
      <c r="D2422" s="5" t="s">
        <v>4346</v>
      </c>
      <c r="E2422" s="5" t="s">
        <v>52</v>
      </c>
      <c r="G2422" s="5" t="s">
        <v>1917</v>
      </c>
    </row>
    <row r="2423" spans="4:7" hidden="1">
      <c r="D2423" s="5" t="s">
        <v>4347</v>
      </c>
      <c r="E2423" s="5" t="s">
        <v>2348</v>
      </c>
      <c r="G2423" s="5" t="s">
        <v>1917</v>
      </c>
    </row>
    <row r="2424" spans="4:7" hidden="1">
      <c r="D2424" s="5" t="s">
        <v>4348</v>
      </c>
      <c r="E2424" s="5" t="s">
        <v>52</v>
      </c>
      <c r="G2424" s="5" t="s">
        <v>1917</v>
      </c>
    </row>
    <row r="2425" spans="4:7" hidden="1">
      <c r="D2425" s="5" t="s">
        <v>4349</v>
      </c>
      <c r="E2425" s="5" t="s">
        <v>52</v>
      </c>
      <c r="G2425" s="5" t="s">
        <v>1917</v>
      </c>
    </row>
    <row r="2426" spans="4:7" hidden="1">
      <c r="D2426" s="5" t="s">
        <v>4350</v>
      </c>
      <c r="E2426" s="5" t="s">
        <v>752</v>
      </c>
      <c r="G2426" s="5" t="s">
        <v>1917</v>
      </c>
    </row>
    <row r="2427" spans="4:7" hidden="1">
      <c r="D2427" s="5" t="s">
        <v>4351</v>
      </c>
      <c r="E2427" s="5" t="s">
        <v>2091</v>
      </c>
      <c r="G2427" s="5" t="s">
        <v>1917</v>
      </c>
    </row>
    <row r="2428" spans="4:7" hidden="1">
      <c r="D2428" s="5" t="s">
        <v>4352</v>
      </c>
      <c r="E2428" s="5" t="s">
        <v>52</v>
      </c>
      <c r="G2428" s="5" t="s">
        <v>1917</v>
      </c>
    </row>
    <row r="2429" spans="4:7" hidden="1">
      <c r="D2429" s="5" t="s">
        <v>4353</v>
      </c>
      <c r="E2429" s="5" t="s">
        <v>3838</v>
      </c>
      <c r="G2429" s="5" t="s">
        <v>1917</v>
      </c>
    </row>
    <row r="2430" spans="4:7" hidden="1">
      <c r="D2430" s="5" t="s">
        <v>4354</v>
      </c>
      <c r="E2430" s="5" t="s">
        <v>52</v>
      </c>
      <c r="G2430" s="5" t="s">
        <v>1917</v>
      </c>
    </row>
    <row r="2431" spans="4:7" hidden="1">
      <c r="D2431" s="5" t="s">
        <v>4355</v>
      </c>
      <c r="E2431" s="5" t="s">
        <v>427</v>
      </c>
      <c r="G2431" s="5" t="s">
        <v>1926</v>
      </c>
    </row>
    <row r="2432" spans="4:7" hidden="1">
      <c r="D2432" s="5" t="s">
        <v>4356</v>
      </c>
      <c r="E2432" s="5" t="s">
        <v>52</v>
      </c>
      <c r="G2432" s="5" t="s">
        <v>1917</v>
      </c>
    </row>
    <row r="2433" spans="4:7" hidden="1">
      <c r="D2433" s="5" t="s">
        <v>4357</v>
      </c>
      <c r="E2433" s="5" t="s">
        <v>52</v>
      </c>
      <c r="G2433" s="5" t="s">
        <v>1917</v>
      </c>
    </row>
    <row r="2434" spans="4:7" hidden="1">
      <c r="D2434" s="5" t="s">
        <v>55</v>
      </c>
      <c r="E2434" s="5" t="s">
        <v>52</v>
      </c>
      <c r="G2434" s="5" t="s">
        <v>1917</v>
      </c>
    </row>
    <row r="2435" spans="4:7" hidden="1">
      <c r="D2435" s="5" t="s">
        <v>4358</v>
      </c>
      <c r="E2435" s="5" t="s">
        <v>2005</v>
      </c>
      <c r="G2435" s="5" t="s">
        <v>1917</v>
      </c>
    </row>
    <row r="2436" spans="4:7" hidden="1">
      <c r="D2436" s="5" t="s">
        <v>4359</v>
      </c>
      <c r="E2436" s="5" t="s">
        <v>52</v>
      </c>
      <c r="G2436" s="5" t="s">
        <v>1917</v>
      </c>
    </row>
    <row r="2437" spans="4:7" hidden="1">
      <c r="D2437" s="5" t="s">
        <v>4360</v>
      </c>
      <c r="E2437" s="5" t="s">
        <v>1945</v>
      </c>
      <c r="G2437" s="5" t="s">
        <v>1917</v>
      </c>
    </row>
    <row r="2438" spans="4:7" hidden="1">
      <c r="D2438" s="5" t="s">
        <v>4361</v>
      </c>
      <c r="E2438" s="5" t="s">
        <v>52</v>
      </c>
      <c r="G2438" s="5" t="s">
        <v>1917</v>
      </c>
    </row>
    <row r="2439" spans="4:7" hidden="1">
      <c r="D2439" s="5" t="s">
        <v>4362</v>
      </c>
      <c r="E2439" s="5" t="s">
        <v>430</v>
      </c>
      <c r="G2439" s="5" t="s">
        <v>1926</v>
      </c>
    </row>
    <row r="2440" spans="4:7" hidden="1">
      <c r="D2440" s="5" t="s">
        <v>4363</v>
      </c>
      <c r="E2440" s="5" t="s">
        <v>52</v>
      </c>
      <c r="G2440" s="5" t="s">
        <v>1917</v>
      </c>
    </row>
    <row r="2441" spans="4:7" hidden="1">
      <c r="D2441" s="5" t="s">
        <v>4364</v>
      </c>
      <c r="E2441" s="5" t="s">
        <v>52</v>
      </c>
      <c r="G2441" s="5" t="s">
        <v>1917</v>
      </c>
    </row>
    <row r="2442" spans="4:7" hidden="1">
      <c r="D2442" s="5" t="s">
        <v>4365</v>
      </c>
      <c r="E2442" s="5" t="s">
        <v>52</v>
      </c>
      <c r="G2442" s="5" t="s">
        <v>1917</v>
      </c>
    </row>
    <row r="2443" spans="4:7" hidden="1">
      <c r="D2443" s="5" t="s">
        <v>1900</v>
      </c>
      <c r="E2443" s="5" t="s">
        <v>1901</v>
      </c>
      <c r="G2443" s="5" t="s">
        <v>1917</v>
      </c>
    </row>
    <row r="2444" spans="4:7" hidden="1">
      <c r="D2444" s="5" t="s">
        <v>4366</v>
      </c>
      <c r="E2444" s="5" t="s">
        <v>430</v>
      </c>
      <c r="G2444" s="5" t="s">
        <v>1926</v>
      </c>
    </row>
    <row r="2445" spans="4:7" hidden="1">
      <c r="D2445" s="5" t="s">
        <v>4367</v>
      </c>
      <c r="E2445" s="5" t="s">
        <v>52</v>
      </c>
      <c r="G2445" s="5" t="s">
        <v>1917</v>
      </c>
    </row>
    <row r="2446" spans="4:7" hidden="1">
      <c r="D2446" s="5" t="s">
        <v>4368</v>
      </c>
      <c r="E2446" s="5" t="s">
        <v>1945</v>
      </c>
      <c r="G2446" s="5" t="s">
        <v>1917</v>
      </c>
    </row>
    <row r="2447" spans="4:7" hidden="1">
      <c r="D2447" s="5" t="s">
        <v>4369</v>
      </c>
      <c r="E2447" s="5" t="s">
        <v>2091</v>
      </c>
      <c r="G2447" s="5" t="s">
        <v>1917</v>
      </c>
    </row>
    <row r="2448" spans="4:7" hidden="1">
      <c r="D2448" s="5" t="s">
        <v>4370</v>
      </c>
      <c r="E2448" s="5" t="s">
        <v>2091</v>
      </c>
      <c r="G2448" s="5" t="s">
        <v>1917</v>
      </c>
    </row>
    <row r="2449" spans="4:7" hidden="1">
      <c r="D2449" s="5" t="s">
        <v>4371</v>
      </c>
      <c r="E2449" s="5" t="s">
        <v>2091</v>
      </c>
      <c r="G2449" s="5" t="s">
        <v>1917</v>
      </c>
    </row>
    <row r="2450" spans="4:7" hidden="1">
      <c r="D2450" s="5" t="s">
        <v>879</v>
      </c>
      <c r="E2450" s="5" t="s">
        <v>451</v>
      </c>
      <c r="G2450" s="5" t="s">
        <v>1917</v>
      </c>
    </row>
    <row r="2451" spans="4:7" hidden="1">
      <c r="D2451" s="5" t="s">
        <v>4372</v>
      </c>
      <c r="E2451" s="5" t="s">
        <v>1890</v>
      </c>
      <c r="G2451" s="5" t="s">
        <v>1917</v>
      </c>
    </row>
    <row r="2452" spans="4:7" hidden="1">
      <c r="D2452" s="5" t="s">
        <v>4373</v>
      </c>
      <c r="E2452" s="5" t="s">
        <v>2091</v>
      </c>
      <c r="G2452" s="5" t="s">
        <v>1917</v>
      </c>
    </row>
    <row r="2453" spans="4:7" hidden="1">
      <c r="D2453" s="5" t="s">
        <v>4374</v>
      </c>
      <c r="E2453" s="5" t="s">
        <v>2091</v>
      </c>
      <c r="G2453" s="5" t="s">
        <v>1917</v>
      </c>
    </row>
    <row r="2454" spans="4:7" hidden="1">
      <c r="D2454" s="5" t="s">
        <v>4375</v>
      </c>
      <c r="E2454" s="5" t="s">
        <v>451</v>
      </c>
      <c r="G2454" s="5" t="s">
        <v>1926</v>
      </c>
    </row>
    <row r="2455" spans="4:7" hidden="1">
      <c r="D2455" s="5" t="s">
        <v>4376</v>
      </c>
      <c r="E2455" s="5" t="s">
        <v>1890</v>
      </c>
      <c r="G2455" s="5" t="s">
        <v>1917</v>
      </c>
    </row>
    <row r="2456" spans="4:7" hidden="1">
      <c r="D2456" s="5" t="s">
        <v>4377</v>
      </c>
      <c r="E2456" s="5" t="s">
        <v>52</v>
      </c>
      <c r="G2456" s="5" t="s">
        <v>1917</v>
      </c>
    </row>
    <row r="2457" spans="4:7" hidden="1">
      <c r="D2457" s="5" t="s">
        <v>4378</v>
      </c>
      <c r="E2457" s="5" t="s">
        <v>451</v>
      </c>
      <c r="G2457" s="5" t="s">
        <v>1917</v>
      </c>
    </row>
    <row r="2458" spans="4:7" hidden="1">
      <c r="D2458" s="5" t="s">
        <v>4379</v>
      </c>
      <c r="E2458" s="5" t="s">
        <v>1978</v>
      </c>
      <c r="G2458" s="5" t="s">
        <v>1917</v>
      </c>
    </row>
    <row r="2459" spans="4:7" hidden="1">
      <c r="D2459" s="5" t="s">
        <v>4380</v>
      </c>
      <c r="E2459" s="5" t="s">
        <v>2091</v>
      </c>
      <c r="G2459" s="5" t="s">
        <v>1917</v>
      </c>
    </row>
    <row r="2460" spans="4:7" hidden="1">
      <c r="D2460" s="5" t="s">
        <v>4381</v>
      </c>
      <c r="E2460" s="5" t="s">
        <v>2091</v>
      </c>
      <c r="G2460" s="5" t="s">
        <v>1917</v>
      </c>
    </row>
    <row r="2461" spans="4:7" hidden="1">
      <c r="D2461" s="5" t="s">
        <v>4382</v>
      </c>
      <c r="E2461" s="5" t="s">
        <v>52</v>
      </c>
      <c r="G2461" s="5" t="s">
        <v>1917</v>
      </c>
    </row>
    <row r="2462" spans="4:7" hidden="1">
      <c r="D2462" s="5" t="s">
        <v>4383</v>
      </c>
      <c r="E2462" s="5" t="s">
        <v>2614</v>
      </c>
      <c r="F2462" s="5" t="s">
        <v>4384</v>
      </c>
      <c r="G2462" s="5" t="s">
        <v>1926</v>
      </c>
    </row>
    <row r="2463" spans="4:7" hidden="1">
      <c r="D2463" s="5" t="s">
        <v>4385</v>
      </c>
      <c r="E2463" s="5" t="s">
        <v>1940</v>
      </c>
      <c r="G2463" s="5" t="s">
        <v>1917</v>
      </c>
    </row>
    <row r="2464" spans="4:7" hidden="1">
      <c r="D2464" s="5" t="s">
        <v>4386</v>
      </c>
      <c r="E2464" s="5" t="s">
        <v>2005</v>
      </c>
      <c r="G2464" s="5" t="s">
        <v>1926</v>
      </c>
    </row>
    <row r="2465" spans="4:7" hidden="1">
      <c r="D2465" s="5" t="s">
        <v>4387</v>
      </c>
      <c r="E2465" s="5" t="s">
        <v>2005</v>
      </c>
      <c r="G2465" s="5" t="s">
        <v>1917</v>
      </c>
    </row>
    <row r="2466" spans="4:7" hidden="1">
      <c r="D2466" s="5" t="s">
        <v>4388</v>
      </c>
      <c r="E2466" s="5" t="s">
        <v>1978</v>
      </c>
      <c r="G2466" s="5" t="s">
        <v>1917</v>
      </c>
    </row>
    <row r="2467" spans="4:7" hidden="1">
      <c r="D2467" s="5" t="s">
        <v>4389</v>
      </c>
      <c r="E2467" s="5" t="s">
        <v>812</v>
      </c>
      <c r="G2467" s="5" t="s">
        <v>1917</v>
      </c>
    </row>
    <row r="2468" spans="4:7" hidden="1">
      <c r="D2468" s="5" t="s">
        <v>4390</v>
      </c>
      <c r="E2468" s="5" t="s">
        <v>52</v>
      </c>
      <c r="G2468" s="5" t="s">
        <v>1917</v>
      </c>
    </row>
    <row r="2469" spans="4:7" hidden="1">
      <c r="D2469" s="5" t="s">
        <v>4391</v>
      </c>
      <c r="E2469" s="5" t="s">
        <v>427</v>
      </c>
      <c r="G2469" s="5" t="s">
        <v>3822</v>
      </c>
    </row>
    <row r="2470" spans="4:7" hidden="1">
      <c r="D2470" s="5" t="s">
        <v>4392</v>
      </c>
      <c r="E2470" s="5" t="s">
        <v>2005</v>
      </c>
      <c r="G2470" s="5" t="s">
        <v>1917</v>
      </c>
    </row>
    <row r="2471" spans="4:7" hidden="1">
      <c r="D2471" s="5" t="s">
        <v>4393</v>
      </c>
      <c r="E2471" s="5" t="s">
        <v>1978</v>
      </c>
      <c r="G2471" s="5" t="s">
        <v>1917</v>
      </c>
    </row>
    <row r="2472" spans="4:7" hidden="1">
      <c r="D2472" s="5" t="s">
        <v>4394</v>
      </c>
      <c r="E2472" s="5" t="s">
        <v>812</v>
      </c>
      <c r="G2472" s="5" t="s">
        <v>1917</v>
      </c>
    </row>
    <row r="2473" spans="4:7" hidden="1">
      <c r="D2473" s="5" t="s">
        <v>4395</v>
      </c>
      <c r="E2473" s="5" t="s">
        <v>52</v>
      </c>
      <c r="G2473" s="5" t="s">
        <v>1917</v>
      </c>
    </row>
    <row r="2474" spans="4:7" hidden="1">
      <c r="D2474" s="5" t="s">
        <v>4396</v>
      </c>
      <c r="E2474" s="5" t="s">
        <v>2091</v>
      </c>
      <c r="G2474" s="5" t="s">
        <v>1917</v>
      </c>
    </row>
    <row r="2475" spans="4:7" hidden="1">
      <c r="D2475" s="5" t="s">
        <v>4397</v>
      </c>
      <c r="E2475" s="5" t="s">
        <v>2005</v>
      </c>
      <c r="G2475" s="5" t="s">
        <v>1917</v>
      </c>
    </row>
    <row r="2476" spans="4:7" hidden="1">
      <c r="D2476" s="5" t="s">
        <v>4398</v>
      </c>
      <c r="E2476" s="5" t="s">
        <v>2091</v>
      </c>
      <c r="G2476" s="5" t="s">
        <v>1917</v>
      </c>
    </row>
    <row r="2477" spans="4:7" hidden="1">
      <c r="D2477" s="5" t="s">
        <v>4399</v>
      </c>
      <c r="E2477" s="5" t="s">
        <v>812</v>
      </c>
      <c r="G2477" s="5" t="s">
        <v>1917</v>
      </c>
    </row>
    <row r="2478" spans="4:7" hidden="1">
      <c r="D2478" s="5" t="s">
        <v>4400</v>
      </c>
      <c r="E2478" s="5" t="s">
        <v>52</v>
      </c>
      <c r="G2478" s="5" t="s">
        <v>1917</v>
      </c>
    </row>
    <row r="2479" spans="4:7" hidden="1">
      <c r="D2479" s="5" t="s">
        <v>4401</v>
      </c>
      <c r="E2479" s="5" t="s">
        <v>2091</v>
      </c>
      <c r="G2479" s="5" t="s">
        <v>1917</v>
      </c>
    </row>
    <row r="2480" spans="4:7" hidden="1">
      <c r="D2480" s="5" t="s">
        <v>4402</v>
      </c>
      <c r="E2480" s="5" t="s">
        <v>1890</v>
      </c>
      <c r="G2480" s="5" t="s">
        <v>1917</v>
      </c>
    </row>
    <row r="2481" spans="4:7" hidden="1">
      <c r="D2481" s="5" t="s">
        <v>4403</v>
      </c>
      <c r="E2481" s="5" t="s">
        <v>2005</v>
      </c>
      <c r="G2481" s="5" t="s">
        <v>1917</v>
      </c>
    </row>
    <row r="2482" spans="4:7" hidden="1">
      <c r="D2482" s="5" t="s">
        <v>4404</v>
      </c>
      <c r="E2482" s="5" t="s">
        <v>812</v>
      </c>
      <c r="G2482" s="5" t="s">
        <v>1917</v>
      </c>
    </row>
    <row r="2483" spans="4:7" hidden="1">
      <c r="D2483" s="5" t="s">
        <v>4405</v>
      </c>
      <c r="E2483" s="5" t="s">
        <v>52</v>
      </c>
      <c r="G2483" s="5" t="s">
        <v>1917</v>
      </c>
    </row>
    <row r="2484" spans="4:7" hidden="1">
      <c r="D2484" s="5" t="s">
        <v>4406</v>
      </c>
      <c r="E2484" s="5" t="s">
        <v>309</v>
      </c>
      <c r="G2484" s="5" t="s">
        <v>3822</v>
      </c>
    </row>
    <row r="2485" spans="4:7" hidden="1">
      <c r="D2485" s="5" t="s">
        <v>4407</v>
      </c>
      <c r="E2485" s="5" t="s">
        <v>1890</v>
      </c>
      <c r="G2485" s="5" t="s">
        <v>1917</v>
      </c>
    </row>
    <row r="2486" spans="4:7" hidden="1">
      <c r="D2486" s="5" t="s">
        <v>4408</v>
      </c>
      <c r="E2486" s="5" t="s">
        <v>812</v>
      </c>
      <c r="G2486" s="5" t="s">
        <v>1917</v>
      </c>
    </row>
    <row r="2487" spans="4:7" hidden="1">
      <c r="D2487" s="5" t="s">
        <v>4409</v>
      </c>
      <c r="E2487" s="5" t="s">
        <v>2091</v>
      </c>
      <c r="G2487" s="5" t="s">
        <v>1917</v>
      </c>
    </row>
    <row r="2488" spans="4:7" hidden="1">
      <c r="D2488" s="5" t="s">
        <v>4410</v>
      </c>
      <c r="E2488" s="5" t="s">
        <v>309</v>
      </c>
      <c r="G2488" s="5" t="s">
        <v>3822</v>
      </c>
    </row>
    <row r="2489" spans="4:7" hidden="1">
      <c r="D2489" s="5" t="s">
        <v>4411</v>
      </c>
      <c r="E2489" s="5" t="s">
        <v>2005</v>
      </c>
      <c r="G2489" s="5" t="s">
        <v>1917</v>
      </c>
    </row>
    <row r="2490" spans="4:7" hidden="1">
      <c r="D2490" s="5" t="s">
        <v>4412</v>
      </c>
      <c r="E2490" s="5" t="s">
        <v>1890</v>
      </c>
      <c r="G2490" s="5" t="s">
        <v>1917</v>
      </c>
    </row>
    <row r="2491" spans="4:7" hidden="1">
      <c r="D2491" s="5" t="s">
        <v>4413</v>
      </c>
      <c r="E2491" s="5" t="s">
        <v>3995</v>
      </c>
      <c r="G2491" s="5" t="s">
        <v>1917</v>
      </c>
    </row>
    <row r="2492" spans="4:7" hidden="1">
      <c r="D2492" s="5" t="s">
        <v>4414</v>
      </c>
      <c r="E2492" s="5" t="s">
        <v>812</v>
      </c>
      <c r="G2492" s="5" t="s">
        <v>1917</v>
      </c>
    </row>
    <row r="2493" spans="4:7" hidden="1">
      <c r="D2493" s="5" t="s">
        <v>4415</v>
      </c>
      <c r="E2493" s="5" t="s">
        <v>2005</v>
      </c>
      <c r="G2493" s="5" t="s">
        <v>1917</v>
      </c>
    </row>
    <row r="2494" spans="4:7" hidden="1">
      <c r="D2494" s="5" t="s">
        <v>4416</v>
      </c>
      <c r="E2494" s="5" t="s">
        <v>1890</v>
      </c>
      <c r="G2494" s="5" t="s">
        <v>1917</v>
      </c>
    </row>
    <row r="2495" spans="4:7" hidden="1">
      <c r="D2495" s="5" t="s">
        <v>4417</v>
      </c>
      <c r="E2495" s="5" t="s">
        <v>1890</v>
      </c>
      <c r="G2495" s="5" t="s">
        <v>1917</v>
      </c>
    </row>
    <row r="2496" spans="4:7" hidden="1">
      <c r="D2496" s="5" t="s">
        <v>4418</v>
      </c>
      <c r="E2496" s="5" t="s">
        <v>2005</v>
      </c>
      <c r="G2496" s="5" t="s">
        <v>1917</v>
      </c>
    </row>
    <row r="2497" spans="4:7" hidden="1">
      <c r="D2497" s="5" t="s">
        <v>4419</v>
      </c>
      <c r="E2497" s="5" t="s">
        <v>427</v>
      </c>
      <c r="G2497" s="5" t="s">
        <v>1917</v>
      </c>
    </row>
    <row r="2498" spans="4:7" hidden="1">
      <c r="D2498" s="5" t="s">
        <v>4420</v>
      </c>
      <c r="E2498" s="5" t="s">
        <v>52</v>
      </c>
      <c r="G2498" s="5" t="s">
        <v>1917</v>
      </c>
    </row>
    <row r="2499" spans="4:7" hidden="1">
      <c r="D2499" s="5" t="s">
        <v>4421</v>
      </c>
      <c r="E2499" s="5" t="s">
        <v>427</v>
      </c>
      <c r="G2499" s="5" t="s">
        <v>3822</v>
      </c>
    </row>
    <row r="2500" spans="4:7" hidden="1">
      <c r="D2500" s="5" t="s">
        <v>4422</v>
      </c>
      <c r="E2500" s="5" t="s">
        <v>1890</v>
      </c>
      <c r="G2500" s="5" t="s">
        <v>1917</v>
      </c>
    </row>
    <row r="2501" spans="4:7" hidden="1">
      <c r="D2501" s="5" t="s">
        <v>4423</v>
      </c>
      <c r="E2501" s="5" t="s">
        <v>427</v>
      </c>
      <c r="G2501" s="5" t="s">
        <v>1917</v>
      </c>
    </row>
    <row r="2502" spans="4:7" hidden="1">
      <c r="D2502" s="5" t="s">
        <v>4424</v>
      </c>
      <c r="E2502" s="5" t="s">
        <v>451</v>
      </c>
      <c r="G2502" s="5" t="s">
        <v>1917</v>
      </c>
    </row>
    <row r="2503" spans="4:7" hidden="1">
      <c r="D2503" s="5" t="s">
        <v>4425</v>
      </c>
      <c r="E2503" s="5" t="s">
        <v>52</v>
      </c>
      <c r="G2503" s="5" t="s">
        <v>1917</v>
      </c>
    </row>
    <row r="2504" spans="4:7" hidden="1">
      <c r="D2504" s="5" t="s">
        <v>4426</v>
      </c>
      <c r="E2504" s="5" t="s">
        <v>2091</v>
      </c>
      <c r="G2504" s="5" t="s">
        <v>1917</v>
      </c>
    </row>
    <row r="2505" spans="4:7" hidden="1">
      <c r="D2505" s="5" t="s">
        <v>4427</v>
      </c>
      <c r="E2505" s="5" t="s">
        <v>1890</v>
      </c>
      <c r="G2505" s="5" t="s">
        <v>1917</v>
      </c>
    </row>
    <row r="2506" spans="4:7" hidden="1">
      <c r="D2506" s="5" t="s">
        <v>4428</v>
      </c>
      <c r="E2506" s="5" t="s">
        <v>427</v>
      </c>
      <c r="G2506" s="5" t="s">
        <v>1917</v>
      </c>
    </row>
    <row r="2507" spans="4:7" hidden="1">
      <c r="D2507" s="5" t="s">
        <v>4429</v>
      </c>
      <c r="E2507" s="5" t="s">
        <v>451</v>
      </c>
      <c r="G2507" s="5" t="s">
        <v>1917</v>
      </c>
    </row>
    <row r="2508" spans="4:7" hidden="1">
      <c r="D2508" s="5" t="s">
        <v>4430</v>
      </c>
      <c r="E2508" s="5" t="s">
        <v>52</v>
      </c>
      <c r="G2508" s="5" t="s">
        <v>1917</v>
      </c>
    </row>
    <row r="2509" spans="4:7" hidden="1">
      <c r="D2509" s="5" t="s">
        <v>4431</v>
      </c>
      <c r="E2509" s="5" t="s">
        <v>2091</v>
      </c>
      <c r="G2509" s="5" t="s">
        <v>1917</v>
      </c>
    </row>
    <row r="2510" spans="4:7" hidden="1">
      <c r="D2510" s="5" t="s">
        <v>4432</v>
      </c>
      <c r="E2510" s="5" t="s">
        <v>52</v>
      </c>
      <c r="G2510" s="5" t="s">
        <v>1917</v>
      </c>
    </row>
    <row r="2511" spans="4:7" hidden="1">
      <c r="D2511" s="5" t="s">
        <v>4433</v>
      </c>
      <c r="E2511" s="5" t="s">
        <v>2005</v>
      </c>
      <c r="G2511" s="5" t="s">
        <v>1917</v>
      </c>
    </row>
    <row r="2512" spans="4:7" hidden="1">
      <c r="D2512" s="5" t="s">
        <v>4434</v>
      </c>
      <c r="E2512" s="5" t="s">
        <v>3838</v>
      </c>
      <c r="G2512" s="5" t="s">
        <v>1917</v>
      </c>
    </row>
    <row r="2513" spans="4:7" hidden="1">
      <c r="D2513" s="5" t="s">
        <v>4435</v>
      </c>
      <c r="E2513" s="5" t="s">
        <v>427</v>
      </c>
      <c r="G2513" s="5" t="s">
        <v>1926</v>
      </c>
    </row>
    <row r="2514" spans="4:7" hidden="1">
      <c r="D2514" s="5" t="s">
        <v>4436</v>
      </c>
      <c r="E2514" s="5" t="s">
        <v>1978</v>
      </c>
      <c r="G2514" s="5" t="s">
        <v>1917</v>
      </c>
    </row>
    <row r="2515" spans="4:7" hidden="1">
      <c r="D2515" s="5" t="s">
        <v>1013</v>
      </c>
      <c r="E2515" s="5" t="s">
        <v>52</v>
      </c>
      <c r="G2515" s="5" t="s">
        <v>1917</v>
      </c>
    </row>
    <row r="2516" spans="4:7" hidden="1">
      <c r="D2516" s="5" t="s">
        <v>4437</v>
      </c>
      <c r="E2516" s="5" t="s">
        <v>427</v>
      </c>
      <c r="G2516" s="5" t="s">
        <v>1917</v>
      </c>
    </row>
    <row r="2517" spans="4:7" hidden="1">
      <c r="D2517" s="5" t="s">
        <v>4438</v>
      </c>
      <c r="E2517" s="5" t="s">
        <v>427</v>
      </c>
      <c r="G2517" s="5" t="s">
        <v>1917</v>
      </c>
    </row>
    <row r="2518" spans="4:7" hidden="1">
      <c r="D2518" s="5" t="s">
        <v>4439</v>
      </c>
      <c r="E2518" s="5" t="s">
        <v>52</v>
      </c>
      <c r="G2518" s="5" t="s">
        <v>1917</v>
      </c>
    </row>
    <row r="2519" spans="4:7" hidden="1">
      <c r="D2519" s="5" t="s">
        <v>4440</v>
      </c>
      <c r="E2519" s="5" t="s">
        <v>2091</v>
      </c>
      <c r="G2519" s="5" t="s">
        <v>1917</v>
      </c>
    </row>
    <row r="2520" spans="4:7" hidden="1">
      <c r="D2520" s="5" t="s">
        <v>4441</v>
      </c>
      <c r="E2520" s="5" t="s">
        <v>2091</v>
      </c>
      <c r="G2520" s="5" t="s">
        <v>1917</v>
      </c>
    </row>
    <row r="2521" spans="4:7" hidden="1">
      <c r="D2521" s="5" t="s">
        <v>4442</v>
      </c>
      <c r="E2521" s="5" t="s">
        <v>52</v>
      </c>
      <c r="G2521" s="5" t="s">
        <v>1917</v>
      </c>
    </row>
    <row r="2522" spans="4:7" hidden="1">
      <c r="D2522" s="5" t="s">
        <v>4443</v>
      </c>
      <c r="E2522" s="5" t="s">
        <v>2091</v>
      </c>
      <c r="G2522" s="5" t="s">
        <v>1917</v>
      </c>
    </row>
    <row r="2523" spans="4:7" hidden="1">
      <c r="D2523" s="5" t="s">
        <v>4444</v>
      </c>
      <c r="E2523" s="5" t="s">
        <v>2091</v>
      </c>
      <c r="G2523" s="5" t="s">
        <v>1917</v>
      </c>
    </row>
    <row r="2524" spans="4:7" hidden="1">
      <c r="D2524" s="5" t="s">
        <v>4445</v>
      </c>
      <c r="E2524" s="5" t="s">
        <v>52</v>
      </c>
      <c r="G2524" s="5" t="s">
        <v>1917</v>
      </c>
    </row>
    <row r="2525" spans="4:7" hidden="1">
      <c r="D2525" s="5" t="s">
        <v>4446</v>
      </c>
      <c r="E2525" s="5" t="s">
        <v>2091</v>
      </c>
      <c r="G2525" s="5" t="s">
        <v>1917</v>
      </c>
    </row>
    <row r="2526" spans="4:7" hidden="1">
      <c r="D2526" s="5" t="s">
        <v>428</v>
      </c>
      <c r="E2526" s="5" t="s">
        <v>427</v>
      </c>
      <c r="G2526" s="5" t="s">
        <v>1926</v>
      </c>
    </row>
    <row r="2527" spans="4:7" hidden="1">
      <c r="D2527" s="5" t="s">
        <v>4447</v>
      </c>
      <c r="E2527" s="5" t="s">
        <v>52</v>
      </c>
      <c r="G2527" s="5" t="s">
        <v>1917</v>
      </c>
    </row>
    <row r="2528" spans="4:7" hidden="1">
      <c r="D2528" s="5" t="s">
        <v>4448</v>
      </c>
      <c r="E2528" s="5" t="s">
        <v>752</v>
      </c>
      <c r="G2528" s="5" t="s">
        <v>1917</v>
      </c>
    </row>
    <row r="2529" spans="4:7" hidden="1">
      <c r="D2529" s="5" t="s">
        <v>4449</v>
      </c>
      <c r="E2529" s="5" t="s">
        <v>1978</v>
      </c>
      <c r="G2529" s="5" t="s">
        <v>1917</v>
      </c>
    </row>
    <row r="2530" spans="4:7" hidden="1">
      <c r="D2530" s="5" t="s">
        <v>4450</v>
      </c>
      <c r="E2530" s="5" t="s">
        <v>52</v>
      </c>
      <c r="G2530" s="5" t="s">
        <v>1917</v>
      </c>
    </row>
    <row r="2531" spans="4:7" hidden="1">
      <c r="D2531" s="5" t="s">
        <v>4451</v>
      </c>
      <c r="E2531" s="5" t="s">
        <v>309</v>
      </c>
      <c r="G2531" s="5" t="s">
        <v>3822</v>
      </c>
    </row>
    <row r="2532" spans="4:7" hidden="1">
      <c r="D2532" s="5" t="s">
        <v>4452</v>
      </c>
      <c r="E2532" s="5" t="s">
        <v>427</v>
      </c>
      <c r="G2532" s="5" t="s">
        <v>1917</v>
      </c>
    </row>
    <row r="2533" spans="4:7" hidden="1">
      <c r="D2533" s="5" t="s">
        <v>4453</v>
      </c>
      <c r="E2533" s="5" t="s">
        <v>1916</v>
      </c>
      <c r="G2533" s="5" t="s">
        <v>1926</v>
      </c>
    </row>
    <row r="2534" spans="4:7" hidden="1">
      <c r="D2534" s="5" t="s">
        <v>4454</v>
      </c>
      <c r="E2534" s="5" t="s">
        <v>52</v>
      </c>
      <c r="G2534" s="5" t="s">
        <v>1917</v>
      </c>
    </row>
    <row r="2535" spans="4:7" hidden="1">
      <c r="D2535" s="5" t="s">
        <v>4455</v>
      </c>
      <c r="E2535" s="5" t="s">
        <v>309</v>
      </c>
      <c r="G2535" s="5" t="s">
        <v>3822</v>
      </c>
    </row>
    <row r="2536" spans="4:7" hidden="1">
      <c r="D2536" s="5" t="s">
        <v>4456</v>
      </c>
      <c r="E2536" s="5" t="s">
        <v>3995</v>
      </c>
      <c r="F2536" s="5" t="s">
        <v>4457</v>
      </c>
      <c r="G2536" s="5" t="s">
        <v>1926</v>
      </c>
    </row>
    <row r="2537" spans="4:7" hidden="1">
      <c r="D2537" s="5" t="s">
        <v>4458</v>
      </c>
      <c r="E2537" s="5" t="s">
        <v>1916</v>
      </c>
      <c r="G2537" s="5" t="s">
        <v>1926</v>
      </c>
    </row>
    <row r="2538" spans="4:7" hidden="1">
      <c r="D2538" s="5" t="s">
        <v>4459</v>
      </c>
      <c r="E2538" s="5" t="s">
        <v>52</v>
      </c>
      <c r="G2538" s="5" t="s">
        <v>1917</v>
      </c>
    </row>
    <row r="2539" spans="4:7" hidden="1">
      <c r="D2539" s="5" t="s">
        <v>4460</v>
      </c>
      <c r="E2539" s="5" t="s">
        <v>451</v>
      </c>
      <c r="G2539" s="5" t="s">
        <v>3822</v>
      </c>
    </row>
    <row r="2540" spans="4:7" hidden="1">
      <c r="D2540" s="5" t="s">
        <v>4461</v>
      </c>
      <c r="E2540" s="5" t="s">
        <v>2792</v>
      </c>
      <c r="G2540" s="5" t="s">
        <v>1926</v>
      </c>
    </row>
    <row r="2541" spans="4:7" hidden="1">
      <c r="D2541" s="5" t="s">
        <v>4462</v>
      </c>
      <c r="E2541" s="5" t="s">
        <v>427</v>
      </c>
      <c r="G2541" s="5" t="s">
        <v>1917</v>
      </c>
    </row>
    <row r="2542" spans="4:7" hidden="1">
      <c r="D2542" s="5" t="s">
        <v>4463</v>
      </c>
      <c r="E2542" s="5" t="s">
        <v>2005</v>
      </c>
      <c r="G2542" s="5" t="s">
        <v>1917</v>
      </c>
    </row>
    <row r="2543" spans="4:7" hidden="1">
      <c r="D2543" s="5" t="s">
        <v>4464</v>
      </c>
      <c r="E2543" s="5" t="s">
        <v>309</v>
      </c>
      <c r="G2543" s="5" t="s">
        <v>1917</v>
      </c>
    </row>
    <row r="2544" spans="4:7" hidden="1">
      <c r="D2544" s="5" t="s">
        <v>1286</v>
      </c>
      <c r="E2544" s="5" t="s">
        <v>1916</v>
      </c>
      <c r="G2544" s="5" t="s">
        <v>1917</v>
      </c>
    </row>
    <row r="2545" spans="4:7" hidden="1">
      <c r="D2545" s="5" t="s">
        <v>4465</v>
      </c>
      <c r="E2545" s="5" t="s">
        <v>52</v>
      </c>
      <c r="G2545" s="5" t="s">
        <v>1917</v>
      </c>
    </row>
    <row r="2546" spans="4:7" hidden="1">
      <c r="D2546" s="5" t="s">
        <v>4466</v>
      </c>
      <c r="E2546" s="5" t="s">
        <v>309</v>
      </c>
      <c r="G2546" s="5" t="s">
        <v>3822</v>
      </c>
    </row>
    <row r="2547" spans="4:7" hidden="1">
      <c r="D2547" s="5" t="s">
        <v>4467</v>
      </c>
      <c r="E2547" s="5" t="s">
        <v>2005</v>
      </c>
      <c r="G2547" s="5" t="s">
        <v>1917</v>
      </c>
    </row>
    <row r="2548" spans="4:7" hidden="1">
      <c r="D2548" s="5" t="s">
        <v>4468</v>
      </c>
      <c r="E2548" s="5" t="s">
        <v>52</v>
      </c>
      <c r="G2548" s="5" t="s">
        <v>1917</v>
      </c>
    </row>
    <row r="2549" spans="4:7" hidden="1">
      <c r="D2549" s="5" t="s">
        <v>4469</v>
      </c>
      <c r="E2549" s="5" t="s">
        <v>2792</v>
      </c>
      <c r="G2549" s="5" t="s">
        <v>1926</v>
      </c>
    </row>
    <row r="2550" spans="4:7" hidden="1">
      <c r="D2550" s="5" t="s">
        <v>4470</v>
      </c>
      <c r="E2550" s="5" t="s">
        <v>2091</v>
      </c>
      <c r="G2550" s="5" t="s">
        <v>1917</v>
      </c>
    </row>
    <row r="2551" spans="4:7" hidden="1">
      <c r="D2551" s="5" t="s">
        <v>4471</v>
      </c>
      <c r="E2551" s="5" t="s">
        <v>2005</v>
      </c>
      <c r="G2551" s="5" t="s">
        <v>1917</v>
      </c>
    </row>
    <row r="2552" spans="4:7" hidden="1">
      <c r="D2552" s="5" t="s">
        <v>4472</v>
      </c>
      <c r="E2552" s="5" t="s">
        <v>52</v>
      </c>
      <c r="G2552" s="5" t="s">
        <v>1926</v>
      </c>
    </row>
    <row r="2553" spans="4:7" hidden="1">
      <c r="D2553" s="5" t="s">
        <v>4473</v>
      </c>
      <c r="E2553" s="5" t="s">
        <v>2091</v>
      </c>
      <c r="G2553" s="5" t="s">
        <v>1917</v>
      </c>
    </row>
    <row r="2554" spans="4:7" hidden="1">
      <c r="D2554" s="5" t="s">
        <v>4474</v>
      </c>
      <c r="E2554" s="5" t="s">
        <v>451</v>
      </c>
      <c r="G2554" s="5" t="s">
        <v>1917</v>
      </c>
    </row>
    <row r="2555" spans="4:7" hidden="1">
      <c r="D2555" s="5" t="s">
        <v>4475</v>
      </c>
      <c r="E2555" s="5" t="s">
        <v>2091</v>
      </c>
      <c r="G2555" s="5" t="s">
        <v>1917</v>
      </c>
    </row>
    <row r="2556" spans="4:7" hidden="1">
      <c r="D2556" s="5" t="s">
        <v>4476</v>
      </c>
      <c r="E2556" s="5" t="s">
        <v>52</v>
      </c>
      <c r="G2556" s="5" t="s">
        <v>1926</v>
      </c>
    </row>
    <row r="2557" spans="4:7" hidden="1">
      <c r="D2557" s="5" t="s">
        <v>4477</v>
      </c>
      <c r="E2557" s="5" t="s">
        <v>2493</v>
      </c>
      <c r="G2557" s="5" t="s">
        <v>2364</v>
      </c>
    </row>
    <row r="2558" spans="4:7" hidden="1">
      <c r="D2558" s="5" t="s">
        <v>4478</v>
      </c>
      <c r="E2558" s="5" t="s">
        <v>2091</v>
      </c>
      <c r="G2558" s="5" t="s">
        <v>1917</v>
      </c>
    </row>
    <row r="2559" spans="4:7" hidden="1">
      <c r="D2559" s="5" t="s">
        <v>4479</v>
      </c>
      <c r="E2559" s="5" t="s">
        <v>2091</v>
      </c>
      <c r="G2559" s="5" t="s">
        <v>1917</v>
      </c>
    </row>
    <row r="2560" spans="4:7" hidden="1">
      <c r="D2560" s="5" t="s">
        <v>4480</v>
      </c>
      <c r="E2560" s="5" t="s">
        <v>1978</v>
      </c>
      <c r="G2560" s="5" t="s">
        <v>1917</v>
      </c>
    </row>
    <row r="2561" spans="4:7" hidden="1">
      <c r="D2561" s="5" t="s">
        <v>4481</v>
      </c>
      <c r="E2561" s="5" t="s">
        <v>52</v>
      </c>
      <c r="G2561" s="5" t="s">
        <v>1917</v>
      </c>
    </row>
    <row r="2562" spans="4:7" hidden="1">
      <c r="D2562" s="5" t="s">
        <v>4482</v>
      </c>
      <c r="E2562" s="5" t="s">
        <v>2254</v>
      </c>
      <c r="G2562" s="5" t="s">
        <v>1917</v>
      </c>
    </row>
    <row r="2563" spans="4:7" hidden="1">
      <c r="D2563" s="5" t="s">
        <v>4483</v>
      </c>
      <c r="E2563" s="5" t="s">
        <v>430</v>
      </c>
      <c r="G2563" s="5" t="s">
        <v>1917</v>
      </c>
    </row>
    <row r="2564" spans="4:7" hidden="1">
      <c r="D2564" s="5" t="s">
        <v>4484</v>
      </c>
      <c r="E2564" s="5" t="s">
        <v>2091</v>
      </c>
      <c r="G2564" s="5" t="s">
        <v>1917</v>
      </c>
    </row>
    <row r="2565" spans="4:7" hidden="1">
      <c r="D2565" s="5" t="s">
        <v>4485</v>
      </c>
      <c r="E2565" s="5" t="s">
        <v>2493</v>
      </c>
      <c r="G2565" s="5" t="s">
        <v>2364</v>
      </c>
    </row>
    <row r="2566" spans="4:7" hidden="1">
      <c r="D2566" s="5" t="s">
        <v>4486</v>
      </c>
      <c r="E2566" s="5" t="s">
        <v>2005</v>
      </c>
      <c r="G2566" s="5" t="s">
        <v>1917</v>
      </c>
    </row>
    <row r="2567" spans="4:7" hidden="1">
      <c r="D2567" s="5" t="s">
        <v>4487</v>
      </c>
      <c r="E2567" s="5" t="s">
        <v>2005</v>
      </c>
      <c r="G2567" s="5" t="s">
        <v>1917</v>
      </c>
    </row>
    <row r="2568" spans="4:7" hidden="1">
      <c r="D2568" s="5" t="s">
        <v>4488</v>
      </c>
      <c r="E2568" s="5" t="s">
        <v>1890</v>
      </c>
      <c r="G2568" s="5" t="s">
        <v>1917</v>
      </c>
    </row>
    <row r="2569" spans="4:7" hidden="1">
      <c r="D2569" s="5" t="s">
        <v>4489</v>
      </c>
      <c r="E2569" s="5" t="s">
        <v>2091</v>
      </c>
      <c r="G2569" s="5" t="s">
        <v>1917</v>
      </c>
    </row>
    <row r="2570" spans="4:7" hidden="1">
      <c r="D2570" s="5" t="s">
        <v>4490</v>
      </c>
      <c r="E2570" s="5" t="s">
        <v>3656</v>
      </c>
      <c r="G2570" s="5" t="s">
        <v>1917</v>
      </c>
    </row>
    <row r="2571" spans="4:7" hidden="1">
      <c r="D2571" s="5" t="s">
        <v>4491</v>
      </c>
      <c r="E2571" s="5" t="s">
        <v>430</v>
      </c>
      <c r="G2571" s="5" t="s">
        <v>1917</v>
      </c>
    </row>
    <row r="2572" spans="4:7" hidden="1">
      <c r="D2572" s="5" t="s">
        <v>4492</v>
      </c>
      <c r="E2572" s="5" t="s">
        <v>3979</v>
      </c>
      <c r="G2572" s="5" t="s">
        <v>1917</v>
      </c>
    </row>
    <row r="2573" spans="4:7" hidden="1">
      <c r="D2573" s="5" t="s">
        <v>4493</v>
      </c>
      <c r="E2573" s="5" t="s">
        <v>3979</v>
      </c>
      <c r="G2573" s="5" t="s">
        <v>1920</v>
      </c>
    </row>
    <row r="2574" spans="4:7" hidden="1">
      <c r="D2574" s="5" t="s">
        <v>4494</v>
      </c>
      <c r="E2574" s="5" t="s">
        <v>2005</v>
      </c>
      <c r="G2574" s="5" t="s">
        <v>1917</v>
      </c>
    </row>
    <row r="2575" spans="4:7" hidden="1">
      <c r="D2575" s="5" t="s">
        <v>4495</v>
      </c>
      <c r="E2575" s="5" t="s">
        <v>171</v>
      </c>
      <c r="G2575" s="5" t="s">
        <v>1917</v>
      </c>
    </row>
    <row r="2576" spans="4:7" hidden="1">
      <c r="D2576" s="5" t="s">
        <v>4496</v>
      </c>
      <c r="E2576" s="5" t="s">
        <v>1978</v>
      </c>
      <c r="G2576" s="5" t="s">
        <v>1917</v>
      </c>
    </row>
    <row r="2577" spans="4:7" hidden="1">
      <c r="D2577" s="5" t="s">
        <v>4497</v>
      </c>
      <c r="E2577" s="5" t="s">
        <v>1890</v>
      </c>
      <c r="G2577" s="5" t="s">
        <v>1926</v>
      </c>
    </row>
    <row r="2578" spans="4:7" hidden="1">
      <c r="D2578" s="5" t="s">
        <v>4498</v>
      </c>
      <c r="E2578" s="5" t="s">
        <v>1890</v>
      </c>
      <c r="G2578" s="5" t="s">
        <v>1917</v>
      </c>
    </row>
    <row r="2579" spans="4:7" hidden="1">
      <c r="D2579" s="5" t="s">
        <v>4499</v>
      </c>
      <c r="E2579" s="5" t="s">
        <v>309</v>
      </c>
      <c r="G2579" s="5" t="s">
        <v>1917</v>
      </c>
    </row>
    <row r="2580" spans="4:7" hidden="1">
      <c r="D2580" s="5" t="s">
        <v>4500</v>
      </c>
      <c r="E2580" s="5" t="s">
        <v>309</v>
      </c>
      <c r="G2580" s="5" t="s">
        <v>1917</v>
      </c>
    </row>
    <row r="2581" spans="4:7" hidden="1">
      <c r="D2581" s="5" t="s">
        <v>4501</v>
      </c>
      <c r="E2581" s="5" t="s">
        <v>1978</v>
      </c>
      <c r="G2581" s="5" t="s">
        <v>1917</v>
      </c>
    </row>
    <row r="2582" spans="4:7" hidden="1">
      <c r="D2582" s="5" t="s">
        <v>4502</v>
      </c>
      <c r="E2582" s="5" t="s">
        <v>2493</v>
      </c>
      <c r="G2582" s="5" t="s">
        <v>2364</v>
      </c>
    </row>
    <row r="2583" spans="4:7" hidden="1">
      <c r="D2583" s="5" t="s">
        <v>4503</v>
      </c>
      <c r="E2583" s="5" t="s">
        <v>1890</v>
      </c>
      <c r="G2583" s="5" t="s">
        <v>1917</v>
      </c>
    </row>
    <row r="2584" spans="4:7" hidden="1">
      <c r="D2584" s="5" t="s">
        <v>4504</v>
      </c>
      <c r="E2584" s="5" t="s">
        <v>2091</v>
      </c>
      <c r="G2584" s="5" t="s">
        <v>1917</v>
      </c>
    </row>
    <row r="2585" spans="4:7" hidden="1">
      <c r="D2585" s="5" t="s">
        <v>4505</v>
      </c>
      <c r="E2585" s="5" t="s">
        <v>309</v>
      </c>
      <c r="G2585" s="5" t="s">
        <v>1917</v>
      </c>
    </row>
    <row r="2586" spans="4:7" hidden="1">
      <c r="D2586" s="5" t="s">
        <v>4506</v>
      </c>
      <c r="E2586" s="5" t="s">
        <v>2493</v>
      </c>
      <c r="G2586" s="5" t="s">
        <v>2364</v>
      </c>
    </row>
    <row r="2587" spans="4:7" hidden="1">
      <c r="D2587" s="5" t="s">
        <v>4507</v>
      </c>
      <c r="E2587" s="5" t="s">
        <v>309</v>
      </c>
      <c r="G2587" s="5" t="s">
        <v>1917</v>
      </c>
    </row>
    <row r="2588" spans="4:7" hidden="1">
      <c r="D2588" s="5" t="s">
        <v>4508</v>
      </c>
      <c r="E2588" s="5" t="s">
        <v>2005</v>
      </c>
      <c r="G2588" s="5" t="s">
        <v>1917</v>
      </c>
    </row>
    <row r="2589" spans="4:7" hidden="1">
      <c r="D2589" s="5" t="s">
        <v>4509</v>
      </c>
      <c r="E2589" s="5" t="s">
        <v>309</v>
      </c>
      <c r="G2589" s="5" t="s">
        <v>1917</v>
      </c>
    </row>
    <row r="2590" spans="4:7" hidden="1">
      <c r="D2590" s="5" t="s">
        <v>4510</v>
      </c>
      <c r="E2590" s="5" t="s">
        <v>309</v>
      </c>
      <c r="G2590" s="5" t="s">
        <v>3822</v>
      </c>
    </row>
    <row r="2591" spans="4:7" hidden="1">
      <c r="D2591" s="5" t="s">
        <v>4511</v>
      </c>
      <c r="E2591" s="5" t="s">
        <v>2824</v>
      </c>
      <c r="G2591" s="5" t="s">
        <v>2364</v>
      </c>
    </row>
    <row r="2592" spans="4:7" hidden="1">
      <c r="D2592" s="5" t="s">
        <v>4512</v>
      </c>
      <c r="E2592" s="5" t="s">
        <v>2005</v>
      </c>
      <c r="G2592" s="5" t="s">
        <v>1917</v>
      </c>
    </row>
    <row r="2593" spans="4:7" hidden="1">
      <c r="D2593" s="5" t="s">
        <v>4513</v>
      </c>
      <c r="E2593" s="5" t="s">
        <v>309</v>
      </c>
      <c r="G2593" s="5" t="s">
        <v>1917</v>
      </c>
    </row>
    <row r="2594" spans="4:7" hidden="1">
      <c r="D2594" s="5" t="s">
        <v>4514</v>
      </c>
      <c r="E2594" s="5" t="s">
        <v>2005</v>
      </c>
      <c r="G2594" s="5" t="s">
        <v>1917</v>
      </c>
    </row>
    <row r="2595" spans="4:7" hidden="1">
      <c r="D2595" s="5" t="s">
        <v>4515</v>
      </c>
      <c r="E2595" s="5" t="s">
        <v>2005</v>
      </c>
      <c r="G2595" s="5" t="s">
        <v>1917</v>
      </c>
    </row>
    <row r="2596" spans="4:7" hidden="1">
      <c r="D2596" s="5" t="s">
        <v>4516</v>
      </c>
      <c r="E2596" s="5" t="s">
        <v>430</v>
      </c>
      <c r="G2596" s="5" t="s">
        <v>1917</v>
      </c>
    </row>
    <row r="2597" spans="4:7" hidden="1">
      <c r="D2597" s="5" t="s">
        <v>939</v>
      </c>
      <c r="E2597" s="5" t="s">
        <v>2468</v>
      </c>
      <c r="G2597" s="5" t="s">
        <v>1926</v>
      </c>
    </row>
    <row r="2598" spans="4:7" hidden="1">
      <c r="D2598" s="5" t="s">
        <v>4517</v>
      </c>
      <c r="E2598" s="5" t="s">
        <v>2005</v>
      </c>
      <c r="G2598" s="5" t="s">
        <v>1917</v>
      </c>
    </row>
    <row r="2599" spans="4:7" hidden="1">
      <c r="D2599" s="5" t="s">
        <v>4518</v>
      </c>
      <c r="E2599" s="5" t="s">
        <v>430</v>
      </c>
      <c r="G2599" s="5" t="s">
        <v>1917</v>
      </c>
    </row>
    <row r="2600" spans="4:7" hidden="1">
      <c r="D2600" s="5" t="s">
        <v>665</v>
      </c>
      <c r="E2600" s="5" t="s">
        <v>430</v>
      </c>
      <c r="G2600" s="5" t="s">
        <v>1926</v>
      </c>
    </row>
    <row r="2601" spans="4:7" hidden="1">
      <c r="D2601" s="5" t="s">
        <v>4519</v>
      </c>
      <c r="E2601" s="5" t="s">
        <v>1890</v>
      </c>
      <c r="G2601" s="5" t="s">
        <v>1917</v>
      </c>
    </row>
    <row r="2602" spans="4:7" hidden="1">
      <c r="D2602" s="5" t="s">
        <v>4520</v>
      </c>
      <c r="E2602" s="5" t="s">
        <v>309</v>
      </c>
      <c r="G2602" s="5" t="s">
        <v>1917</v>
      </c>
    </row>
    <row r="2603" spans="4:7" hidden="1">
      <c r="D2603" s="5" t="s">
        <v>4521</v>
      </c>
      <c r="E2603" s="5" t="s">
        <v>451</v>
      </c>
      <c r="G2603" s="5" t="s">
        <v>1917</v>
      </c>
    </row>
    <row r="2604" spans="4:7" hidden="1">
      <c r="D2604" s="5" t="s">
        <v>4522</v>
      </c>
      <c r="E2604" s="5" t="s">
        <v>2005</v>
      </c>
      <c r="G2604" s="5" t="s">
        <v>1917</v>
      </c>
    </row>
    <row r="2605" spans="4:7" hidden="1">
      <c r="D2605" s="5" t="s">
        <v>4523</v>
      </c>
      <c r="E2605" s="5" t="s">
        <v>430</v>
      </c>
      <c r="G2605" s="5" t="s">
        <v>1926</v>
      </c>
    </row>
    <row r="2606" spans="4:7" hidden="1">
      <c r="D2606" s="5" t="s">
        <v>4524</v>
      </c>
      <c r="E2606" s="5" t="s">
        <v>430</v>
      </c>
      <c r="G2606" s="5" t="s">
        <v>1917</v>
      </c>
    </row>
    <row r="2607" spans="4:7" hidden="1">
      <c r="D2607" s="5" t="s">
        <v>4525</v>
      </c>
      <c r="E2607" s="5" t="s">
        <v>451</v>
      </c>
      <c r="G2607" s="5" t="s">
        <v>1917</v>
      </c>
    </row>
    <row r="2608" spans="4:7" hidden="1">
      <c r="D2608" s="5" t="s">
        <v>4526</v>
      </c>
      <c r="E2608" s="5" t="s">
        <v>2005</v>
      </c>
      <c r="G2608" s="5" t="s">
        <v>1917</v>
      </c>
    </row>
    <row r="2609" spans="4:7" hidden="1">
      <c r="D2609" s="5" t="s">
        <v>4527</v>
      </c>
      <c r="E2609" s="5" t="s">
        <v>752</v>
      </c>
      <c r="G2609" s="5" t="s">
        <v>1917</v>
      </c>
    </row>
    <row r="2610" spans="4:7" hidden="1">
      <c r="D2610" s="5" t="s">
        <v>4528</v>
      </c>
      <c r="E2610" s="5" t="s">
        <v>430</v>
      </c>
      <c r="G2610" s="5" t="s">
        <v>1917</v>
      </c>
    </row>
    <row r="2611" spans="4:7" hidden="1">
      <c r="D2611" s="5" t="s">
        <v>4529</v>
      </c>
      <c r="E2611" s="5" t="s">
        <v>1890</v>
      </c>
      <c r="G2611" s="5" t="s">
        <v>1917</v>
      </c>
    </row>
    <row r="2612" spans="4:7" hidden="1">
      <c r="D2612" s="5" t="s">
        <v>4530</v>
      </c>
      <c r="E2612" s="5" t="s">
        <v>309</v>
      </c>
      <c r="G2612" s="5" t="s">
        <v>1917</v>
      </c>
    </row>
    <row r="2613" spans="4:7" hidden="1">
      <c r="D2613" s="5" t="s">
        <v>4531</v>
      </c>
      <c r="E2613" s="5" t="s">
        <v>1890</v>
      </c>
      <c r="G2613" s="5" t="s">
        <v>1917</v>
      </c>
    </row>
    <row r="2614" spans="4:7" hidden="1">
      <c r="D2614" s="5" t="s">
        <v>4532</v>
      </c>
      <c r="E2614" s="5" t="s">
        <v>1890</v>
      </c>
      <c r="G2614" s="5" t="s">
        <v>1917</v>
      </c>
    </row>
    <row r="2615" spans="4:7" hidden="1">
      <c r="D2615" s="5" t="s">
        <v>4533</v>
      </c>
      <c r="E2615" s="5" t="s">
        <v>52</v>
      </c>
      <c r="G2615" s="5" t="s">
        <v>1917</v>
      </c>
    </row>
    <row r="2616" spans="4:7" hidden="1">
      <c r="D2616" s="5" t="s">
        <v>4534</v>
      </c>
      <c r="E2616" s="5" t="s">
        <v>52</v>
      </c>
      <c r="G2616" s="5" t="s">
        <v>1917</v>
      </c>
    </row>
    <row r="2617" spans="4:7" hidden="1">
      <c r="D2617" s="5" t="s">
        <v>4535</v>
      </c>
      <c r="E2617" s="5" t="s">
        <v>2536</v>
      </c>
      <c r="G2617" s="5" t="s">
        <v>1926</v>
      </c>
    </row>
    <row r="2618" spans="4:7" hidden="1">
      <c r="D2618" s="5" t="s">
        <v>4536</v>
      </c>
      <c r="E2618" s="5" t="s">
        <v>52</v>
      </c>
      <c r="G2618" s="5" t="s">
        <v>1917</v>
      </c>
    </row>
    <row r="2619" spans="4:7" hidden="1">
      <c r="D2619" s="5" t="s">
        <v>4537</v>
      </c>
      <c r="E2619" s="5" t="s">
        <v>2005</v>
      </c>
      <c r="G2619" s="5" t="s">
        <v>1917</v>
      </c>
    </row>
    <row r="2620" spans="4:7" hidden="1">
      <c r="D2620" s="5" t="s">
        <v>4538</v>
      </c>
      <c r="E2620" s="5" t="s">
        <v>427</v>
      </c>
      <c r="G2620" s="5" t="s">
        <v>1917</v>
      </c>
    </row>
    <row r="2621" spans="4:7" hidden="1">
      <c r="D2621" s="5" t="s">
        <v>4539</v>
      </c>
      <c r="E2621" s="5" t="s">
        <v>1890</v>
      </c>
      <c r="G2621" s="5" t="s">
        <v>1917</v>
      </c>
    </row>
    <row r="2622" spans="4:7" hidden="1">
      <c r="D2622" s="5" t="s">
        <v>4540</v>
      </c>
      <c r="E2622" s="5" t="s">
        <v>309</v>
      </c>
      <c r="G2622" s="5" t="s">
        <v>1917</v>
      </c>
    </row>
    <row r="2623" spans="4:7" hidden="1">
      <c r="D2623" s="5" t="s">
        <v>4541</v>
      </c>
      <c r="E2623" s="5" t="s">
        <v>2819</v>
      </c>
      <c r="G2623" s="5" t="s">
        <v>1917</v>
      </c>
    </row>
    <row r="2624" spans="4:7" hidden="1">
      <c r="D2624" s="5" t="s">
        <v>4542</v>
      </c>
      <c r="E2624" s="5" t="s">
        <v>791</v>
      </c>
      <c r="G2624" s="5" t="s">
        <v>1917</v>
      </c>
    </row>
    <row r="2625" spans="4:7" hidden="1">
      <c r="D2625" s="5" t="s">
        <v>4543</v>
      </c>
      <c r="E2625" s="5" t="s">
        <v>2005</v>
      </c>
      <c r="G2625" s="5" t="s">
        <v>1926</v>
      </c>
    </row>
    <row r="2626" spans="4:7" hidden="1">
      <c r="D2626" s="5" t="s">
        <v>4544</v>
      </c>
      <c r="E2626" s="5" t="s">
        <v>791</v>
      </c>
      <c r="G2626" s="5" t="s">
        <v>1917</v>
      </c>
    </row>
    <row r="2627" spans="4:7" hidden="1">
      <c r="D2627" s="5" t="s">
        <v>4545</v>
      </c>
      <c r="E2627" s="5" t="s">
        <v>2005</v>
      </c>
      <c r="G2627" s="5" t="s">
        <v>1917</v>
      </c>
    </row>
    <row r="2628" spans="4:7" hidden="1">
      <c r="D2628" s="5" t="s">
        <v>4546</v>
      </c>
      <c r="E2628" s="5" t="s">
        <v>309</v>
      </c>
      <c r="G2628" s="5" t="s">
        <v>3822</v>
      </c>
    </row>
    <row r="2629" spans="4:7" hidden="1">
      <c r="D2629" s="5" t="s">
        <v>4547</v>
      </c>
      <c r="E2629" s="5" t="s">
        <v>451</v>
      </c>
      <c r="G2629" s="5" t="s">
        <v>1917</v>
      </c>
    </row>
    <row r="2630" spans="4:7" hidden="1">
      <c r="D2630" s="5" t="s">
        <v>4548</v>
      </c>
      <c r="E2630" s="5" t="s">
        <v>2005</v>
      </c>
      <c r="G2630" s="5" t="s">
        <v>1917</v>
      </c>
    </row>
    <row r="2631" spans="4:7" hidden="1">
      <c r="D2631" s="5" t="s">
        <v>4549</v>
      </c>
      <c r="E2631" s="5" t="s">
        <v>1953</v>
      </c>
      <c r="G2631" s="5" t="s">
        <v>1917</v>
      </c>
    </row>
    <row r="2632" spans="4:7" hidden="1">
      <c r="D2632" s="5" t="s">
        <v>4550</v>
      </c>
      <c r="E2632" s="5" t="s">
        <v>1945</v>
      </c>
      <c r="G2632" s="5" t="s">
        <v>1917</v>
      </c>
    </row>
    <row r="2633" spans="4:7" hidden="1">
      <c r="D2633" s="5" t="s">
        <v>4551</v>
      </c>
      <c r="E2633" s="5" t="s">
        <v>309</v>
      </c>
      <c r="G2633" s="5" t="s">
        <v>1917</v>
      </c>
    </row>
    <row r="2634" spans="4:7" hidden="1">
      <c r="D2634" s="5" t="s">
        <v>4552</v>
      </c>
      <c r="E2634" s="5" t="s">
        <v>430</v>
      </c>
      <c r="G2634" s="5" t="s">
        <v>1917</v>
      </c>
    </row>
    <row r="2635" spans="4:7" hidden="1">
      <c r="D2635" s="5" t="s">
        <v>4553</v>
      </c>
      <c r="E2635" s="5" t="s">
        <v>451</v>
      </c>
      <c r="G2635" s="5" t="s">
        <v>1917</v>
      </c>
    </row>
    <row r="2636" spans="4:7" hidden="1">
      <c r="D2636" s="5" t="s">
        <v>4554</v>
      </c>
      <c r="E2636" s="5" t="s">
        <v>2005</v>
      </c>
      <c r="G2636" s="5" t="s">
        <v>1917</v>
      </c>
    </row>
    <row r="2637" spans="4:7" hidden="1">
      <c r="D2637" s="5" t="s">
        <v>4555</v>
      </c>
      <c r="E2637" s="5" t="s">
        <v>451</v>
      </c>
      <c r="G2637" s="5" t="s">
        <v>1926</v>
      </c>
    </row>
    <row r="2638" spans="4:7" hidden="1">
      <c r="D2638" s="5" t="s">
        <v>4556</v>
      </c>
      <c r="E2638" s="5" t="s">
        <v>812</v>
      </c>
      <c r="G2638" s="5" t="s">
        <v>1917</v>
      </c>
    </row>
    <row r="2639" spans="4:7" hidden="1">
      <c r="D2639" s="5" t="s">
        <v>4557</v>
      </c>
      <c r="E2639" s="5" t="s">
        <v>1890</v>
      </c>
      <c r="G2639" s="5" t="s">
        <v>1917</v>
      </c>
    </row>
    <row r="2640" spans="4:7" hidden="1">
      <c r="D2640" s="5" t="s">
        <v>672</v>
      </c>
      <c r="E2640" s="5" t="s">
        <v>430</v>
      </c>
      <c r="G2640" s="5" t="s">
        <v>1926</v>
      </c>
    </row>
    <row r="2641" spans="4:7" hidden="1">
      <c r="D2641" s="5" t="s">
        <v>4558</v>
      </c>
      <c r="E2641" s="5" t="s">
        <v>451</v>
      </c>
      <c r="G2641" s="5" t="s">
        <v>1917</v>
      </c>
    </row>
    <row r="2642" spans="4:7" hidden="1">
      <c r="D2642" s="5" t="s">
        <v>4559</v>
      </c>
      <c r="E2642" s="5" t="s">
        <v>2005</v>
      </c>
      <c r="G2642" s="5" t="s">
        <v>1917</v>
      </c>
    </row>
    <row r="2643" spans="4:7" hidden="1">
      <c r="D2643" s="5" t="s">
        <v>4560</v>
      </c>
      <c r="E2643" s="5" t="s">
        <v>812</v>
      </c>
      <c r="G2643" s="5" t="s">
        <v>1917</v>
      </c>
    </row>
    <row r="2644" spans="4:7" hidden="1">
      <c r="D2644" s="5" t="s">
        <v>4561</v>
      </c>
      <c r="E2644" s="5" t="s">
        <v>52</v>
      </c>
      <c r="G2644" s="5" t="s">
        <v>1917</v>
      </c>
    </row>
    <row r="2645" spans="4:7" hidden="1">
      <c r="D2645" s="5" t="s">
        <v>4562</v>
      </c>
      <c r="E2645" s="5" t="s">
        <v>1890</v>
      </c>
      <c r="G2645" s="5" t="s">
        <v>1917</v>
      </c>
    </row>
    <row r="2646" spans="4:7" hidden="1">
      <c r="D2646" s="5" t="s">
        <v>4563</v>
      </c>
      <c r="E2646" s="5" t="s">
        <v>168</v>
      </c>
      <c r="G2646" s="5" t="s">
        <v>3822</v>
      </c>
    </row>
    <row r="2647" spans="4:7" hidden="1">
      <c r="D2647" s="5" t="s">
        <v>4564</v>
      </c>
      <c r="E2647" s="5" t="s">
        <v>309</v>
      </c>
      <c r="G2647" s="5" t="s">
        <v>3822</v>
      </c>
    </row>
    <row r="2648" spans="4:7" hidden="1">
      <c r="D2648" s="5" t="s">
        <v>4565</v>
      </c>
      <c r="E2648" s="5" t="s">
        <v>430</v>
      </c>
      <c r="G2648" s="5" t="s">
        <v>1917</v>
      </c>
    </row>
    <row r="2649" spans="4:7" hidden="1">
      <c r="D2649" s="5" t="s">
        <v>4566</v>
      </c>
      <c r="E2649" s="5" t="s">
        <v>451</v>
      </c>
      <c r="G2649" s="5" t="s">
        <v>1917</v>
      </c>
    </row>
    <row r="2650" spans="4:7" hidden="1">
      <c r="D2650" s="5" t="s">
        <v>4567</v>
      </c>
      <c r="E2650" s="5" t="s">
        <v>52</v>
      </c>
      <c r="G2650" s="5" t="s">
        <v>1917</v>
      </c>
    </row>
    <row r="2651" spans="4:7" hidden="1">
      <c r="D2651" s="5" t="s">
        <v>4568</v>
      </c>
      <c r="E2651" s="5" t="s">
        <v>430</v>
      </c>
      <c r="G2651" s="5" t="s">
        <v>1926</v>
      </c>
    </row>
    <row r="2652" spans="4:7" hidden="1">
      <c r="D2652" s="5" t="s">
        <v>4569</v>
      </c>
      <c r="E2652" s="5" t="s">
        <v>1890</v>
      </c>
      <c r="G2652" s="5" t="s">
        <v>3822</v>
      </c>
    </row>
    <row r="2653" spans="4:7" hidden="1">
      <c r="D2653" s="5" t="s">
        <v>4570</v>
      </c>
      <c r="E2653" s="5" t="s">
        <v>451</v>
      </c>
      <c r="G2653" s="5" t="s">
        <v>1926</v>
      </c>
    </row>
    <row r="2654" spans="4:7" hidden="1">
      <c r="D2654" s="5" t="s">
        <v>4571</v>
      </c>
      <c r="E2654" s="5" t="s">
        <v>2493</v>
      </c>
      <c r="G2654" s="5" t="s">
        <v>2364</v>
      </c>
    </row>
    <row r="2655" spans="4:7" hidden="1">
      <c r="D2655" s="5" t="s">
        <v>4572</v>
      </c>
      <c r="E2655" s="5" t="s">
        <v>430</v>
      </c>
      <c r="G2655" s="5" t="s">
        <v>1917</v>
      </c>
    </row>
    <row r="2656" spans="4:7" hidden="1">
      <c r="D2656" s="5" t="s">
        <v>4573</v>
      </c>
      <c r="E2656" s="5" t="s">
        <v>52</v>
      </c>
      <c r="G2656" s="5" t="s">
        <v>1917</v>
      </c>
    </row>
    <row r="2657" spans="4:7" hidden="1">
      <c r="D2657" s="5" t="s">
        <v>4574</v>
      </c>
      <c r="E2657" s="5" t="s">
        <v>309</v>
      </c>
      <c r="G2657" s="5" t="s">
        <v>1917</v>
      </c>
    </row>
    <row r="2658" spans="4:7" hidden="1">
      <c r="D2658" s="5" t="s">
        <v>4575</v>
      </c>
      <c r="E2658" s="5" t="s">
        <v>309</v>
      </c>
      <c r="G2658" s="5" t="s">
        <v>1917</v>
      </c>
    </row>
    <row r="2659" spans="4:7" hidden="1">
      <c r="D2659" s="5" t="s">
        <v>4576</v>
      </c>
      <c r="E2659" s="5" t="s">
        <v>427</v>
      </c>
      <c r="G2659" s="5" t="s">
        <v>1917</v>
      </c>
    </row>
    <row r="2660" spans="4:7" hidden="1">
      <c r="D2660" s="5" t="s">
        <v>4577</v>
      </c>
      <c r="E2660" s="5" t="s">
        <v>309</v>
      </c>
      <c r="G2660" s="5" t="s">
        <v>1917</v>
      </c>
    </row>
    <row r="2661" spans="4:7" hidden="1">
      <c r="D2661" s="5" t="s">
        <v>4578</v>
      </c>
      <c r="E2661" s="5" t="s">
        <v>309</v>
      </c>
      <c r="G2661" s="5" t="s">
        <v>1917</v>
      </c>
    </row>
    <row r="2662" spans="4:7" hidden="1">
      <c r="D2662" s="5" t="s">
        <v>4579</v>
      </c>
      <c r="E2662" s="5" t="s">
        <v>309</v>
      </c>
      <c r="G2662" s="5" t="s">
        <v>3822</v>
      </c>
    </row>
    <row r="2663" spans="4:7" hidden="1">
      <c r="D2663" s="5" t="s">
        <v>4580</v>
      </c>
      <c r="E2663" s="5" t="s">
        <v>427</v>
      </c>
      <c r="G2663" s="5" t="s">
        <v>1917</v>
      </c>
    </row>
    <row r="2664" spans="4:7" hidden="1">
      <c r="D2664" s="5" t="s">
        <v>4581</v>
      </c>
      <c r="E2664" s="5" t="s">
        <v>309</v>
      </c>
      <c r="G2664" s="5" t="s">
        <v>1917</v>
      </c>
    </row>
    <row r="2665" spans="4:7" hidden="1">
      <c r="D2665" s="5" t="s">
        <v>1883</v>
      </c>
      <c r="E2665" s="5" t="s">
        <v>451</v>
      </c>
      <c r="G2665" s="5" t="s">
        <v>1917</v>
      </c>
    </row>
    <row r="2666" spans="4:7" hidden="1">
      <c r="D2666" s="5" t="s">
        <v>4582</v>
      </c>
      <c r="E2666" s="5" t="s">
        <v>2091</v>
      </c>
      <c r="G2666" s="5" t="s">
        <v>1917</v>
      </c>
    </row>
    <row r="2667" spans="4:7" hidden="1">
      <c r="D2667" s="5" t="s">
        <v>4583</v>
      </c>
      <c r="E2667" s="5" t="s">
        <v>309</v>
      </c>
      <c r="G2667" s="5" t="s">
        <v>1917</v>
      </c>
    </row>
    <row r="2668" spans="4:7" hidden="1">
      <c r="D2668" s="5" t="s">
        <v>832</v>
      </c>
      <c r="E2668" s="5" t="s">
        <v>451</v>
      </c>
      <c r="G2668" s="5" t="s">
        <v>1917</v>
      </c>
    </row>
    <row r="2669" spans="4:7" hidden="1">
      <c r="D2669" s="5" t="s">
        <v>4584</v>
      </c>
      <c r="E2669" s="5" t="s">
        <v>427</v>
      </c>
      <c r="G2669" s="5" t="s">
        <v>1917</v>
      </c>
    </row>
    <row r="2670" spans="4:7" hidden="1">
      <c r="D2670" s="5" t="s">
        <v>4585</v>
      </c>
      <c r="E2670" s="5" t="s">
        <v>451</v>
      </c>
      <c r="G2670" s="5" t="s">
        <v>1917</v>
      </c>
    </row>
    <row r="2671" spans="4:7" hidden="1">
      <c r="D2671" s="5" t="s">
        <v>4586</v>
      </c>
      <c r="E2671" s="5" t="s">
        <v>309</v>
      </c>
      <c r="G2671" s="5" t="s">
        <v>1917</v>
      </c>
    </row>
    <row r="2672" spans="4:7" hidden="1">
      <c r="D2672" s="5" t="s">
        <v>4587</v>
      </c>
      <c r="E2672" s="5" t="s">
        <v>309</v>
      </c>
      <c r="G2672" s="5" t="s">
        <v>1917</v>
      </c>
    </row>
    <row r="2673" spans="4:7" hidden="1">
      <c r="D2673" s="5" t="s">
        <v>4588</v>
      </c>
      <c r="E2673" s="5" t="s">
        <v>427</v>
      </c>
      <c r="G2673" s="5" t="s">
        <v>1917</v>
      </c>
    </row>
    <row r="2674" spans="4:7" hidden="1">
      <c r="D2674" s="5" t="s">
        <v>4589</v>
      </c>
      <c r="E2674" s="5" t="s">
        <v>2005</v>
      </c>
      <c r="G2674" s="5" t="s">
        <v>1917</v>
      </c>
    </row>
    <row r="2675" spans="4:7" hidden="1">
      <c r="D2675" s="5" t="s">
        <v>4590</v>
      </c>
      <c r="E2675" s="5" t="s">
        <v>309</v>
      </c>
      <c r="G2675" s="5" t="s">
        <v>1917</v>
      </c>
    </row>
    <row r="2676" spans="4:7" hidden="1">
      <c r="D2676" s="5" t="s">
        <v>4591</v>
      </c>
      <c r="E2676" s="5" t="s">
        <v>451</v>
      </c>
      <c r="G2676" s="5" t="s">
        <v>1917</v>
      </c>
    </row>
    <row r="2677" spans="4:7" hidden="1">
      <c r="D2677" s="5" t="s">
        <v>4592</v>
      </c>
      <c r="E2677" s="5" t="s">
        <v>791</v>
      </c>
      <c r="G2677" s="5" t="s">
        <v>1917</v>
      </c>
    </row>
    <row r="2678" spans="4:7" hidden="1">
      <c r="D2678" s="5" t="s">
        <v>4593</v>
      </c>
      <c r="E2678" s="5" t="s">
        <v>309</v>
      </c>
      <c r="G2678" s="5" t="s">
        <v>1917</v>
      </c>
    </row>
    <row r="2679" spans="4:7" hidden="1">
      <c r="D2679" s="5" t="s">
        <v>4594</v>
      </c>
      <c r="E2679" s="5" t="s">
        <v>309</v>
      </c>
      <c r="G2679" s="5" t="s">
        <v>3822</v>
      </c>
    </row>
    <row r="2680" spans="4:7" hidden="1">
      <c r="D2680" s="5" t="s">
        <v>4595</v>
      </c>
      <c r="E2680" s="5" t="s">
        <v>309</v>
      </c>
      <c r="G2680" s="5" t="s">
        <v>3822</v>
      </c>
    </row>
    <row r="2681" spans="4:7" hidden="1">
      <c r="D2681" s="5" t="s">
        <v>4596</v>
      </c>
      <c r="E2681" s="5" t="s">
        <v>309</v>
      </c>
      <c r="G2681" s="5" t="s">
        <v>3822</v>
      </c>
    </row>
    <row r="2682" spans="4:7" hidden="1">
      <c r="D2682" s="5" t="s">
        <v>4597</v>
      </c>
      <c r="E2682" s="5" t="s">
        <v>2005</v>
      </c>
      <c r="G2682" s="5" t="s">
        <v>1917</v>
      </c>
    </row>
    <row r="2683" spans="4:7" hidden="1">
      <c r="D2683" s="5" t="s">
        <v>4598</v>
      </c>
      <c r="E2683" s="5" t="s">
        <v>427</v>
      </c>
      <c r="G2683" s="5" t="s">
        <v>3822</v>
      </c>
    </row>
    <row r="2684" spans="4:7" hidden="1">
      <c r="D2684" s="5" t="s">
        <v>4599</v>
      </c>
      <c r="E2684" s="5" t="s">
        <v>2091</v>
      </c>
      <c r="G2684" s="5" t="s">
        <v>1917</v>
      </c>
    </row>
    <row r="2685" spans="4:7" hidden="1">
      <c r="D2685" s="5" t="s">
        <v>4600</v>
      </c>
      <c r="E2685" s="5" t="s">
        <v>812</v>
      </c>
      <c r="G2685" s="5" t="s">
        <v>1917</v>
      </c>
    </row>
    <row r="2686" spans="4:7" hidden="1">
      <c r="D2686" s="5" t="s">
        <v>4601</v>
      </c>
      <c r="E2686" s="5" t="s">
        <v>1894</v>
      </c>
      <c r="G2686" s="5" t="s">
        <v>1917</v>
      </c>
    </row>
    <row r="2687" spans="4:7" hidden="1">
      <c r="D2687" s="5" t="s">
        <v>4602</v>
      </c>
      <c r="E2687" s="5" t="s">
        <v>52</v>
      </c>
      <c r="G2687" s="5" t="s">
        <v>1917</v>
      </c>
    </row>
    <row r="2688" spans="4:7" hidden="1">
      <c r="D2688" s="5" t="s">
        <v>4603</v>
      </c>
      <c r="E2688" s="5" t="s">
        <v>309</v>
      </c>
      <c r="G2688" s="5" t="s">
        <v>3822</v>
      </c>
    </row>
    <row r="2689" spans="4:7" hidden="1">
      <c r="D2689" s="5" t="s">
        <v>4604</v>
      </c>
      <c r="E2689" s="5" t="s">
        <v>2091</v>
      </c>
      <c r="G2689" s="5" t="s">
        <v>1917</v>
      </c>
    </row>
    <row r="2690" spans="4:7" hidden="1">
      <c r="D2690" s="5" t="s">
        <v>4605</v>
      </c>
      <c r="E2690" s="5" t="s">
        <v>52</v>
      </c>
      <c r="G2690" s="5" t="s">
        <v>1917</v>
      </c>
    </row>
    <row r="2691" spans="4:7" hidden="1">
      <c r="D2691" s="5" t="s">
        <v>4606</v>
      </c>
      <c r="E2691" s="5" t="s">
        <v>451</v>
      </c>
      <c r="G2691" s="5" t="s">
        <v>1917</v>
      </c>
    </row>
    <row r="2692" spans="4:7" hidden="1">
      <c r="D2692" s="5" t="s">
        <v>4607</v>
      </c>
      <c r="E2692" s="5" t="s">
        <v>1916</v>
      </c>
      <c r="G2692" s="5" t="s">
        <v>3822</v>
      </c>
    </row>
    <row r="2693" spans="4:7" hidden="1">
      <c r="D2693" s="5" t="s">
        <v>4608</v>
      </c>
      <c r="E2693" s="5" t="s">
        <v>2091</v>
      </c>
      <c r="G2693" s="5" t="s">
        <v>1917</v>
      </c>
    </row>
    <row r="2694" spans="4:7" hidden="1">
      <c r="D2694" s="5" t="s">
        <v>4609</v>
      </c>
      <c r="E2694" s="5" t="s">
        <v>791</v>
      </c>
      <c r="G2694" s="5" t="s">
        <v>1917</v>
      </c>
    </row>
    <row r="2695" spans="4:7" hidden="1">
      <c r="D2695" s="5" t="s">
        <v>4610</v>
      </c>
      <c r="E2695" s="5" t="s">
        <v>52</v>
      </c>
      <c r="G2695" s="5" t="s">
        <v>1917</v>
      </c>
    </row>
    <row r="2696" spans="4:7" hidden="1">
      <c r="D2696" s="5" t="s">
        <v>4611</v>
      </c>
      <c r="E2696" s="5" t="s">
        <v>1890</v>
      </c>
      <c r="G2696" s="5" t="s">
        <v>1917</v>
      </c>
    </row>
    <row r="2697" spans="4:7" hidden="1">
      <c r="D2697" s="5" t="s">
        <v>4612</v>
      </c>
      <c r="E2697" s="5" t="s">
        <v>2091</v>
      </c>
      <c r="G2697" s="5" t="s">
        <v>1917</v>
      </c>
    </row>
    <row r="2698" spans="4:7" hidden="1">
      <c r="D2698" s="5" t="s">
        <v>4613</v>
      </c>
      <c r="E2698" s="5" t="s">
        <v>791</v>
      </c>
      <c r="G2698" s="5" t="s">
        <v>1917</v>
      </c>
    </row>
    <row r="2699" spans="4:7" hidden="1">
      <c r="D2699" s="5" t="s">
        <v>4614</v>
      </c>
      <c r="E2699" s="5" t="s">
        <v>451</v>
      </c>
      <c r="G2699" s="5" t="s">
        <v>1917</v>
      </c>
    </row>
    <row r="2700" spans="4:7" hidden="1">
      <c r="D2700" s="5" t="s">
        <v>4615</v>
      </c>
      <c r="E2700" s="5" t="s">
        <v>430</v>
      </c>
      <c r="G2700" s="5" t="s">
        <v>1926</v>
      </c>
    </row>
    <row r="2701" spans="4:7" hidden="1">
      <c r="D2701" s="5" t="s">
        <v>4616</v>
      </c>
      <c r="E2701" s="5" t="s">
        <v>52</v>
      </c>
      <c r="G2701" s="5" t="s">
        <v>1917</v>
      </c>
    </row>
    <row r="2702" spans="4:7" hidden="1">
      <c r="D2702" s="5" t="s">
        <v>4617</v>
      </c>
      <c r="E2702" s="5" t="s">
        <v>2091</v>
      </c>
      <c r="G2702" s="5" t="s">
        <v>1917</v>
      </c>
    </row>
    <row r="2703" spans="4:7" hidden="1">
      <c r="D2703" s="5" t="s">
        <v>4618</v>
      </c>
      <c r="E2703" s="5" t="s">
        <v>52</v>
      </c>
      <c r="G2703" s="5" t="s">
        <v>1917</v>
      </c>
    </row>
    <row r="2704" spans="4:7" hidden="1">
      <c r="D2704" s="5" t="s">
        <v>4619</v>
      </c>
      <c r="E2704" s="5" t="s">
        <v>1890</v>
      </c>
      <c r="G2704" s="5" t="s">
        <v>1917</v>
      </c>
    </row>
    <row r="2705" spans="4:7" hidden="1">
      <c r="D2705" s="5" t="s">
        <v>4620</v>
      </c>
      <c r="E2705" s="5" t="s">
        <v>1890</v>
      </c>
      <c r="G2705" s="5" t="s">
        <v>1917</v>
      </c>
    </row>
    <row r="2706" spans="4:7" hidden="1">
      <c r="D2706" s="5" t="s">
        <v>4621</v>
      </c>
      <c r="E2706" s="5" t="s">
        <v>2091</v>
      </c>
      <c r="G2706" s="5" t="s">
        <v>1926</v>
      </c>
    </row>
    <row r="2707" spans="4:7" hidden="1">
      <c r="D2707" s="5" t="s">
        <v>4622</v>
      </c>
      <c r="E2707" s="5" t="s">
        <v>427</v>
      </c>
      <c r="G2707" s="5" t="s">
        <v>1917</v>
      </c>
    </row>
    <row r="2708" spans="4:7" hidden="1">
      <c r="D2708" s="5" t="s">
        <v>4623</v>
      </c>
      <c r="E2708" s="5" t="s">
        <v>791</v>
      </c>
      <c r="G2708" s="5" t="s">
        <v>1917</v>
      </c>
    </row>
    <row r="2709" spans="4:7" hidden="1">
      <c r="D2709" s="5" t="s">
        <v>4624</v>
      </c>
      <c r="E2709" s="5" t="s">
        <v>52</v>
      </c>
      <c r="G2709" s="5" t="s">
        <v>1917</v>
      </c>
    </row>
    <row r="2710" spans="4:7" hidden="1">
      <c r="D2710" s="5" t="s">
        <v>4625</v>
      </c>
      <c r="E2710" s="5" t="s">
        <v>430</v>
      </c>
      <c r="G2710" s="5" t="s">
        <v>1917</v>
      </c>
    </row>
    <row r="2711" spans="4:7" hidden="1">
      <c r="D2711" s="5" t="s">
        <v>4626</v>
      </c>
      <c r="E2711" s="5" t="s">
        <v>2005</v>
      </c>
      <c r="G2711" s="5" t="s">
        <v>1917</v>
      </c>
    </row>
    <row r="2712" spans="4:7" hidden="1">
      <c r="D2712" s="5" t="s">
        <v>4627</v>
      </c>
      <c r="E2712" s="5" t="s">
        <v>171</v>
      </c>
      <c r="G2712" s="5" t="s">
        <v>1917</v>
      </c>
    </row>
    <row r="2713" spans="4:7" hidden="1">
      <c r="D2713" s="5" t="s">
        <v>4628</v>
      </c>
      <c r="E2713" s="5" t="s">
        <v>791</v>
      </c>
      <c r="G2713" s="5" t="s">
        <v>1926</v>
      </c>
    </row>
    <row r="2714" spans="4:7" hidden="1">
      <c r="D2714" s="5" t="s">
        <v>4629</v>
      </c>
      <c r="E2714" s="5" t="s">
        <v>52</v>
      </c>
      <c r="G2714" s="5" t="s">
        <v>1917</v>
      </c>
    </row>
    <row r="2715" spans="4:7" hidden="1">
      <c r="D2715" s="5" t="s">
        <v>4630</v>
      </c>
      <c r="E2715" s="5" t="s">
        <v>2005</v>
      </c>
      <c r="G2715" s="5" t="s">
        <v>1917</v>
      </c>
    </row>
    <row r="2716" spans="4:7" hidden="1">
      <c r="D2716" s="5" t="s">
        <v>4631</v>
      </c>
      <c r="E2716" s="5" t="s">
        <v>1890</v>
      </c>
      <c r="G2716" s="5" t="s">
        <v>1917</v>
      </c>
    </row>
    <row r="2717" spans="4:7" hidden="1">
      <c r="D2717" s="5" t="s">
        <v>4632</v>
      </c>
      <c r="E2717" s="5" t="s">
        <v>2091</v>
      </c>
      <c r="G2717" s="5" t="s">
        <v>1917</v>
      </c>
    </row>
    <row r="2718" spans="4:7" hidden="1">
      <c r="D2718" s="5" t="s">
        <v>4633</v>
      </c>
      <c r="E2718" s="5" t="s">
        <v>52</v>
      </c>
      <c r="G2718" s="5" t="s">
        <v>1917</v>
      </c>
    </row>
    <row r="2719" spans="4:7" hidden="1">
      <c r="D2719" s="5" t="s">
        <v>4634</v>
      </c>
      <c r="E2719" s="5" t="s">
        <v>2005</v>
      </c>
      <c r="G2719" s="5" t="s">
        <v>1917</v>
      </c>
    </row>
    <row r="2720" spans="4:7" hidden="1">
      <c r="D2720" s="5" t="s">
        <v>4635</v>
      </c>
      <c r="E2720" s="5" t="s">
        <v>2091</v>
      </c>
      <c r="G2720" s="5" t="s">
        <v>1917</v>
      </c>
    </row>
    <row r="2721" spans="4:7" hidden="1">
      <c r="D2721" s="5" t="s">
        <v>4636</v>
      </c>
      <c r="E2721" s="5" t="s">
        <v>2254</v>
      </c>
      <c r="G2721" s="5" t="s">
        <v>1917</v>
      </c>
    </row>
    <row r="2722" spans="4:7" hidden="1">
      <c r="D2722" s="5" t="s">
        <v>4637</v>
      </c>
      <c r="E2722" s="5" t="s">
        <v>1953</v>
      </c>
      <c r="G2722" s="5" t="s">
        <v>1917</v>
      </c>
    </row>
    <row r="2723" spans="4:7" hidden="1">
      <c r="D2723" s="5" t="s">
        <v>4638</v>
      </c>
      <c r="E2723" s="5" t="s">
        <v>52</v>
      </c>
      <c r="G2723" s="5" t="s">
        <v>1917</v>
      </c>
    </row>
    <row r="2724" spans="4:7" hidden="1">
      <c r="D2724" s="5" t="s">
        <v>4639</v>
      </c>
      <c r="E2724" s="5" t="s">
        <v>2005</v>
      </c>
      <c r="G2724" s="5" t="s">
        <v>1917</v>
      </c>
    </row>
    <row r="2725" spans="4:7" hidden="1">
      <c r="D2725" s="5" t="s">
        <v>4640</v>
      </c>
      <c r="E2725" s="5" t="s">
        <v>2091</v>
      </c>
      <c r="G2725" s="5" t="s">
        <v>1917</v>
      </c>
    </row>
    <row r="2726" spans="4:7" hidden="1">
      <c r="D2726" s="5" t="s">
        <v>1163</v>
      </c>
      <c r="E2726" s="5" t="s">
        <v>1894</v>
      </c>
      <c r="G2726" s="5" t="s">
        <v>1917</v>
      </c>
    </row>
    <row r="2727" spans="4:7" hidden="1">
      <c r="D2727" s="5" t="s">
        <v>4641</v>
      </c>
      <c r="E2727" s="5" t="s">
        <v>430</v>
      </c>
      <c r="G2727" s="5" t="s">
        <v>1917</v>
      </c>
    </row>
    <row r="2728" spans="4:7" hidden="1">
      <c r="D2728" s="5" t="s">
        <v>4642</v>
      </c>
      <c r="E2728" s="5" t="s">
        <v>52</v>
      </c>
      <c r="G2728" s="5" t="s">
        <v>1917</v>
      </c>
    </row>
    <row r="2729" spans="4:7" hidden="1">
      <c r="D2729" s="5" t="s">
        <v>4643</v>
      </c>
      <c r="E2729" s="5" t="s">
        <v>427</v>
      </c>
      <c r="G2729" s="5" t="s">
        <v>1926</v>
      </c>
    </row>
    <row r="2730" spans="4:7" hidden="1">
      <c r="D2730" s="5" t="s">
        <v>4644</v>
      </c>
      <c r="E2730" s="5" t="s">
        <v>52</v>
      </c>
      <c r="G2730" s="5" t="s">
        <v>1926</v>
      </c>
    </row>
    <row r="2731" spans="4:7" hidden="1">
      <c r="D2731" s="5" t="s">
        <v>4645</v>
      </c>
      <c r="E2731" s="5" t="s">
        <v>2005</v>
      </c>
      <c r="G2731" s="5" t="s">
        <v>1917</v>
      </c>
    </row>
    <row r="2732" spans="4:7" hidden="1">
      <c r="D2732" s="5" t="s">
        <v>4646</v>
      </c>
      <c r="E2732" s="5" t="s">
        <v>1890</v>
      </c>
      <c r="G2732" s="5" t="s">
        <v>1917</v>
      </c>
    </row>
    <row r="2733" spans="4:7" hidden="1">
      <c r="D2733" s="5" t="s">
        <v>4647</v>
      </c>
      <c r="E2733" s="5" t="s">
        <v>1894</v>
      </c>
      <c r="G2733" s="5" t="s">
        <v>1926</v>
      </c>
    </row>
    <row r="2734" spans="4:7" hidden="1">
      <c r="D2734" s="5" t="s">
        <v>4648</v>
      </c>
      <c r="E2734" s="5" t="s">
        <v>1953</v>
      </c>
      <c r="G2734" s="5" t="s">
        <v>1917</v>
      </c>
    </row>
    <row r="2735" spans="4:7" hidden="1">
      <c r="D2735" s="5" t="s">
        <v>4649</v>
      </c>
      <c r="E2735" s="5" t="s">
        <v>52</v>
      </c>
      <c r="G2735" s="5" t="s">
        <v>1917</v>
      </c>
    </row>
    <row r="2736" spans="4:7" hidden="1">
      <c r="D2736" s="5" t="s">
        <v>4650</v>
      </c>
      <c r="E2736" s="5" t="s">
        <v>1894</v>
      </c>
      <c r="G2736" s="5" t="s">
        <v>1926</v>
      </c>
    </row>
    <row r="2737" spans="4:7" hidden="1">
      <c r="D2737" s="5" t="s">
        <v>4651</v>
      </c>
      <c r="E2737" s="5" t="s">
        <v>427</v>
      </c>
      <c r="G2737" s="5" t="s">
        <v>1917</v>
      </c>
    </row>
    <row r="2738" spans="4:7" hidden="1">
      <c r="D2738" s="5" t="s">
        <v>4652</v>
      </c>
      <c r="E2738" s="5" t="s">
        <v>451</v>
      </c>
      <c r="G2738" s="5" t="s">
        <v>1917</v>
      </c>
    </row>
    <row r="2739" spans="4:7" hidden="1">
      <c r="D2739" s="5" t="s">
        <v>965</v>
      </c>
      <c r="E2739" s="5" t="s">
        <v>427</v>
      </c>
      <c r="G2739" s="5" t="s">
        <v>1926</v>
      </c>
    </row>
    <row r="2740" spans="4:7" hidden="1">
      <c r="D2740" s="5" t="s">
        <v>4653</v>
      </c>
      <c r="E2740" s="5" t="s">
        <v>52</v>
      </c>
      <c r="G2740" s="5" t="s">
        <v>1917</v>
      </c>
    </row>
    <row r="2741" spans="4:7" hidden="1">
      <c r="D2741" s="5" t="s">
        <v>4654</v>
      </c>
      <c r="E2741" s="5" t="s">
        <v>451</v>
      </c>
      <c r="G2741" s="5" t="s">
        <v>1917</v>
      </c>
    </row>
    <row r="2742" spans="4:7" hidden="1">
      <c r="D2742" s="5" t="s">
        <v>4655</v>
      </c>
      <c r="E2742" s="5" t="s">
        <v>451</v>
      </c>
      <c r="G2742" s="5" t="s">
        <v>1917</v>
      </c>
    </row>
    <row r="2743" spans="4:7" hidden="1">
      <c r="D2743" s="5" t="s">
        <v>4656</v>
      </c>
      <c r="E2743" s="5" t="s">
        <v>52</v>
      </c>
      <c r="G2743" s="5" t="s">
        <v>1917</v>
      </c>
    </row>
    <row r="2744" spans="4:7" hidden="1">
      <c r="D2744" s="5" t="s">
        <v>4657</v>
      </c>
      <c r="E2744" s="5" t="s">
        <v>430</v>
      </c>
      <c r="G2744" s="5" t="s">
        <v>1917</v>
      </c>
    </row>
    <row r="2745" spans="4:7" hidden="1">
      <c r="D2745" s="5" t="s">
        <v>4658</v>
      </c>
      <c r="E2745" s="5" t="s">
        <v>52</v>
      </c>
      <c r="G2745" s="5" t="s">
        <v>1917</v>
      </c>
    </row>
    <row r="2746" spans="4:7" hidden="1">
      <c r="D2746" s="5" t="s">
        <v>4659</v>
      </c>
      <c r="E2746" s="5" t="s">
        <v>430</v>
      </c>
      <c r="G2746" s="5" t="s">
        <v>1917</v>
      </c>
    </row>
    <row r="2747" spans="4:7" hidden="1">
      <c r="D2747" s="5" t="s">
        <v>4660</v>
      </c>
      <c r="E2747" s="5" t="s">
        <v>309</v>
      </c>
      <c r="G2747" s="5" t="s">
        <v>3822</v>
      </c>
    </row>
    <row r="2748" spans="4:7" hidden="1">
      <c r="D2748" s="5" t="s">
        <v>4661</v>
      </c>
      <c r="E2748" s="5" t="s">
        <v>2005</v>
      </c>
      <c r="G2748" s="5" t="s">
        <v>1917</v>
      </c>
    </row>
    <row r="2749" spans="4:7" hidden="1">
      <c r="D2749" s="5" t="s">
        <v>4662</v>
      </c>
      <c r="E2749" s="5" t="s">
        <v>2005</v>
      </c>
      <c r="G2749" s="5" t="s">
        <v>1917</v>
      </c>
    </row>
    <row r="2750" spans="4:7" hidden="1">
      <c r="D2750" s="5" t="s">
        <v>4663</v>
      </c>
      <c r="E2750" s="5" t="s">
        <v>52</v>
      </c>
      <c r="G2750" s="5" t="s">
        <v>1917</v>
      </c>
    </row>
    <row r="2751" spans="4:7" hidden="1">
      <c r="D2751" s="5" t="s">
        <v>4664</v>
      </c>
      <c r="E2751" s="5" t="s">
        <v>430</v>
      </c>
      <c r="G2751" s="5" t="s">
        <v>1917</v>
      </c>
    </row>
    <row r="2752" spans="4:7" hidden="1">
      <c r="D2752" s="5" t="s">
        <v>4665</v>
      </c>
      <c r="E2752" s="5" t="s">
        <v>427</v>
      </c>
      <c r="G2752" s="5" t="s">
        <v>1917</v>
      </c>
    </row>
    <row r="2753" spans="4:7" hidden="1">
      <c r="D2753" s="5" t="s">
        <v>4666</v>
      </c>
      <c r="E2753" s="5" t="s">
        <v>430</v>
      </c>
      <c r="G2753" s="5" t="s">
        <v>1917</v>
      </c>
    </row>
    <row r="2754" spans="4:7" hidden="1">
      <c r="D2754" s="5" t="s">
        <v>4667</v>
      </c>
      <c r="E2754" s="5" t="s">
        <v>2005</v>
      </c>
      <c r="G2754" s="5" t="s">
        <v>1917</v>
      </c>
    </row>
    <row r="2755" spans="4:7" hidden="1">
      <c r="D2755" s="5" t="s">
        <v>4668</v>
      </c>
      <c r="E2755" s="5" t="s">
        <v>52</v>
      </c>
      <c r="G2755" s="5" t="s">
        <v>1917</v>
      </c>
    </row>
    <row r="2756" spans="4:7" hidden="1">
      <c r="D2756" s="5" t="s">
        <v>4669</v>
      </c>
      <c r="E2756" s="5" t="s">
        <v>427</v>
      </c>
      <c r="G2756" s="5" t="s">
        <v>1917</v>
      </c>
    </row>
    <row r="2757" spans="4:7" hidden="1">
      <c r="D2757" s="5" t="s">
        <v>4670</v>
      </c>
      <c r="E2757" s="5" t="s">
        <v>720</v>
      </c>
      <c r="G2757" s="5" t="s">
        <v>1917</v>
      </c>
    </row>
    <row r="2758" spans="4:7" hidden="1">
      <c r="D2758" s="5" t="s">
        <v>4671</v>
      </c>
      <c r="E2758" s="5" t="s">
        <v>451</v>
      </c>
      <c r="G2758" s="5" t="s">
        <v>1917</v>
      </c>
    </row>
    <row r="2759" spans="4:7" hidden="1">
      <c r="D2759" s="5" t="s">
        <v>4672</v>
      </c>
      <c r="E2759" s="5" t="s">
        <v>168</v>
      </c>
      <c r="G2759" s="5" t="s">
        <v>1917</v>
      </c>
    </row>
    <row r="2760" spans="4:7" hidden="1">
      <c r="D2760" s="5" t="s">
        <v>4673</v>
      </c>
      <c r="E2760" s="5" t="s">
        <v>2005</v>
      </c>
      <c r="G2760" s="5" t="s">
        <v>1917</v>
      </c>
    </row>
    <row r="2761" spans="4:7" hidden="1">
      <c r="D2761" s="5" t="s">
        <v>4674</v>
      </c>
      <c r="E2761" s="5" t="s">
        <v>52</v>
      </c>
      <c r="G2761" s="5" t="s">
        <v>1917</v>
      </c>
    </row>
    <row r="2762" spans="4:7" hidden="1">
      <c r="D2762" s="5" t="s">
        <v>4675</v>
      </c>
      <c r="E2762" s="5" t="s">
        <v>1953</v>
      </c>
      <c r="G2762" s="5" t="s">
        <v>1917</v>
      </c>
    </row>
    <row r="2763" spans="4:7" hidden="1">
      <c r="D2763" s="5" t="s">
        <v>4676</v>
      </c>
      <c r="E2763" s="5" t="s">
        <v>2005</v>
      </c>
      <c r="G2763" s="5" t="s">
        <v>1917</v>
      </c>
    </row>
    <row r="2764" spans="4:7" hidden="1">
      <c r="D2764" s="5" t="s">
        <v>4677</v>
      </c>
      <c r="E2764" s="5" t="s">
        <v>52</v>
      </c>
      <c r="G2764" s="5" t="s">
        <v>1917</v>
      </c>
    </row>
    <row r="2765" spans="4:7" hidden="1">
      <c r="D2765" s="5" t="s">
        <v>4678</v>
      </c>
      <c r="E2765" s="5" t="s">
        <v>427</v>
      </c>
      <c r="G2765" s="5" t="s">
        <v>1917</v>
      </c>
    </row>
    <row r="2766" spans="4:7" hidden="1">
      <c r="D2766" s="5" t="s">
        <v>4679</v>
      </c>
      <c r="E2766" s="5" t="s">
        <v>52</v>
      </c>
      <c r="G2766" s="5" t="s">
        <v>1917</v>
      </c>
    </row>
    <row r="2767" spans="4:7" hidden="1">
      <c r="D2767" s="5" t="s">
        <v>4680</v>
      </c>
      <c r="E2767" s="5" t="s">
        <v>309</v>
      </c>
      <c r="G2767" s="5" t="s">
        <v>1917</v>
      </c>
    </row>
    <row r="2768" spans="4:7" hidden="1">
      <c r="D2768" s="5" t="s">
        <v>4681</v>
      </c>
      <c r="E2768" s="5" t="s">
        <v>309</v>
      </c>
      <c r="G2768" s="5" t="s">
        <v>1917</v>
      </c>
    </row>
    <row r="2769" spans="4:7" hidden="1">
      <c r="D2769" s="5" t="s">
        <v>4682</v>
      </c>
      <c r="E2769" s="5" t="s">
        <v>309</v>
      </c>
      <c r="G2769" s="5" t="s">
        <v>1917</v>
      </c>
    </row>
    <row r="2770" spans="4:7" hidden="1">
      <c r="D2770" s="5" t="s">
        <v>4683</v>
      </c>
      <c r="E2770" s="5" t="s">
        <v>309</v>
      </c>
      <c r="G2770" s="5" t="s">
        <v>1917</v>
      </c>
    </row>
    <row r="2771" spans="4:7" hidden="1">
      <c r="D2771" s="5" t="s">
        <v>4684</v>
      </c>
      <c r="E2771" s="5" t="s">
        <v>427</v>
      </c>
      <c r="G2771" s="5" t="s">
        <v>1917</v>
      </c>
    </row>
    <row r="2772" spans="4:7" hidden="1">
      <c r="D2772" s="5" t="s">
        <v>4685</v>
      </c>
      <c r="E2772" s="5" t="s">
        <v>430</v>
      </c>
      <c r="G2772" s="5" t="s">
        <v>1917</v>
      </c>
    </row>
    <row r="2773" spans="4:7" hidden="1">
      <c r="D2773" s="5" t="s">
        <v>4686</v>
      </c>
      <c r="E2773" s="5" t="s">
        <v>1890</v>
      </c>
      <c r="G2773" s="5" t="s">
        <v>1917</v>
      </c>
    </row>
    <row r="2774" spans="4:7" hidden="1">
      <c r="D2774" s="5" t="s">
        <v>4687</v>
      </c>
      <c r="E2774" s="5" t="s">
        <v>430</v>
      </c>
      <c r="G2774" s="5" t="s">
        <v>1917</v>
      </c>
    </row>
    <row r="2775" spans="4:7" hidden="1">
      <c r="D2775" s="5" t="s">
        <v>4688</v>
      </c>
      <c r="E2775" s="5" t="s">
        <v>309</v>
      </c>
      <c r="G2775" s="5" t="s">
        <v>1917</v>
      </c>
    </row>
    <row r="2776" spans="4:7" hidden="1">
      <c r="D2776" s="5" t="s">
        <v>4689</v>
      </c>
      <c r="E2776" s="5" t="s">
        <v>1890</v>
      </c>
      <c r="G2776" s="5" t="s">
        <v>1917</v>
      </c>
    </row>
    <row r="2777" spans="4:7" hidden="1">
      <c r="D2777" s="5" t="s">
        <v>4690</v>
      </c>
      <c r="E2777" s="5" t="s">
        <v>3661</v>
      </c>
      <c r="G2777" s="5" t="s">
        <v>1926</v>
      </c>
    </row>
    <row r="2778" spans="4:7" hidden="1">
      <c r="D2778" s="5" t="s">
        <v>4691</v>
      </c>
      <c r="E2778" s="5" t="s">
        <v>309</v>
      </c>
      <c r="G2778" s="5" t="s">
        <v>1917</v>
      </c>
    </row>
    <row r="2779" spans="4:7" hidden="1">
      <c r="D2779" s="5" t="s">
        <v>4692</v>
      </c>
      <c r="E2779" s="5" t="s">
        <v>3838</v>
      </c>
      <c r="G2779" s="5" t="s">
        <v>1917</v>
      </c>
    </row>
    <row r="2780" spans="4:7" hidden="1">
      <c r="D2780" s="5" t="s">
        <v>4693</v>
      </c>
      <c r="E2780" s="5" t="s">
        <v>1890</v>
      </c>
      <c r="G2780" s="5" t="s">
        <v>1917</v>
      </c>
    </row>
    <row r="2781" spans="4:7" hidden="1">
      <c r="D2781" s="5" t="s">
        <v>4694</v>
      </c>
      <c r="E2781" s="5" t="s">
        <v>430</v>
      </c>
      <c r="G2781" s="5" t="s">
        <v>1917</v>
      </c>
    </row>
    <row r="2782" spans="4:7" hidden="1">
      <c r="D2782" s="5" t="s">
        <v>4695</v>
      </c>
      <c r="E2782" s="5" t="s">
        <v>3838</v>
      </c>
      <c r="G2782" s="5" t="s">
        <v>1917</v>
      </c>
    </row>
    <row r="2783" spans="4:7" hidden="1">
      <c r="D2783" s="5" t="s">
        <v>4696</v>
      </c>
      <c r="E2783" s="5" t="s">
        <v>1890</v>
      </c>
      <c r="G2783" s="5" t="s">
        <v>1917</v>
      </c>
    </row>
    <row r="2784" spans="4:7" hidden="1">
      <c r="D2784" s="5" t="s">
        <v>4697</v>
      </c>
      <c r="E2784" s="5" t="s">
        <v>427</v>
      </c>
      <c r="G2784" s="5" t="s">
        <v>1917</v>
      </c>
    </row>
    <row r="2785" spans="4:7" hidden="1">
      <c r="D2785" s="5" t="s">
        <v>4698</v>
      </c>
      <c r="E2785" s="5" t="s">
        <v>309</v>
      </c>
      <c r="G2785" s="5" t="s">
        <v>3822</v>
      </c>
    </row>
    <row r="2786" spans="4:7" hidden="1">
      <c r="D2786" s="5" t="s">
        <v>4699</v>
      </c>
      <c r="E2786" s="5" t="s">
        <v>812</v>
      </c>
      <c r="G2786" s="5" t="s">
        <v>1917</v>
      </c>
    </row>
    <row r="2787" spans="4:7" hidden="1">
      <c r="D2787" s="5" t="s">
        <v>4700</v>
      </c>
      <c r="E2787" s="5" t="s">
        <v>1890</v>
      </c>
      <c r="G2787" s="5" t="s">
        <v>1917</v>
      </c>
    </row>
    <row r="2788" spans="4:7" hidden="1">
      <c r="D2788" s="5" t="s">
        <v>4701</v>
      </c>
      <c r="E2788" s="5" t="s">
        <v>1901</v>
      </c>
      <c r="G2788" s="5" t="s">
        <v>1917</v>
      </c>
    </row>
    <row r="2789" spans="4:7" hidden="1">
      <c r="D2789" s="5" t="s">
        <v>4702</v>
      </c>
      <c r="E2789" s="5" t="s">
        <v>3661</v>
      </c>
      <c r="G2789" s="5" t="s">
        <v>1926</v>
      </c>
    </row>
    <row r="2790" spans="4:7" hidden="1">
      <c r="D2790" s="5" t="s">
        <v>4703</v>
      </c>
      <c r="E2790" s="5" t="s">
        <v>309</v>
      </c>
      <c r="G2790" s="5" t="s">
        <v>3822</v>
      </c>
    </row>
    <row r="2791" spans="4:7" hidden="1">
      <c r="D2791" s="5" t="s">
        <v>4704</v>
      </c>
      <c r="E2791" s="5" t="s">
        <v>1890</v>
      </c>
      <c r="G2791" s="5" t="s">
        <v>1917</v>
      </c>
    </row>
    <row r="2792" spans="4:7" hidden="1">
      <c r="D2792" s="5" t="s">
        <v>4705</v>
      </c>
      <c r="E2792" s="5" t="s">
        <v>430</v>
      </c>
      <c r="G2792" s="5" t="s">
        <v>1917</v>
      </c>
    </row>
    <row r="2793" spans="4:7" hidden="1">
      <c r="D2793" s="5" t="s">
        <v>4706</v>
      </c>
      <c r="E2793" s="5" t="s">
        <v>430</v>
      </c>
      <c r="G2793" s="5" t="s">
        <v>1917</v>
      </c>
    </row>
    <row r="2794" spans="4:7" hidden="1">
      <c r="D2794" s="5" t="s">
        <v>4707</v>
      </c>
      <c r="E2794" s="5" t="s">
        <v>427</v>
      </c>
      <c r="G2794" s="5" t="s">
        <v>1917</v>
      </c>
    </row>
    <row r="2795" spans="4:7" hidden="1">
      <c r="D2795" s="5" t="s">
        <v>4708</v>
      </c>
      <c r="E2795" s="5" t="s">
        <v>720</v>
      </c>
      <c r="G2795" s="5" t="s">
        <v>3822</v>
      </c>
    </row>
    <row r="2796" spans="4:7" hidden="1">
      <c r="D2796" s="5" t="s">
        <v>4709</v>
      </c>
      <c r="E2796" s="5" t="s">
        <v>1978</v>
      </c>
      <c r="G2796" s="5" t="s">
        <v>1917</v>
      </c>
    </row>
    <row r="2797" spans="4:7" hidden="1">
      <c r="D2797" s="5" t="s">
        <v>4710</v>
      </c>
      <c r="E2797" s="5" t="s">
        <v>1890</v>
      </c>
      <c r="G2797" s="5" t="s">
        <v>1917</v>
      </c>
    </row>
    <row r="2798" spans="4:7" hidden="1">
      <c r="D2798" s="5" t="s">
        <v>4711</v>
      </c>
      <c r="E2798" s="5" t="s">
        <v>427</v>
      </c>
      <c r="G2798" s="5" t="s">
        <v>1917</v>
      </c>
    </row>
    <row r="2799" spans="4:7" hidden="1">
      <c r="D2799" s="5" t="s">
        <v>4712</v>
      </c>
      <c r="E2799" s="5" t="s">
        <v>1983</v>
      </c>
      <c r="G2799" s="5" t="s">
        <v>4713</v>
      </c>
    </row>
    <row r="2800" spans="4:7" hidden="1">
      <c r="D2800" s="5" t="s">
        <v>4714</v>
      </c>
      <c r="E2800" s="5" t="s">
        <v>430</v>
      </c>
      <c r="G2800" s="5" t="s">
        <v>4713</v>
      </c>
    </row>
    <row r="2801" spans="4:7" hidden="1">
      <c r="D2801" s="5" t="s">
        <v>4715</v>
      </c>
      <c r="E2801" s="5" t="s">
        <v>1890</v>
      </c>
      <c r="G2801" s="5" t="s">
        <v>1917</v>
      </c>
    </row>
    <row r="2802" spans="4:7" hidden="1">
      <c r="D2802" s="5" t="s">
        <v>4716</v>
      </c>
      <c r="E2802" s="5" t="s">
        <v>430</v>
      </c>
      <c r="G2802" s="5" t="s">
        <v>4713</v>
      </c>
    </row>
    <row r="2803" spans="4:7" hidden="1">
      <c r="D2803" s="5" t="s">
        <v>4717</v>
      </c>
      <c r="E2803" s="5" t="s">
        <v>309</v>
      </c>
      <c r="G2803" s="5" t="s">
        <v>4713</v>
      </c>
    </row>
    <row r="2804" spans="4:7" hidden="1">
      <c r="D2804" s="5" t="s">
        <v>4718</v>
      </c>
      <c r="E2804" s="5" t="s">
        <v>451</v>
      </c>
      <c r="G2804" s="5" t="s">
        <v>1926</v>
      </c>
    </row>
    <row r="2805" spans="4:7" hidden="1">
      <c r="D2805" s="5" t="s">
        <v>4719</v>
      </c>
      <c r="E2805" s="5" t="s">
        <v>1890</v>
      </c>
      <c r="G2805" s="5" t="s">
        <v>1917</v>
      </c>
    </row>
    <row r="2806" spans="4:7" hidden="1">
      <c r="D2806" s="5" t="s">
        <v>4720</v>
      </c>
      <c r="E2806" s="5" t="s">
        <v>1890</v>
      </c>
      <c r="G2806" s="5" t="s">
        <v>1917</v>
      </c>
    </row>
    <row r="2807" spans="4:7" hidden="1">
      <c r="D2807" s="5" t="s">
        <v>4721</v>
      </c>
      <c r="E2807" s="5" t="s">
        <v>451</v>
      </c>
      <c r="G2807" s="5" t="s">
        <v>1917</v>
      </c>
    </row>
    <row r="2808" spans="4:7" hidden="1">
      <c r="D2808" s="5" t="s">
        <v>4722</v>
      </c>
      <c r="E2808" s="5" t="s">
        <v>1890</v>
      </c>
      <c r="G2808" s="5" t="s">
        <v>1917</v>
      </c>
    </row>
    <row r="2809" spans="4:7" hidden="1">
      <c r="D2809" s="5" t="s">
        <v>4723</v>
      </c>
      <c r="E2809" s="5" t="s">
        <v>451</v>
      </c>
      <c r="G2809" s="5" t="s">
        <v>1917</v>
      </c>
    </row>
    <row r="2810" spans="4:7" hidden="1">
      <c r="D2810" s="5" t="s">
        <v>4724</v>
      </c>
      <c r="E2810" s="5" t="s">
        <v>2056</v>
      </c>
      <c r="G2810" s="5" t="s">
        <v>1917</v>
      </c>
    </row>
    <row r="2811" spans="4:7" hidden="1">
      <c r="D2811" s="5" t="s">
        <v>4725</v>
      </c>
      <c r="E2811" s="5" t="s">
        <v>1890</v>
      </c>
      <c r="G2811" s="5" t="s">
        <v>1926</v>
      </c>
    </row>
    <row r="2812" spans="4:7" hidden="1">
      <c r="D2812" s="5" t="s">
        <v>4726</v>
      </c>
      <c r="E2812" s="5" t="s">
        <v>451</v>
      </c>
      <c r="G2812" s="5" t="s">
        <v>1917</v>
      </c>
    </row>
    <row r="2813" spans="4:7" hidden="1">
      <c r="D2813" s="5" t="s">
        <v>4727</v>
      </c>
      <c r="E2813" s="5" t="s">
        <v>451</v>
      </c>
      <c r="G2813" s="5" t="s">
        <v>1917</v>
      </c>
    </row>
    <row r="2814" spans="4:7" hidden="1">
      <c r="D2814" s="5" t="s">
        <v>4728</v>
      </c>
      <c r="E2814" s="5" t="s">
        <v>1890</v>
      </c>
      <c r="G2814" s="5" t="s">
        <v>1917</v>
      </c>
    </row>
    <row r="2815" spans="4:7" hidden="1">
      <c r="D2815" s="5" t="s">
        <v>4729</v>
      </c>
      <c r="E2815" s="5" t="s">
        <v>451</v>
      </c>
      <c r="G2815" s="5" t="s">
        <v>1917</v>
      </c>
    </row>
    <row r="2816" spans="4:7" hidden="1">
      <c r="D2816" s="5" t="s">
        <v>4730</v>
      </c>
      <c r="E2816" s="5" t="s">
        <v>3979</v>
      </c>
      <c r="G2816" s="5" t="s">
        <v>1926</v>
      </c>
    </row>
    <row r="2817" spans="4:7" hidden="1">
      <c r="D2817" s="5" t="s">
        <v>4731</v>
      </c>
      <c r="E2817" s="5" t="s">
        <v>3979</v>
      </c>
      <c r="G2817" s="5" t="s">
        <v>1920</v>
      </c>
    </row>
    <row r="2818" spans="4:7" hidden="1">
      <c r="D2818" s="5" t="s">
        <v>4732</v>
      </c>
      <c r="E2818" s="5" t="s">
        <v>2056</v>
      </c>
      <c r="G2818" s="5" t="s">
        <v>1917</v>
      </c>
    </row>
    <row r="2819" spans="4:7" hidden="1">
      <c r="D2819" s="5" t="s">
        <v>4733</v>
      </c>
      <c r="E2819" s="5" t="s">
        <v>451</v>
      </c>
      <c r="G2819" s="5" t="s">
        <v>1917</v>
      </c>
    </row>
    <row r="2820" spans="4:7" hidden="1">
      <c r="D2820" s="5" t="s">
        <v>942</v>
      </c>
      <c r="E2820" s="5" t="s">
        <v>451</v>
      </c>
      <c r="G2820" s="5" t="s">
        <v>1917</v>
      </c>
    </row>
    <row r="2821" spans="4:7" hidden="1">
      <c r="D2821" s="5" t="s">
        <v>4734</v>
      </c>
      <c r="E2821" s="5" t="s">
        <v>2056</v>
      </c>
      <c r="G2821" s="5" t="s">
        <v>1917</v>
      </c>
    </row>
    <row r="2822" spans="4:7" hidden="1">
      <c r="D2822" s="5" t="s">
        <v>4735</v>
      </c>
      <c r="E2822" s="5" t="s">
        <v>3656</v>
      </c>
      <c r="G2822" s="5" t="s">
        <v>1917</v>
      </c>
    </row>
    <row r="2823" spans="4:7" hidden="1">
      <c r="D2823" s="5" t="s">
        <v>4736</v>
      </c>
      <c r="E2823" s="5" t="s">
        <v>1890</v>
      </c>
      <c r="G2823" s="5" t="s">
        <v>1917</v>
      </c>
    </row>
    <row r="2824" spans="4:7" hidden="1">
      <c r="D2824" s="5" t="s">
        <v>4737</v>
      </c>
      <c r="E2824" s="5" t="s">
        <v>2005</v>
      </c>
      <c r="G2824" s="5" t="s">
        <v>1917</v>
      </c>
    </row>
    <row r="2825" spans="4:7" hidden="1">
      <c r="D2825" s="5" t="s">
        <v>4738</v>
      </c>
      <c r="E2825" s="5" t="s">
        <v>2005</v>
      </c>
      <c r="G2825" s="5" t="s">
        <v>1917</v>
      </c>
    </row>
    <row r="2826" spans="4:7" hidden="1">
      <c r="D2826" s="5" t="s">
        <v>4739</v>
      </c>
      <c r="E2826" s="5" t="s">
        <v>309</v>
      </c>
      <c r="G2826" s="5" t="s">
        <v>1917</v>
      </c>
    </row>
    <row r="2827" spans="4:7" hidden="1">
      <c r="D2827" s="5" t="s">
        <v>4740</v>
      </c>
      <c r="E2827" s="5" t="s">
        <v>2005</v>
      </c>
      <c r="G2827" s="5" t="s">
        <v>1917</v>
      </c>
    </row>
    <row r="2828" spans="4:7" hidden="1">
      <c r="D2828" s="5" t="s">
        <v>4741</v>
      </c>
      <c r="E2828" s="5" t="s">
        <v>309</v>
      </c>
      <c r="G2828" s="5" t="s">
        <v>1917</v>
      </c>
    </row>
    <row r="2829" spans="4:7" hidden="1">
      <c r="D2829" s="5" t="s">
        <v>4742</v>
      </c>
      <c r="E2829" s="5" t="s">
        <v>52</v>
      </c>
      <c r="G2829" s="5" t="s">
        <v>1926</v>
      </c>
    </row>
    <row r="2830" spans="4:7" hidden="1">
      <c r="D2830" s="5" t="s">
        <v>4743</v>
      </c>
      <c r="E2830" s="5" t="s">
        <v>309</v>
      </c>
      <c r="G2830" s="5" t="s">
        <v>1917</v>
      </c>
    </row>
    <row r="2831" spans="4:7" hidden="1">
      <c r="D2831" s="5" t="s">
        <v>4744</v>
      </c>
      <c r="E2831" s="5" t="s">
        <v>1945</v>
      </c>
      <c r="G2831" s="5" t="s">
        <v>1917</v>
      </c>
    </row>
    <row r="2832" spans="4:7" hidden="1">
      <c r="D2832" s="5" t="s">
        <v>4745</v>
      </c>
      <c r="E2832" s="5" t="s">
        <v>309</v>
      </c>
      <c r="G2832" s="5" t="s">
        <v>1917</v>
      </c>
    </row>
    <row r="2833" spans="4:7" hidden="1">
      <c r="D2833" s="5" t="s">
        <v>4746</v>
      </c>
      <c r="E2833" s="5" t="s">
        <v>52</v>
      </c>
      <c r="G2833" s="5" t="s">
        <v>1917</v>
      </c>
    </row>
    <row r="2834" spans="4:7" hidden="1">
      <c r="D2834" s="5" t="s">
        <v>4747</v>
      </c>
      <c r="E2834" s="5" t="s">
        <v>451</v>
      </c>
      <c r="G2834" s="5" t="s">
        <v>1917</v>
      </c>
    </row>
    <row r="2835" spans="4:7" hidden="1">
      <c r="D2835" s="5" t="s">
        <v>4748</v>
      </c>
      <c r="E2835" s="5" t="s">
        <v>52</v>
      </c>
      <c r="G2835" s="5" t="s">
        <v>1917</v>
      </c>
    </row>
    <row r="2836" spans="4:7" hidden="1">
      <c r="D2836" s="5" t="s">
        <v>4749</v>
      </c>
      <c r="E2836" s="5" t="s">
        <v>1945</v>
      </c>
      <c r="G2836" s="5" t="s">
        <v>1917</v>
      </c>
    </row>
    <row r="2837" spans="4:7" hidden="1">
      <c r="D2837" s="5" t="s">
        <v>4750</v>
      </c>
      <c r="E2837" s="5" t="s">
        <v>451</v>
      </c>
      <c r="G2837" s="5" t="s">
        <v>1917</v>
      </c>
    </row>
    <row r="2838" spans="4:7" hidden="1">
      <c r="D2838" s="5" t="s">
        <v>4751</v>
      </c>
      <c r="E2838" s="5" t="s">
        <v>451</v>
      </c>
      <c r="G2838" s="5" t="s">
        <v>1917</v>
      </c>
    </row>
    <row r="2839" spans="4:7" hidden="1">
      <c r="D2839" s="5" t="s">
        <v>4752</v>
      </c>
      <c r="E2839" s="5" t="s">
        <v>451</v>
      </c>
      <c r="G2839" s="5" t="s">
        <v>1917</v>
      </c>
    </row>
    <row r="2840" spans="4:7" hidden="1">
      <c r="D2840" s="5" t="s">
        <v>4753</v>
      </c>
      <c r="E2840" s="5" t="s">
        <v>427</v>
      </c>
      <c r="G2840" s="5" t="s">
        <v>1917</v>
      </c>
    </row>
    <row r="2841" spans="4:7" hidden="1">
      <c r="D2841" s="5" t="s">
        <v>4754</v>
      </c>
      <c r="E2841" s="5" t="s">
        <v>451</v>
      </c>
      <c r="G2841" s="5" t="s">
        <v>1917</v>
      </c>
    </row>
    <row r="2842" spans="4:7" hidden="1">
      <c r="D2842" s="5" t="s">
        <v>4755</v>
      </c>
      <c r="E2842" s="5" t="s">
        <v>1945</v>
      </c>
      <c r="G2842" s="5" t="s">
        <v>1917</v>
      </c>
    </row>
    <row r="2843" spans="4:7" hidden="1">
      <c r="D2843" s="5" t="s">
        <v>4756</v>
      </c>
      <c r="E2843" s="5" t="s">
        <v>451</v>
      </c>
      <c r="G2843" s="5" t="s">
        <v>1917</v>
      </c>
    </row>
    <row r="2844" spans="4:7" hidden="1">
      <c r="D2844" s="5" t="s">
        <v>4757</v>
      </c>
      <c r="E2844" s="5" t="s">
        <v>2056</v>
      </c>
      <c r="G2844" s="5" t="s">
        <v>1917</v>
      </c>
    </row>
    <row r="2845" spans="4:7" hidden="1">
      <c r="D2845" s="5" t="s">
        <v>4758</v>
      </c>
      <c r="E2845" s="5" t="s">
        <v>451</v>
      </c>
      <c r="G2845" s="5" t="s">
        <v>1917</v>
      </c>
    </row>
    <row r="2846" spans="4:7" hidden="1">
      <c r="D2846" s="5" t="s">
        <v>4759</v>
      </c>
      <c r="E2846" s="5" t="s">
        <v>1901</v>
      </c>
      <c r="G2846" s="5" t="s">
        <v>1917</v>
      </c>
    </row>
    <row r="2847" spans="4:7" hidden="1">
      <c r="D2847" s="5" t="s">
        <v>4760</v>
      </c>
      <c r="E2847" s="5" t="s">
        <v>2056</v>
      </c>
      <c r="G2847" s="5" t="s">
        <v>1917</v>
      </c>
    </row>
    <row r="2848" spans="4:7" hidden="1">
      <c r="D2848" s="5" t="s">
        <v>4761</v>
      </c>
      <c r="E2848" s="5" t="s">
        <v>309</v>
      </c>
      <c r="G2848" s="5" t="s">
        <v>4713</v>
      </c>
    </row>
    <row r="2849" spans="4:7" hidden="1">
      <c r="D2849" s="5" t="s">
        <v>4762</v>
      </c>
      <c r="E2849" s="5" t="s">
        <v>791</v>
      </c>
      <c r="G2849" s="5" t="s">
        <v>1917</v>
      </c>
    </row>
    <row r="2850" spans="4:7" hidden="1">
      <c r="D2850" s="5" t="s">
        <v>4763</v>
      </c>
      <c r="E2850" s="5" t="s">
        <v>1894</v>
      </c>
      <c r="G2850" s="5" t="s">
        <v>1926</v>
      </c>
    </row>
    <row r="2851" spans="4:7" hidden="1">
      <c r="D2851" s="5" t="s">
        <v>4764</v>
      </c>
      <c r="E2851" s="5" t="s">
        <v>2056</v>
      </c>
      <c r="G2851" s="5" t="s">
        <v>1917</v>
      </c>
    </row>
    <row r="2852" spans="4:7" hidden="1">
      <c r="D2852" s="5" t="s">
        <v>4765</v>
      </c>
      <c r="E2852" s="5" t="s">
        <v>791</v>
      </c>
      <c r="G2852" s="5" t="s">
        <v>1917</v>
      </c>
    </row>
    <row r="2853" spans="4:7" hidden="1">
      <c r="D2853" s="5" t="s">
        <v>4766</v>
      </c>
      <c r="E2853" s="5" t="s">
        <v>791</v>
      </c>
      <c r="G2853" s="5" t="s">
        <v>1917</v>
      </c>
    </row>
    <row r="2854" spans="4:7" hidden="1">
      <c r="D2854" s="5" t="s">
        <v>985</v>
      </c>
      <c r="E2854" s="5" t="s">
        <v>1894</v>
      </c>
      <c r="G2854" s="5" t="s">
        <v>1917</v>
      </c>
    </row>
    <row r="2855" spans="4:7" hidden="1">
      <c r="D2855" s="5" t="s">
        <v>4767</v>
      </c>
      <c r="E2855" s="5" t="s">
        <v>2056</v>
      </c>
      <c r="G2855" s="5" t="s">
        <v>1917</v>
      </c>
    </row>
    <row r="2856" spans="4:7" hidden="1">
      <c r="D2856" s="5" t="s">
        <v>4768</v>
      </c>
      <c r="E2856" s="5" t="s">
        <v>2056</v>
      </c>
      <c r="G2856" s="5" t="s">
        <v>1917</v>
      </c>
    </row>
    <row r="2857" spans="4:7" hidden="1">
      <c r="D2857" s="5" t="s">
        <v>4769</v>
      </c>
      <c r="E2857" s="5" t="s">
        <v>451</v>
      </c>
      <c r="G2857" s="5" t="s">
        <v>1917</v>
      </c>
    </row>
    <row r="2858" spans="4:7" hidden="1">
      <c r="D2858" s="5" t="s">
        <v>4770</v>
      </c>
      <c r="E2858" s="5" t="s">
        <v>2056</v>
      </c>
      <c r="G2858" s="5" t="s">
        <v>1917</v>
      </c>
    </row>
    <row r="2859" spans="4:7" hidden="1">
      <c r="D2859" s="5" t="s">
        <v>4771</v>
      </c>
      <c r="E2859" s="5" t="s">
        <v>1890</v>
      </c>
      <c r="G2859" s="5" t="s">
        <v>1917</v>
      </c>
    </row>
    <row r="2860" spans="4:7" hidden="1">
      <c r="D2860" s="5" t="s">
        <v>4772</v>
      </c>
      <c r="E2860" s="5" t="s">
        <v>309</v>
      </c>
      <c r="G2860" s="5" t="s">
        <v>1917</v>
      </c>
    </row>
    <row r="2861" spans="4:7" hidden="1">
      <c r="D2861" s="5" t="s">
        <v>4773</v>
      </c>
      <c r="E2861" s="5" t="s">
        <v>2005</v>
      </c>
      <c r="G2861" s="5" t="s">
        <v>1917</v>
      </c>
    </row>
    <row r="2862" spans="4:7" hidden="1">
      <c r="D2862" s="5" t="s">
        <v>4774</v>
      </c>
      <c r="E2862" s="5" t="s">
        <v>1983</v>
      </c>
      <c r="G2862" s="5" t="s">
        <v>4713</v>
      </c>
    </row>
    <row r="2863" spans="4:7" hidden="1">
      <c r="D2863" s="5" t="s">
        <v>4775</v>
      </c>
      <c r="E2863" s="5" t="s">
        <v>1890</v>
      </c>
      <c r="G2863" s="5" t="s">
        <v>1917</v>
      </c>
    </row>
    <row r="2864" spans="4:7" hidden="1">
      <c r="D2864" s="5" t="s">
        <v>4776</v>
      </c>
      <c r="E2864" s="5" t="s">
        <v>2005</v>
      </c>
      <c r="G2864" s="5" t="s">
        <v>1917</v>
      </c>
    </row>
    <row r="2865" spans="4:7" hidden="1">
      <c r="D2865" s="5" t="s">
        <v>4777</v>
      </c>
      <c r="E2865" s="5" t="s">
        <v>2091</v>
      </c>
      <c r="G2865" s="5" t="s">
        <v>1917</v>
      </c>
    </row>
    <row r="2866" spans="4:7" hidden="1">
      <c r="D2866" s="5" t="s">
        <v>4778</v>
      </c>
      <c r="E2866" s="5" t="s">
        <v>1901</v>
      </c>
      <c r="G2866" s="5" t="s">
        <v>1917</v>
      </c>
    </row>
    <row r="2867" spans="4:7" hidden="1">
      <c r="D2867" s="5" t="s">
        <v>4779</v>
      </c>
      <c r="E2867" s="5" t="s">
        <v>2056</v>
      </c>
      <c r="G2867" s="5" t="s">
        <v>1917</v>
      </c>
    </row>
    <row r="2868" spans="4:7" hidden="1">
      <c r="D2868" s="5" t="s">
        <v>4780</v>
      </c>
      <c r="E2868" s="5" t="s">
        <v>1890</v>
      </c>
      <c r="G2868" s="5" t="s">
        <v>1917</v>
      </c>
    </row>
    <row r="2869" spans="4:7" hidden="1">
      <c r="D2869" s="5" t="s">
        <v>4781</v>
      </c>
      <c r="E2869" s="5" t="s">
        <v>812</v>
      </c>
      <c r="G2869" s="5" t="s">
        <v>1917</v>
      </c>
    </row>
    <row r="2870" spans="4:7" hidden="1">
      <c r="D2870" s="5" t="s">
        <v>4782</v>
      </c>
      <c r="E2870" s="5" t="s">
        <v>2056</v>
      </c>
      <c r="G2870" s="5" t="s">
        <v>1917</v>
      </c>
    </row>
    <row r="2871" spans="4:7" hidden="1">
      <c r="D2871" s="5" t="s">
        <v>4783</v>
      </c>
      <c r="E2871" s="5" t="s">
        <v>1890</v>
      </c>
      <c r="G2871" s="5" t="s">
        <v>1917</v>
      </c>
    </row>
    <row r="2872" spans="4:7" hidden="1">
      <c r="D2872" s="5" t="s">
        <v>4784</v>
      </c>
      <c r="E2872" s="5" t="s">
        <v>812</v>
      </c>
      <c r="G2872" s="5" t="s">
        <v>1917</v>
      </c>
    </row>
    <row r="2873" spans="4:7" hidden="1">
      <c r="D2873" s="5" t="s">
        <v>4785</v>
      </c>
      <c r="E2873" s="5" t="s">
        <v>430</v>
      </c>
      <c r="G2873" s="5" t="s">
        <v>1917</v>
      </c>
    </row>
    <row r="2874" spans="4:7" hidden="1">
      <c r="D2874" s="5" t="s">
        <v>4786</v>
      </c>
      <c r="E2874" s="5" t="s">
        <v>812</v>
      </c>
      <c r="G2874" s="5" t="s">
        <v>1917</v>
      </c>
    </row>
    <row r="2875" spans="4:7" hidden="1">
      <c r="D2875" s="5" t="s">
        <v>4787</v>
      </c>
      <c r="E2875" s="5" t="s">
        <v>1890</v>
      </c>
      <c r="G2875" s="5" t="s">
        <v>1917</v>
      </c>
    </row>
    <row r="2876" spans="4:7" hidden="1">
      <c r="D2876" s="5" t="s">
        <v>4788</v>
      </c>
      <c r="E2876" s="5" t="s">
        <v>812</v>
      </c>
      <c r="G2876" s="5" t="s">
        <v>1917</v>
      </c>
    </row>
    <row r="2877" spans="4:7" hidden="1">
      <c r="D2877" s="5" t="s">
        <v>4789</v>
      </c>
      <c r="E2877" s="5" t="s">
        <v>430</v>
      </c>
      <c r="G2877" s="5" t="s">
        <v>1917</v>
      </c>
    </row>
    <row r="2878" spans="4:7" hidden="1">
      <c r="D2878" s="5" t="s">
        <v>4790</v>
      </c>
      <c r="E2878" s="5" t="s">
        <v>309</v>
      </c>
      <c r="G2878" s="5" t="s">
        <v>4713</v>
      </c>
    </row>
    <row r="2879" spans="4:7" hidden="1">
      <c r="D2879" s="5" t="s">
        <v>4791</v>
      </c>
      <c r="E2879" s="5" t="s">
        <v>451</v>
      </c>
      <c r="G2879" s="5" t="s">
        <v>1917</v>
      </c>
    </row>
    <row r="2880" spans="4:7" hidden="1">
      <c r="D2880" s="5" t="s">
        <v>4792</v>
      </c>
      <c r="E2880" s="5" t="s">
        <v>812</v>
      </c>
      <c r="G2880" s="5" t="s">
        <v>1917</v>
      </c>
    </row>
    <row r="2881" spans="4:7" hidden="1">
      <c r="D2881" s="5" t="s">
        <v>4793</v>
      </c>
      <c r="E2881" s="5" t="s">
        <v>3656</v>
      </c>
      <c r="G2881" s="5" t="s">
        <v>1917</v>
      </c>
    </row>
    <row r="2882" spans="4:7" hidden="1">
      <c r="D2882" s="5" t="s">
        <v>198</v>
      </c>
      <c r="E2882" s="5" t="s">
        <v>168</v>
      </c>
      <c r="G2882" s="5" t="s">
        <v>1917</v>
      </c>
    </row>
    <row r="2883" spans="4:7" hidden="1">
      <c r="D2883" s="5" t="s">
        <v>4794</v>
      </c>
      <c r="E2883" s="5" t="s">
        <v>1890</v>
      </c>
      <c r="G2883" s="5" t="s">
        <v>1917</v>
      </c>
    </row>
    <row r="2884" spans="4:7" hidden="1">
      <c r="D2884" s="5" t="s">
        <v>4795</v>
      </c>
      <c r="E2884" s="5" t="s">
        <v>52</v>
      </c>
      <c r="G2884" s="5" t="s">
        <v>1917</v>
      </c>
    </row>
    <row r="2885" spans="4:7" hidden="1">
      <c r="D2885" s="5" t="s">
        <v>4796</v>
      </c>
      <c r="E2885" s="5" t="s">
        <v>3656</v>
      </c>
      <c r="G2885" s="5" t="s">
        <v>1917</v>
      </c>
    </row>
    <row r="2886" spans="4:7" hidden="1">
      <c r="D2886" s="5" t="s">
        <v>4797</v>
      </c>
      <c r="E2886" s="5" t="s">
        <v>812</v>
      </c>
      <c r="G2886" s="5" t="s">
        <v>1917</v>
      </c>
    </row>
    <row r="2887" spans="4:7" hidden="1">
      <c r="D2887" s="5" t="s">
        <v>4798</v>
      </c>
      <c r="E2887" s="5" t="s">
        <v>1901</v>
      </c>
      <c r="G2887" s="5" t="s">
        <v>1917</v>
      </c>
    </row>
    <row r="2888" spans="4:7" hidden="1">
      <c r="D2888" s="5" t="s">
        <v>4799</v>
      </c>
      <c r="E2888" s="5" t="s">
        <v>1890</v>
      </c>
      <c r="G2888" s="5" t="s">
        <v>1917</v>
      </c>
    </row>
    <row r="2889" spans="4:7" hidden="1">
      <c r="D2889" s="5" t="s">
        <v>4800</v>
      </c>
      <c r="E2889" s="5" t="s">
        <v>2056</v>
      </c>
      <c r="G2889" s="5" t="s">
        <v>1917</v>
      </c>
    </row>
    <row r="2890" spans="4:7" hidden="1">
      <c r="D2890" s="5" t="s">
        <v>4801</v>
      </c>
      <c r="E2890" s="5" t="s">
        <v>1890</v>
      </c>
      <c r="G2890" s="5" t="s">
        <v>1917</v>
      </c>
    </row>
    <row r="2891" spans="4:7" hidden="1">
      <c r="D2891" s="5" t="s">
        <v>4802</v>
      </c>
      <c r="E2891" s="5" t="s">
        <v>309</v>
      </c>
      <c r="G2891" s="5" t="s">
        <v>4713</v>
      </c>
    </row>
    <row r="2892" spans="4:7" hidden="1">
      <c r="D2892" s="5" t="s">
        <v>4803</v>
      </c>
      <c r="E2892" s="5" t="s">
        <v>1983</v>
      </c>
      <c r="G2892" s="5" t="s">
        <v>4713</v>
      </c>
    </row>
    <row r="2893" spans="4:7" hidden="1">
      <c r="D2893" s="5" t="s">
        <v>4804</v>
      </c>
      <c r="E2893" s="5" t="s">
        <v>451</v>
      </c>
      <c r="G2893" s="5" t="s">
        <v>1917</v>
      </c>
    </row>
    <row r="2894" spans="4:7" hidden="1">
      <c r="D2894" s="5" t="s">
        <v>4805</v>
      </c>
      <c r="E2894" s="5" t="s">
        <v>1890</v>
      </c>
      <c r="G2894" s="5" t="s">
        <v>1917</v>
      </c>
    </row>
    <row r="2895" spans="4:7" hidden="1">
      <c r="D2895" s="5" t="s">
        <v>4806</v>
      </c>
      <c r="E2895" s="5" t="s">
        <v>430</v>
      </c>
      <c r="G2895" s="5" t="s">
        <v>4713</v>
      </c>
    </row>
    <row r="2896" spans="4:7" hidden="1">
      <c r="D2896" s="5" t="s">
        <v>4807</v>
      </c>
      <c r="E2896" s="5" t="s">
        <v>309</v>
      </c>
      <c r="G2896" s="5" t="s">
        <v>4713</v>
      </c>
    </row>
    <row r="2897" spans="4:7" hidden="1">
      <c r="D2897" s="5" t="s">
        <v>4808</v>
      </c>
      <c r="E2897" s="5" t="s">
        <v>451</v>
      </c>
      <c r="G2897" s="5" t="s">
        <v>1917</v>
      </c>
    </row>
    <row r="2898" spans="4:7" hidden="1">
      <c r="D2898" s="5" t="s">
        <v>4809</v>
      </c>
      <c r="E2898" s="5" t="s">
        <v>1890</v>
      </c>
      <c r="G2898" s="5" t="s">
        <v>1917</v>
      </c>
    </row>
    <row r="2899" spans="4:7" hidden="1">
      <c r="D2899" s="5" t="s">
        <v>4810</v>
      </c>
      <c r="E2899" s="5" t="s">
        <v>2070</v>
      </c>
      <c r="G2899" s="5" t="s">
        <v>4713</v>
      </c>
    </row>
    <row r="2900" spans="4:7" hidden="1">
      <c r="D2900" s="5" t="s">
        <v>4811</v>
      </c>
      <c r="E2900" s="5" t="s">
        <v>1890</v>
      </c>
      <c r="G2900" s="5" t="s">
        <v>1917</v>
      </c>
    </row>
    <row r="2901" spans="4:7" hidden="1">
      <c r="D2901" s="5" t="s">
        <v>4812</v>
      </c>
      <c r="E2901" s="5" t="s">
        <v>1916</v>
      </c>
      <c r="G2901" s="5" t="s">
        <v>1917</v>
      </c>
    </row>
    <row r="2902" spans="4:7" hidden="1">
      <c r="D2902" s="5" t="s">
        <v>4813</v>
      </c>
      <c r="E2902" s="5" t="s">
        <v>720</v>
      </c>
      <c r="G2902" s="5" t="s">
        <v>1917</v>
      </c>
    </row>
    <row r="2903" spans="4:7" hidden="1">
      <c r="D2903" s="5" t="s">
        <v>4814</v>
      </c>
      <c r="E2903" s="5" t="s">
        <v>1890</v>
      </c>
      <c r="G2903" s="5" t="s">
        <v>1917</v>
      </c>
    </row>
    <row r="2904" spans="4:7" hidden="1">
      <c r="D2904" s="5" t="s">
        <v>4815</v>
      </c>
      <c r="E2904" s="5" t="s">
        <v>430</v>
      </c>
      <c r="G2904" s="5" t="s">
        <v>4713</v>
      </c>
    </row>
    <row r="2905" spans="4:7" hidden="1">
      <c r="D2905" s="5" t="s">
        <v>4816</v>
      </c>
      <c r="E2905" s="5" t="s">
        <v>427</v>
      </c>
      <c r="G2905" s="5" t="s">
        <v>1917</v>
      </c>
    </row>
    <row r="2906" spans="4:7" hidden="1">
      <c r="D2906" s="5" t="s">
        <v>4817</v>
      </c>
      <c r="E2906" s="5" t="s">
        <v>309</v>
      </c>
      <c r="G2906" s="5" t="s">
        <v>1917</v>
      </c>
    </row>
    <row r="2907" spans="4:7" hidden="1">
      <c r="D2907" s="5" t="s">
        <v>4818</v>
      </c>
      <c r="E2907" s="5" t="s">
        <v>309</v>
      </c>
      <c r="G2907" s="5" t="s">
        <v>1917</v>
      </c>
    </row>
    <row r="2908" spans="4:7" hidden="1">
      <c r="D2908" s="5" t="s">
        <v>4819</v>
      </c>
      <c r="E2908" s="5" t="s">
        <v>1916</v>
      </c>
      <c r="G2908" s="5" t="s">
        <v>1926</v>
      </c>
    </row>
    <row r="2909" spans="4:7" hidden="1">
      <c r="D2909" s="5" t="s">
        <v>4820</v>
      </c>
      <c r="E2909" s="5" t="s">
        <v>720</v>
      </c>
      <c r="G2909" s="5" t="s">
        <v>1917</v>
      </c>
    </row>
    <row r="2910" spans="4:7" hidden="1">
      <c r="D2910" s="5" t="s">
        <v>4821</v>
      </c>
      <c r="E2910" s="5" t="s">
        <v>2091</v>
      </c>
      <c r="G2910" s="5" t="s">
        <v>1917</v>
      </c>
    </row>
    <row r="2911" spans="4:7" hidden="1">
      <c r="D2911" s="5" t="s">
        <v>4822</v>
      </c>
      <c r="E2911" s="5" t="s">
        <v>430</v>
      </c>
      <c r="G2911" s="5" t="s">
        <v>4713</v>
      </c>
    </row>
    <row r="2912" spans="4:7" hidden="1">
      <c r="D2912" s="5" t="s">
        <v>4823</v>
      </c>
      <c r="E2912" s="5" t="s">
        <v>309</v>
      </c>
      <c r="G2912" s="5" t="s">
        <v>1917</v>
      </c>
    </row>
    <row r="2913" spans="4:7" hidden="1">
      <c r="D2913" s="5" t="s">
        <v>4824</v>
      </c>
      <c r="E2913" s="5" t="s">
        <v>1916</v>
      </c>
      <c r="G2913" s="5" t="s">
        <v>1926</v>
      </c>
    </row>
    <row r="2914" spans="4:7" hidden="1">
      <c r="D2914" s="5" t="s">
        <v>4825</v>
      </c>
      <c r="E2914" s="5" t="s">
        <v>2091</v>
      </c>
      <c r="G2914" s="5" t="s">
        <v>1917</v>
      </c>
    </row>
    <row r="2915" spans="4:7" hidden="1">
      <c r="D2915" s="5" t="s">
        <v>4826</v>
      </c>
      <c r="E2915" s="5" t="s">
        <v>812</v>
      </c>
      <c r="G2915" s="5" t="s">
        <v>1917</v>
      </c>
    </row>
    <row r="2916" spans="4:7" hidden="1">
      <c r="D2916" s="5" t="s">
        <v>4827</v>
      </c>
      <c r="E2916" s="5" t="s">
        <v>1953</v>
      </c>
      <c r="G2916" s="5" t="s">
        <v>1917</v>
      </c>
    </row>
    <row r="2917" spans="4:7" hidden="1">
      <c r="D2917" s="5" t="s">
        <v>4828</v>
      </c>
      <c r="E2917" s="5" t="s">
        <v>430</v>
      </c>
      <c r="G2917" s="5" t="s">
        <v>1917</v>
      </c>
    </row>
    <row r="2918" spans="4:7" hidden="1">
      <c r="D2918" s="5" t="s">
        <v>4829</v>
      </c>
      <c r="E2918" s="5" t="s">
        <v>309</v>
      </c>
      <c r="G2918" s="5" t="s">
        <v>1917</v>
      </c>
    </row>
    <row r="2919" spans="4:7" hidden="1">
      <c r="D2919" s="5" t="s">
        <v>1298</v>
      </c>
      <c r="E2919" s="5" t="s">
        <v>1916</v>
      </c>
      <c r="G2919" s="5" t="s">
        <v>1926</v>
      </c>
    </row>
    <row r="2920" spans="4:7" hidden="1">
      <c r="D2920" s="5" t="s">
        <v>4830</v>
      </c>
      <c r="E2920" s="5" t="s">
        <v>168</v>
      </c>
      <c r="G2920" s="5" t="s">
        <v>1917</v>
      </c>
    </row>
    <row r="2921" spans="4:7" hidden="1">
      <c r="D2921" s="5" t="s">
        <v>4831</v>
      </c>
      <c r="E2921" s="5" t="s">
        <v>2091</v>
      </c>
      <c r="G2921" s="5" t="s">
        <v>1917</v>
      </c>
    </row>
    <row r="2922" spans="4:7" hidden="1">
      <c r="D2922" s="5" t="s">
        <v>4832</v>
      </c>
      <c r="E2922" s="5" t="s">
        <v>1890</v>
      </c>
      <c r="G2922" s="5" t="s">
        <v>1917</v>
      </c>
    </row>
    <row r="2923" spans="4:7" hidden="1">
      <c r="D2923" s="5" t="s">
        <v>4833</v>
      </c>
      <c r="E2923" s="5" t="s">
        <v>1953</v>
      </c>
      <c r="G2923" s="5" t="s">
        <v>1917</v>
      </c>
    </row>
    <row r="2924" spans="4:7" hidden="1">
      <c r="D2924" s="5" t="s">
        <v>4834</v>
      </c>
      <c r="E2924" s="5" t="s">
        <v>1916</v>
      </c>
      <c r="G2924" s="5" t="s">
        <v>1917</v>
      </c>
    </row>
    <row r="2925" spans="4:7" hidden="1">
      <c r="D2925" s="5" t="s">
        <v>4835</v>
      </c>
      <c r="E2925" s="5" t="s">
        <v>168</v>
      </c>
      <c r="G2925" s="5" t="s">
        <v>1917</v>
      </c>
    </row>
    <row r="2926" spans="4:7" hidden="1">
      <c r="D2926" s="5" t="s">
        <v>4836</v>
      </c>
      <c r="E2926" s="5" t="s">
        <v>2005</v>
      </c>
      <c r="G2926" s="5" t="s">
        <v>1917</v>
      </c>
    </row>
    <row r="2927" spans="4:7" hidden="1">
      <c r="D2927" s="5" t="s">
        <v>4837</v>
      </c>
      <c r="E2927" s="5" t="s">
        <v>1953</v>
      </c>
      <c r="G2927" s="5" t="s">
        <v>1917</v>
      </c>
    </row>
    <row r="2928" spans="4:7" hidden="1">
      <c r="D2928" s="5" t="s">
        <v>4838</v>
      </c>
      <c r="E2928" s="5" t="s">
        <v>2005</v>
      </c>
      <c r="G2928" s="5" t="s">
        <v>1917</v>
      </c>
    </row>
    <row r="2929" spans="4:7" hidden="1">
      <c r="D2929" s="5" t="s">
        <v>4839</v>
      </c>
      <c r="E2929" s="5" t="s">
        <v>168</v>
      </c>
      <c r="G2929" s="5" t="s">
        <v>1917</v>
      </c>
    </row>
    <row r="2930" spans="4:7" hidden="1">
      <c r="D2930" s="5" t="s">
        <v>1304</v>
      </c>
      <c r="E2930" s="5" t="s">
        <v>430</v>
      </c>
      <c r="G2930" s="5" t="s">
        <v>1926</v>
      </c>
    </row>
    <row r="2931" spans="4:7" hidden="1">
      <c r="D2931" s="5" t="s">
        <v>4840</v>
      </c>
      <c r="E2931" s="5" t="s">
        <v>1953</v>
      </c>
      <c r="G2931" s="5" t="s">
        <v>1917</v>
      </c>
    </row>
    <row r="2932" spans="4:7" hidden="1">
      <c r="D2932" s="5" t="s">
        <v>4841</v>
      </c>
      <c r="E2932" s="5" t="s">
        <v>309</v>
      </c>
      <c r="G2932" s="5" t="s">
        <v>1917</v>
      </c>
    </row>
    <row r="2933" spans="4:7" hidden="1">
      <c r="D2933" s="5" t="s">
        <v>4842</v>
      </c>
      <c r="E2933" s="5" t="s">
        <v>1901</v>
      </c>
      <c r="G2933" s="5" t="s">
        <v>1917</v>
      </c>
    </row>
    <row r="2934" spans="4:7" hidden="1">
      <c r="D2934" s="5" t="s">
        <v>4843</v>
      </c>
      <c r="E2934" s="5" t="s">
        <v>451</v>
      </c>
      <c r="G2934" s="5" t="s">
        <v>1917</v>
      </c>
    </row>
    <row r="2935" spans="4:7" hidden="1">
      <c r="D2935" s="5" t="s">
        <v>4844</v>
      </c>
      <c r="E2935" s="5" t="s">
        <v>1890</v>
      </c>
      <c r="G2935" s="5" t="s">
        <v>1917</v>
      </c>
    </row>
    <row r="2936" spans="4:7" hidden="1">
      <c r="D2936" s="5" t="s">
        <v>4845</v>
      </c>
      <c r="E2936" s="5" t="s">
        <v>2020</v>
      </c>
      <c r="G2936" s="5" t="s">
        <v>1917</v>
      </c>
    </row>
    <row r="2937" spans="4:7" hidden="1">
      <c r="D2937" s="5" t="s">
        <v>4846</v>
      </c>
      <c r="E2937" s="5" t="s">
        <v>2091</v>
      </c>
      <c r="G2937" s="5" t="s">
        <v>1917</v>
      </c>
    </row>
    <row r="2938" spans="4:7" hidden="1">
      <c r="D2938" s="5" t="s">
        <v>4847</v>
      </c>
      <c r="E2938" s="5" t="s">
        <v>451</v>
      </c>
      <c r="G2938" s="5" t="s">
        <v>1926</v>
      </c>
    </row>
    <row r="2939" spans="4:7" hidden="1">
      <c r="D2939" s="5" t="s">
        <v>4848</v>
      </c>
      <c r="E2939" s="5" t="s">
        <v>1890</v>
      </c>
      <c r="G2939" s="5" t="s">
        <v>1917</v>
      </c>
    </row>
    <row r="2940" spans="4:7" hidden="1">
      <c r="D2940" s="5" t="s">
        <v>4849</v>
      </c>
      <c r="E2940" s="5" t="s">
        <v>309</v>
      </c>
      <c r="G2940" s="5" t="s">
        <v>1917</v>
      </c>
    </row>
    <row r="2941" spans="4:7" hidden="1">
      <c r="D2941" s="5" t="s">
        <v>4850</v>
      </c>
      <c r="E2941" s="5" t="s">
        <v>309</v>
      </c>
      <c r="G2941" s="5" t="s">
        <v>1917</v>
      </c>
    </row>
    <row r="2942" spans="4:7" hidden="1">
      <c r="D2942" s="5" t="s">
        <v>4851</v>
      </c>
      <c r="E2942" s="5" t="s">
        <v>168</v>
      </c>
      <c r="G2942" s="5" t="s">
        <v>1917</v>
      </c>
    </row>
    <row r="2943" spans="4:7" hidden="1">
      <c r="D2943" s="5" t="s">
        <v>4852</v>
      </c>
      <c r="E2943" s="5" t="s">
        <v>451</v>
      </c>
      <c r="G2943" s="5" t="s">
        <v>1917</v>
      </c>
    </row>
    <row r="2944" spans="4:7" hidden="1">
      <c r="D2944" s="5" t="s">
        <v>4853</v>
      </c>
      <c r="E2944" s="5" t="s">
        <v>1890</v>
      </c>
      <c r="G2944" s="5" t="s">
        <v>1917</v>
      </c>
    </row>
    <row r="2945" spans="4:7" hidden="1">
      <c r="D2945" s="5" t="s">
        <v>4854</v>
      </c>
      <c r="E2945" s="5" t="s">
        <v>430</v>
      </c>
      <c r="G2945" s="5" t="s">
        <v>1917</v>
      </c>
    </row>
    <row r="2946" spans="4:7" hidden="1">
      <c r="D2946" s="5" t="s">
        <v>4855</v>
      </c>
      <c r="E2946" s="5" t="s">
        <v>4856</v>
      </c>
      <c r="G2946" s="5" t="s">
        <v>4713</v>
      </c>
    </row>
    <row r="2947" spans="4:7" hidden="1">
      <c r="D2947" s="5" t="s">
        <v>4857</v>
      </c>
      <c r="E2947" s="5" t="s">
        <v>451</v>
      </c>
      <c r="G2947" s="5" t="s">
        <v>1917</v>
      </c>
    </row>
    <row r="2948" spans="4:7" hidden="1">
      <c r="D2948" s="5" t="s">
        <v>4858</v>
      </c>
      <c r="E2948" s="5" t="s">
        <v>1890</v>
      </c>
      <c r="G2948" s="5" t="s">
        <v>1917</v>
      </c>
    </row>
    <row r="2949" spans="4:7" hidden="1">
      <c r="D2949" s="5" t="s">
        <v>4859</v>
      </c>
      <c r="E2949" s="5" t="s">
        <v>430</v>
      </c>
      <c r="G2949" s="5" t="s">
        <v>1917</v>
      </c>
    </row>
    <row r="2950" spans="4:7" hidden="1">
      <c r="D2950" s="5" t="s">
        <v>4860</v>
      </c>
      <c r="E2950" s="5" t="s">
        <v>2091</v>
      </c>
      <c r="G2950" s="5" t="s">
        <v>1917</v>
      </c>
    </row>
    <row r="2951" spans="4:7" hidden="1">
      <c r="D2951" s="5" t="s">
        <v>4861</v>
      </c>
      <c r="E2951" s="5" t="s">
        <v>4856</v>
      </c>
      <c r="G2951" s="5" t="s">
        <v>4713</v>
      </c>
    </row>
    <row r="2952" spans="4:7" hidden="1">
      <c r="D2952" s="5" t="s">
        <v>775</v>
      </c>
      <c r="E2952" s="5" t="s">
        <v>430</v>
      </c>
      <c r="G2952" s="5" t="s">
        <v>1926</v>
      </c>
    </row>
    <row r="2953" spans="4:7" hidden="1">
      <c r="D2953" s="5" t="s">
        <v>4862</v>
      </c>
      <c r="E2953" s="5" t="s">
        <v>309</v>
      </c>
      <c r="G2953" s="5" t="s">
        <v>1917</v>
      </c>
    </row>
    <row r="2954" spans="4:7" hidden="1">
      <c r="D2954" s="5" t="s">
        <v>4863</v>
      </c>
      <c r="E2954" s="5" t="s">
        <v>1945</v>
      </c>
      <c r="G2954" s="5" t="s">
        <v>1917</v>
      </c>
    </row>
    <row r="2955" spans="4:7" hidden="1">
      <c r="D2955" s="5" t="s">
        <v>1300</v>
      </c>
      <c r="E2955" s="5" t="s">
        <v>430</v>
      </c>
      <c r="G2955" s="5" t="s">
        <v>1917</v>
      </c>
    </row>
    <row r="2956" spans="4:7" hidden="1">
      <c r="D2956" s="5" t="s">
        <v>4864</v>
      </c>
      <c r="E2956" s="5" t="s">
        <v>1890</v>
      </c>
      <c r="G2956" s="5" t="s">
        <v>1917</v>
      </c>
    </row>
    <row r="2957" spans="4:7" hidden="1">
      <c r="D2957" s="5" t="s">
        <v>1309</v>
      </c>
      <c r="E2957" s="5" t="s">
        <v>1916</v>
      </c>
      <c r="G2957" s="5" t="s">
        <v>1926</v>
      </c>
    </row>
    <row r="2958" spans="4:7" hidden="1">
      <c r="D2958" s="5" t="s">
        <v>4865</v>
      </c>
      <c r="E2958" s="5" t="s">
        <v>1945</v>
      </c>
      <c r="G2958" s="5" t="s">
        <v>1917</v>
      </c>
    </row>
    <row r="2959" spans="4:7" hidden="1">
      <c r="D2959" s="5" t="s">
        <v>4866</v>
      </c>
      <c r="E2959" s="5" t="s">
        <v>1890</v>
      </c>
      <c r="G2959" s="5" t="s">
        <v>1917</v>
      </c>
    </row>
    <row r="2960" spans="4:7" hidden="1">
      <c r="D2960" s="5" t="s">
        <v>1178</v>
      </c>
      <c r="E2960" s="5" t="s">
        <v>430</v>
      </c>
      <c r="G2960" s="5" t="s">
        <v>1926</v>
      </c>
    </row>
    <row r="2961" spans="4:7" hidden="1">
      <c r="D2961" s="5" t="s">
        <v>4867</v>
      </c>
      <c r="E2961" s="5" t="s">
        <v>430</v>
      </c>
      <c r="G2961" s="5" t="s">
        <v>1917</v>
      </c>
    </row>
    <row r="2962" spans="4:7" hidden="1">
      <c r="D2962" s="5" t="s">
        <v>4868</v>
      </c>
      <c r="E2962" s="5" t="s">
        <v>430</v>
      </c>
      <c r="G2962" s="5" t="s">
        <v>1917</v>
      </c>
    </row>
    <row r="2963" spans="4:7" hidden="1">
      <c r="D2963" s="5" t="s">
        <v>4869</v>
      </c>
      <c r="E2963" s="5" t="s">
        <v>812</v>
      </c>
      <c r="G2963" s="5" t="s">
        <v>1917</v>
      </c>
    </row>
    <row r="2964" spans="4:7" hidden="1">
      <c r="D2964" s="5" t="s">
        <v>4870</v>
      </c>
      <c r="E2964" s="5" t="s">
        <v>451</v>
      </c>
      <c r="G2964" s="5" t="s">
        <v>1917</v>
      </c>
    </row>
    <row r="2965" spans="4:7" hidden="1">
      <c r="D2965" s="5" t="s">
        <v>4871</v>
      </c>
      <c r="E2965" s="5" t="s">
        <v>2005</v>
      </c>
      <c r="G2965" s="5" t="s">
        <v>1917</v>
      </c>
    </row>
    <row r="2966" spans="4:7" hidden="1">
      <c r="D2966" s="5" t="s">
        <v>757</v>
      </c>
      <c r="E2966" s="5" t="s">
        <v>1916</v>
      </c>
      <c r="G2966" s="5" t="s">
        <v>1926</v>
      </c>
    </row>
    <row r="2967" spans="4:7" hidden="1">
      <c r="D2967" s="5" t="s">
        <v>4872</v>
      </c>
      <c r="E2967" s="5" t="s">
        <v>791</v>
      </c>
      <c r="G2967" s="5" t="s">
        <v>1917</v>
      </c>
    </row>
    <row r="2968" spans="4:7" hidden="1">
      <c r="D2968" s="5" t="s">
        <v>4873</v>
      </c>
      <c r="E2968" s="5" t="s">
        <v>309</v>
      </c>
      <c r="G2968" s="5" t="s">
        <v>1917</v>
      </c>
    </row>
    <row r="2969" spans="4:7" hidden="1">
      <c r="D2969" s="5" t="s">
        <v>1176</v>
      </c>
      <c r="E2969" s="5" t="s">
        <v>430</v>
      </c>
      <c r="G2969" s="5" t="s">
        <v>1926</v>
      </c>
    </row>
    <row r="2970" spans="4:7" hidden="1">
      <c r="D2970" s="5" t="s">
        <v>4874</v>
      </c>
      <c r="E2970" s="5" t="s">
        <v>430</v>
      </c>
      <c r="G2970" s="5" t="s">
        <v>1917</v>
      </c>
    </row>
    <row r="2971" spans="4:7" hidden="1">
      <c r="D2971" s="5" t="s">
        <v>4875</v>
      </c>
      <c r="E2971" s="5" t="s">
        <v>1916</v>
      </c>
      <c r="G2971" s="5" t="s">
        <v>1917</v>
      </c>
    </row>
    <row r="2972" spans="4:7" hidden="1">
      <c r="D2972" s="5" t="s">
        <v>4876</v>
      </c>
      <c r="E2972" s="5" t="s">
        <v>1945</v>
      </c>
      <c r="G2972" s="5" t="s">
        <v>1917</v>
      </c>
    </row>
    <row r="2973" spans="4:7" hidden="1">
      <c r="D2973" s="5" t="s">
        <v>457</v>
      </c>
      <c r="E2973" s="5" t="s">
        <v>430</v>
      </c>
      <c r="G2973" s="5" t="s">
        <v>1917</v>
      </c>
    </row>
    <row r="2974" spans="4:7" hidden="1">
      <c r="D2974" s="5" t="s">
        <v>4877</v>
      </c>
      <c r="E2974" s="5" t="s">
        <v>451</v>
      </c>
      <c r="G2974" s="5" t="s">
        <v>1917</v>
      </c>
    </row>
    <row r="2975" spans="4:7" hidden="1">
      <c r="D2975" s="5" t="s">
        <v>635</v>
      </c>
      <c r="E2975" s="5" t="s">
        <v>430</v>
      </c>
      <c r="G2975" s="5" t="s">
        <v>1926</v>
      </c>
    </row>
    <row r="2976" spans="4:7" hidden="1">
      <c r="D2976" s="5" t="s">
        <v>659</v>
      </c>
      <c r="E2976" s="5" t="s">
        <v>1916</v>
      </c>
      <c r="G2976" s="5" t="s">
        <v>1917</v>
      </c>
    </row>
    <row r="2977" spans="4:7" hidden="1">
      <c r="D2977" s="5" t="s">
        <v>4878</v>
      </c>
      <c r="E2977" s="5" t="s">
        <v>2792</v>
      </c>
      <c r="G2977" s="5" t="s">
        <v>1926</v>
      </c>
    </row>
    <row r="2978" spans="4:7" hidden="1">
      <c r="D2978" s="5" t="s">
        <v>4879</v>
      </c>
      <c r="E2978" s="5" t="s">
        <v>430</v>
      </c>
      <c r="G2978" s="5" t="s">
        <v>1926</v>
      </c>
    </row>
    <row r="2979" spans="4:7" hidden="1">
      <c r="D2979" s="5" t="s">
        <v>4880</v>
      </c>
      <c r="E2979" s="5" t="s">
        <v>430</v>
      </c>
      <c r="G2979" s="5" t="s">
        <v>1917</v>
      </c>
    </row>
    <row r="2980" spans="4:7" hidden="1">
      <c r="D2980" s="5" t="s">
        <v>4881</v>
      </c>
      <c r="E2980" s="5" t="s">
        <v>812</v>
      </c>
      <c r="G2980" s="5" t="s">
        <v>1917</v>
      </c>
    </row>
    <row r="2981" spans="4:7" hidden="1">
      <c r="D2981" s="5" t="s">
        <v>4882</v>
      </c>
      <c r="E2981" s="5" t="s">
        <v>430</v>
      </c>
      <c r="G2981" s="5" t="s">
        <v>1917</v>
      </c>
    </row>
    <row r="2982" spans="4:7" hidden="1">
      <c r="D2982" s="5" t="s">
        <v>4883</v>
      </c>
      <c r="E2982" s="5" t="s">
        <v>1916</v>
      </c>
      <c r="G2982" s="5" t="s">
        <v>1917</v>
      </c>
    </row>
    <row r="2983" spans="4:7" hidden="1">
      <c r="D2983" s="5" t="s">
        <v>4884</v>
      </c>
      <c r="E2983" s="5" t="s">
        <v>430</v>
      </c>
      <c r="G2983" s="5" t="s">
        <v>1917</v>
      </c>
    </row>
    <row r="2984" spans="4:7" hidden="1">
      <c r="D2984" s="5" t="s">
        <v>4885</v>
      </c>
      <c r="E2984" s="5" t="s">
        <v>1890</v>
      </c>
      <c r="G2984" s="5" t="s">
        <v>1917</v>
      </c>
    </row>
    <row r="2985" spans="4:7" hidden="1">
      <c r="D2985" s="5" t="s">
        <v>4886</v>
      </c>
      <c r="E2985" s="5" t="s">
        <v>430</v>
      </c>
      <c r="G2985" s="5" t="s">
        <v>1917</v>
      </c>
    </row>
    <row r="2986" spans="4:7" hidden="1">
      <c r="D2986" s="5" t="s">
        <v>4887</v>
      </c>
      <c r="E2986" s="5" t="s">
        <v>812</v>
      </c>
      <c r="G2986" s="5" t="s">
        <v>1917</v>
      </c>
    </row>
    <row r="2987" spans="4:7" hidden="1">
      <c r="D2987" s="5" t="s">
        <v>4888</v>
      </c>
      <c r="E2987" s="5" t="s">
        <v>2005</v>
      </c>
      <c r="G2987" s="5" t="s">
        <v>1917</v>
      </c>
    </row>
    <row r="2988" spans="4:7" hidden="1">
      <c r="D2988" s="5" t="s">
        <v>4889</v>
      </c>
      <c r="E2988" s="5" t="s">
        <v>427</v>
      </c>
      <c r="G2988" s="5" t="s">
        <v>1917</v>
      </c>
    </row>
    <row r="2989" spans="4:7" hidden="1">
      <c r="D2989" s="5" t="s">
        <v>4890</v>
      </c>
      <c r="E2989" s="5" t="s">
        <v>1901</v>
      </c>
      <c r="G2989" s="5" t="s">
        <v>1917</v>
      </c>
    </row>
    <row r="2990" spans="4:7" hidden="1">
      <c r="D2990" s="5" t="s">
        <v>4891</v>
      </c>
      <c r="E2990" s="5" t="s">
        <v>1901</v>
      </c>
      <c r="G2990" s="5" t="s">
        <v>1926</v>
      </c>
    </row>
    <row r="2991" spans="4:7" hidden="1">
      <c r="D2991" s="5" t="s">
        <v>4892</v>
      </c>
      <c r="E2991" s="5" t="s">
        <v>812</v>
      </c>
      <c r="G2991" s="5" t="s">
        <v>1917</v>
      </c>
    </row>
    <row r="2992" spans="4:7" hidden="1">
      <c r="D2992" s="5" t="s">
        <v>4893</v>
      </c>
      <c r="E2992" s="5" t="s">
        <v>2005</v>
      </c>
      <c r="G2992" s="5" t="s">
        <v>1917</v>
      </c>
    </row>
    <row r="2993" spans="4:7" hidden="1">
      <c r="D2993" s="5" t="s">
        <v>4894</v>
      </c>
      <c r="E2993" s="5" t="s">
        <v>1901</v>
      </c>
      <c r="G2993" s="5" t="s">
        <v>1917</v>
      </c>
    </row>
    <row r="2994" spans="4:7" hidden="1">
      <c r="D2994" s="5" t="s">
        <v>4895</v>
      </c>
      <c r="E2994" s="5" t="s">
        <v>2005</v>
      </c>
      <c r="G2994" s="5" t="s">
        <v>1917</v>
      </c>
    </row>
    <row r="2995" spans="4:7" hidden="1">
      <c r="D2995" s="5" t="s">
        <v>4896</v>
      </c>
      <c r="E2995" s="5" t="s">
        <v>1890</v>
      </c>
      <c r="G2995" s="5" t="s">
        <v>1917</v>
      </c>
    </row>
    <row r="2996" spans="4:7" hidden="1">
      <c r="D2996" s="5" t="s">
        <v>4897</v>
      </c>
      <c r="E2996" s="5" t="s">
        <v>451</v>
      </c>
      <c r="G2996" s="5" t="s">
        <v>1926</v>
      </c>
    </row>
    <row r="2997" spans="4:7" hidden="1">
      <c r="D2997" s="5" t="s">
        <v>4898</v>
      </c>
      <c r="E2997" s="5" t="s">
        <v>812</v>
      </c>
      <c r="G2997" s="5" t="s">
        <v>1917</v>
      </c>
    </row>
    <row r="2998" spans="4:7" hidden="1">
      <c r="D2998" s="5" t="s">
        <v>4899</v>
      </c>
      <c r="E2998" s="5" t="s">
        <v>430</v>
      </c>
      <c r="G2998" s="5" t="s">
        <v>1917</v>
      </c>
    </row>
    <row r="2999" spans="4:7" hidden="1">
      <c r="D2999" s="5" t="s">
        <v>4900</v>
      </c>
      <c r="E2999" s="5" t="s">
        <v>1890</v>
      </c>
      <c r="G2999" s="5" t="s">
        <v>1917</v>
      </c>
    </row>
    <row r="3000" spans="4:7" hidden="1">
      <c r="D3000" s="5" t="s">
        <v>4901</v>
      </c>
      <c r="E3000" s="5" t="s">
        <v>1978</v>
      </c>
      <c r="G3000" s="5" t="s">
        <v>1917</v>
      </c>
    </row>
    <row r="3001" spans="4:7" hidden="1">
      <c r="D3001" s="5" t="s">
        <v>1172</v>
      </c>
      <c r="E3001" s="5" t="s">
        <v>430</v>
      </c>
      <c r="G3001" s="5" t="s">
        <v>1926</v>
      </c>
    </row>
    <row r="3002" spans="4:7" hidden="1">
      <c r="D3002" s="5" t="s">
        <v>4902</v>
      </c>
      <c r="E3002" s="5" t="s">
        <v>1890</v>
      </c>
      <c r="G3002" s="5" t="s">
        <v>1917</v>
      </c>
    </row>
    <row r="3003" spans="4:7" hidden="1">
      <c r="D3003" s="5" t="s">
        <v>4903</v>
      </c>
      <c r="E3003" s="5" t="s">
        <v>1890</v>
      </c>
      <c r="G3003" s="5" t="s">
        <v>1917</v>
      </c>
    </row>
    <row r="3004" spans="4:7" hidden="1">
      <c r="D3004" s="5" t="s">
        <v>4904</v>
      </c>
      <c r="E3004" s="5" t="s">
        <v>427</v>
      </c>
      <c r="G3004" s="5" t="s">
        <v>1917</v>
      </c>
    </row>
    <row r="3005" spans="4:7" hidden="1">
      <c r="D3005" s="5" t="s">
        <v>4905</v>
      </c>
      <c r="E3005" s="5" t="s">
        <v>430</v>
      </c>
      <c r="G3005" s="5" t="s">
        <v>1926</v>
      </c>
    </row>
    <row r="3006" spans="4:7" hidden="1">
      <c r="D3006" s="5" t="s">
        <v>4906</v>
      </c>
      <c r="E3006" s="5" t="s">
        <v>427</v>
      </c>
      <c r="G3006" s="5" t="s">
        <v>1917</v>
      </c>
    </row>
    <row r="3007" spans="4:7" hidden="1">
      <c r="D3007" s="5" t="s">
        <v>4907</v>
      </c>
      <c r="E3007" s="5" t="s">
        <v>1953</v>
      </c>
      <c r="G3007" s="5" t="s">
        <v>1917</v>
      </c>
    </row>
    <row r="3008" spans="4:7" hidden="1">
      <c r="D3008" s="5" t="s">
        <v>4908</v>
      </c>
      <c r="E3008" s="5" t="s">
        <v>52</v>
      </c>
      <c r="G3008" s="5" t="s">
        <v>1917</v>
      </c>
    </row>
    <row r="3009" spans="4:7" hidden="1">
      <c r="D3009" s="5" t="s">
        <v>4909</v>
      </c>
      <c r="E3009" s="5" t="s">
        <v>2091</v>
      </c>
      <c r="G3009" s="5" t="s">
        <v>1917</v>
      </c>
    </row>
    <row r="3010" spans="4:7" hidden="1">
      <c r="D3010" s="5" t="s">
        <v>4910</v>
      </c>
      <c r="E3010" s="5" t="s">
        <v>427</v>
      </c>
      <c r="G3010" s="5" t="s">
        <v>1917</v>
      </c>
    </row>
    <row r="3011" spans="4:7" hidden="1">
      <c r="D3011" s="5" t="s">
        <v>955</v>
      </c>
      <c r="E3011" s="5" t="s">
        <v>1894</v>
      </c>
      <c r="G3011" s="5" t="s">
        <v>1917</v>
      </c>
    </row>
    <row r="3012" spans="4:7" hidden="1">
      <c r="D3012" s="5" t="s">
        <v>4911</v>
      </c>
      <c r="E3012" s="5" t="s">
        <v>2792</v>
      </c>
      <c r="G3012" s="5" t="s">
        <v>1917</v>
      </c>
    </row>
    <row r="3013" spans="4:7" hidden="1">
      <c r="D3013" s="5" t="s">
        <v>4912</v>
      </c>
      <c r="E3013" s="5" t="s">
        <v>2091</v>
      </c>
      <c r="G3013" s="5" t="s">
        <v>1917</v>
      </c>
    </row>
    <row r="3014" spans="4:7" hidden="1">
      <c r="D3014" s="5" t="s">
        <v>4913</v>
      </c>
      <c r="E3014" s="5" t="s">
        <v>812</v>
      </c>
      <c r="G3014" s="5" t="s">
        <v>1926</v>
      </c>
    </row>
    <row r="3015" spans="4:7" hidden="1">
      <c r="D3015" s="5" t="s">
        <v>4914</v>
      </c>
      <c r="E3015" s="5" t="s">
        <v>1953</v>
      </c>
      <c r="G3015" s="5" t="s">
        <v>1917</v>
      </c>
    </row>
    <row r="3016" spans="4:7" hidden="1">
      <c r="D3016" s="5" t="s">
        <v>4915</v>
      </c>
      <c r="E3016" s="5" t="s">
        <v>309</v>
      </c>
      <c r="G3016" s="5" t="s">
        <v>1917</v>
      </c>
    </row>
    <row r="3017" spans="4:7" hidden="1">
      <c r="D3017" s="5" t="s">
        <v>4916</v>
      </c>
      <c r="E3017" s="5" t="s">
        <v>451</v>
      </c>
      <c r="G3017" s="5" t="s">
        <v>1917</v>
      </c>
    </row>
    <row r="3018" spans="4:7" hidden="1">
      <c r="D3018" s="5" t="s">
        <v>4917</v>
      </c>
      <c r="E3018" s="5" t="s">
        <v>2091</v>
      </c>
      <c r="G3018" s="5" t="s">
        <v>1917</v>
      </c>
    </row>
    <row r="3019" spans="4:7" hidden="1">
      <c r="D3019" s="5" t="s">
        <v>4918</v>
      </c>
      <c r="E3019" s="5" t="s">
        <v>812</v>
      </c>
      <c r="G3019" s="5" t="s">
        <v>1917</v>
      </c>
    </row>
    <row r="3020" spans="4:7" hidden="1">
      <c r="D3020" s="5" t="s">
        <v>4919</v>
      </c>
      <c r="E3020" s="5" t="s">
        <v>309</v>
      </c>
      <c r="G3020" s="5" t="s">
        <v>4713</v>
      </c>
    </row>
    <row r="3021" spans="4:7" hidden="1">
      <c r="D3021" s="5" t="s">
        <v>4920</v>
      </c>
      <c r="E3021" s="5" t="s">
        <v>1953</v>
      </c>
      <c r="G3021" s="5" t="s">
        <v>1917</v>
      </c>
    </row>
    <row r="3022" spans="4:7" hidden="1">
      <c r="D3022" s="5" t="s">
        <v>4921</v>
      </c>
      <c r="E3022" s="5" t="s">
        <v>2091</v>
      </c>
      <c r="G3022" s="5" t="s">
        <v>1917</v>
      </c>
    </row>
    <row r="3023" spans="4:7" hidden="1">
      <c r="D3023" s="5" t="s">
        <v>4922</v>
      </c>
      <c r="E3023" s="5" t="s">
        <v>430</v>
      </c>
      <c r="G3023" s="5" t="s">
        <v>1917</v>
      </c>
    </row>
    <row r="3024" spans="4:7" hidden="1">
      <c r="D3024" s="5" t="s">
        <v>4923</v>
      </c>
      <c r="E3024" s="5" t="s">
        <v>309</v>
      </c>
      <c r="G3024" s="5" t="s">
        <v>1914</v>
      </c>
    </row>
    <row r="3025" spans="4:7" hidden="1">
      <c r="D3025" s="5" t="s">
        <v>4924</v>
      </c>
      <c r="E3025" s="5" t="s">
        <v>430</v>
      </c>
      <c r="G3025" s="5" t="s">
        <v>1917</v>
      </c>
    </row>
    <row r="3026" spans="4:7" hidden="1">
      <c r="D3026" s="5" t="s">
        <v>4925</v>
      </c>
      <c r="E3026" s="5" t="s">
        <v>1890</v>
      </c>
      <c r="G3026" s="5" t="s">
        <v>1917</v>
      </c>
    </row>
    <row r="3027" spans="4:7" hidden="1">
      <c r="D3027" s="5" t="s">
        <v>4926</v>
      </c>
      <c r="E3027" s="5" t="s">
        <v>427</v>
      </c>
      <c r="G3027" s="5" t="s">
        <v>1917</v>
      </c>
    </row>
    <row r="3028" spans="4:7" hidden="1">
      <c r="D3028" s="5" t="s">
        <v>4927</v>
      </c>
      <c r="E3028" s="5" t="s">
        <v>1953</v>
      </c>
      <c r="G3028" s="5" t="s">
        <v>1917</v>
      </c>
    </row>
    <row r="3029" spans="4:7" hidden="1">
      <c r="D3029" s="5" t="s">
        <v>4928</v>
      </c>
      <c r="E3029" s="5" t="s">
        <v>309</v>
      </c>
      <c r="G3029" s="5" t="s">
        <v>1917</v>
      </c>
    </row>
    <row r="3030" spans="4:7" hidden="1">
      <c r="D3030" s="5" t="s">
        <v>4929</v>
      </c>
      <c r="E3030" s="5" t="s">
        <v>2091</v>
      </c>
      <c r="G3030" s="5" t="s">
        <v>1917</v>
      </c>
    </row>
    <row r="3031" spans="4:7" hidden="1">
      <c r="D3031" s="5" t="s">
        <v>4930</v>
      </c>
      <c r="E3031" s="5" t="s">
        <v>309</v>
      </c>
      <c r="G3031" s="5" t="s">
        <v>1917</v>
      </c>
    </row>
    <row r="3032" spans="4:7" hidden="1">
      <c r="D3032" s="5" t="s">
        <v>4931</v>
      </c>
      <c r="E3032" s="5" t="s">
        <v>2005</v>
      </c>
      <c r="G3032" s="5" t="s">
        <v>1917</v>
      </c>
    </row>
    <row r="3033" spans="4:7" hidden="1">
      <c r="D3033" s="5" t="s">
        <v>4932</v>
      </c>
      <c r="E3033" s="5" t="s">
        <v>309</v>
      </c>
      <c r="G3033" s="5" t="s">
        <v>1917</v>
      </c>
    </row>
    <row r="3034" spans="4:7" hidden="1">
      <c r="D3034" s="5" t="s">
        <v>4933</v>
      </c>
      <c r="E3034" s="5" t="s">
        <v>791</v>
      </c>
      <c r="G3034" s="5" t="s">
        <v>1917</v>
      </c>
    </row>
    <row r="3035" spans="4:7" hidden="1">
      <c r="D3035" s="5" t="s">
        <v>4934</v>
      </c>
      <c r="E3035" s="5" t="s">
        <v>1953</v>
      </c>
      <c r="G3035" s="5" t="s">
        <v>1917</v>
      </c>
    </row>
    <row r="3036" spans="4:7" hidden="1">
      <c r="D3036" s="5" t="s">
        <v>4935</v>
      </c>
      <c r="E3036" s="5" t="s">
        <v>2005</v>
      </c>
      <c r="G3036" s="5" t="s">
        <v>1917</v>
      </c>
    </row>
    <row r="3037" spans="4:7" hidden="1">
      <c r="D3037" s="5" t="s">
        <v>4936</v>
      </c>
      <c r="E3037" s="5" t="s">
        <v>4856</v>
      </c>
      <c r="G3037" s="5" t="s">
        <v>4713</v>
      </c>
    </row>
    <row r="3038" spans="4:7" hidden="1">
      <c r="D3038" s="5" t="s">
        <v>4937</v>
      </c>
      <c r="E3038" s="5" t="s">
        <v>2091</v>
      </c>
      <c r="G3038" s="5" t="s">
        <v>1917</v>
      </c>
    </row>
    <row r="3039" spans="4:7" hidden="1">
      <c r="D3039" s="5" t="s">
        <v>645</v>
      </c>
      <c r="E3039" s="5" t="s">
        <v>430</v>
      </c>
      <c r="G3039" s="5" t="s">
        <v>1917</v>
      </c>
    </row>
    <row r="3040" spans="4:7" hidden="1">
      <c r="D3040" s="5" t="s">
        <v>4938</v>
      </c>
      <c r="E3040" s="5" t="s">
        <v>2005</v>
      </c>
      <c r="G3040" s="5" t="s">
        <v>1917</v>
      </c>
    </row>
    <row r="3041" spans="4:7" hidden="1">
      <c r="D3041" s="5" t="s">
        <v>4939</v>
      </c>
      <c r="E3041" s="5" t="s">
        <v>2091</v>
      </c>
      <c r="G3041" s="5" t="s">
        <v>1917</v>
      </c>
    </row>
    <row r="3042" spans="4:7" hidden="1">
      <c r="D3042" s="5" t="s">
        <v>4940</v>
      </c>
      <c r="E3042" s="5" t="s">
        <v>1901</v>
      </c>
      <c r="G3042" s="5" t="s">
        <v>1917</v>
      </c>
    </row>
    <row r="3043" spans="4:7" hidden="1">
      <c r="D3043" s="5" t="s">
        <v>4941</v>
      </c>
      <c r="E3043" s="5" t="s">
        <v>791</v>
      </c>
      <c r="G3043" s="5" t="s">
        <v>1917</v>
      </c>
    </row>
    <row r="3044" spans="4:7" hidden="1">
      <c r="D3044" s="5" t="s">
        <v>4942</v>
      </c>
      <c r="E3044" s="5" t="s">
        <v>1953</v>
      </c>
      <c r="G3044" s="5" t="s">
        <v>1917</v>
      </c>
    </row>
    <row r="3045" spans="4:7" hidden="1">
      <c r="D3045" s="5" t="s">
        <v>4943</v>
      </c>
      <c r="E3045" s="5" t="s">
        <v>2005</v>
      </c>
      <c r="G3045" s="5" t="s">
        <v>1917</v>
      </c>
    </row>
    <row r="3046" spans="4:7" hidden="1">
      <c r="D3046" s="5" t="s">
        <v>4944</v>
      </c>
      <c r="E3046" s="5" t="s">
        <v>2091</v>
      </c>
      <c r="G3046" s="5" t="s">
        <v>1926</v>
      </c>
    </row>
    <row r="3047" spans="4:7" hidden="1">
      <c r="D3047" s="5" t="s">
        <v>4945</v>
      </c>
      <c r="E3047" s="5" t="s">
        <v>1953</v>
      </c>
      <c r="G3047" s="5" t="s">
        <v>1917</v>
      </c>
    </row>
    <row r="3048" spans="4:7" hidden="1">
      <c r="D3048" s="5" t="s">
        <v>4946</v>
      </c>
      <c r="E3048" s="5" t="s">
        <v>1953</v>
      </c>
      <c r="G3048" s="5" t="s">
        <v>1917</v>
      </c>
    </row>
    <row r="3049" spans="4:7" hidden="1">
      <c r="D3049" s="5" t="s">
        <v>4947</v>
      </c>
      <c r="E3049" s="5" t="s">
        <v>2536</v>
      </c>
      <c r="G3049" s="5" t="s">
        <v>1926</v>
      </c>
    </row>
    <row r="3050" spans="4:7" hidden="1">
      <c r="D3050" s="5" t="s">
        <v>4948</v>
      </c>
      <c r="E3050" s="5" t="s">
        <v>2091</v>
      </c>
      <c r="G3050" s="5" t="s">
        <v>1917</v>
      </c>
    </row>
    <row r="3051" spans="4:7" hidden="1">
      <c r="D3051" s="5" t="s">
        <v>4949</v>
      </c>
      <c r="E3051" s="5" t="s">
        <v>309</v>
      </c>
      <c r="G3051" s="5" t="s">
        <v>1917</v>
      </c>
    </row>
    <row r="3052" spans="4:7" hidden="1">
      <c r="D3052" s="5" t="s">
        <v>4950</v>
      </c>
      <c r="E3052" s="5" t="s">
        <v>2536</v>
      </c>
      <c r="G3052" s="5" t="s">
        <v>1926</v>
      </c>
    </row>
    <row r="3053" spans="4:7" hidden="1">
      <c r="D3053" s="5" t="s">
        <v>4951</v>
      </c>
      <c r="E3053" s="5" t="s">
        <v>2536</v>
      </c>
      <c r="G3053" s="5" t="s">
        <v>1926</v>
      </c>
    </row>
    <row r="3054" spans="4:7" hidden="1">
      <c r="D3054" s="5" t="s">
        <v>4952</v>
      </c>
      <c r="E3054" s="5" t="s">
        <v>2536</v>
      </c>
      <c r="G3054" s="5" t="s">
        <v>1926</v>
      </c>
    </row>
    <row r="3055" spans="4:7" hidden="1">
      <c r="D3055" s="5" t="s">
        <v>4953</v>
      </c>
      <c r="E3055" s="5" t="s">
        <v>1916</v>
      </c>
      <c r="G3055" s="5" t="s">
        <v>1917</v>
      </c>
    </row>
    <row r="3056" spans="4:7" hidden="1">
      <c r="D3056" s="5" t="s">
        <v>4954</v>
      </c>
      <c r="E3056" s="5" t="s">
        <v>2005</v>
      </c>
      <c r="G3056" s="5" t="s">
        <v>1917</v>
      </c>
    </row>
    <row r="3057" spans="4:7" hidden="1">
      <c r="D3057" s="5" t="s">
        <v>4955</v>
      </c>
      <c r="E3057" s="5" t="s">
        <v>1953</v>
      </c>
      <c r="G3057" s="5" t="s">
        <v>1917</v>
      </c>
    </row>
    <row r="3058" spans="4:7" hidden="1">
      <c r="D3058" s="5" t="s">
        <v>4956</v>
      </c>
      <c r="E3058" s="5" t="s">
        <v>2536</v>
      </c>
      <c r="G3058" s="5" t="s">
        <v>1926</v>
      </c>
    </row>
    <row r="3059" spans="4:7" hidden="1">
      <c r="D3059" s="5" t="s">
        <v>4957</v>
      </c>
      <c r="E3059" s="5" t="s">
        <v>1916</v>
      </c>
      <c r="G3059" s="5" t="s">
        <v>1926</v>
      </c>
    </row>
    <row r="3060" spans="4:7" hidden="1">
      <c r="D3060" s="5" t="s">
        <v>4958</v>
      </c>
      <c r="E3060" s="5" t="s">
        <v>309</v>
      </c>
      <c r="G3060" s="5" t="s">
        <v>1917</v>
      </c>
    </row>
    <row r="3061" spans="4:7" hidden="1">
      <c r="D3061" s="5" t="s">
        <v>4959</v>
      </c>
      <c r="E3061" s="5" t="s">
        <v>1953</v>
      </c>
      <c r="G3061" s="5" t="s">
        <v>1917</v>
      </c>
    </row>
    <row r="3062" spans="4:7" hidden="1">
      <c r="D3062" s="5" t="s">
        <v>4960</v>
      </c>
      <c r="E3062" s="5" t="s">
        <v>1978</v>
      </c>
      <c r="G3062" s="5" t="s">
        <v>1917</v>
      </c>
    </row>
    <row r="3063" spans="4:7" hidden="1">
      <c r="D3063" s="5" t="s">
        <v>4961</v>
      </c>
      <c r="E3063" s="5" t="s">
        <v>2536</v>
      </c>
      <c r="G3063" s="5" t="s">
        <v>1926</v>
      </c>
    </row>
    <row r="3064" spans="4:7" hidden="1">
      <c r="D3064" s="5" t="s">
        <v>4962</v>
      </c>
      <c r="E3064" s="5" t="s">
        <v>1916</v>
      </c>
      <c r="G3064" s="5" t="s">
        <v>1926</v>
      </c>
    </row>
    <row r="3065" spans="4:7" hidden="1">
      <c r="D3065" s="5" t="s">
        <v>4963</v>
      </c>
      <c r="E3065" s="5" t="s">
        <v>1940</v>
      </c>
      <c r="G3065" s="5" t="s">
        <v>1917</v>
      </c>
    </row>
    <row r="3066" spans="4:7" hidden="1">
      <c r="D3066" s="5" t="s">
        <v>4964</v>
      </c>
      <c r="E3066" s="5" t="s">
        <v>451</v>
      </c>
      <c r="G3066" s="5" t="s">
        <v>1917</v>
      </c>
    </row>
    <row r="3067" spans="4:7" hidden="1">
      <c r="D3067" s="5" t="s">
        <v>4965</v>
      </c>
      <c r="E3067" s="5" t="s">
        <v>52</v>
      </c>
      <c r="G3067" s="5" t="s">
        <v>1917</v>
      </c>
    </row>
    <row r="3068" spans="4:7" hidden="1">
      <c r="D3068" s="5" t="s">
        <v>4966</v>
      </c>
      <c r="E3068" s="5" t="s">
        <v>2536</v>
      </c>
      <c r="G3068" s="5" t="s">
        <v>1926</v>
      </c>
    </row>
    <row r="3069" spans="4:7" hidden="1">
      <c r="D3069" s="5" t="s">
        <v>1296</v>
      </c>
      <c r="E3069" s="5" t="s">
        <v>1916</v>
      </c>
      <c r="G3069" s="5" t="s">
        <v>1926</v>
      </c>
    </row>
    <row r="3070" spans="4:7" hidden="1">
      <c r="D3070" s="5" t="s">
        <v>4967</v>
      </c>
      <c r="E3070" s="5" t="s">
        <v>1940</v>
      </c>
      <c r="G3070" s="5" t="s">
        <v>1917</v>
      </c>
    </row>
    <row r="3071" spans="4:7" hidden="1">
      <c r="D3071" s="5" t="s">
        <v>4968</v>
      </c>
      <c r="E3071" s="5" t="s">
        <v>451</v>
      </c>
      <c r="G3071" s="5" t="s">
        <v>1917</v>
      </c>
    </row>
    <row r="3072" spans="4:7" hidden="1">
      <c r="D3072" s="5" t="s">
        <v>4969</v>
      </c>
      <c r="E3072" s="5" t="s">
        <v>52</v>
      </c>
      <c r="G3072" s="5" t="s">
        <v>1917</v>
      </c>
    </row>
    <row r="3073" spans="4:7" hidden="1">
      <c r="D3073" s="5" t="s">
        <v>4970</v>
      </c>
      <c r="E3073" s="5" t="s">
        <v>171</v>
      </c>
      <c r="G3073" s="5" t="s">
        <v>1917</v>
      </c>
    </row>
    <row r="3074" spans="4:7" hidden="1">
      <c r="D3074" s="5" t="s">
        <v>4971</v>
      </c>
      <c r="E3074" s="5" t="s">
        <v>2536</v>
      </c>
      <c r="G3074" s="5" t="s">
        <v>1926</v>
      </c>
    </row>
    <row r="3075" spans="4:7" hidden="1">
      <c r="D3075" s="5" t="s">
        <v>4972</v>
      </c>
      <c r="E3075" s="5" t="s">
        <v>1916</v>
      </c>
      <c r="G3075" s="5" t="s">
        <v>1926</v>
      </c>
    </row>
    <row r="3076" spans="4:7" hidden="1">
      <c r="D3076" s="5" t="s">
        <v>4973</v>
      </c>
      <c r="E3076" s="5" t="s">
        <v>451</v>
      </c>
      <c r="G3076" s="5" t="s">
        <v>1917</v>
      </c>
    </row>
    <row r="3077" spans="4:7" hidden="1">
      <c r="D3077" s="5" t="s">
        <v>4974</v>
      </c>
      <c r="E3077" s="5" t="s">
        <v>52</v>
      </c>
      <c r="G3077" s="5" t="s">
        <v>1917</v>
      </c>
    </row>
    <row r="3078" spans="4:7" hidden="1">
      <c r="D3078" s="5" t="s">
        <v>4975</v>
      </c>
      <c r="E3078" s="5" t="s">
        <v>2536</v>
      </c>
      <c r="G3078" s="5" t="s">
        <v>1926</v>
      </c>
    </row>
    <row r="3079" spans="4:7" hidden="1">
      <c r="D3079" s="5" t="s">
        <v>4976</v>
      </c>
      <c r="E3079" s="5" t="s">
        <v>4977</v>
      </c>
      <c r="G3079" s="5" t="s">
        <v>4713</v>
      </c>
    </row>
    <row r="3080" spans="4:7" hidden="1">
      <c r="D3080" s="5" t="s">
        <v>4978</v>
      </c>
      <c r="E3080" s="5" t="s">
        <v>430</v>
      </c>
      <c r="G3080" s="5" t="s">
        <v>1917</v>
      </c>
    </row>
    <row r="3081" spans="4:7" hidden="1">
      <c r="D3081" s="5" t="s">
        <v>4979</v>
      </c>
      <c r="E3081" s="5" t="s">
        <v>309</v>
      </c>
      <c r="G3081" s="5" t="s">
        <v>1917</v>
      </c>
    </row>
    <row r="3082" spans="4:7" hidden="1">
      <c r="D3082" s="5" t="s">
        <v>4980</v>
      </c>
      <c r="E3082" s="5" t="s">
        <v>451</v>
      </c>
      <c r="G3082" s="5" t="s">
        <v>1917</v>
      </c>
    </row>
    <row r="3083" spans="4:7" hidden="1">
      <c r="D3083" s="5" t="s">
        <v>4981</v>
      </c>
      <c r="E3083" s="5" t="s">
        <v>2536</v>
      </c>
      <c r="G3083" s="5" t="s">
        <v>1926</v>
      </c>
    </row>
    <row r="3084" spans="4:7" hidden="1">
      <c r="D3084" s="5" t="s">
        <v>4982</v>
      </c>
      <c r="E3084" s="5" t="s">
        <v>2824</v>
      </c>
      <c r="F3084" s="5" t="s">
        <v>4983</v>
      </c>
      <c r="G3084" s="5" t="s">
        <v>1926</v>
      </c>
    </row>
    <row r="3085" spans="4:7" hidden="1">
      <c r="D3085" s="5" t="s">
        <v>4984</v>
      </c>
      <c r="E3085" s="5" t="s">
        <v>430</v>
      </c>
      <c r="G3085" s="5" t="s">
        <v>1917</v>
      </c>
    </row>
    <row r="3086" spans="4:7" hidden="1">
      <c r="D3086" s="5" t="s">
        <v>4985</v>
      </c>
      <c r="E3086" s="5" t="s">
        <v>4856</v>
      </c>
      <c r="G3086" s="5" t="s">
        <v>4713</v>
      </c>
    </row>
    <row r="3087" spans="4:7" hidden="1">
      <c r="D3087" s="5" t="s">
        <v>4986</v>
      </c>
      <c r="E3087" s="5" t="s">
        <v>430</v>
      </c>
      <c r="G3087" s="5" t="s">
        <v>1917</v>
      </c>
    </row>
    <row r="3088" spans="4:7" hidden="1">
      <c r="D3088" s="5" t="s">
        <v>4987</v>
      </c>
      <c r="E3088" s="5" t="s">
        <v>427</v>
      </c>
      <c r="G3088" s="5" t="s">
        <v>1917</v>
      </c>
    </row>
    <row r="3089" spans="4:7" hidden="1">
      <c r="D3089" s="5" t="s">
        <v>4988</v>
      </c>
      <c r="E3089" s="5" t="s">
        <v>309</v>
      </c>
      <c r="G3089" s="5" t="s">
        <v>1917</v>
      </c>
    </row>
    <row r="3090" spans="4:7" hidden="1">
      <c r="D3090" s="5" t="s">
        <v>701</v>
      </c>
      <c r="E3090" s="5" t="s">
        <v>1901</v>
      </c>
      <c r="G3090" s="5" t="s">
        <v>1917</v>
      </c>
    </row>
    <row r="3091" spans="4:7" hidden="1">
      <c r="D3091" s="5" t="s">
        <v>4989</v>
      </c>
      <c r="E3091" s="5" t="s">
        <v>2536</v>
      </c>
      <c r="G3091" s="5" t="s">
        <v>1926</v>
      </c>
    </row>
    <row r="3092" spans="4:7" hidden="1">
      <c r="D3092" s="5" t="s">
        <v>4990</v>
      </c>
      <c r="E3092" s="5" t="s">
        <v>451</v>
      </c>
      <c r="G3092" s="5" t="s">
        <v>1926</v>
      </c>
    </row>
    <row r="3093" spans="4:7" hidden="1">
      <c r="D3093" s="5" t="s">
        <v>4991</v>
      </c>
      <c r="E3093" s="5" t="s">
        <v>309</v>
      </c>
      <c r="G3093" s="5" t="s">
        <v>1917</v>
      </c>
    </row>
    <row r="3094" spans="4:7" hidden="1">
      <c r="D3094" s="5" t="s">
        <v>4992</v>
      </c>
      <c r="E3094" s="5" t="s">
        <v>4993</v>
      </c>
      <c r="G3094" s="5" t="s">
        <v>4713</v>
      </c>
    </row>
    <row r="3095" spans="4:7" hidden="1">
      <c r="D3095" s="5" t="s">
        <v>4994</v>
      </c>
      <c r="E3095" s="5" t="s">
        <v>430</v>
      </c>
      <c r="G3095" s="5" t="s">
        <v>1926</v>
      </c>
    </row>
    <row r="3096" spans="4:7" hidden="1">
      <c r="D3096" s="5" t="s">
        <v>4995</v>
      </c>
      <c r="E3096" s="5" t="s">
        <v>2536</v>
      </c>
      <c r="G3096" s="5" t="s">
        <v>1926</v>
      </c>
    </row>
    <row r="3097" spans="4:7" hidden="1">
      <c r="D3097" s="5" t="s">
        <v>4996</v>
      </c>
      <c r="E3097" s="5" t="s">
        <v>451</v>
      </c>
      <c r="G3097" s="5" t="s">
        <v>1926</v>
      </c>
    </row>
    <row r="3098" spans="4:7" hidden="1">
      <c r="D3098" s="5" t="s">
        <v>4997</v>
      </c>
      <c r="E3098" s="5" t="s">
        <v>430</v>
      </c>
      <c r="G3098" s="5" t="s">
        <v>1917</v>
      </c>
    </row>
    <row r="3099" spans="4:7" hidden="1">
      <c r="D3099" s="5" t="s">
        <v>4998</v>
      </c>
      <c r="E3099" s="5" t="s">
        <v>309</v>
      </c>
      <c r="G3099" s="5" t="s">
        <v>1917</v>
      </c>
    </row>
    <row r="3100" spans="4:7" hidden="1">
      <c r="D3100" s="5" t="s">
        <v>4999</v>
      </c>
      <c r="E3100" s="5" t="s">
        <v>427</v>
      </c>
      <c r="G3100" s="5" t="s">
        <v>4713</v>
      </c>
    </row>
    <row r="3101" spans="4:7" hidden="1">
      <c r="D3101" s="5" t="s">
        <v>5000</v>
      </c>
      <c r="E3101" s="5" t="s">
        <v>5001</v>
      </c>
      <c r="G3101" s="5" t="s">
        <v>4713</v>
      </c>
    </row>
    <row r="3102" spans="4:7" hidden="1">
      <c r="D3102" s="5" t="s">
        <v>5002</v>
      </c>
      <c r="E3102" s="5" t="s">
        <v>430</v>
      </c>
      <c r="G3102" s="5" t="s">
        <v>4713</v>
      </c>
    </row>
    <row r="3103" spans="4:7" hidden="1">
      <c r="D3103" s="5" t="s">
        <v>5003</v>
      </c>
      <c r="E3103" s="5" t="s">
        <v>2536</v>
      </c>
      <c r="G3103" s="5" t="s">
        <v>1926</v>
      </c>
    </row>
    <row r="3104" spans="4:7" hidden="1">
      <c r="D3104" s="5" t="s">
        <v>5004</v>
      </c>
      <c r="E3104" s="5" t="s">
        <v>2536</v>
      </c>
      <c r="G3104" s="5" t="s">
        <v>1926</v>
      </c>
    </row>
    <row r="3105" spans="4:7" hidden="1">
      <c r="D3105" s="5" t="s">
        <v>5005</v>
      </c>
      <c r="E3105" s="5" t="s">
        <v>2536</v>
      </c>
      <c r="G3105" s="5" t="s">
        <v>1926</v>
      </c>
    </row>
    <row r="3106" spans="4:7" hidden="1">
      <c r="D3106" s="5" t="s">
        <v>5006</v>
      </c>
      <c r="E3106" s="5" t="s">
        <v>1890</v>
      </c>
      <c r="G3106" s="5" t="s">
        <v>1917</v>
      </c>
    </row>
    <row r="3107" spans="4:7" hidden="1">
      <c r="D3107" s="5" t="s">
        <v>5007</v>
      </c>
      <c r="E3107" s="5" t="s">
        <v>1940</v>
      </c>
      <c r="G3107" s="5" t="s">
        <v>1926</v>
      </c>
    </row>
    <row r="3108" spans="4:7" hidden="1">
      <c r="D3108" s="5" t="s">
        <v>5008</v>
      </c>
      <c r="E3108" s="5" t="s">
        <v>1940</v>
      </c>
      <c r="G3108" s="5" t="s">
        <v>1917</v>
      </c>
    </row>
    <row r="3109" spans="4:7" hidden="1">
      <c r="D3109" s="5" t="s">
        <v>5009</v>
      </c>
      <c r="E3109" s="5" t="s">
        <v>791</v>
      </c>
      <c r="G3109" s="5" t="s">
        <v>1917</v>
      </c>
    </row>
    <row r="3110" spans="4:7" hidden="1">
      <c r="D3110" s="5" t="s">
        <v>5010</v>
      </c>
      <c r="E3110" s="5" t="s">
        <v>2005</v>
      </c>
      <c r="G3110" s="5" t="s">
        <v>1917</v>
      </c>
    </row>
    <row r="3111" spans="4:7" hidden="1">
      <c r="D3111" s="5" t="s">
        <v>5011</v>
      </c>
      <c r="E3111" s="5" t="s">
        <v>1890</v>
      </c>
      <c r="G3111" s="5" t="s">
        <v>1917</v>
      </c>
    </row>
    <row r="3112" spans="4:7" hidden="1">
      <c r="D3112" s="5" t="s">
        <v>5012</v>
      </c>
      <c r="E3112" s="5" t="s">
        <v>427</v>
      </c>
      <c r="G3112" s="5" t="s">
        <v>1917</v>
      </c>
    </row>
    <row r="3113" spans="4:7" hidden="1">
      <c r="D3113" s="5" t="s">
        <v>5013</v>
      </c>
      <c r="E3113" s="5" t="s">
        <v>451</v>
      </c>
      <c r="G3113" s="5" t="s">
        <v>1917</v>
      </c>
    </row>
    <row r="3114" spans="4:7" hidden="1">
      <c r="D3114" s="5" t="s">
        <v>5014</v>
      </c>
      <c r="E3114" s="5" t="s">
        <v>427</v>
      </c>
      <c r="G3114" s="5" t="s">
        <v>1917</v>
      </c>
    </row>
    <row r="3115" spans="4:7" hidden="1">
      <c r="D3115" s="5" t="s">
        <v>5015</v>
      </c>
      <c r="E3115" s="5" t="s">
        <v>1890</v>
      </c>
      <c r="G3115" s="5" t="s">
        <v>1926</v>
      </c>
    </row>
    <row r="3116" spans="4:7" hidden="1">
      <c r="D3116" s="5" t="s">
        <v>5016</v>
      </c>
      <c r="E3116" s="5" t="s">
        <v>1890</v>
      </c>
      <c r="G3116" s="5" t="s">
        <v>1917</v>
      </c>
    </row>
    <row r="3117" spans="4:7" hidden="1">
      <c r="D3117" s="5" t="s">
        <v>5017</v>
      </c>
      <c r="E3117" s="5" t="s">
        <v>1890</v>
      </c>
      <c r="G3117" s="5" t="s">
        <v>1917</v>
      </c>
    </row>
    <row r="3118" spans="4:7" hidden="1">
      <c r="D3118" s="5" t="s">
        <v>5018</v>
      </c>
      <c r="E3118" s="5" t="s">
        <v>1890</v>
      </c>
      <c r="G3118" s="5" t="s">
        <v>1917</v>
      </c>
    </row>
    <row r="3119" spans="4:7" hidden="1">
      <c r="D3119" s="5" t="s">
        <v>5019</v>
      </c>
      <c r="E3119" s="5" t="s">
        <v>1890</v>
      </c>
      <c r="G3119" s="5" t="s">
        <v>1917</v>
      </c>
    </row>
    <row r="3120" spans="4:7" hidden="1">
      <c r="D3120" s="5" t="s">
        <v>5020</v>
      </c>
      <c r="E3120" s="5" t="s">
        <v>1890</v>
      </c>
      <c r="G3120" s="5" t="s">
        <v>1917</v>
      </c>
    </row>
    <row r="3121" spans="4:7" hidden="1">
      <c r="D3121" s="5" t="s">
        <v>5021</v>
      </c>
      <c r="E3121" s="5" t="s">
        <v>1953</v>
      </c>
      <c r="G3121" s="5" t="s">
        <v>1917</v>
      </c>
    </row>
    <row r="3122" spans="4:7" hidden="1">
      <c r="D3122" s="5" t="s">
        <v>5022</v>
      </c>
      <c r="E3122" s="5" t="s">
        <v>430</v>
      </c>
      <c r="G3122" s="5" t="s">
        <v>1917</v>
      </c>
    </row>
    <row r="3123" spans="4:7" hidden="1">
      <c r="D3123" s="5" t="s">
        <v>5023</v>
      </c>
      <c r="E3123" s="5" t="s">
        <v>1953</v>
      </c>
      <c r="G3123" s="5" t="s">
        <v>1917</v>
      </c>
    </row>
    <row r="3124" spans="4:7" hidden="1">
      <c r="D3124" s="5" t="s">
        <v>5024</v>
      </c>
      <c r="E3124" s="5" t="s">
        <v>451</v>
      </c>
      <c r="G3124" s="5" t="s">
        <v>1917</v>
      </c>
    </row>
    <row r="3125" spans="4:7" hidden="1">
      <c r="D3125" s="5" t="s">
        <v>5025</v>
      </c>
      <c r="E3125" s="5" t="s">
        <v>451</v>
      </c>
      <c r="G3125" s="5" t="s">
        <v>1917</v>
      </c>
    </row>
    <row r="3126" spans="4:7" hidden="1">
      <c r="D3126" s="5" t="s">
        <v>5026</v>
      </c>
      <c r="E3126" s="5" t="s">
        <v>1953</v>
      </c>
      <c r="G3126" s="5" t="s">
        <v>1917</v>
      </c>
    </row>
    <row r="3127" spans="4:7" hidden="1">
      <c r="D3127" s="5" t="s">
        <v>5027</v>
      </c>
      <c r="E3127" s="5" t="s">
        <v>430</v>
      </c>
      <c r="G3127" s="5" t="s">
        <v>1917</v>
      </c>
    </row>
    <row r="3128" spans="4:7" hidden="1">
      <c r="D3128" s="5" t="s">
        <v>5028</v>
      </c>
      <c r="E3128" s="5" t="s">
        <v>5029</v>
      </c>
      <c r="G3128" s="5" t="s">
        <v>1917</v>
      </c>
    </row>
    <row r="3129" spans="4:7" hidden="1">
      <c r="D3129" s="5" t="s">
        <v>5030</v>
      </c>
      <c r="E3129" s="5" t="s">
        <v>1953</v>
      </c>
      <c r="G3129" s="5" t="s">
        <v>1917</v>
      </c>
    </row>
    <row r="3130" spans="4:7" hidden="1">
      <c r="D3130" s="5" t="s">
        <v>5031</v>
      </c>
      <c r="E3130" s="5" t="s">
        <v>1890</v>
      </c>
      <c r="G3130" s="5" t="s">
        <v>1917</v>
      </c>
    </row>
    <row r="3131" spans="4:7" hidden="1">
      <c r="D3131" s="5" t="s">
        <v>5032</v>
      </c>
      <c r="E3131" s="5" t="s">
        <v>812</v>
      </c>
      <c r="G3131" s="5" t="s">
        <v>1917</v>
      </c>
    </row>
    <row r="3132" spans="4:7" hidden="1">
      <c r="D3132" s="5" t="s">
        <v>5033</v>
      </c>
      <c r="E3132" s="5" t="s">
        <v>430</v>
      </c>
      <c r="G3132" s="5" t="s">
        <v>1917</v>
      </c>
    </row>
    <row r="3133" spans="4:7" hidden="1">
      <c r="D3133" s="5" t="s">
        <v>5034</v>
      </c>
      <c r="E3133" s="5" t="s">
        <v>309</v>
      </c>
      <c r="G3133" s="5" t="s">
        <v>1917</v>
      </c>
    </row>
    <row r="3134" spans="4:7" hidden="1">
      <c r="D3134" s="5" t="s">
        <v>5035</v>
      </c>
      <c r="E3134" s="5" t="s">
        <v>1890</v>
      </c>
      <c r="G3134" s="5" t="s">
        <v>1917</v>
      </c>
    </row>
    <row r="3135" spans="4:7" hidden="1">
      <c r="D3135" s="5" t="s">
        <v>5036</v>
      </c>
      <c r="E3135" s="5" t="s">
        <v>1890</v>
      </c>
      <c r="G3135" s="5" t="s">
        <v>1917</v>
      </c>
    </row>
    <row r="3136" spans="4:7" hidden="1">
      <c r="D3136" s="5" t="s">
        <v>5037</v>
      </c>
      <c r="E3136" s="5" t="s">
        <v>5038</v>
      </c>
      <c r="G3136" s="5" t="s">
        <v>4713</v>
      </c>
    </row>
    <row r="3137" spans="4:7" hidden="1">
      <c r="D3137" s="5" t="s">
        <v>5039</v>
      </c>
      <c r="E3137" s="5" t="s">
        <v>427</v>
      </c>
      <c r="G3137" s="5" t="s">
        <v>1917</v>
      </c>
    </row>
    <row r="3138" spans="4:7" hidden="1">
      <c r="D3138" s="5" t="s">
        <v>5040</v>
      </c>
      <c r="E3138" s="5" t="s">
        <v>812</v>
      </c>
      <c r="G3138" s="5" t="s">
        <v>1917</v>
      </c>
    </row>
    <row r="3139" spans="4:7" hidden="1">
      <c r="D3139" s="5" t="s">
        <v>5041</v>
      </c>
      <c r="E3139" s="5" t="s">
        <v>309</v>
      </c>
      <c r="G3139" s="5" t="s">
        <v>1917</v>
      </c>
    </row>
    <row r="3140" spans="4:7" hidden="1">
      <c r="D3140" s="5" t="s">
        <v>5042</v>
      </c>
      <c r="E3140" s="5" t="s">
        <v>1953</v>
      </c>
      <c r="G3140" s="5" t="s">
        <v>1917</v>
      </c>
    </row>
    <row r="3141" spans="4:7" hidden="1">
      <c r="D3141" s="5" t="s">
        <v>5043</v>
      </c>
      <c r="E3141" s="5" t="s">
        <v>1890</v>
      </c>
      <c r="G3141" s="5" t="s">
        <v>1917</v>
      </c>
    </row>
    <row r="3142" spans="4:7" hidden="1">
      <c r="D3142" s="5" t="s">
        <v>1093</v>
      </c>
      <c r="E3142" s="5" t="s">
        <v>1890</v>
      </c>
      <c r="G3142" s="5" t="s">
        <v>1917</v>
      </c>
    </row>
    <row r="3143" spans="4:7" hidden="1">
      <c r="D3143" s="5" t="s">
        <v>5044</v>
      </c>
      <c r="E3143" s="5" t="s">
        <v>3785</v>
      </c>
      <c r="G3143" s="5" t="s">
        <v>1917</v>
      </c>
    </row>
    <row r="3144" spans="4:7" hidden="1">
      <c r="D3144" s="5" t="s">
        <v>5045</v>
      </c>
      <c r="E3144" s="5" t="s">
        <v>427</v>
      </c>
      <c r="G3144" s="5" t="s">
        <v>1917</v>
      </c>
    </row>
    <row r="3145" spans="4:7" hidden="1">
      <c r="D3145" s="5" t="s">
        <v>5046</v>
      </c>
      <c r="E3145" s="5" t="s">
        <v>812</v>
      </c>
      <c r="G3145" s="5" t="s">
        <v>1917</v>
      </c>
    </row>
    <row r="3146" spans="4:7" hidden="1">
      <c r="D3146" s="5" t="s">
        <v>5047</v>
      </c>
      <c r="E3146" s="5" t="s">
        <v>1953</v>
      </c>
      <c r="G3146" s="5" t="s">
        <v>1917</v>
      </c>
    </row>
    <row r="3147" spans="4:7" hidden="1">
      <c r="D3147" s="5" t="s">
        <v>5048</v>
      </c>
      <c r="E3147" s="5" t="s">
        <v>2091</v>
      </c>
      <c r="G3147" s="5" t="s">
        <v>1917</v>
      </c>
    </row>
    <row r="3148" spans="4:7" hidden="1">
      <c r="D3148" s="5" t="s">
        <v>5049</v>
      </c>
      <c r="E3148" s="5" t="s">
        <v>430</v>
      </c>
      <c r="G3148" s="5" t="s">
        <v>1926</v>
      </c>
    </row>
    <row r="3149" spans="4:7" hidden="1">
      <c r="D3149" s="5" t="s">
        <v>5050</v>
      </c>
      <c r="E3149" s="5" t="s">
        <v>812</v>
      </c>
      <c r="G3149" s="5" t="s">
        <v>1917</v>
      </c>
    </row>
    <row r="3150" spans="4:7" hidden="1">
      <c r="D3150" s="5" t="s">
        <v>5051</v>
      </c>
      <c r="E3150" s="5" t="s">
        <v>2005</v>
      </c>
      <c r="G3150" s="5" t="s">
        <v>1917</v>
      </c>
    </row>
    <row r="3151" spans="4:7" hidden="1">
      <c r="D3151" s="5" t="s">
        <v>5052</v>
      </c>
      <c r="E3151" s="5" t="s">
        <v>1901</v>
      </c>
      <c r="G3151" s="5" t="s">
        <v>1917</v>
      </c>
    </row>
    <row r="3152" spans="4:7" hidden="1">
      <c r="D3152" s="5" t="s">
        <v>5053</v>
      </c>
      <c r="E3152" s="5" t="s">
        <v>430</v>
      </c>
      <c r="G3152" s="5" t="s">
        <v>1926</v>
      </c>
    </row>
    <row r="3153" spans="4:7" hidden="1">
      <c r="D3153" s="5" t="s">
        <v>5054</v>
      </c>
      <c r="E3153" s="5" t="s">
        <v>812</v>
      </c>
      <c r="G3153" s="5" t="s">
        <v>1926</v>
      </c>
    </row>
    <row r="3154" spans="4:7" hidden="1">
      <c r="D3154" s="5" t="s">
        <v>5055</v>
      </c>
      <c r="E3154" s="5" t="s">
        <v>2175</v>
      </c>
      <c r="G3154" s="5" t="s">
        <v>2364</v>
      </c>
    </row>
    <row r="3155" spans="4:7" hidden="1">
      <c r="D3155" s="5" t="s">
        <v>5056</v>
      </c>
      <c r="E3155" s="5" t="s">
        <v>2091</v>
      </c>
      <c r="G3155" s="5" t="s">
        <v>1917</v>
      </c>
    </row>
    <row r="3156" spans="4:7" hidden="1">
      <c r="D3156" s="5" t="s">
        <v>464</v>
      </c>
      <c r="E3156" s="5" t="s">
        <v>430</v>
      </c>
      <c r="G3156" s="5" t="s">
        <v>1926</v>
      </c>
    </row>
    <row r="3157" spans="4:7" hidden="1">
      <c r="D3157" s="5" t="s">
        <v>5057</v>
      </c>
      <c r="E3157" s="5" t="s">
        <v>812</v>
      </c>
      <c r="G3157" s="5" t="s">
        <v>1917</v>
      </c>
    </row>
    <row r="3158" spans="4:7" hidden="1">
      <c r="D3158" s="5" t="s">
        <v>5058</v>
      </c>
      <c r="E3158" s="5" t="s">
        <v>430</v>
      </c>
      <c r="G3158" s="5" t="s">
        <v>1917</v>
      </c>
    </row>
    <row r="3159" spans="4:7" hidden="1">
      <c r="D3159" s="5" t="s">
        <v>5059</v>
      </c>
      <c r="E3159" s="5" t="s">
        <v>2091</v>
      </c>
      <c r="G3159" s="5" t="s">
        <v>1917</v>
      </c>
    </row>
    <row r="3160" spans="4:7" hidden="1">
      <c r="D3160" s="5" t="s">
        <v>5060</v>
      </c>
      <c r="E3160" s="5" t="s">
        <v>1890</v>
      </c>
      <c r="G3160" s="5" t="s">
        <v>1926</v>
      </c>
    </row>
    <row r="3161" spans="4:7" hidden="1">
      <c r="D3161" s="5" t="s">
        <v>5061</v>
      </c>
      <c r="E3161" s="5" t="s">
        <v>451</v>
      </c>
      <c r="G3161" s="5" t="s">
        <v>1917</v>
      </c>
    </row>
    <row r="3162" spans="4:7" hidden="1">
      <c r="D3162" s="5" t="s">
        <v>5062</v>
      </c>
      <c r="E3162" s="5" t="s">
        <v>430</v>
      </c>
      <c r="G3162" s="5" t="s">
        <v>1917</v>
      </c>
    </row>
    <row r="3163" spans="4:7" hidden="1">
      <c r="D3163" s="5" t="s">
        <v>5063</v>
      </c>
      <c r="E3163" s="5" t="s">
        <v>812</v>
      </c>
      <c r="G3163" s="5" t="s">
        <v>1917</v>
      </c>
    </row>
    <row r="3164" spans="4:7" hidden="1">
      <c r="D3164" s="5" t="s">
        <v>5064</v>
      </c>
      <c r="E3164" s="5" t="s">
        <v>2091</v>
      </c>
      <c r="G3164" s="5" t="s">
        <v>1917</v>
      </c>
    </row>
    <row r="3165" spans="4:7" hidden="1">
      <c r="D3165" s="5" t="s">
        <v>5065</v>
      </c>
      <c r="E3165" s="5" t="s">
        <v>430</v>
      </c>
      <c r="G3165" s="5" t="s">
        <v>1917</v>
      </c>
    </row>
    <row r="3166" spans="4:7" hidden="1">
      <c r="D3166" s="5" t="s">
        <v>5066</v>
      </c>
      <c r="E3166" s="5" t="s">
        <v>812</v>
      </c>
      <c r="G3166" s="5" t="s">
        <v>1917</v>
      </c>
    </row>
    <row r="3167" spans="4:7" hidden="1">
      <c r="D3167" s="5" t="s">
        <v>5067</v>
      </c>
      <c r="E3167" s="5" t="s">
        <v>2091</v>
      </c>
      <c r="G3167" s="5" t="s">
        <v>1917</v>
      </c>
    </row>
    <row r="3168" spans="4:7" hidden="1">
      <c r="D3168" s="5" t="s">
        <v>5068</v>
      </c>
      <c r="E3168" s="5" t="s">
        <v>1894</v>
      </c>
      <c r="G3168" s="5" t="s">
        <v>1917</v>
      </c>
    </row>
    <row r="3169" spans="4:7" hidden="1">
      <c r="D3169" s="5" t="s">
        <v>5069</v>
      </c>
      <c r="E3169" s="5" t="s">
        <v>1890</v>
      </c>
      <c r="G3169" s="5" t="s">
        <v>1917</v>
      </c>
    </row>
    <row r="3170" spans="4:7" hidden="1">
      <c r="D3170" s="5" t="s">
        <v>5070</v>
      </c>
      <c r="E3170" s="5" t="s">
        <v>812</v>
      </c>
      <c r="G3170" s="5" t="s">
        <v>1917</v>
      </c>
    </row>
    <row r="3171" spans="4:7" hidden="1">
      <c r="D3171" s="5" t="s">
        <v>5071</v>
      </c>
      <c r="E3171" s="5" t="s">
        <v>2091</v>
      </c>
      <c r="G3171" s="5" t="s">
        <v>1917</v>
      </c>
    </row>
    <row r="3172" spans="4:7" hidden="1">
      <c r="D3172" s="5" t="s">
        <v>5072</v>
      </c>
      <c r="E3172" s="5" t="s">
        <v>1890</v>
      </c>
      <c r="G3172" s="5" t="s">
        <v>1917</v>
      </c>
    </row>
    <row r="3173" spans="4:7" hidden="1">
      <c r="D3173" s="5" t="s">
        <v>5073</v>
      </c>
      <c r="E3173" s="5" t="s">
        <v>2091</v>
      </c>
      <c r="G3173" s="5" t="s">
        <v>1917</v>
      </c>
    </row>
    <row r="3174" spans="4:7" hidden="1">
      <c r="D3174" s="5" t="s">
        <v>5074</v>
      </c>
      <c r="E3174" s="5" t="s">
        <v>451</v>
      </c>
      <c r="G3174" s="5" t="s">
        <v>1917</v>
      </c>
    </row>
    <row r="3175" spans="4:7" hidden="1">
      <c r="D3175" s="5" t="s">
        <v>5075</v>
      </c>
      <c r="E3175" s="5" t="s">
        <v>2091</v>
      </c>
      <c r="G3175" s="5" t="s">
        <v>1917</v>
      </c>
    </row>
    <row r="3176" spans="4:7" hidden="1">
      <c r="D3176" s="5" t="s">
        <v>5076</v>
      </c>
      <c r="E3176" s="5" t="s">
        <v>2056</v>
      </c>
      <c r="G3176" s="5" t="s">
        <v>1926</v>
      </c>
    </row>
    <row r="3177" spans="4:7" hidden="1">
      <c r="D3177" s="5" t="s">
        <v>5077</v>
      </c>
      <c r="E3177" s="5" t="s">
        <v>2536</v>
      </c>
      <c r="G3177" s="5" t="s">
        <v>1926</v>
      </c>
    </row>
    <row r="3178" spans="4:7" hidden="1">
      <c r="D3178" s="5" t="s">
        <v>5078</v>
      </c>
      <c r="E3178" s="5" t="s">
        <v>2005</v>
      </c>
      <c r="G3178" s="5" t="s">
        <v>1917</v>
      </c>
    </row>
    <row r="3179" spans="4:7" hidden="1">
      <c r="D3179" s="5" t="s">
        <v>5079</v>
      </c>
      <c r="E3179" s="5" t="s">
        <v>2056</v>
      </c>
      <c r="G3179" s="5" t="s">
        <v>1926</v>
      </c>
    </row>
    <row r="3180" spans="4:7" hidden="1">
      <c r="D3180" s="5" t="s">
        <v>5080</v>
      </c>
      <c r="E3180" s="5" t="s">
        <v>1890</v>
      </c>
      <c r="G3180" s="5" t="s">
        <v>1917</v>
      </c>
    </row>
    <row r="3181" spans="4:7" hidden="1">
      <c r="D3181" s="5" t="s">
        <v>5081</v>
      </c>
      <c r="E3181" s="5" t="s">
        <v>5082</v>
      </c>
      <c r="G3181" s="5" t="s">
        <v>1926</v>
      </c>
    </row>
    <row r="3182" spans="4:7" hidden="1">
      <c r="D3182" s="5" t="s">
        <v>5083</v>
      </c>
      <c r="E3182" s="5" t="s">
        <v>2536</v>
      </c>
      <c r="G3182" s="5" t="s">
        <v>1926</v>
      </c>
    </row>
    <row r="3183" spans="4:7" hidden="1">
      <c r="D3183" s="5" t="s">
        <v>5084</v>
      </c>
      <c r="E3183" s="5" t="s">
        <v>2091</v>
      </c>
      <c r="G3183" s="5" t="s">
        <v>1917</v>
      </c>
    </row>
    <row r="3184" spans="4:7" hidden="1">
      <c r="D3184" s="5" t="s">
        <v>5085</v>
      </c>
      <c r="E3184" s="5" t="s">
        <v>2056</v>
      </c>
      <c r="G3184" s="5" t="s">
        <v>1917</v>
      </c>
    </row>
    <row r="3185" spans="4:7" hidden="1">
      <c r="D3185" s="5" t="s">
        <v>5086</v>
      </c>
      <c r="E3185" s="5" t="s">
        <v>1890</v>
      </c>
      <c r="G3185" s="5" t="s">
        <v>1917</v>
      </c>
    </row>
    <row r="3186" spans="4:7" hidden="1">
      <c r="D3186" s="5" t="s">
        <v>5087</v>
      </c>
      <c r="E3186" s="5" t="s">
        <v>709</v>
      </c>
      <c r="G3186" s="5" t="s">
        <v>1917</v>
      </c>
    </row>
    <row r="3187" spans="4:7" hidden="1">
      <c r="D3187" s="5" t="s">
        <v>5088</v>
      </c>
      <c r="E3187" s="5" t="s">
        <v>709</v>
      </c>
      <c r="G3187" s="5" t="s">
        <v>1917</v>
      </c>
    </row>
    <row r="3188" spans="4:7" hidden="1">
      <c r="D3188" s="5" t="s">
        <v>5089</v>
      </c>
      <c r="E3188" s="5" t="s">
        <v>2536</v>
      </c>
      <c r="G3188" s="5" t="s">
        <v>1926</v>
      </c>
    </row>
    <row r="3189" spans="4:7" hidden="1">
      <c r="D3189" s="5" t="s">
        <v>5090</v>
      </c>
      <c r="E3189" s="5" t="s">
        <v>2005</v>
      </c>
      <c r="G3189" s="5" t="s">
        <v>1917</v>
      </c>
    </row>
    <row r="3190" spans="4:7" hidden="1">
      <c r="D3190" s="5" t="s">
        <v>5091</v>
      </c>
      <c r="E3190" s="5" t="s">
        <v>1890</v>
      </c>
      <c r="G3190" s="5" t="s">
        <v>1917</v>
      </c>
    </row>
    <row r="3191" spans="4:7" hidden="1">
      <c r="D3191" s="5" t="s">
        <v>5092</v>
      </c>
      <c r="E3191" s="5" t="s">
        <v>2536</v>
      </c>
      <c r="G3191" s="5" t="s">
        <v>1926</v>
      </c>
    </row>
    <row r="3192" spans="4:7" hidden="1">
      <c r="D3192" s="5" t="s">
        <v>5093</v>
      </c>
      <c r="E3192" s="5" t="s">
        <v>2005</v>
      </c>
      <c r="G3192" s="5" t="s">
        <v>1917</v>
      </c>
    </row>
    <row r="3193" spans="4:7" hidden="1">
      <c r="D3193" s="5" t="s">
        <v>5094</v>
      </c>
      <c r="E3193" s="5" t="s">
        <v>1890</v>
      </c>
      <c r="G3193" s="5" t="s">
        <v>1917</v>
      </c>
    </row>
    <row r="3194" spans="4:7" hidden="1">
      <c r="D3194" s="5" t="s">
        <v>5095</v>
      </c>
      <c r="E3194" s="5" t="s">
        <v>1890</v>
      </c>
      <c r="G3194" s="5" t="s">
        <v>1917</v>
      </c>
    </row>
    <row r="3195" spans="4:7" hidden="1">
      <c r="D3195" s="5" t="s">
        <v>5096</v>
      </c>
      <c r="E3195" s="5" t="s">
        <v>1901</v>
      </c>
      <c r="G3195" s="5" t="s">
        <v>1917</v>
      </c>
    </row>
    <row r="3196" spans="4:7" hidden="1">
      <c r="D3196" s="5" t="s">
        <v>5097</v>
      </c>
      <c r="E3196" s="5" t="s">
        <v>2536</v>
      </c>
      <c r="G3196" s="5" t="s">
        <v>1926</v>
      </c>
    </row>
    <row r="3197" spans="4:7" hidden="1">
      <c r="D3197" s="5" t="s">
        <v>5098</v>
      </c>
      <c r="E3197" s="5" t="s">
        <v>2005</v>
      </c>
      <c r="G3197" s="5" t="s">
        <v>1917</v>
      </c>
    </row>
    <row r="3198" spans="4:7" hidden="1">
      <c r="D3198" s="5" t="s">
        <v>5099</v>
      </c>
      <c r="E3198" s="5" t="s">
        <v>2056</v>
      </c>
      <c r="G3198" s="5" t="s">
        <v>1917</v>
      </c>
    </row>
    <row r="3199" spans="4:7" hidden="1">
      <c r="D3199" s="5" t="s">
        <v>5100</v>
      </c>
      <c r="E3199" s="5" t="s">
        <v>1890</v>
      </c>
      <c r="G3199" s="5" t="s">
        <v>1926</v>
      </c>
    </row>
    <row r="3200" spans="4:7" hidden="1">
      <c r="D3200" s="5" t="s">
        <v>5101</v>
      </c>
      <c r="E3200" s="5" t="s">
        <v>1890</v>
      </c>
      <c r="G3200" s="5" t="s">
        <v>1917</v>
      </c>
    </row>
    <row r="3201" spans="4:7" hidden="1">
      <c r="D3201" s="5" t="s">
        <v>5102</v>
      </c>
      <c r="E3201" s="5" t="s">
        <v>1890</v>
      </c>
      <c r="G3201" s="5" t="s">
        <v>1917</v>
      </c>
    </row>
    <row r="3202" spans="4:7" hidden="1">
      <c r="D3202" s="5" t="s">
        <v>5103</v>
      </c>
      <c r="E3202" s="5" t="s">
        <v>2536</v>
      </c>
      <c r="G3202" s="5" t="s">
        <v>1926</v>
      </c>
    </row>
    <row r="3203" spans="4:7" hidden="1">
      <c r="D3203" s="5" t="s">
        <v>5104</v>
      </c>
      <c r="E3203" s="5" t="s">
        <v>2005</v>
      </c>
      <c r="G3203" s="5" t="s">
        <v>1917</v>
      </c>
    </row>
    <row r="3204" spans="4:7" hidden="1">
      <c r="D3204" s="5" t="s">
        <v>5105</v>
      </c>
      <c r="E3204" s="5" t="s">
        <v>1890</v>
      </c>
      <c r="G3204" s="5" t="s">
        <v>1917</v>
      </c>
    </row>
    <row r="3205" spans="4:7" hidden="1">
      <c r="D3205" s="5" t="s">
        <v>5106</v>
      </c>
      <c r="E3205" s="5" t="s">
        <v>1890</v>
      </c>
      <c r="G3205" s="5" t="s">
        <v>1917</v>
      </c>
    </row>
    <row r="3206" spans="4:7" hidden="1">
      <c r="D3206" s="5" t="s">
        <v>5107</v>
      </c>
      <c r="E3206" s="5" t="s">
        <v>5038</v>
      </c>
      <c r="G3206" s="5" t="s">
        <v>4713</v>
      </c>
    </row>
    <row r="3207" spans="4:7" hidden="1">
      <c r="D3207" s="5" t="s">
        <v>5108</v>
      </c>
      <c r="E3207" s="5" t="s">
        <v>2536</v>
      </c>
      <c r="G3207" s="5" t="s">
        <v>1926</v>
      </c>
    </row>
    <row r="3208" spans="4:7" hidden="1">
      <c r="D3208" s="5" t="s">
        <v>5109</v>
      </c>
      <c r="E3208" s="5" t="s">
        <v>2056</v>
      </c>
      <c r="G3208" s="5" t="s">
        <v>1917</v>
      </c>
    </row>
    <row r="3209" spans="4:7" hidden="1">
      <c r="D3209" s="5" t="s">
        <v>5110</v>
      </c>
      <c r="E3209" s="5" t="s">
        <v>1890</v>
      </c>
      <c r="G3209" s="5" t="s">
        <v>1917</v>
      </c>
    </row>
    <row r="3210" spans="4:7" hidden="1">
      <c r="D3210" s="5" t="s">
        <v>5111</v>
      </c>
      <c r="E3210" s="5" t="s">
        <v>2536</v>
      </c>
      <c r="G3210" s="5" t="s">
        <v>1926</v>
      </c>
    </row>
    <row r="3211" spans="4:7" hidden="1">
      <c r="D3211" s="5" t="s">
        <v>5112</v>
      </c>
      <c r="E3211" s="5" t="s">
        <v>2056</v>
      </c>
      <c r="G3211" s="5" t="s">
        <v>1917</v>
      </c>
    </row>
    <row r="3212" spans="4:7" hidden="1">
      <c r="D3212" s="5" t="s">
        <v>5113</v>
      </c>
      <c r="E3212" s="5" t="s">
        <v>2020</v>
      </c>
      <c r="G3212" s="5" t="s">
        <v>1917</v>
      </c>
    </row>
    <row r="3213" spans="4:7" hidden="1">
      <c r="D3213" s="5" t="s">
        <v>1889</v>
      </c>
      <c r="E3213" s="5" t="s">
        <v>1890</v>
      </c>
      <c r="G3213" s="5" t="s">
        <v>1917</v>
      </c>
    </row>
    <row r="3214" spans="4:7" hidden="1">
      <c r="D3214" s="5" t="s">
        <v>5114</v>
      </c>
      <c r="E3214" s="5" t="s">
        <v>2536</v>
      </c>
      <c r="G3214" s="5" t="s">
        <v>1926</v>
      </c>
    </row>
    <row r="3215" spans="4:7" hidden="1">
      <c r="D3215" s="5" t="s">
        <v>5115</v>
      </c>
      <c r="E3215" s="5" t="s">
        <v>1890</v>
      </c>
      <c r="G3215" s="5" t="s">
        <v>1917</v>
      </c>
    </row>
    <row r="3216" spans="4:7" hidden="1">
      <c r="D3216" s="5" t="s">
        <v>5116</v>
      </c>
      <c r="E3216" s="5" t="s">
        <v>2536</v>
      </c>
      <c r="G3216" s="5" t="s">
        <v>1926</v>
      </c>
    </row>
    <row r="3217" spans="4:7" hidden="1">
      <c r="D3217" s="5" t="s">
        <v>5117</v>
      </c>
      <c r="E3217" s="5" t="s">
        <v>2056</v>
      </c>
      <c r="G3217" s="5" t="s">
        <v>1917</v>
      </c>
    </row>
    <row r="3218" spans="4:7" hidden="1">
      <c r="D3218" s="5" t="s">
        <v>5118</v>
      </c>
      <c r="E3218" s="5" t="s">
        <v>1890</v>
      </c>
      <c r="G3218" s="5" t="s">
        <v>1917</v>
      </c>
    </row>
    <row r="3219" spans="4:7" hidden="1">
      <c r="D3219" s="5" t="s">
        <v>1289</v>
      </c>
      <c r="E3219" s="5" t="s">
        <v>1890</v>
      </c>
      <c r="G3219" s="5" t="s">
        <v>1917</v>
      </c>
    </row>
    <row r="3220" spans="4:7" hidden="1">
      <c r="D3220" s="5" t="s">
        <v>5119</v>
      </c>
      <c r="E3220" s="5" t="s">
        <v>2536</v>
      </c>
      <c r="G3220" s="5" t="s">
        <v>1926</v>
      </c>
    </row>
    <row r="3221" spans="4:7" hidden="1">
      <c r="D3221" s="5" t="s">
        <v>5120</v>
      </c>
      <c r="E3221" s="5" t="s">
        <v>168</v>
      </c>
      <c r="G3221" s="5" t="s">
        <v>1917</v>
      </c>
    </row>
    <row r="3222" spans="4:7" hidden="1">
      <c r="D3222" s="5" t="s">
        <v>5121</v>
      </c>
      <c r="E3222" s="5" t="s">
        <v>2536</v>
      </c>
      <c r="G3222" s="5" t="s">
        <v>1926</v>
      </c>
    </row>
    <row r="3223" spans="4:7" hidden="1">
      <c r="D3223" s="5" t="s">
        <v>5122</v>
      </c>
      <c r="E3223" s="5" t="s">
        <v>2056</v>
      </c>
      <c r="G3223" s="5" t="s">
        <v>1917</v>
      </c>
    </row>
    <row r="3224" spans="4:7" hidden="1">
      <c r="D3224" s="5" t="s">
        <v>5123</v>
      </c>
      <c r="E3224" s="5" t="s">
        <v>1890</v>
      </c>
      <c r="G3224" s="5" t="s">
        <v>1917</v>
      </c>
    </row>
    <row r="3225" spans="4:7" hidden="1">
      <c r="D3225" s="5" t="s">
        <v>5124</v>
      </c>
      <c r="E3225" s="5" t="s">
        <v>1890</v>
      </c>
      <c r="G3225" s="5" t="s">
        <v>1917</v>
      </c>
    </row>
    <row r="3226" spans="4:7" hidden="1">
      <c r="D3226" s="5" t="s">
        <v>5125</v>
      </c>
      <c r="E3226" s="5" t="s">
        <v>2536</v>
      </c>
      <c r="G3226" s="5" t="s">
        <v>1926</v>
      </c>
    </row>
    <row r="3227" spans="4:7" hidden="1">
      <c r="D3227" s="5" t="s">
        <v>5126</v>
      </c>
      <c r="E3227" s="5" t="s">
        <v>168</v>
      </c>
      <c r="G3227" s="5" t="s">
        <v>1917</v>
      </c>
    </row>
    <row r="3228" spans="4:7" hidden="1">
      <c r="D3228" s="5" t="s">
        <v>5127</v>
      </c>
      <c r="E3228" s="5" t="s">
        <v>2536</v>
      </c>
      <c r="G3228" s="5" t="s">
        <v>1926</v>
      </c>
    </row>
    <row r="3229" spans="4:7" hidden="1">
      <c r="D3229" s="5" t="s">
        <v>5128</v>
      </c>
      <c r="E3229" s="5" t="s">
        <v>2536</v>
      </c>
      <c r="G3229" s="5" t="s">
        <v>1926</v>
      </c>
    </row>
    <row r="3230" spans="4:7" hidden="1">
      <c r="D3230" s="5" t="s">
        <v>5129</v>
      </c>
      <c r="E3230" s="5" t="s">
        <v>2056</v>
      </c>
      <c r="G3230" s="5" t="s">
        <v>1917</v>
      </c>
    </row>
    <row r="3231" spans="4:7" hidden="1">
      <c r="D3231" s="5" t="s">
        <v>5130</v>
      </c>
      <c r="E3231" s="5" t="s">
        <v>1890</v>
      </c>
      <c r="G3231" s="5" t="s">
        <v>1917</v>
      </c>
    </row>
    <row r="3232" spans="4:7" hidden="1">
      <c r="D3232" s="5" t="s">
        <v>5131</v>
      </c>
      <c r="E3232" s="5" t="s">
        <v>2536</v>
      </c>
      <c r="G3232" s="5" t="s">
        <v>1926</v>
      </c>
    </row>
    <row r="3233" spans="4:7" hidden="1">
      <c r="D3233" s="5" t="s">
        <v>5132</v>
      </c>
      <c r="E3233" s="5" t="s">
        <v>2056</v>
      </c>
      <c r="G3233" s="5" t="s">
        <v>1926</v>
      </c>
    </row>
    <row r="3234" spans="4:7" hidden="1">
      <c r="D3234" s="5" t="s">
        <v>5133</v>
      </c>
      <c r="E3234" s="5" t="s">
        <v>1890</v>
      </c>
      <c r="G3234" s="5" t="s">
        <v>1917</v>
      </c>
    </row>
    <row r="3235" spans="4:7" hidden="1">
      <c r="D3235" s="5" t="s">
        <v>5134</v>
      </c>
      <c r="E3235" s="5" t="s">
        <v>2536</v>
      </c>
      <c r="G3235" s="5" t="s">
        <v>1926</v>
      </c>
    </row>
    <row r="3236" spans="4:7" hidden="1">
      <c r="D3236" s="5" t="s">
        <v>5135</v>
      </c>
      <c r="E3236" s="5" t="s">
        <v>709</v>
      </c>
      <c r="G3236" s="5" t="s">
        <v>1917</v>
      </c>
    </row>
    <row r="3237" spans="4:7" hidden="1">
      <c r="D3237" s="5" t="s">
        <v>5136</v>
      </c>
      <c r="E3237" s="5" t="s">
        <v>2536</v>
      </c>
      <c r="G3237" s="5" t="s">
        <v>1926</v>
      </c>
    </row>
    <row r="3238" spans="4:7" hidden="1">
      <c r="D3238" s="5" t="s">
        <v>5137</v>
      </c>
      <c r="E3238" s="5" t="s">
        <v>709</v>
      </c>
      <c r="G3238" s="5" t="s">
        <v>1917</v>
      </c>
    </row>
    <row r="3239" spans="4:7" hidden="1">
      <c r="D3239" s="5" t="s">
        <v>5138</v>
      </c>
      <c r="E3239" s="5" t="s">
        <v>2070</v>
      </c>
      <c r="G3239" s="5" t="s">
        <v>4713</v>
      </c>
    </row>
    <row r="3240" spans="4:7" hidden="1">
      <c r="D3240" s="5" t="s">
        <v>5139</v>
      </c>
      <c r="E3240" s="5" t="s">
        <v>2056</v>
      </c>
      <c r="G3240" s="5" t="s">
        <v>1917</v>
      </c>
    </row>
    <row r="3241" spans="4:7" hidden="1">
      <c r="D3241" s="5" t="s">
        <v>5140</v>
      </c>
      <c r="E3241" s="5" t="s">
        <v>1953</v>
      </c>
      <c r="G3241" s="5" t="s">
        <v>1917</v>
      </c>
    </row>
    <row r="3242" spans="4:7" hidden="1">
      <c r="D3242" s="5" t="s">
        <v>5141</v>
      </c>
      <c r="E3242" s="5" t="s">
        <v>309</v>
      </c>
      <c r="G3242" s="5" t="s">
        <v>1917</v>
      </c>
    </row>
    <row r="3243" spans="4:7" hidden="1">
      <c r="D3243" s="5" t="s">
        <v>5142</v>
      </c>
      <c r="E3243" s="5" t="s">
        <v>1890</v>
      </c>
      <c r="G3243" s="5" t="s">
        <v>1917</v>
      </c>
    </row>
    <row r="3244" spans="4:7" hidden="1">
      <c r="D3244" s="5" t="s">
        <v>5143</v>
      </c>
      <c r="E3244" s="5" t="s">
        <v>709</v>
      </c>
      <c r="G3244" s="5" t="s">
        <v>1917</v>
      </c>
    </row>
    <row r="3245" spans="4:7" hidden="1">
      <c r="D3245" s="5" t="s">
        <v>5144</v>
      </c>
      <c r="E3245" s="5" t="s">
        <v>309</v>
      </c>
      <c r="G3245" s="5" t="s">
        <v>4713</v>
      </c>
    </row>
    <row r="3246" spans="4:7" hidden="1">
      <c r="D3246" s="5" t="s">
        <v>5145</v>
      </c>
      <c r="E3246" s="5" t="s">
        <v>2056</v>
      </c>
      <c r="G3246" s="5" t="s">
        <v>1917</v>
      </c>
    </row>
    <row r="3247" spans="4:7" hidden="1">
      <c r="D3247" s="5" t="s">
        <v>5146</v>
      </c>
      <c r="E3247" s="5" t="s">
        <v>2005</v>
      </c>
      <c r="G3247" s="5" t="s">
        <v>1917</v>
      </c>
    </row>
    <row r="3248" spans="4:7" hidden="1">
      <c r="D3248" s="5" t="s">
        <v>5147</v>
      </c>
      <c r="E3248" s="5" t="s">
        <v>709</v>
      </c>
      <c r="G3248" s="5" t="s">
        <v>1917</v>
      </c>
    </row>
    <row r="3249" spans="4:7" hidden="1">
      <c r="D3249" s="5" t="s">
        <v>5148</v>
      </c>
      <c r="E3249" s="5" t="s">
        <v>2070</v>
      </c>
      <c r="G3249" s="5" t="s">
        <v>4713</v>
      </c>
    </row>
    <row r="3250" spans="4:7" hidden="1">
      <c r="D3250" s="5" t="s">
        <v>5149</v>
      </c>
      <c r="E3250" s="5" t="s">
        <v>2056</v>
      </c>
      <c r="G3250" s="5" t="s">
        <v>1926</v>
      </c>
    </row>
    <row r="3251" spans="4:7" hidden="1">
      <c r="D3251" s="5" t="s">
        <v>569</v>
      </c>
      <c r="E3251" s="5" t="s">
        <v>1901</v>
      </c>
      <c r="G3251" s="5" t="s">
        <v>1917</v>
      </c>
    </row>
    <row r="3252" spans="4:7" hidden="1">
      <c r="D3252" s="5" t="s">
        <v>5150</v>
      </c>
      <c r="E3252" s="5" t="s">
        <v>709</v>
      </c>
      <c r="G3252" s="5" t="s">
        <v>1917</v>
      </c>
    </row>
    <row r="3253" spans="4:7" hidden="1">
      <c r="D3253" s="5" t="s">
        <v>5151</v>
      </c>
      <c r="E3253" s="5" t="s">
        <v>309</v>
      </c>
      <c r="G3253" s="5" t="s">
        <v>4713</v>
      </c>
    </row>
    <row r="3254" spans="4:7" hidden="1">
      <c r="D3254" s="5" t="s">
        <v>5152</v>
      </c>
      <c r="E3254" s="5" t="s">
        <v>709</v>
      </c>
      <c r="G3254" s="5" t="s">
        <v>1926</v>
      </c>
    </row>
    <row r="3255" spans="4:7" hidden="1">
      <c r="D3255" s="5" t="s">
        <v>5153</v>
      </c>
      <c r="E3255" s="5" t="s">
        <v>427</v>
      </c>
      <c r="G3255" s="5" t="s">
        <v>1917</v>
      </c>
    </row>
    <row r="3256" spans="4:7" hidden="1">
      <c r="D3256" s="5" t="s">
        <v>5154</v>
      </c>
      <c r="E3256" s="5" t="s">
        <v>2005</v>
      </c>
      <c r="G3256" s="5" t="s">
        <v>1917</v>
      </c>
    </row>
    <row r="3257" spans="4:7" hidden="1">
      <c r="D3257" s="5" t="s">
        <v>5155</v>
      </c>
      <c r="E3257" s="5" t="s">
        <v>427</v>
      </c>
      <c r="G3257" s="5" t="s">
        <v>1917</v>
      </c>
    </row>
    <row r="3258" spans="4:7" hidden="1">
      <c r="D3258" s="5" t="s">
        <v>5156</v>
      </c>
      <c r="E3258" s="5" t="s">
        <v>2091</v>
      </c>
      <c r="G3258" s="5" t="s">
        <v>1917</v>
      </c>
    </row>
    <row r="3259" spans="4:7" hidden="1">
      <c r="D3259" s="5" t="s">
        <v>5157</v>
      </c>
      <c r="E3259" s="5" t="s">
        <v>2005</v>
      </c>
      <c r="G3259" s="5" t="s">
        <v>1917</v>
      </c>
    </row>
    <row r="3260" spans="4:7" hidden="1">
      <c r="D3260" s="5" t="s">
        <v>5158</v>
      </c>
      <c r="E3260" s="5" t="s">
        <v>709</v>
      </c>
      <c r="G3260" s="5" t="s">
        <v>1917</v>
      </c>
    </row>
    <row r="3261" spans="4:7" hidden="1">
      <c r="D3261" s="5" t="s">
        <v>5159</v>
      </c>
      <c r="E3261" s="5" t="s">
        <v>2091</v>
      </c>
      <c r="G3261" s="5" t="s">
        <v>1917</v>
      </c>
    </row>
    <row r="3262" spans="4:7" hidden="1">
      <c r="D3262" s="5" t="s">
        <v>5160</v>
      </c>
      <c r="E3262" s="5" t="s">
        <v>309</v>
      </c>
      <c r="G3262" s="5" t="s">
        <v>1917</v>
      </c>
    </row>
    <row r="3263" spans="4:7" hidden="1">
      <c r="D3263" s="5" t="s">
        <v>5161</v>
      </c>
      <c r="E3263" s="5" t="s">
        <v>709</v>
      </c>
      <c r="G3263" s="5" t="s">
        <v>1917</v>
      </c>
    </row>
    <row r="3264" spans="4:7" hidden="1">
      <c r="D3264" s="5" t="s">
        <v>5162</v>
      </c>
      <c r="E3264" s="5" t="s">
        <v>1901</v>
      </c>
      <c r="G3264" s="5" t="s">
        <v>1917</v>
      </c>
    </row>
    <row r="3265" spans="4:7" hidden="1">
      <c r="D3265" s="5" t="s">
        <v>5163</v>
      </c>
      <c r="E3265" s="5" t="s">
        <v>1890</v>
      </c>
      <c r="G3265" s="5" t="s">
        <v>1917</v>
      </c>
    </row>
    <row r="3266" spans="4:7" hidden="1">
      <c r="D3266" s="5" t="s">
        <v>5164</v>
      </c>
      <c r="E3266" s="5" t="s">
        <v>709</v>
      </c>
      <c r="G3266" s="5" t="s">
        <v>1917</v>
      </c>
    </row>
    <row r="3267" spans="4:7" hidden="1">
      <c r="D3267" s="5" t="s">
        <v>5165</v>
      </c>
      <c r="E3267" s="5" t="s">
        <v>812</v>
      </c>
      <c r="G3267" s="5" t="s">
        <v>1917</v>
      </c>
    </row>
    <row r="3268" spans="4:7" hidden="1">
      <c r="D3268" s="5" t="s">
        <v>5166</v>
      </c>
      <c r="E3268" s="5" t="s">
        <v>2005</v>
      </c>
      <c r="G3268" s="5" t="s">
        <v>1917</v>
      </c>
    </row>
    <row r="3269" spans="4:7" hidden="1">
      <c r="D3269" s="5" t="s">
        <v>5167</v>
      </c>
      <c r="E3269" s="5" t="s">
        <v>171</v>
      </c>
      <c r="G3269" s="5" t="s">
        <v>1917</v>
      </c>
    </row>
    <row r="3270" spans="4:7" hidden="1">
      <c r="D3270" s="5" t="s">
        <v>5168</v>
      </c>
      <c r="E3270" s="5" t="s">
        <v>2056</v>
      </c>
      <c r="G3270" s="5" t="s">
        <v>1917</v>
      </c>
    </row>
    <row r="3271" spans="4:7" hidden="1">
      <c r="D3271" s="5" t="s">
        <v>5169</v>
      </c>
      <c r="E3271" s="5" t="s">
        <v>427</v>
      </c>
      <c r="G3271" s="5" t="s">
        <v>1917</v>
      </c>
    </row>
    <row r="3272" spans="4:7" hidden="1">
      <c r="D3272" s="5" t="s">
        <v>5170</v>
      </c>
      <c r="E3272" s="5" t="s">
        <v>709</v>
      </c>
      <c r="G3272" s="5" t="s">
        <v>1917</v>
      </c>
    </row>
    <row r="3273" spans="4:7" hidden="1">
      <c r="D3273" s="5" t="s">
        <v>5171</v>
      </c>
      <c r="E3273" s="5" t="s">
        <v>309</v>
      </c>
      <c r="G3273" s="5" t="s">
        <v>1917</v>
      </c>
    </row>
    <row r="3274" spans="4:7" hidden="1">
      <c r="D3274" s="5" t="s">
        <v>5172</v>
      </c>
      <c r="E3274" s="5" t="s">
        <v>427</v>
      </c>
      <c r="G3274" s="5" t="s">
        <v>1917</v>
      </c>
    </row>
    <row r="3275" spans="4:7" hidden="1">
      <c r="D3275" s="5" t="s">
        <v>5173</v>
      </c>
      <c r="E3275" s="5" t="s">
        <v>791</v>
      </c>
      <c r="G3275" s="5" t="s">
        <v>1917</v>
      </c>
    </row>
    <row r="3276" spans="4:7" hidden="1">
      <c r="D3276" s="5" t="s">
        <v>5174</v>
      </c>
      <c r="E3276" s="5" t="s">
        <v>2005</v>
      </c>
      <c r="G3276" s="5" t="s">
        <v>1917</v>
      </c>
    </row>
    <row r="3277" spans="4:7" hidden="1">
      <c r="D3277" s="5" t="s">
        <v>5175</v>
      </c>
      <c r="E3277" s="5" t="s">
        <v>309</v>
      </c>
      <c r="G3277" s="5" t="s">
        <v>1917</v>
      </c>
    </row>
    <row r="3278" spans="4:7" hidden="1">
      <c r="D3278" s="5" t="s">
        <v>1320</v>
      </c>
      <c r="E3278" s="5" t="s">
        <v>430</v>
      </c>
      <c r="G3278" s="5" t="s">
        <v>1917</v>
      </c>
    </row>
    <row r="3279" spans="4:7" hidden="1">
      <c r="D3279" s="5" t="s">
        <v>5176</v>
      </c>
      <c r="E3279" s="5" t="s">
        <v>1901</v>
      </c>
      <c r="G3279" s="5" t="s">
        <v>1917</v>
      </c>
    </row>
    <row r="3280" spans="4:7" hidden="1">
      <c r="D3280" s="5" t="s">
        <v>612</v>
      </c>
      <c r="E3280" s="5" t="s">
        <v>3661</v>
      </c>
      <c r="G3280" s="5" t="s">
        <v>1917</v>
      </c>
    </row>
    <row r="3281" spans="4:7" hidden="1">
      <c r="D3281" s="5" t="s">
        <v>5177</v>
      </c>
      <c r="E3281" s="5" t="s">
        <v>171</v>
      </c>
      <c r="G3281" s="5" t="s">
        <v>1917</v>
      </c>
    </row>
    <row r="3282" spans="4:7" hidden="1">
      <c r="D3282" s="5" t="s">
        <v>5178</v>
      </c>
      <c r="E3282" s="5" t="s">
        <v>427</v>
      </c>
      <c r="G3282" s="5" t="s">
        <v>1917</v>
      </c>
    </row>
    <row r="3283" spans="4:7" hidden="1">
      <c r="D3283" s="5" t="s">
        <v>5179</v>
      </c>
      <c r="E3283" s="5" t="s">
        <v>309</v>
      </c>
      <c r="G3283" s="5" t="s">
        <v>1917</v>
      </c>
    </row>
    <row r="3284" spans="4:7" hidden="1">
      <c r="D3284" s="5" t="s">
        <v>5180</v>
      </c>
      <c r="E3284" s="5" t="s">
        <v>427</v>
      </c>
      <c r="G3284" s="5" t="s">
        <v>1926</v>
      </c>
    </row>
    <row r="3285" spans="4:7" hidden="1">
      <c r="D3285" s="5" t="s">
        <v>5181</v>
      </c>
      <c r="E3285" s="5" t="s">
        <v>1901</v>
      </c>
      <c r="G3285" s="5" t="s">
        <v>1917</v>
      </c>
    </row>
    <row r="3286" spans="4:7" hidden="1">
      <c r="D3286" s="5" t="s">
        <v>5182</v>
      </c>
      <c r="E3286" s="5" t="s">
        <v>2091</v>
      </c>
      <c r="G3286" s="5" t="s">
        <v>1917</v>
      </c>
    </row>
    <row r="3287" spans="4:7" hidden="1">
      <c r="D3287" s="5" t="s">
        <v>5183</v>
      </c>
      <c r="E3287" s="5" t="s">
        <v>309</v>
      </c>
      <c r="G3287" s="5" t="s">
        <v>1917</v>
      </c>
    </row>
    <row r="3288" spans="4:7" hidden="1">
      <c r="D3288" s="5" t="s">
        <v>5184</v>
      </c>
      <c r="G3288" s="5" t="s">
        <v>1926</v>
      </c>
    </row>
    <row r="3289" spans="4:7" hidden="1">
      <c r="D3289" s="5" t="s">
        <v>5185</v>
      </c>
      <c r="E3289" s="5" t="s">
        <v>2091</v>
      </c>
      <c r="G3289" s="5" t="s">
        <v>1917</v>
      </c>
    </row>
    <row r="3290" spans="4:7" hidden="1">
      <c r="D3290" s="5" t="s">
        <v>5186</v>
      </c>
      <c r="E3290" s="5" t="s">
        <v>1890</v>
      </c>
      <c r="G3290" s="5" t="s">
        <v>1917</v>
      </c>
    </row>
    <row r="3291" spans="4:7" hidden="1">
      <c r="D3291" s="5" t="s">
        <v>5187</v>
      </c>
      <c r="E3291" s="5" t="s">
        <v>309</v>
      </c>
      <c r="G3291" s="5" t="s">
        <v>1917</v>
      </c>
    </row>
    <row r="3292" spans="4:7" hidden="1">
      <c r="D3292" s="5" t="s">
        <v>5188</v>
      </c>
      <c r="E3292" s="5" t="s">
        <v>720</v>
      </c>
      <c r="G3292" s="5" t="s">
        <v>1926</v>
      </c>
    </row>
    <row r="3293" spans="4:7" hidden="1">
      <c r="D3293" s="5" t="s">
        <v>5189</v>
      </c>
      <c r="E3293" s="5" t="s">
        <v>309</v>
      </c>
      <c r="G3293" s="5" t="s">
        <v>1917</v>
      </c>
    </row>
    <row r="3294" spans="4:7" hidden="1">
      <c r="D3294" s="5" t="s">
        <v>5190</v>
      </c>
      <c r="E3294" s="5" t="s">
        <v>309</v>
      </c>
      <c r="G3294" s="5" t="s">
        <v>1917</v>
      </c>
    </row>
    <row r="3295" spans="4:7" hidden="1">
      <c r="D3295" s="5" t="s">
        <v>5191</v>
      </c>
      <c r="E3295" s="5" t="s">
        <v>1953</v>
      </c>
      <c r="G3295" s="5" t="s">
        <v>1917</v>
      </c>
    </row>
    <row r="3296" spans="4:7" hidden="1">
      <c r="D3296" s="5" t="s">
        <v>5192</v>
      </c>
      <c r="E3296" s="5" t="s">
        <v>2091</v>
      </c>
      <c r="G3296" s="5" t="s">
        <v>1917</v>
      </c>
    </row>
    <row r="3297" spans="4:7" hidden="1">
      <c r="D3297" s="5" t="s">
        <v>486</v>
      </c>
      <c r="E3297" s="5" t="s">
        <v>5193</v>
      </c>
      <c r="G3297" s="5" t="s">
        <v>1926</v>
      </c>
    </row>
    <row r="3298" spans="4:7" hidden="1">
      <c r="D3298" s="5" t="s">
        <v>5194</v>
      </c>
      <c r="E3298" s="5" t="s">
        <v>309</v>
      </c>
      <c r="G3298" s="5" t="s">
        <v>1917</v>
      </c>
    </row>
    <row r="3299" spans="4:7" hidden="1">
      <c r="D3299" s="5" t="s">
        <v>5195</v>
      </c>
      <c r="E3299" s="5" t="s">
        <v>430</v>
      </c>
      <c r="G3299" s="5" t="s">
        <v>1917</v>
      </c>
    </row>
    <row r="3300" spans="4:7" hidden="1">
      <c r="D3300" s="5" t="s">
        <v>5196</v>
      </c>
      <c r="E3300" s="5" t="s">
        <v>2091</v>
      </c>
      <c r="G3300" s="5" t="s">
        <v>1926</v>
      </c>
    </row>
    <row r="3301" spans="4:7" hidden="1">
      <c r="D3301" s="5" t="s">
        <v>5197</v>
      </c>
      <c r="E3301" s="5" t="s">
        <v>1890</v>
      </c>
      <c r="G3301" s="5" t="s">
        <v>1917</v>
      </c>
    </row>
    <row r="3302" spans="4:7" hidden="1">
      <c r="D3302" s="5" t="s">
        <v>5198</v>
      </c>
      <c r="E3302" s="5" t="s">
        <v>427</v>
      </c>
      <c r="G3302" s="5" t="s">
        <v>1917</v>
      </c>
    </row>
    <row r="3303" spans="4:7" hidden="1">
      <c r="D3303" s="5" t="s">
        <v>5199</v>
      </c>
      <c r="E3303" s="5" t="s">
        <v>3661</v>
      </c>
      <c r="G3303" s="5" t="s">
        <v>4713</v>
      </c>
    </row>
    <row r="3304" spans="4:7" hidden="1">
      <c r="D3304" s="5" t="s">
        <v>447</v>
      </c>
      <c r="E3304" s="5" t="s">
        <v>1901</v>
      </c>
      <c r="G3304" s="5" t="s">
        <v>1926</v>
      </c>
    </row>
    <row r="3305" spans="4:7" hidden="1">
      <c r="D3305" s="5" t="s">
        <v>5200</v>
      </c>
      <c r="E3305" s="5" t="s">
        <v>309</v>
      </c>
      <c r="G3305" s="5" t="s">
        <v>1917</v>
      </c>
    </row>
    <row r="3306" spans="4:7" hidden="1">
      <c r="D3306" s="5" t="s">
        <v>5201</v>
      </c>
      <c r="E3306" s="5" t="s">
        <v>791</v>
      </c>
      <c r="G3306" s="5" t="s">
        <v>1917</v>
      </c>
    </row>
    <row r="3307" spans="4:7" hidden="1">
      <c r="D3307" s="5" t="s">
        <v>1003</v>
      </c>
      <c r="E3307" s="5" t="s">
        <v>2493</v>
      </c>
      <c r="G3307" s="5" t="s">
        <v>2364</v>
      </c>
    </row>
    <row r="3308" spans="4:7" hidden="1">
      <c r="D3308" s="5" t="s">
        <v>5202</v>
      </c>
      <c r="E3308" s="5" t="s">
        <v>812</v>
      </c>
      <c r="G3308" s="5" t="s">
        <v>1917</v>
      </c>
    </row>
    <row r="3309" spans="4:7" hidden="1">
      <c r="D3309" s="5" t="s">
        <v>5203</v>
      </c>
      <c r="E3309" s="5" t="s">
        <v>791</v>
      </c>
      <c r="G3309" s="5" t="s">
        <v>1917</v>
      </c>
    </row>
    <row r="3310" spans="4:7" hidden="1">
      <c r="D3310" s="5" t="s">
        <v>5204</v>
      </c>
      <c r="E3310" s="5" t="s">
        <v>5001</v>
      </c>
      <c r="G3310" s="5" t="s">
        <v>4713</v>
      </c>
    </row>
    <row r="3311" spans="4:7" hidden="1">
      <c r="D3311" s="5" t="s">
        <v>5205</v>
      </c>
      <c r="E3311" s="5" t="s">
        <v>791</v>
      </c>
      <c r="G3311" s="5" t="s">
        <v>1917</v>
      </c>
    </row>
    <row r="3312" spans="4:7" hidden="1">
      <c r="D3312" s="5" t="s">
        <v>5206</v>
      </c>
      <c r="E3312" s="5" t="s">
        <v>791</v>
      </c>
      <c r="G3312" s="5" t="s">
        <v>1917</v>
      </c>
    </row>
    <row r="3313" spans="4:7" hidden="1">
      <c r="D3313" s="5" t="s">
        <v>5207</v>
      </c>
      <c r="E3313" s="5" t="s">
        <v>812</v>
      </c>
      <c r="G3313" s="5" t="s">
        <v>1917</v>
      </c>
    </row>
    <row r="3314" spans="4:7" hidden="1">
      <c r="D3314" s="5" t="s">
        <v>5208</v>
      </c>
      <c r="E3314" s="5" t="s">
        <v>791</v>
      </c>
      <c r="G3314" s="5" t="s">
        <v>1917</v>
      </c>
    </row>
    <row r="3315" spans="4:7" hidden="1">
      <c r="D3315" s="5" t="s">
        <v>5209</v>
      </c>
      <c r="E3315" s="5" t="s">
        <v>309</v>
      </c>
      <c r="G3315" s="5" t="s">
        <v>1917</v>
      </c>
    </row>
    <row r="3316" spans="4:7" hidden="1">
      <c r="D3316" s="5" t="s">
        <v>5210</v>
      </c>
      <c r="E3316" s="5" t="s">
        <v>309</v>
      </c>
      <c r="G3316" s="5" t="s">
        <v>1917</v>
      </c>
    </row>
    <row r="3317" spans="4:7" hidden="1">
      <c r="D3317" s="5" t="s">
        <v>5211</v>
      </c>
      <c r="E3317" s="5" t="s">
        <v>709</v>
      </c>
      <c r="G3317" s="5" t="s">
        <v>1917</v>
      </c>
    </row>
    <row r="3318" spans="4:7" hidden="1">
      <c r="D3318" s="5" t="s">
        <v>5212</v>
      </c>
      <c r="E3318" s="5" t="s">
        <v>791</v>
      </c>
      <c r="G3318" s="5" t="s">
        <v>1917</v>
      </c>
    </row>
    <row r="3319" spans="4:7" hidden="1">
      <c r="D3319" s="5" t="s">
        <v>5213</v>
      </c>
      <c r="E3319" s="5" t="s">
        <v>791</v>
      </c>
      <c r="G3319" s="5" t="s">
        <v>1926</v>
      </c>
    </row>
    <row r="3320" spans="4:7" hidden="1">
      <c r="D3320" s="5" t="s">
        <v>5214</v>
      </c>
      <c r="E3320" s="5" t="s">
        <v>427</v>
      </c>
      <c r="G3320" s="5" t="s">
        <v>1917</v>
      </c>
    </row>
    <row r="3321" spans="4:7" hidden="1">
      <c r="D3321" s="5" t="s">
        <v>5215</v>
      </c>
      <c r="E3321" s="5" t="s">
        <v>812</v>
      </c>
      <c r="G3321" s="5" t="s">
        <v>1917</v>
      </c>
    </row>
    <row r="3322" spans="4:7" hidden="1">
      <c r="D3322" s="5" t="s">
        <v>5216</v>
      </c>
      <c r="E3322" s="5" t="s">
        <v>2091</v>
      </c>
      <c r="G3322" s="5" t="s">
        <v>1917</v>
      </c>
    </row>
    <row r="3323" spans="4:7" hidden="1">
      <c r="D3323" s="5" t="s">
        <v>5217</v>
      </c>
      <c r="E3323" s="5" t="s">
        <v>709</v>
      </c>
      <c r="G3323" s="5" t="s">
        <v>1917</v>
      </c>
    </row>
    <row r="3324" spans="4:7" hidden="1">
      <c r="D3324" s="5" t="s">
        <v>5218</v>
      </c>
      <c r="E3324" s="5" t="s">
        <v>791</v>
      </c>
      <c r="G3324" s="5" t="s">
        <v>1917</v>
      </c>
    </row>
    <row r="3325" spans="4:7" hidden="1">
      <c r="D3325" s="5" t="s">
        <v>5219</v>
      </c>
      <c r="E3325" s="5" t="s">
        <v>309</v>
      </c>
      <c r="G3325" s="5" t="s">
        <v>1914</v>
      </c>
    </row>
    <row r="3326" spans="4:7" hidden="1">
      <c r="D3326" s="5" t="s">
        <v>5220</v>
      </c>
      <c r="E3326" s="5" t="s">
        <v>2091</v>
      </c>
      <c r="G3326" s="5" t="s">
        <v>1917</v>
      </c>
    </row>
    <row r="3327" spans="4:7" hidden="1">
      <c r="D3327" s="5" t="s">
        <v>5221</v>
      </c>
      <c r="E3327" s="5" t="s">
        <v>451</v>
      </c>
      <c r="G3327" s="5" t="s">
        <v>1917</v>
      </c>
    </row>
    <row r="3328" spans="4:7" hidden="1">
      <c r="D3328" s="5" t="s">
        <v>5222</v>
      </c>
      <c r="E3328" s="5" t="s">
        <v>3979</v>
      </c>
      <c r="G3328" s="5" t="s">
        <v>1920</v>
      </c>
    </row>
    <row r="3329" spans="4:7" hidden="1">
      <c r="D3329" s="5" t="s">
        <v>5223</v>
      </c>
      <c r="E3329" s="5" t="s">
        <v>3979</v>
      </c>
      <c r="G3329" s="5" t="s">
        <v>1920</v>
      </c>
    </row>
    <row r="3330" spans="4:7" hidden="1">
      <c r="D3330" s="5" t="s">
        <v>5224</v>
      </c>
      <c r="E3330" s="5" t="s">
        <v>791</v>
      </c>
      <c r="G3330" s="5" t="s">
        <v>1917</v>
      </c>
    </row>
    <row r="3331" spans="4:7" hidden="1">
      <c r="D3331" s="5" t="s">
        <v>5225</v>
      </c>
      <c r="E3331" s="5" t="s">
        <v>427</v>
      </c>
      <c r="G3331" s="5" t="s">
        <v>1917</v>
      </c>
    </row>
    <row r="3332" spans="4:7" hidden="1">
      <c r="D3332" s="5" t="s">
        <v>5226</v>
      </c>
      <c r="E3332" s="5" t="s">
        <v>720</v>
      </c>
      <c r="G3332" s="5" t="s">
        <v>1917</v>
      </c>
    </row>
    <row r="3333" spans="4:7" hidden="1">
      <c r="D3333" s="5" t="s">
        <v>5227</v>
      </c>
      <c r="E3333" s="5" t="s">
        <v>1894</v>
      </c>
      <c r="G3333" s="5" t="s">
        <v>1926</v>
      </c>
    </row>
    <row r="3334" spans="4:7" hidden="1">
      <c r="D3334" s="5" t="s">
        <v>5228</v>
      </c>
      <c r="E3334" s="5" t="s">
        <v>2091</v>
      </c>
      <c r="G3334" s="5" t="s">
        <v>1917</v>
      </c>
    </row>
    <row r="3335" spans="4:7" hidden="1">
      <c r="D3335" s="5" t="s">
        <v>5229</v>
      </c>
      <c r="E3335" s="5" t="s">
        <v>709</v>
      </c>
      <c r="G3335" s="5" t="s">
        <v>1917</v>
      </c>
    </row>
    <row r="3336" spans="4:7" hidden="1">
      <c r="D3336" s="5" t="s">
        <v>5230</v>
      </c>
      <c r="E3336" s="5" t="s">
        <v>309</v>
      </c>
      <c r="G3336" s="5" t="s">
        <v>1917</v>
      </c>
    </row>
    <row r="3337" spans="4:7" hidden="1">
      <c r="D3337" s="5" t="s">
        <v>5231</v>
      </c>
      <c r="E3337" s="5" t="s">
        <v>791</v>
      </c>
      <c r="G3337" s="5" t="s">
        <v>1917</v>
      </c>
    </row>
    <row r="3338" spans="4:7" hidden="1">
      <c r="D3338" s="5" t="s">
        <v>5232</v>
      </c>
      <c r="E3338" s="5" t="s">
        <v>2091</v>
      </c>
      <c r="G3338" s="5" t="s">
        <v>1917</v>
      </c>
    </row>
    <row r="3339" spans="4:7" hidden="1">
      <c r="D3339" s="5" t="s">
        <v>5233</v>
      </c>
      <c r="E3339" s="5" t="s">
        <v>168</v>
      </c>
      <c r="G3339" s="5" t="s">
        <v>1917</v>
      </c>
    </row>
    <row r="3340" spans="4:7" hidden="1">
      <c r="D3340" s="5" t="s">
        <v>5234</v>
      </c>
      <c r="E3340" s="5" t="s">
        <v>791</v>
      </c>
      <c r="G3340" s="5" t="s">
        <v>1917</v>
      </c>
    </row>
    <row r="3341" spans="4:7" hidden="1">
      <c r="D3341" s="5" t="s">
        <v>5235</v>
      </c>
      <c r="E3341" s="5" t="s">
        <v>52</v>
      </c>
      <c r="G3341" s="5" t="s">
        <v>1917</v>
      </c>
    </row>
    <row r="3342" spans="4:7" hidden="1">
      <c r="D3342" s="5" t="s">
        <v>5236</v>
      </c>
      <c r="E3342" s="5" t="s">
        <v>791</v>
      </c>
      <c r="G3342" s="5" t="s">
        <v>1917</v>
      </c>
    </row>
    <row r="3343" spans="4:7" hidden="1">
      <c r="D3343" s="5" t="s">
        <v>5237</v>
      </c>
      <c r="E3343" s="5" t="s">
        <v>52</v>
      </c>
      <c r="G3343" s="5" t="s">
        <v>1917</v>
      </c>
    </row>
    <row r="3344" spans="4:7" hidden="1">
      <c r="D3344" s="5" t="s">
        <v>5238</v>
      </c>
      <c r="E3344" s="5" t="s">
        <v>2091</v>
      </c>
      <c r="G3344" s="5" t="s">
        <v>1917</v>
      </c>
    </row>
    <row r="3345" spans="4:7" hidden="1">
      <c r="D3345" s="5" t="s">
        <v>5239</v>
      </c>
      <c r="E3345" s="5" t="s">
        <v>427</v>
      </c>
      <c r="G3345" s="5" t="s">
        <v>1917</v>
      </c>
    </row>
    <row r="3346" spans="4:7" hidden="1">
      <c r="D3346" s="5" t="s">
        <v>5240</v>
      </c>
      <c r="E3346" s="5" t="s">
        <v>791</v>
      </c>
      <c r="G3346" s="5" t="s">
        <v>1917</v>
      </c>
    </row>
    <row r="3347" spans="4:7" hidden="1">
      <c r="D3347" s="5" t="s">
        <v>5241</v>
      </c>
      <c r="E3347" s="5" t="s">
        <v>309</v>
      </c>
      <c r="G3347" s="5" t="s">
        <v>1917</v>
      </c>
    </row>
    <row r="3348" spans="4:7" hidden="1">
      <c r="D3348" s="5" t="s">
        <v>5242</v>
      </c>
      <c r="E3348" s="5" t="s">
        <v>171</v>
      </c>
      <c r="G3348" s="5" t="s">
        <v>1917</v>
      </c>
    </row>
    <row r="3349" spans="4:7" hidden="1">
      <c r="D3349" s="5" t="s">
        <v>5243</v>
      </c>
      <c r="E3349" s="5" t="s">
        <v>2091</v>
      </c>
      <c r="G3349" s="5" t="s">
        <v>1917</v>
      </c>
    </row>
    <row r="3350" spans="4:7" hidden="1">
      <c r="D3350" s="5" t="s">
        <v>5244</v>
      </c>
      <c r="E3350" s="5" t="s">
        <v>2056</v>
      </c>
      <c r="G3350" s="5" t="s">
        <v>1917</v>
      </c>
    </row>
    <row r="3351" spans="4:7" hidden="1">
      <c r="D3351" s="5" t="s">
        <v>5245</v>
      </c>
      <c r="E3351" s="5" t="s">
        <v>791</v>
      </c>
      <c r="G3351" s="5" t="s">
        <v>1917</v>
      </c>
    </row>
    <row r="3352" spans="4:7" hidden="1">
      <c r="D3352" s="5" t="s">
        <v>5246</v>
      </c>
      <c r="E3352" s="5" t="s">
        <v>3656</v>
      </c>
      <c r="G3352" s="5" t="s">
        <v>1917</v>
      </c>
    </row>
    <row r="3353" spans="4:7" hidden="1">
      <c r="D3353" s="5" t="s">
        <v>5247</v>
      </c>
      <c r="E3353" s="5" t="s">
        <v>1894</v>
      </c>
      <c r="G3353" s="5" t="s">
        <v>1917</v>
      </c>
    </row>
    <row r="3354" spans="4:7" hidden="1">
      <c r="D3354" s="5" t="s">
        <v>5248</v>
      </c>
      <c r="E3354" s="5" t="s">
        <v>451</v>
      </c>
      <c r="G3354" s="5" t="s">
        <v>1917</v>
      </c>
    </row>
    <row r="3355" spans="4:7" hidden="1">
      <c r="D3355" s="5" t="s">
        <v>5249</v>
      </c>
      <c r="E3355" s="5" t="s">
        <v>812</v>
      </c>
      <c r="G3355" s="5" t="s">
        <v>1917</v>
      </c>
    </row>
    <row r="3356" spans="4:7" hidden="1">
      <c r="D3356" s="5" t="s">
        <v>705</v>
      </c>
      <c r="E3356" s="5" t="s">
        <v>5193</v>
      </c>
      <c r="G3356" s="5" t="s">
        <v>1926</v>
      </c>
    </row>
    <row r="3357" spans="4:7" hidden="1">
      <c r="D3357" s="5" t="s">
        <v>5250</v>
      </c>
      <c r="E3357" s="5" t="s">
        <v>1894</v>
      </c>
      <c r="G3357" s="5" t="s">
        <v>1926</v>
      </c>
    </row>
    <row r="3358" spans="4:7" hidden="1">
      <c r="D3358" s="5" t="s">
        <v>5251</v>
      </c>
      <c r="E3358" s="5" t="s">
        <v>1901</v>
      </c>
      <c r="G3358" s="5" t="s">
        <v>1917</v>
      </c>
    </row>
    <row r="3359" spans="4:7" hidden="1">
      <c r="D3359" s="5" t="s">
        <v>5252</v>
      </c>
      <c r="E3359" s="5" t="s">
        <v>3656</v>
      </c>
      <c r="G3359" s="5" t="s">
        <v>1917</v>
      </c>
    </row>
    <row r="3360" spans="4:7" hidden="1">
      <c r="D3360" s="5" t="s">
        <v>5253</v>
      </c>
      <c r="E3360" s="5" t="s">
        <v>309</v>
      </c>
      <c r="G3360" s="5" t="s">
        <v>1917</v>
      </c>
    </row>
    <row r="3361" spans="4:7" hidden="1">
      <c r="D3361" s="5" t="s">
        <v>5254</v>
      </c>
      <c r="E3361" s="5" t="s">
        <v>3979</v>
      </c>
      <c r="G3361" s="5" t="s">
        <v>1917</v>
      </c>
    </row>
    <row r="3362" spans="4:7" hidden="1">
      <c r="D3362" s="5" t="s">
        <v>5255</v>
      </c>
      <c r="E3362" s="5" t="s">
        <v>3979</v>
      </c>
      <c r="G3362" s="5" t="s">
        <v>1920</v>
      </c>
    </row>
    <row r="3363" spans="4:7" hidden="1">
      <c r="D3363" s="5" t="s">
        <v>5256</v>
      </c>
      <c r="E3363" s="5" t="s">
        <v>427</v>
      </c>
      <c r="G3363" s="5" t="s">
        <v>1917</v>
      </c>
    </row>
    <row r="3364" spans="4:7" hidden="1">
      <c r="D3364" s="5" t="s">
        <v>5257</v>
      </c>
      <c r="E3364" s="5" t="s">
        <v>430</v>
      </c>
      <c r="G3364" s="5" t="s">
        <v>1917</v>
      </c>
    </row>
    <row r="3365" spans="4:7" hidden="1">
      <c r="D3365" s="5" t="s">
        <v>5258</v>
      </c>
      <c r="E3365" s="5" t="s">
        <v>1901</v>
      </c>
      <c r="G3365" s="5" t="s">
        <v>1917</v>
      </c>
    </row>
    <row r="3366" spans="4:7" hidden="1">
      <c r="D3366" s="5" t="s">
        <v>5259</v>
      </c>
      <c r="E3366" s="5" t="s">
        <v>3656</v>
      </c>
      <c r="G3366" s="5" t="s">
        <v>1917</v>
      </c>
    </row>
    <row r="3367" spans="4:7" hidden="1">
      <c r="D3367" s="5" t="s">
        <v>5260</v>
      </c>
      <c r="E3367" s="5" t="s">
        <v>812</v>
      </c>
      <c r="G3367" s="5" t="s">
        <v>1917</v>
      </c>
    </row>
    <row r="3368" spans="4:7" hidden="1">
      <c r="D3368" s="5" t="s">
        <v>5261</v>
      </c>
      <c r="E3368" s="5" t="s">
        <v>3656</v>
      </c>
      <c r="G3368" s="5" t="s">
        <v>1917</v>
      </c>
    </row>
    <row r="3369" spans="4:7" hidden="1">
      <c r="D3369" s="5" t="s">
        <v>5262</v>
      </c>
      <c r="E3369" s="5" t="s">
        <v>2005</v>
      </c>
      <c r="G3369" s="5" t="s">
        <v>1917</v>
      </c>
    </row>
    <row r="3370" spans="4:7" hidden="1">
      <c r="D3370" s="5" t="s">
        <v>5263</v>
      </c>
      <c r="E3370" s="5" t="s">
        <v>3656</v>
      </c>
      <c r="G3370" s="5" t="s">
        <v>1917</v>
      </c>
    </row>
    <row r="3371" spans="4:7" hidden="1">
      <c r="D3371" s="5" t="s">
        <v>5264</v>
      </c>
      <c r="E3371" s="5" t="s">
        <v>427</v>
      </c>
      <c r="G3371" s="5" t="s">
        <v>1926</v>
      </c>
    </row>
    <row r="3372" spans="4:7" hidden="1">
      <c r="D3372" s="5" t="s">
        <v>5265</v>
      </c>
      <c r="E3372" s="5" t="s">
        <v>1890</v>
      </c>
      <c r="G3372" s="5" t="s">
        <v>1926</v>
      </c>
    </row>
    <row r="3373" spans="4:7" hidden="1">
      <c r="D3373" s="5" t="s">
        <v>5266</v>
      </c>
      <c r="E3373" s="5" t="s">
        <v>1890</v>
      </c>
      <c r="G3373" s="5" t="s">
        <v>1917</v>
      </c>
    </row>
    <row r="3374" spans="4:7" hidden="1">
      <c r="D3374" s="5" t="s">
        <v>5267</v>
      </c>
      <c r="E3374" s="5" t="s">
        <v>1890</v>
      </c>
      <c r="G3374" s="5" t="s">
        <v>1917</v>
      </c>
    </row>
    <row r="3375" spans="4:7" hidden="1">
      <c r="D3375" s="5" t="s">
        <v>5268</v>
      </c>
      <c r="E3375" s="5" t="s">
        <v>1953</v>
      </c>
      <c r="G3375" s="5" t="s">
        <v>1917</v>
      </c>
    </row>
    <row r="3376" spans="4:7" hidden="1">
      <c r="D3376" s="5" t="s">
        <v>5269</v>
      </c>
      <c r="E3376" s="5" t="s">
        <v>791</v>
      </c>
      <c r="G3376" s="5" t="s">
        <v>1917</v>
      </c>
    </row>
    <row r="3377" spans="4:7" hidden="1">
      <c r="D3377" s="5" t="s">
        <v>5270</v>
      </c>
      <c r="E3377" s="5" t="s">
        <v>427</v>
      </c>
      <c r="G3377" s="5" t="s">
        <v>1926</v>
      </c>
    </row>
    <row r="3378" spans="4:7" hidden="1">
      <c r="D3378" s="5" t="s">
        <v>5271</v>
      </c>
      <c r="E3378" s="5" t="s">
        <v>1894</v>
      </c>
      <c r="G3378" s="5" t="s">
        <v>1917</v>
      </c>
    </row>
    <row r="3379" spans="4:7" hidden="1">
      <c r="D3379" s="5" t="s">
        <v>5272</v>
      </c>
      <c r="E3379" s="5" t="s">
        <v>2091</v>
      </c>
      <c r="G3379" s="5" t="s">
        <v>1917</v>
      </c>
    </row>
    <row r="3380" spans="4:7" hidden="1">
      <c r="D3380" s="5" t="s">
        <v>5273</v>
      </c>
      <c r="E3380" s="5" t="s">
        <v>427</v>
      </c>
      <c r="G3380" s="5" t="s">
        <v>1926</v>
      </c>
    </row>
    <row r="3381" spans="4:7" hidden="1">
      <c r="D3381" s="5" t="s">
        <v>5274</v>
      </c>
      <c r="E3381" s="5" t="s">
        <v>2091</v>
      </c>
      <c r="G3381" s="5" t="s">
        <v>1917</v>
      </c>
    </row>
    <row r="3382" spans="4:7" hidden="1">
      <c r="D3382" s="5" t="s">
        <v>5275</v>
      </c>
      <c r="E3382" s="5" t="s">
        <v>3656</v>
      </c>
      <c r="G3382" s="5" t="s">
        <v>1917</v>
      </c>
    </row>
    <row r="3383" spans="4:7" hidden="1">
      <c r="D3383" s="5" t="s">
        <v>5276</v>
      </c>
      <c r="E3383" s="5" t="s">
        <v>171</v>
      </c>
      <c r="G3383" s="5" t="s">
        <v>1917</v>
      </c>
    </row>
    <row r="3384" spans="4:7" hidden="1">
      <c r="D3384" s="5" t="s">
        <v>5277</v>
      </c>
      <c r="E3384" s="5" t="s">
        <v>427</v>
      </c>
      <c r="G3384" s="5" t="s">
        <v>1917</v>
      </c>
    </row>
    <row r="3385" spans="4:7" hidden="1">
      <c r="D3385" s="5" t="s">
        <v>5278</v>
      </c>
      <c r="E3385" s="5" t="s">
        <v>2005</v>
      </c>
      <c r="G3385" s="5" t="s">
        <v>1917</v>
      </c>
    </row>
    <row r="3386" spans="4:7" hidden="1">
      <c r="D3386" s="5" t="s">
        <v>5279</v>
      </c>
      <c r="E3386" s="5" t="s">
        <v>3656</v>
      </c>
      <c r="G3386" s="5" t="s">
        <v>1917</v>
      </c>
    </row>
    <row r="3387" spans="4:7" hidden="1">
      <c r="D3387" s="5" t="s">
        <v>5280</v>
      </c>
      <c r="E3387" s="5" t="s">
        <v>427</v>
      </c>
      <c r="G3387" s="5" t="s">
        <v>1917</v>
      </c>
    </row>
    <row r="3388" spans="4:7" hidden="1">
      <c r="D3388" s="5" t="s">
        <v>5281</v>
      </c>
      <c r="E3388" s="5" t="s">
        <v>427</v>
      </c>
      <c r="G3388" s="5" t="s">
        <v>1917</v>
      </c>
    </row>
    <row r="3389" spans="4:7" hidden="1">
      <c r="D3389" s="5" t="s">
        <v>5282</v>
      </c>
      <c r="E3389" s="5" t="s">
        <v>3656</v>
      </c>
      <c r="G3389" s="5" t="s">
        <v>1917</v>
      </c>
    </row>
    <row r="3390" spans="4:7" hidden="1">
      <c r="D3390" s="5" t="s">
        <v>5283</v>
      </c>
      <c r="E3390" s="5" t="s">
        <v>3656</v>
      </c>
      <c r="G3390" s="5" t="s">
        <v>1917</v>
      </c>
    </row>
    <row r="3391" spans="4:7" hidden="1">
      <c r="D3391" s="5" t="s">
        <v>5284</v>
      </c>
      <c r="E3391" s="5" t="s">
        <v>3656</v>
      </c>
      <c r="G3391" s="5" t="s">
        <v>1917</v>
      </c>
    </row>
    <row r="3392" spans="4:7" hidden="1">
      <c r="D3392" s="5" t="s">
        <v>5285</v>
      </c>
      <c r="E3392" s="5" t="s">
        <v>812</v>
      </c>
      <c r="G3392" s="5" t="s">
        <v>1917</v>
      </c>
    </row>
    <row r="3393" spans="4:7" hidden="1">
      <c r="D3393" s="5" t="s">
        <v>5286</v>
      </c>
      <c r="E3393" s="5" t="s">
        <v>791</v>
      </c>
      <c r="G3393" s="5" t="s">
        <v>1917</v>
      </c>
    </row>
    <row r="3394" spans="4:7" hidden="1">
      <c r="D3394" s="5" t="s">
        <v>5287</v>
      </c>
      <c r="E3394" s="5" t="s">
        <v>451</v>
      </c>
      <c r="G3394" s="5" t="s">
        <v>1926</v>
      </c>
    </row>
    <row r="3395" spans="4:7" hidden="1">
      <c r="D3395" s="5" t="s">
        <v>5288</v>
      </c>
      <c r="E3395" s="5" t="s">
        <v>3656</v>
      </c>
      <c r="G3395" s="5" t="s">
        <v>1917</v>
      </c>
    </row>
    <row r="3396" spans="4:7" hidden="1">
      <c r="D3396" s="5" t="s">
        <v>5289</v>
      </c>
      <c r="E3396" s="5" t="s">
        <v>791</v>
      </c>
      <c r="G3396" s="5" t="s">
        <v>1917</v>
      </c>
    </row>
    <row r="3397" spans="4:7" hidden="1">
      <c r="D3397" s="5" t="s">
        <v>5290</v>
      </c>
      <c r="E3397" s="5" t="s">
        <v>1916</v>
      </c>
      <c r="G3397" s="5" t="s">
        <v>1917</v>
      </c>
    </row>
    <row r="3398" spans="4:7" hidden="1">
      <c r="D3398" s="5" t="s">
        <v>5291</v>
      </c>
      <c r="E3398" s="5" t="s">
        <v>427</v>
      </c>
      <c r="G3398" s="5" t="s">
        <v>1917</v>
      </c>
    </row>
    <row r="3399" spans="4:7" hidden="1">
      <c r="D3399" s="5" t="s">
        <v>5292</v>
      </c>
      <c r="E3399" s="5" t="s">
        <v>451</v>
      </c>
      <c r="G3399" s="5" t="s">
        <v>1917</v>
      </c>
    </row>
    <row r="3400" spans="4:7" hidden="1">
      <c r="D3400" s="5" t="s">
        <v>5293</v>
      </c>
      <c r="E3400" s="5" t="s">
        <v>5294</v>
      </c>
      <c r="G3400" s="5" t="s">
        <v>2364</v>
      </c>
    </row>
    <row r="3401" spans="4:7" hidden="1">
      <c r="D3401" s="5" t="s">
        <v>5295</v>
      </c>
      <c r="E3401" s="5" t="s">
        <v>1890</v>
      </c>
      <c r="G3401" s="5" t="s">
        <v>1917</v>
      </c>
    </row>
    <row r="3402" spans="4:7" hidden="1">
      <c r="D3402" s="5" t="s">
        <v>5296</v>
      </c>
      <c r="E3402" s="5" t="s">
        <v>309</v>
      </c>
      <c r="G3402" s="5" t="s">
        <v>1917</v>
      </c>
    </row>
    <row r="3403" spans="4:7" hidden="1">
      <c r="D3403" s="5" t="s">
        <v>5297</v>
      </c>
      <c r="E3403" s="5" t="s">
        <v>451</v>
      </c>
      <c r="G3403" s="5" t="s">
        <v>1917</v>
      </c>
    </row>
    <row r="3404" spans="4:7" hidden="1">
      <c r="D3404" s="5" t="s">
        <v>5298</v>
      </c>
      <c r="E3404" s="5" t="s">
        <v>2091</v>
      </c>
      <c r="G3404" s="5" t="s">
        <v>1917</v>
      </c>
    </row>
    <row r="3405" spans="4:7" hidden="1">
      <c r="D3405" s="5" t="s">
        <v>5299</v>
      </c>
      <c r="E3405" s="5" t="s">
        <v>451</v>
      </c>
      <c r="G3405" s="5" t="s">
        <v>1917</v>
      </c>
    </row>
    <row r="3406" spans="4:7" hidden="1">
      <c r="D3406" s="5" t="s">
        <v>5300</v>
      </c>
      <c r="E3406" s="5" t="s">
        <v>309</v>
      </c>
      <c r="G3406" s="5" t="s">
        <v>1917</v>
      </c>
    </row>
    <row r="3407" spans="4:7" hidden="1">
      <c r="D3407" s="5" t="s">
        <v>5301</v>
      </c>
      <c r="E3407" s="5" t="s">
        <v>309</v>
      </c>
      <c r="G3407" s="5" t="s">
        <v>1917</v>
      </c>
    </row>
    <row r="3408" spans="4:7" hidden="1">
      <c r="D3408" s="5" t="s">
        <v>5302</v>
      </c>
      <c r="E3408" s="5" t="s">
        <v>2070</v>
      </c>
      <c r="G3408" s="5" t="s">
        <v>5303</v>
      </c>
    </row>
    <row r="3409" spans="4:7" hidden="1">
      <c r="D3409" s="5" t="s">
        <v>5304</v>
      </c>
      <c r="E3409" s="5" t="s">
        <v>2091</v>
      </c>
      <c r="G3409" s="5" t="s">
        <v>1917</v>
      </c>
    </row>
    <row r="3410" spans="4:7" hidden="1">
      <c r="D3410" s="5" t="s">
        <v>5305</v>
      </c>
      <c r="E3410" s="5" t="s">
        <v>427</v>
      </c>
      <c r="G3410" s="5" t="s">
        <v>1917</v>
      </c>
    </row>
    <row r="3411" spans="4:7" hidden="1">
      <c r="D3411" s="5" t="s">
        <v>5306</v>
      </c>
      <c r="E3411" s="5" t="s">
        <v>309</v>
      </c>
      <c r="G3411" s="5" t="s">
        <v>1917</v>
      </c>
    </row>
    <row r="3412" spans="4:7" hidden="1">
      <c r="D3412" s="5" t="s">
        <v>5307</v>
      </c>
      <c r="E3412" s="5" t="s">
        <v>168</v>
      </c>
      <c r="G3412" s="5" t="s">
        <v>1917</v>
      </c>
    </row>
    <row r="3413" spans="4:7" hidden="1">
      <c r="D3413" s="5" t="s">
        <v>5308</v>
      </c>
      <c r="E3413" s="5" t="s">
        <v>2091</v>
      </c>
      <c r="G3413" s="5" t="s">
        <v>1917</v>
      </c>
    </row>
    <row r="3414" spans="4:7" hidden="1">
      <c r="D3414" s="5" t="s">
        <v>5309</v>
      </c>
      <c r="E3414" s="5" t="s">
        <v>2824</v>
      </c>
      <c r="F3414" s="5" t="s">
        <v>4983</v>
      </c>
      <c r="G3414" s="5" t="s">
        <v>1926</v>
      </c>
    </row>
    <row r="3415" spans="4:7" hidden="1">
      <c r="D3415" s="5" t="s">
        <v>5310</v>
      </c>
      <c r="E3415" s="5" t="s">
        <v>168</v>
      </c>
      <c r="G3415" s="5" t="s">
        <v>1917</v>
      </c>
    </row>
    <row r="3416" spans="4:7" hidden="1">
      <c r="D3416" s="5" t="s">
        <v>5311</v>
      </c>
      <c r="E3416" s="5" t="s">
        <v>2091</v>
      </c>
      <c r="G3416" s="5" t="s">
        <v>1917</v>
      </c>
    </row>
    <row r="3417" spans="4:7" hidden="1">
      <c r="D3417" s="5" t="s">
        <v>5312</v>
      </c>
      <c r="E3417" s="5" t="s">
        <v>1901</v>
      </c>
      <c r="G3417" s="5" t="s">
        <v>1917</v>
      </c>
    </row>
    <row r="3418" spans="4:7" hidden="1">
      <c r="D3418" s="5" t="s">
        <v>5313</v>
      </c>
      <c r="E3418" s="5" t="s">
        <v>1890</v>
      </c>
      <c r="G3418" s="5" t="s">
        <v>1917</v>
      </c>
    </row>
    <row r="3419" spans="4:7" hidden="1">
      <c r="D3419" s="5" t="s">
        <v>5314</v>
      </c>
      <c r="E3419" s="5" t="s">
        <v>1945</v>
      </c>
      <c r="G3419" s="5" t="s">
        <v>1917</v>
      </c>
    </row>
    <row r="3420" spans="4:7" hidden="1">
      <c r="D3420" s="5" t="s">
        <v>5315</v>
      </c>
      <c r="E3420" s="5" t="s">
        <v>430</v>
      </c>
      <c r="G3420" s="5" t="s">
        <v>1917</v>
      </c>
    </row>
    <row r="3421" spans="4:7" hidden="1">
      <c r="D3421" s="5" t="s">
        <v>5316</v>
      </c>
      <c r="E3421" s="5" t="s">
        <v>1890</v>
      </c>
      <c r="G3421" s="5" t="s">
        <v>1917</v>
      </c>
    </row>
    <row r="3422" spans="4:7" hidden="1">
      <c r="D3422" s="5" t="s">
        <v>5317</v>
      </c>
      <c r="E3422" s="5" t="s">
        <v>1890</v>
      </c>
      <c r="G3422" s="5" t="s">
        <v>1917</v>
      </c>
    </row>
    <row r="3423" spans="4:7" hidden="1">
      <c r="D3423" s="5" t="s">
        <v>5318</v>
      </c>
      <c r="E3423" s="5" t="s">
        <v>430</v>
      </c>
      <c r="G3423" s="5" t="s">
        <v>1917</v>
      </c>
    </row>
    <row r="3424" spans="4:7" hidden="1">
      <c r="D3424" s="5" t="s">
        <v>5319</v>
      </c>
      <c r="E3424" s="5" t="s">
        <v>309</v>
      </c>
      <c r="G3424" s="5" t="s">
        <v>1917</v>
      </c>
    </row>
    <row r="3425" spans="4:7" hidden="1">
      <c r="D3425" s="5" t="s">
        <v>5320</v>
      </c>
      <c r="E3425" s="5" t="s">
        <v>430</v>
      </c>
      <c r="G3425" s="5" t="s">
        <v>1926</v>
      </c>
    </row>
    <row r="3426" spans="4:7" hidden="1">
      <c r="D3426" s="5" t="s">
        <v>1248</v>
      </c>
      <c r="E3426" s="5" t="s">
        <v>430</v>
      </c>
      <c r="G3426" s="5" t="s">
        <v>1917</v>
      </c>
    </row>
    <row r="3427" spans="4:7" hidden="1">
      <c r="D3427" s="5" t="s">
        <v>5321</v>
      </c>
      <c r="E3427" s="5" t="s">
        <v>309</v>
      </c>
      <c r="G3427" s="5" t="s">
        <v>1917</v>
      </c>
    </row>
    <row r="3428" spans="4:7" hidden="1">
      <c r="D3428" s="5" t="s">
        <v>5322</v>
      </c>
      <c r="E3428" s="5" t="s">
        <v>427</v>
      </c>
      <c r="G3428" s="5" t="s">
        <v>1917</v>
      </c>
    </row>
    <row r="3429" spans="4:7" hidden="1">
      <c r="D3429" s="5" t="s">
        <v>5323</v>
      </c>
      <c r="E3429" s="5" t="s">
        <v>1890</v>
      </c>
      <c r="G3429" s="5" t="s">
        <v>1917</v>
      </c>
    </row>
    <row r="3430" spans="4:7" hidden="1">
      <c r="D3430" s="5" t="s">
        <v>5324</v>
      </c>
      <c r="E3430" s="5" t="s">
        <v>168</v>
      </c>
      <c r="G3430" s="5" t="s">
        <v>1917</v>
      </c>
    </row>
    <row r="3431" spans="4:7" hidden="1">
      <c r="D3431" s="5" t="s">
        <v>5325</v>
      </c>
      <c r="E3431" s="5" t="s">
        <v>1890</v>
      </c>
      <c r="G3431" s="5" t="s">
        <v>1917</v>
      </c>
    </row>
    <row r="3432" spans="4:7" hidden="1">
      <c r="D3432" s="5" t="s">
        <v>5326</v>
      </c>
      <c r="E3432" s="5" t="s">
        <v>427</v>
      </c>
      <c r="G3432" s="5" t="s">
        <v>1917</v>
      </c>
    </row>
    <row r="3433" spans="4:7" hidden="1">
      <c r="D3433" s="5" t="s">
        <v>5327</v>
      </c>
      <c r="E3433" s="5" t="s">
        <v>52</v>
      </c>
      <c r="G3433" s="5" t="s">
        <v>1917</v>
      </c>
    </row>
    <row r="3434" spans="4:7" hidden="1">
      <c r="D3434" s="5" t="s">
        <v>5328</v>
      </c>
      <c r="E3434" s="5" t="s">
        <v>3838</v>
      </c>
      <c r="G3434" s="5" t="s">
        <v>1917</v>
      </c>
    </row>
    <row r="3435" spans="4:7" hidden="1">
      <c r="D3435" s="5" t="s">
        <v>5329</v>
      </c>
      <c r="E3435" s="5" t="s">
        <v>52</v>
      </c>
      <c r="G3435" s="5" t="s">
        <v>1917</v>
      </c>
    </row>
    <row r="3436" spans="4:7" hidden="1">
      <c r="D3436" s="5" t="s">
        <v>5330</v>
      </c>
      <c r="E3436" s="5" t="s">
        <v>1945</v>
      </c>
      <c r="G3436" s="5" t="s">
        <v>1917</v>
      </c>
    </row>
    <row r="3437" spans="4:7" hidden="1">
      <c r="D3437" s="5" t="s">
        <v>5331</v>
      </c>
      <c r="E3437" s="5" t="s">
        <v>52</v>
      </c>
      <c r="G3437" s="5" t="s">
        <v>1917</v>
      </c>
    </row>
    <row r="3438" spans="4:7" hidden="1">
      <c r="D3438" s="5" t="s">
        <v>5332</v>
      </c>
      <c r="E3438" s="5" t="s">
        <v>709</v>
      </c>
      <c r="G3438" s="5" t="s">
        <v>1917</v>
      </c>
    </row>
    <row r="3439" spans="4:7" hidden="1">
      <c r="D3439" s="5" t="s">
        <v>5333</v>
      </c>
      <c r="E3439" s="5" t="s">
        <v>451</v>
      </c>
      <c r="G3439" s="5" t="s">
        <v>1917</v>
      </c>
    </row>
    <row r="3440" spans="4:7" hidden="1">
      <c r="D3440" s="5" t="s">
        <v>5334</v>
      </c>
      <c r="E3440" s="5" t="s">
        <v>1890</v>
      </c>
      <c r="G3440" s="5" t="s">
        <v>1917</v>
      </c>
    </row>
    <row r="3441" spans="4:7" hidden="1">
      <c r="D3441" s="5" t="s">
        <v>5335</v>
      </c>
      <c r="E3441" s="5" t="s">
        <v>1901</v>
      </c>
      <c r="G3441" s="5" t="s">
        <v>1917</v>
      </c>
    </row>
    <row r="3442" spans="4:7" hidden="1">
      <c r="D3442" s="5" t="s">
        <v>5336</v>
      </c>
      <c r="E3442" s="5" t="s">
        <v>52</v>
      </c>
      <c r="G3442" s="5" t="s">
        <v>1917</v>
      </c>
    </row>
    <row r="3443" spans="4:7" hidden="1">
      <c r="D3443" s="5" t="s">
        <v>5337</v>
      </c>
      <c r="E3443" s="5" t="s">
        <v>709</v>
      </c>
      <c r="G3443" s="5" t="s">
        <v>1917</v>
      </c>
    </row>
    <row r="3444" spans="4:7" hidden="1">
      <c r="D3444" s="5" t="s">
        <v>5338</v>
      </c>
      <c r="E3444" s="5" t="s">
        <v>451</v>
      </c>
      <c r="G3444" s="5" t="s">
        <v>1917</v>
      </c>
    </row>
    <row r="3445" spans="4:7" hidden="1">
      <c r="D3445" s="5" t="s">
        <v>5339</v>
      </c>
      <c r="E3445" s="5" t="s">
        <v>2056</v>
      </c>
      <c r="G3445" s="5" t="s">
        <v>1917</v>
      </c>
    </row>
    <row r="3446" spans="4:7" hidden="1">
      <c r="D3446" s="5" t="s">
        <v>5340</v>
      </c>
      <c r="E3446" s="5" t="s">
        <v>52</v>
      </c>
      <c r="G3446" s="5" t="s">
        <v>1917</v>
      </c>
    </row>
    <row r="3447" spans="4:7" hidden="1">
      <c r="D3447" s="5" t="s">
        <v>5341</v>
      </c>
      <c r="E3447" s="5" t="s">
        <v>709</v>
      </c>
      <c r="G3447" s="5" t="s">
        <v>1926</v>
      </c>
    </row>
    <row r="3448" spans="4:7" hidden="1">
      <c r="D3448" s="5" t="s">
        <v>5342</v>
      </c>
      <c r="E3448" s="5" t="s">
        <v>451</v>
      </c>
      <c r="G3448" s="5" t="s">
        <v>1926</v>
      </c>
    </row>
    <row r="3449" spans="4:7" hidden="1">
      <c r="D3449" s="5" t="s">
        <v>5343</v>
      </c>
      <c r="E3449" s="5" t="s">
        <v>427</v>
      </c>
      <c r="G3449" s="5" t="s">
        <v>1917</v>
      </c>
    </row>
    <row r="3450" spans="4:7" hidden="1">
      <c r="D3450" s="5" t="s">
        <v>5344</v>
      </c>
      <c r="E3450" s="5" t="s">
        <v>427</v>
      </c>
      <c r="G3450" s="5" t="s">
        <v>1917</v>
      </c>
    </row>
    <row r="3451" spans="4:7" hidden="1">
      <c r="D3451" s="5" t="s">
        <v>5345</v>
      </c>
      <c r="E3451" s="5" t="s">
        <v>52</v>
      </c>
      <c r="G3451" s="5" t="s">
        <v>1917</v>
      </c>
    </row>
    <row r="3452" spans="4:7" hidden="1">
      <c r="D3452" s="5" t="s">
        <v>5346</v>
      </c>
      <c r="E3452" s="5" t="s">
        <v>709</v>
      </c>
      <c r="G3452" s="5" t="s">
        <v>1917</v>
      </c>
    </row>
    <row r="3453" spans="4:7" hidden="1">
      <c r="D3453" s="5" t="s">
        <v>5347</v>
      </c>
      <c r="E3453" s="5" t="s">
        <v>427</v>
      </c>
      <c r="G3453" s="5" t="s">
        <v>1917</v>
      </c>
    </row>
    <row r="3454" spans="4:7" hidden="1">
      <c r="D3454" s="5" t="s">
        <v>5348</v>
      </c>
      <c r="E3454" s="5" t="s">
        <v>720</v>
      </c>
      <c r="G3454" s="5" t="s">
        <v>1917</v>
      </c>
    </row>
    <row r="3455" spans="4:7" hidden="1">
      <c r="D3455" s="5" t="s">
        <v>5349</v>
      </c>
      <c r="E3455" s="5" t="s">
        <v>451</v>
      </c>
      <c r="G3455" s="5" t="s">
        <v>1917</v>
      </c>
    </row>
    <row r="3456" spans="4:7" hidden="1">
      <c r="D3456" s="5" t="s">
        <v>5350</v>
      </c>
      <c r="E3456" s="5" t="s">
        <v>2056</v>
      </c>
      <c r="G3456" s="5" t="s">
        <v>1917</v>
      </c>
    </row>
    <row r="3457" spans="4:7" hidden="1">
      <c r="D3457" s="5" t="s">
        <v>5351</v>
      </c>
      <c r="E3457" s="5" t="s">
        <v>427</v>
      </c>
      <c r="G3457" s="5" t="s">
        <v>1917</v>
      </c>
    </row>
    <row r="3458" spans="4:7" hidden="1">
      <c r="D3458" s="5" t="s">
        <v>5352</v>
      </c>
      <c r="E3458" s="5" t="s">
        <v>709</v>
      </c>
      <c r="G3458" s="5" t="s">
        <v>1917</v>
      </c>
    </row>
    <row r="3459" spans="4:7" hidden="1">
      <c r="D3459" s="5" t="s">
        <v>5353</v>
      </c>
      <c r="E3459" s="5" t="s">
        <v>3661</v>
      </c>
      <c r="G3459" s="5" t="s">
        <v>1926</v>
      </c>
    </row>
    <row r="3460" spans="4:7" hidden="1">
      <c r="D3460" s="5" t="s">
        <v>5354</v>
      </c>
      <c r="E3460" s="5" t="s">
        <v>309</v>
      </c>
      <c r="G3460" s="5" t="s">
        <v>1917</v>
      </c>
    </row>
    <row r="3461" spans="4:7" hidden="1">
      <c r="D3461" s="5" t="s">
        <v>5355</v>
      </c>
      <c r="E3461" s="5" t="s">
        <v>709</v>
      </c>
      <c r="G3461" s="5" t="s">
        <v>1917</v>
      </c>
    </row>
    <row r="3462" spans="4:7" hidden="1">
      <c r="D3462" s="5" t="s">
        <v>5356</v>
      </c>
      <c r="E3462" s="5" t="s">
        <v>171</v>
      </c>
      <c r="G3462" s="5" t="s">
        <v>1917</v>
      </c>
    </row>
    <row r="3463" spans="4:7" hidden="1">
      <c r="D3463" s="5" t="s">
        <v>5357</v>
      </c>
      <c r="E3463" s="5" t="s">
        <v>2091</v>
      </c>
      <c r="G3463" s="5" t="s">
        <v>1917</v>
      </c>
    </row>
    <row r="3464" spans="4:7" hidden="1">
      <c r="D3464" s="5" t="s">
        <v>5358</v>
      </c>
      <c r="E3464" s="5" t="s">
        <v>309</v>
      </c>
      <c r="G3464" s="5" t="s">
        <v>1917</v>
      </c>
    </row>
    <row r="3465" spans="4:7" hidden="1">
      <c r="D3465" s="5" t="s">
        <v>5359</v>
      </c>
      <c r="E3465" s="5" t="s">
        <v>427</v>
      </c>
      <c r="G3465" s="5" t="s">
        <v>1917</v>
      </c>
    </row>
    <row r="3466" spans="4:7" hidden="1">
      <c r="D3466" s="5" t="s">
        <v>5360</v>
      </c>
      <c r="E3466" s="5" t="s">
        <v>709</v>
      </c>
      <c r="G3466" s="5" t="s">
        <v>1917</v>
      </c>
    </row>
    <row r="3467" spans="4:7" hidden="1">
      <c r="D3467" s="5" t="s">
        <v>5361</v>
      </c>
      <c r="E3467" s="5" t="s">
        <v>2005</v>
      </c>
      <c r="G3467" s="5" t="s">
        <v>1917</v>
      </c>
    </row>
    <row r="3468" spans="4:7" hidden="1">
      <c r="D3468" s="5" t="s">
        <v>5362</v>
      </c>
      <c r="E3468" s="5" t="s">
        <v>2091</v>
      </c>
      <c r="G3468" s="5" t="s">
        <v>1917</v>
      </c>
    </row>
    <row r="3469" spans="4:7" hidden="1">
      <c r="D3469" s="5" t="s">
        <v>5363</v>
      </c>
      <c r="E3469" s="5" t="s">
        <v>427</v>
      </c>
      <c r="G3469" s="5" t="s">
        <v>1917</v>
      </c>
    </row>
    <row r="3470" spans="4:7" hidden="1">
      <c r="D3470" s="5" t="s">
        <v>5364</v>
      </c>
      <c r="E3470" s="5" t="s">
        <v>1945</v>
      </c>
      <c r="G3470" s="5" t="s">
        <v>1917</v>
      </c>
    </row>
    <row r="3471" spans="4:7" hidden="1">
      <c r="D3471" s="5" t="s">
        <v>5365</v>
      </c>
      <c r="E3471" s="5" t="s">
        <v>2005</v>
      </c>
      <c r="G3471" s="5" t="s">
        <v>1917</v>
      </c>
    </row>
    <row r="3472" spans="4:7" hidden="1">
      <c r="D3472" s="5" t="s">
        <v>5366</v>
      </c>
      <c r="E3472" s="5" t="s">
        <v>3979</v>
      </c>
      <c r="G3472" s="5" t="s">
        <v>1920</v>
      </c>
    </row>
    <row r="3473" spans="4:7" hidden="1">
      <c r="D3473" s="5" t="s">
        <v>5367</v>
      </c>
      <c r="E3473" s="5" t="s">
        <v>3979</v>
      </c>
      <c r="G3473" s="5" t="s">
        <v>1920</v>
      </c>
    </row>
    <row r="3474" spans="4:7" hidden="1">
      <c r="D3474" s="5" t="s">
        <v>5368</v>
      </c>
      <c r="E3474" s="5" t="s">
        <v>430</v>
      </c>
      <c r="G3474" s="5" t="s">
        <v>1926</v>
      </c>
    </row>
    <row r="3475" spans="4:7" hidden="1">
      <c r="D3475" s="5" t="s">
        <v>5369</v>
      </c>
      <c r="E3475" s="5" t="s">
        <v>1894</v>
      </c>
      <c r="G3475" s="5" t="s">
        <v>1917</v>
      </c>
    </row>
    <row r="3476" spans="4:7" hidden="1">
      <c r="D3476" s="5" t="s">
        <v>5370</v>
      </c>
      <c r="E3476" s="5" t="s">
        <v>451</v>
      </c>
      <c r="G3476" s="5" t="s">
        <v>1917</v>
      </c>
    </row>
    <row r="3477" spans="4:7" hidden="1">
      <c r="D3477" s="5" t="s">
        <v>5371</v>
      </c>
      <c r="E3477" s="5" t="s">
        <v>3979</v>
      </c>
      <c r="G3477" s="5" t="s">
        <v>1917</v>
      </c>
    </row>
    <row r="3478" spans="4:7" hidden="1">
      <c r="D3478" s="5" t="s">
        <v>5372</v>
      </c>
      <c r="E3478" s="5" t="s">
        <v>3979</v>
      </c>
      <c r="G3478" s="5" t="s">
        <v>1920</v>
      </c>
    </row>
    <row r="3479" spans="4:7" hidden="1">
      <c r="D3479" s="5" t="s">
        <v>5373</v>
      </c>
      <c r="E3479" s="5" t="s">
        <v>52</v>
      </c>
      <c r="G3479" s="5" t="s">
        <v>1917</v>
      </c>
    </row>
    <row r="3480" spans="4:7" hidden="1">
      <c r="D3480" s="5" t="s">
        <v>5374</v>
      </c>
      <c r="E3480" s="5" t="s">
        <v>451</v>
      </c>
      <c r="G3480" s="5" t="s">
        <v>1917</v>
      </c>
    </row>
    <row r="3481" spans="4:7" hidden="1">
      <c r="D3481" s="5" t="s">
        <v>5375</v>
      </c>
      <c r="E3481" s="5" t="s">
        <v>3979</v>
      </c>
      <c r="G3481" s="5" t="s">
        <v>1920</v>
      </c>
    </row>
    <row r="3482" spans="4:7" hidden="1">
      <c r="D3482" s="5" t="s">
        <v>5376</v>
      </c>
      <c r="E3482" s="5" t="s">
        <v>2536</v>
      </c>
      <c r="G3482" s="5" t="s">
        <v>1926</v>
      </c>
    </row>
    <row r="3483" spans="4:7" hidden="1">
      <c r="D3483" s="5" t="s">
        <v>5377</v>
      </c>
      <c r="E3483" s="5" t="s">
        <v>451</v>
      </c>
      <c r="G3483" s="5" t="s">
        <v>1917</v>
      </c>
    </row>
    <row r="3484" spans="4:7" hidden="1">
      <c r="D3484" s="5" t="s">
        <v>5378</v>
      </c>
      <c r="E3484" s="5" t="s">
        <v>3979</v>
      </c>
      <c r="G3484" s="5" t="s">
        <v>1917</v>
      </c>
    </row>
    <row r="3485" spans="4:7" hidden="1">
      <c r="D3485" s="5" t="s">
        <v>5379</v>
      </c>
      <c r="E3485" s="5" t="s">
        <v>309</v>
      </c>
      <c r="G3485" s="5" t="s">
        <v>1917</v>
      </c>
    </row>
    <row r="3486" spans="4:7" hidden="1">
      <c r="D3486" s="5" t="s">
        <v>5380</v>
      </c>
      <c r="E3486" s="5" t="s">
        <v>709</v>
      </c>
      <c r="G3486" s="5" t="s">
        <v>1917</v>
      </c>
    </row>
    <row r="3487" spans="4:7" hidden="1">
      <c r="D3487" s="5" t="s">
        <v>5381</v>
      </c>
      <c r="E3487" s="5" t="s">
        <v>451</v>
      </c>
      <c r="G3487" s="5" t="s">
        <v>1917</v>
      </c>
    </row>
    <row r="3488" spans="4:7" hidden="1">
      <c r="D3488" s="5" t="s">
        <v>5382</v>
      </c>
      <c r="E3488" s="5" t="s">
        <v>2824</v>
      </c>
      <c r="F3488" s="5" t="s">
        <v>4983</v>
      </c>
      <c r="G3488" s="5" t="s">
        <v>1926</v>
      </c>
    </row>
    <row r="3489" spans="4:7" hidden="1">
      <c r="D3489" s="5" t="s">
        <v>5383</v>
      </c>
      <c r="E3489" s="5" t="s">
        <v>1945</v>
      </c>
      <c r="G3489" s="5" t="s">
        <v>1926</v>
      </c>
    </row>
    <row r="3490" spans="4:7" hidden="1">
      <c r="D3490" s="5" t="s">
        <v>5384</v>
      </c>
      <c r="E3490" s="5" t="s">
        <v>451</v>
      </c>
      <c r="G3490" s="5" t="s">
        <v>1917</v>
      </c>
    </row>
    <row r="3491" spans="4:7" hidden="1">
      <c r="D3491" s="5" t="s">
        <v>1904</v>
      </c>
      <c r="E3491" s="5" t="s">
        <v>427</v>
      </c>
      <c r="G3491" s="5" t="s">
        <v>1917</v>
      </c>
    </row>
    <row r="3492" spans="4:7" hidden="1">
      <c r="D3492" s="5" t="s">
        <v>5385</v>
      </c>
      <c r="E3492" s="5" t="s">
        <v>2824</v>
      </c>
      <c r="F3492" s="5" t="s">
        <v>4983</v>
      </c>
      <c r="G3492" s="5" t="s">
        <v>1926</v>
      </c>
    </row>
    <row r="3493" spans="4:7" hidden="1">
      <c r="D3493" s="5" t="s">
        <v>781</v>
      </c>
      <c r="E3493" s="5" t="s">
        <v>451</v>
      </c>
      <c r="G3493" s="5" t="s">
        <v>1917</v>
      </c>
    </row>
    <row r="3494" spans="4:7" hidden="1">
      <c r="D3494" s="5" t="s">
        <v>476</v>
      </c>
      <c r="E3494" s="5" t="s">
        <v>2792</v>
      </c>
      <c r="G3494" s="5" t="s">
        <v>1926</v>
      </c>
    </row>
    <row r="3495" spans="4:7" hidden="1">
      <c r="D3495" s="5" t="s">
        <v>5386</v>
      </c>
      <c r="E3495" s="5" t="s">
        <v>812</v>
      </c>
      <c r="G3495" s="5" t="s">
        <v>1917</v>
      </c>
    </row>
    <row r="3496" spans="4:7" hidden="1">
      <c r="D3496" s="5" t="s">
        <v>5387</v>
      </c>
      <c r="E3496" s="5" t="s">
        <v>1901</v>
      </c>
      <c r="G3496" s="5" t="s">
        <v>1917</v>
      </c>
    </row>
    <row r="3497" spans="4:7" hidden="1">
      <c r="D3497" s="5" t="s">
        <v>5388</v>
      </c>
      <c r="E3497" s="5" t="s">
        <v>451</v>
      </c>
      <c r="G3497" s="5" t="s">
        <v>1917</v>
      </c>
    </row>
    <row r="3498" spans="4:7" hidden="1">
      <c r="D3498" s="5" t="s">
        <v>5389</v>
      </c>
      <c r="E3498" s="5" t="s">
        <v>812</v>
      </c>
      <c r="G3498" s="5" t="s">
        <v>1917</v>
      </c>
    </row>
    <row r="3499" spans="4:7" hidden="1">
      <c r="D3499" s="5" t="s">
        <v>5390</v>
      </c>
      <c r="E3499" s="5" t="s">
        <v>451</v>
      </c>
      <c r="G3499" s="5" t="s">
        <v>1917</v>
      </c>
    </row>
    <row r="3500" spans="4:7" hidden="1">
      <c r="D3500" s="5" t="s">
        <v>5391</v>
      </c>
      <c r="E3500" s="5" t="s">
        <v>812</v>
      </c>
      <c r="G3500" s="5" t="s">
        <v>1917</v>
      </c>
    </row>
    <row r="3501" spans="4:7" hidden="1">
      <c r="D3501" s="5" t="s">
        <v>5392</v>
      </c>
      <c r="E3501" s="5" t="s">
        <v>451</v>
      </c>
      <c r="G3501" s="5" t="s">
        <v>1926</v>
      </c>
    </row>
    <row r="3502" spans="4:7" hidden="1">
      <c r="D3502" s="5" t="s">
        <v>5393</v>
      </c>
      <c r="E3502" s="5" t="s">
        <v>451</v>
      </c>
      <c r="G3502" s="5" t="s">
        <v>1917</v>
      </c>
    </row>
    <row r="3503" spans="4:7" hidden="1">
      <c r="D3503" s="5" t="s">
        <v>5394</v>
      </c>
      <c r="E3503" s="5" t="s">
        <v>812</v>
      </c>
      <c r="G3503" s="5" t="s">
        <v>1917</v>
      </c>
    </row>
    <row r="3504" spans="4:7" hidden="1">
      <c r="D3504" s="5" t="s">
        <v>5395</v>
      </c>
      <c r="E3504" s="5" t="s">
        <v>812</v>
      </c>
      <c r="G3504" s="5" t="s">
        <v>1917</v>
      </c>
    </row>
    <row r="3505" spans="4:7" hidden="1">
      <c r="D3505" s="5" t="s">
        <v>5396</v>
      </c>
      <c r="E3505" s="5" t="s">
        <v>812</v>
      </c>
      <c r="G3505" s="5" t="s">
        <v>1917</v>
      </c>
    </row>
    <row r="3506" spans="4:7" hidden="1">
      <c r="D3506" s="5" t="s">
        <v>5397</v>
      </c>
      <c r="E3506" s="5" t="s">
        <v>451</v>
      </c>
      <c r="G3506" s="5" t="s">
        <v>1926</v>
      </c>
    </row>
    <row r="3507" spans="4:7" hidden="1">
      <c r="D3507" s="5" t="s">
        <v>5398</v>
      </c>
      <c r="E3507" s="5" t="s">
        <v>427</v>
      </c>
      <c r="G3507" s="5" t="s">
        <v>1917</v>
      </c>
    </row>
    <row r="3508" spans="4:7" hidden="1">
      <c r="D3508" s="5" t="s">
        <v>5399</v>
      </c>
      <c r="E3508" s="5" t="s">
        <v>3979</v>
      </c>
      <c r="G3508" s="5" t="s">
        <v>1920</v>
      </c>
    </row>
    <row r="3509" spans="4:7" hidden="1">
      <c r="D3509" s="5" t="s">
        <v>5400</v>
      </c>
      <c r="E3509" s="5" t="s">
        <v>812</v>
      </c>
      <c r="G3509" s="5" t="s">
        <v>1917</v>
      </c>
    </row>
    <row r="3510" spans="4:7" hidden="1">
      <c r="D3510" s="5" t="s">
        <v>5401</v>
      </c>
      <c r="E3510" s="5" t="s">
        <v>3979</v>
      </c>
      <c r="G3510" s="5" t="s">
        <v>1920</v>
      </c>
    </row>
    <row r="3511" spans="4:7" hidden="1">
      <c r="D3511" s="5" t="s">
        <v>5402</v>
      </c>
      <c r="E3511" s="5" t="s">
        <v>3979</v>
      </c>
      <c r="G3511" s="5" t="s">
        <v>1920</v>
      </c>
    </row>
    <row r="3512" spans="4:7" hidden="1">
      <c r="D3512" s="5" t="s">
        <v>5403</v>
      </c>
      <c r="E3512" s="5" t="s">
        <v>3979</v>
      </c>
      <c r="G3512" s="5" t="s">
        <v>1920</v>
      </c>
    </row>
    <row r="3513" spans="4:7" hidden="1">
      <c r="D3513" s="5" t="s">
        <v>5404</v>
      </c>
      <c r="E3513" s="5" t="s">
        <v>309</v>
      </c>
      <c r="G3513" s="5" t="s">
        <v>1917</v>
      </c>
    </row>
    <row r="3514" spans="4:7" hidden="1">
      <c r="D3514" s="5" t="s">
        <v>5405</v>
      </c>
      <c r="E3514" s="5" t="s">
        <v>309</v>
      </c>
      <c r="G3514" s="5" t="s">
        <v>1917</v>
      </c>
    </row>
    <row r="3515" spans="4:7" hidden="1">
      <c r="D3515" s="5" t="s">
        <v>5406</v>
      </c>
      <c r="E3515" s="5" t="s">
        <v>309</v>
      </c>
      <c r="G3515" s="5" t="s">
        <v>1917</v>
      </c>
    </row>
    <row r="3516" spans="4:7" hidden="1">
      <c r="D3516" s="5" t="s">
        <v>5407</v>
      </c>
      <c r="E3516" s="5" t="s">
        <v>427</v>
      </c>
      <c r="G3516" s="5" t="s">
        <v>1917</v>
      </c>
    </row>
    <row r="3517" spans="4:7" hidden="1">
      <c r="D3517" s="5" t="s">
        <v>5408</v>
      </c>
      <c r="E3517" s="5" t="s">
        <v>1901</v>
      </c>
      <c r="G3517" s="5" t="s">
        <v>1917</v>
      </c>
    </row>
    <row r="3518" spans="4:7" hidden="1">
      <c r="D3518" s="5" t="s">
        <v>5409</v>
      </c>
      <c r="E3518" s="5" t="s">
        <v>52</v>
      </c>
      <c r="G3518" s="5" t="s">
        <v>1917</v>
      </c>
    </row>
    <row r="3519" spans="4:7" hidden="1">
      <c r="D3519" s="5" t="s">
        <v>5410</v>
      </c>
      <c r="E3519" s="5" t="s">
        <v>1901</v>
      </c>
      <c r="G3519" s="5" t="s">
        <v>1917</v>
      </c>
    </row>
    <row r="3520" spans="4:7" hidden="1">
      <c r="D3520" s="5" t="s">
        <v>5411</v>
      </c>
      <c r="E3520" s="5" t="s">
        <v>52</v>
      </c>
      <c r="G3520" s="5" t="s">
        <v>1917</v>
      </c>
    </row>
    <row r="3521" spans="4:7" hidden="1">
      <c r="D3521" s="5" t="s">
        <v>5412</v>
      </c>
      <c r="E3521" s="5" t="s">
        <v>427</v>
      </c>
      <c r="G3521" s="5" t="s">
        <v>1926</v>
      </c>
    </row>
    <row r="3522" spans="4:7" hidden="1">
      <c r="D3522" s="5" t="s">
        <v>5413</v>
      </c>
      <c r="E3522" s="5" t="s">
        <v>52</v>
      </c>
      <c r="G3522" s="5" t="s">
        <v>1917</v>
      </c>
    </row>
    <row r="3523" spans="4:7" hidden="1">
      <c r="D3523" s="5" t="s">
        <v>5414</v>
      </c>
      <c r="E3523" s="5" t="s">
        <v>791</v>
      </c>
      <c r="G3523" s="5" t="s">
        <v>1917</v>
      </c>
    </row>
    <row r="3524" spans="4:7" hidden="1">
      <c r="D3524" s="5" t="s">
        <v>5415</v>
      </c>
      <c r="E3524" s="5" t="s">
        <v>2091</v>
      </c>
      <c r="G3524" s="5" t="s">
        <v>1917</v>
      </c>
    </row>
    <row r="3525" spans="4:7" hidden="1">
      <c r="D3525" s="5" t="s">
        <v>5416</v>
      </c>
      <c r="E3525" s="5" t="s">
        <v>2824</v>
      </c>
      <c r="F3525" s="5" t="s">
        <v>4983</v>
      </c>
      <c r="G3525" s="5" t="s">
        <v>1926</v>
      </c>
    </row>
    <row r="3526" spans="4:7" hidden="1">
      <c r="D3526" s="5" t="s">
        <v>5417</v>
      </c>
      <c r="E3526" s="5" t="s">
        <v>52</v>
      </c>
      <c r="G3526" s="5" t="s">
        <v>1917</v>
      </c>
    </row>
    <row r="3527" spans="4:7" hidden="1">
      <c r="D3527" s="5" t="s">
        <v>5418</v>
      </c>
      <c r="E3527" s="5" t="s">
        <v>791</v>
      </c>
      <c r="G3527" s="5" t="s">
        <v>1917</v>
      </c>
    </row>
    <row r="3528" spans="4:7" hidden="1">
      <c r="D3528" s="5" t="s">
        <v>5419</v>
      </c>
      <c r="E3528" s="5" t="s">
        <v>52</v>
      </c>
      <c r="G3528" s="5" t="s">
        <v>1917</v>
      </c>
    </row>
    <row r="3529" spans="4:7" hidden="1">
      <c r="D3529" s="5" t="s">
        <v>5420</v>
      </c>
      <c r="E3529" s="5" t="s">
        <v>451</v>
      </c>
      <c r="G3529" s="5" t="s">
        <v>1917</v>
      </c>
    </row>
    <row r="3530" spans="4:7" hidden="1">
      <c r="D3530" s="5" t="s">
        <v>5421</v>
      </c>
      <c r="E3530" s="5" t="s">
        <v>791</v>
      </c>
      <c r="G3530" s="5" t="s">
        <v>1917</v>
      </c>
    </row>
    <row r="3531" spans="4:7" hidden="1">
      <c r="D3531" s="5" t="s">
        <v>5422</v>
      </c>
      <c r="E3531" s="5" t="s">
        <v>52</v>
      </c>
      <c r="G3531" s="5" t="s">
        <v>1917</v>
      </c>
    </row>
    <row r="3532" spans="4:7" hidden="1">
      <c r="D3532" s="5" t="s">
        <v>5423</v>
      </c>
      <c r="E3532" s="5" t="s">
        <v>2020</v>
      </c>
      <c r="G3532" s="5" t="s">
        <v>1917</v>
      </c>
    </row>
    <row r="3533" spans="4:7" hidden="1">
      <c r="D3533" s="5" t="s">
        <v>5424</v>
      </c>
      <c r="E3533" s="5" t="s">
        <v>52</v>
      </c>
      <c r="G3533" s="5" t="s">
        <v>1917</v>
      </c>
    </row>
    <row r="3534" spans="4:7" hidden="1">
      <c r="D3534" s="5" t="s">
        <v>5425</v>
      </c>
      <c r="E3534" s="5" t="s">
        <v>1894</v>
      </c>
      <c r="G3534" s="5" t="s">
        <v>1926</v>
      </c>
    </row>
    <row r="3535" spans="4:7" hidden="1">
      <c r="D3535" s="5" t="s">
        <v>5426</v>
      </c>
      <c r="E3535" s="5" t="s">
        <v>3785</v>
      </c>
      <c r="G3535" s="5" t="s">
        <v>1926</v>
      </c>
    </row>
    <row r="3536" spans="4:7" hidden="1">
      <c r="D3536" s="5" t="s">
        <v>5427</v>
      </c>
      <c r="E3536" s="5" t="s">
        <v>52</v>
      </c>
      <c r="G3536" s="5" t="s">
        <v>1917</v>
      </c>
    </row>
    <row r="3537" spans="4:7" hidden="1">
      <c r="D3537" s="5" t="s">
        <v>5428</v>
      </c>
      <c r="E3537" s="5" t="s">
        <v>52</v>
      </c>
      <c r="G3537" s="5" t="s">
        <v>1926</v>
      </c>
    </row>
    <row r="3538" spans="4:7" hidden="1">
      <c r="D3538" s="5" t="s">
        <v>593</v>
      </c>
      <c r="E3538" s="5" t="s">
        <v>3785</v>
      </c>
      <c r="G3538" s="5" t="s">
        <v>1926</v>
      </c>
    </row>
    <row r="3539" spans="4:7" hidden="1">
      <c r="D3539" s="5" t="s">
        <v>5429</v>
      </c>
      <c r="E3539" s="5" t="s">
        <v>52</v>
      </c>
      <c r="G3539" s="5" t="s">
        <v>1917</v>
      </c>
    </row>
    <row r="3540" spans="4:7" hidden="1">
      <c r="D3540" s="5" t="s">
        <v>5430</v>
      </c>
      <c r="E3540" s="5" t="s">
        <v>52</v>
      </c>
      <c r="G3540" s="5" t="s">
        <v>1917</v>
      </c>
    </row>
    <row r="3541" spans="4:7" hidden="1">
      <c r="D3541" s="5" t="s">
        <v>5431</v>
      </c>
      <c r="E3541" s="5" t="s">
        <v>3785</v>
      </c>
      <c r="G3541" s="5" t="s">
        <v>1917</v>
      </c>
    </row>
    <row r="3542" spans="4:7" hidden="1">
      <c r="D3542" s="5" t="s">
        <v>5432</v>
      </c>
      <c r="E3542" s="5" t="s">
        <v>3785</v>
      </c>
      <c r="G3542" s="5" t="s">
        <v>1917</v>
      </c>
    </row>
    <row r="3543" spans="4:7" hidden="1">
      <c r="D3543" s="5" t="s">
        <v>5433</v>
      </c>
      <c r="E3543" s="5" t="s">
        <v>52</v>
      </c>
      <c r="G3543" s="5" t="s">
        <v>1917</v>
      </c>
    </row>
    <row r="3544" spans="4:7" hidden="1">
      <c r="D3544" s="5" t="s">
        <v>5434</v>
      </c>
      <c r="E3544" s="5" t="s">
        <v>2005</v>
      </c>
      <c r="G3544" s="5" t="s">
        <v>1917</v>
      </c>
    </row>
    <row r="3545" spans="4:7" hidden="1">
      <c r="D3545" s="5" t="s">
        <v>5435</v>
      </c>
      <c r="E3545" s="5" t="s">
        <v>3785</v>
      </c>
      <c r="G3545" s="5" t="s">
        <v>1926</v>
      </c>
    </row>
    <row r="3546" spans="4:7" hidden="1">
      <c r="D3546" s="5" t="s">
        <v>5436</v>
      </c>
      <c r="E3546" s="5" t="s">
        <v>52</v>
      </c>
      <c r="G3546" s="5" t="s">
        <v>1917</v>
      </c>
    </row>
    <row r="3547" spans="4:7" hidden="1">
      <c r="D3547" s="5" t="s">
        <v>5437</v>
      </c>
      <c r="E3547" s="5" t="s">
        <v>309</v>
      </c>
      <c r="G3547" s="5" t="s">
        <v>1917</v>
      </c>
    </row>
    <row r="3548" spans="4:7" hidden="1">
      <c r="D3548" s="5" t="s">
        <v>5438</v>
      </c>
      <c r="E3548" s="5" t="s">
        <v>2005</v>
      </c>
      <c r="G3548" s="5" t="s">
        <v>1917</v>
      </c>
    </row>
    <row r="3549" spans="4:7" hidden="1">
      <c r="D3549" s="5" t="s">
        <v>5439</v>
      </c>
      <c r="E3549" s="5" t="s">
        <v>451</v>
      </c>
      <c r="G3549" s="5" t="s">
        <v>1917</v>
      </c>
    </row>
    <row r="3550" spans="4:7" hidden="1">
      <c r="D3550" s="5" t="s">
        <v>5440</v>
      </c>
      <c r="E3550" s="5" t="s">
        <v>52</v>
      </c>
      <c r="G3550" s="5" t="s">
        <v>1917</v>
      </c>
    </row>
    <row r="3551" spans="4:7" hidden="1">
      <c r="D3551" s="5" t="s">
        <v>5441</v>
      </c>
      <c r="E3551" s="5" t="s">
        <v>2005</v>
      </c>
      <c r="G3551" s="5" t="s">
        <v>1917</v>
      </c>
    </row>
    <row r="3552" spans="4:7" hidden="1">
      <c r="D3552" s="5" t="s">
        <v>5442</v>
      </c>
      <c r="E3552" s="5" t="s">
        <v>3661</v>
      </c>
      <c r="G3552" s="5" t="s">
        <v>1917</v>
      </c>
    </row>
    <row r="3553" spans="4:7" hidden="1">
      <c r="D3553" s="5" t="s">
        <v>5443</v>
      </c>
      <c r="E3553" s="5" t="s">
        <v>3838</v>
      </c>
      <c r="G3553" s="5" t="s">
        <v>1917</v>
      </c>
    </row>
    <row r="3554" spans="4:7" hidden="1">
      <c r="D3554" s="5" t="s">
        <v>5444</v>
      </c>
      <c r="E3554" s="5" t="s">
        <v>309</v>
      </c>
      <c r="G3554" s="5" t="s">
        <v>1917</v>
      </c>
    </row>
    <row r="3555" spans="4:7" hidden="1">
      <c r="D3555" s="5" t="s">
        <v>5445</v>
      </c>
      <c r="E3555" s="5" t="s">
        <v>1901</v>
      </c>
      <c r="G3555" s="5" t="s">
        <v>1917</v>
      </c>
    </row>
    <row r="3556" spans="4:7" hidden="1">
      <c r="D3556" s="5" t="s">
        <v>5446</v>
      </c>
      <c r="E3556" s="5" t="s">
        <v>451</v>
      </c>
      <c r="G3556" s="5" t="s">
        <v>1917</v>
      </c>
    </row>
    <row r="3557" spans="4:7" hidden="1">
      <c r="D3557" s="5" t="s">
        <v>5447</v>
      </c>
      <c r="E3557" s="5" t="s">
        <v>3785</v>
      </c>
      <c r="G3557" s="5" t="s">
        <v>1926</v>
      </c>
    </row>
    <row r="3558" spans="4:7" hidden="1">
      <c r="D3558" s="5" t="s">
        <v>5448</v>
      </c>
      <c r="E3558" s="5" t="s">
        <v>52</v>
      </c>
      <c r="G3558" s="5" t="s">
        <v>1917</v>
      </c>
    </row>
    <row r="3559" spans="4:7" hidden="1">
      <c r="D3559" s="5" t="s">
        <v>5449</v>
      </c>
      <c r="E3559" s="5" t="s">
        <v>2005</v>
      </c>
      <c r="G3559" s="5" t="s">
        <v>1917</v>
      </c>
    </row>
    <row r="3560" spans="4:7" hidden="1">
      <c r="D3560" s="5" t="s">
        <v>5450</v>
      </c>
      <c r="E3560" s="5" t="s">
        <v>451</v>
      </c>
      <c r="G3560" s="5" t="s">
        <v>1917</v>
      </c>
    </row>
    <row r="3561" spans="4:7" hidden="1">
      <c r="D3561" s="5" t="s">
        <v>5451</v>
      </c>
      <c r="E3561" s="5" t="s">
        <v>1901</v>
      </c>
      <c r="G3561" s="5" t="s">
        <v>1917</v>
      </c>
    </row>
    <row r="3562" spans="4:7" hidden="1">
      <c r="D3562" s="5" t="s">
        <v>5452</v>
      </c>
      <c r="E3562" s="5" t="s">
        <v>451</v>
      </c>
      <c r="G3562" s="5" t="s">
        <v>1917</v>
      </c>
    </row>
    <row r="3563" spans="4:7" hidden="1">
      <c r="D3563" s="5" t="s">
        <v>664</v>
      </c>
      <c r="E3563" s="5" t="s">
        <v>3785</v>
      </c>
      <c r="G3563" s="5" t="s">
        <v>1917</v>
      </c>
    </row>
    <row r="3564" spans="4:7" hidden="1">
      <c r="D3564" s="5" t="s">
        <v>5453</v>
      </c>
      <c r="E3564" s="5" t="s">
        <v>2348</v>
      </c>
      <c r="G3564" s="5" t="s">
        <v>1917</v>
      </c>
    </row>
    <row r="3565" spans="4:7" hidden="1">
      <c r="D3565" s="5" t="s">
        <v>5454</v>
      </c>
      <c r="E3565" s="5" t="s">
        <v>1890</v>
      </c>
      <c r="G3565" s="5" t="s">
        <v>1917</v>
      </c>
    </row>
    <row r="3566" spans="4:7" hidden="1">
      <c r="D3566" s="5" t="s">
        <v>5455</v>
      </c>
      <c r="E3566" s="5" t="s">
        <v>52</v>
      </c>
      <c r="G3566" s="5" t="s">
        <v>1917</v>
      </c>
    </row>
    <row r="3567" spans="4:7" hidden="1">
      <c r="D3567" s="5" t="s">
        <v>5456</v>
      </c>
      <c r="E3567" s="5" t="s">
        <v>2091</v>
      </c>
      <c r="G3567" s="5" t="s">
        <v>1917</v>
      </c>
    </row>
    <row r="3568" spans="4:7" hidden="1">
      <c r="D3568" s="5" t="s">
        <v>5457</v>
      </c>
      <c r="E3568" s="5" t="s">
        <v>2005</v>
      </c>
      <c r="G3568" s="5" t="s">
        <v>1917</v>
      </c>
    </row>
    <row r="3569" spans="4:7" hidden="1">
      <c r="D3569" s="5" t="s">
        <v>5458</v>
      </c>
      <c r="E3569" s="5" t="s">
        <v>451</v>
      </c>
      <c r="G3569" s="5" t="s">
        <v>1917</v>
      </c>
    </row>
    <row r="3570" spans="4:7" hidden="1">
      <c r="D3570" s="5" t="s">
        <v>5459</v>
      </c>
      <c r="E3570" s="5" t="s">
        <v>3785</v>
      </c>
      <c r="F3570" s="5" t="s">
        <v>5460</v>
      </c>
      <c r="G3570" s="5"/>
    </row>
    <row r="3571" spans="4:7" hidden="1">
      <c r="D3571" s="5" t="s">
        <v>5461</v>
      </c>
      <c r="E3571" s="5" t="s">
        <v>812</v>
      </c>
      <c r="G3571" s="5" t="s">
        <v>1917</v>
      </c>
    </row>
    <row r="3572" spans="4:7" hidden="1">
      <c r="D3572" s="5" t="s">
        <v>5462</v>
      </c>
      <c r="E3572" s="5" t="s">
        <v>67</v>
      </c>
      <c r="G3572" s="5" t="s">
        <v>1917</v>
      </c>
    </row>
    <row r="3573" spans="4:7" hidden="1">
      <c r="D3573" s="5" t="s">
        <v>5463</v>
      </c>
      <c r="E3573" s="5" t="s">
        <v>52</v>
      </c>
      <c r="G3573" s="5" t="s">
        <v>1917</v>
      </c>
    </row>
    <row r="3574" spans="4:7" hidden="1">
      <c r="D3574" s="5" t="s">
        <v>5464</v>
      </c>
      <c r="E3574" s="5" t="s">
        <v>2091</v>
      </c>
      <c r="G3574" s="5" t="s">
        <v>1917</v>
      </c>
    </row>
    <row r="3575" spans="4:7" hidden="1">
      <c r="D3575" s="5" t="s">
        <v>5465</v>
      </c>
      <c r="E3575" s="5" t="s">
        <v>451</v>
      </c>
      <c r="G3575" s="5" t="s">
        <v>1917</v>
      </c>
    </row>
    <row r="3576" spans="4:7" hidden="1">
      <c r="D3576" s="5" t="s">
        <v>5466</v>
      </c>
      <c r="E3576" s="5" t="s">
        <v>3785</v>
      </c>
      <c r="G3576" s="5" t="s">
        <v>1917</v>
      </c>
    </row>
    <row r="3577" spans="4:7" hidden="1">
      <c r="D3577" s="5" t="s">
        <v>5467</v>
      </c>
      <c r="E3577" s="5" t="s">
        <v>1901</v>
      </c>
      <c r="G3577" s="5" t="s">
        <v>1917</v>
      </c>
    </row>
    <row r="3578" spans="4:7" hidden="1">
      <c r="D3578" s="5" t="s">
        <v>5468</v>
      </c>
      <c r="E3578" s="5" t="s">
        <v>52</v>
      </c>
      <c r="G3578" s="5" t="s">
        <v>1917</v>
      </c>
    </row>
    <row r="3579" spans="4:7" hidden="1">
      <c r="D3579" s="5" t="s">
        <v>5469</v>
      </c>
      <c r="E3579" s="5" t="s">
        <v>2091</v>
      </c>
      <c r="G3579" s="5" t="s">
        <v>1917</v>
      </c>
    </row>
    <row r="3580" spans="4:7" hidden="1">
      <c r="D3580" s="5" t="s">
        <v>5470</v>
      </c>
      <c r="E3580" s="5" t="s">
        <v>1890</v>
      </c>
      <c r="G3580" s="5" t="s">
        <v>1917</v>
      </c>
    </row>
    <row r="3581" spans="4:7" hidden="1">
      <c r="D3581" s="5" t="s">
        <v>5471</v>
      </c>
      <c r="E3581" s="5" t="s">
        <v>2005</v>
      </c>
      <c r="G3581" s="5" t="s">
        <v>1917</v>
      </c>
    </row>
    <row r="3582" spans="4:7" hidden="1">
      <c r="D3582" s="5" t="s">
        <v>5472</v>
      </c>
      <c r="E3582" s="5" t="s">
        <v>309</v>
      </c>
      <c r="G3582" s="5" t="s">
        <v>1917</v>
      </c>
    </row>
    <row r="3583" spans="4:7" hidden="1">
      <c r="D3583" s="5" t="s">
        <v>5473</v>
      </c>
      <c r="E3583" s="5" t="s">
        <v>52</v>
      </c>
      <c r="G3583" s="5" t="s">
        <v>1920</v>
      </c>
    </row>
    <row r="3584" spans="4:7" hidden="1">
      <c r="D3584" s="5" t="s">
        <v>5474</v>
      </c>
      <c r="E3584" s="5" t="s">
        <v>451</v>
      </c>
      <c r="G3584" s="5" t="s">
        <v>1917</v>
      </c>
    </row>
    <row r="3585" spans="4:7" hidden="1">
      <c r="D3585" s="5" t="s">
        <v>5475</v>
      </c>
      <c r="E3585" s="5" t="s">
        <v>1901</v>
      </c>
      <c r="G3585" s="5" t="s">
        <v>1917</v>
      </c>
    </row>
    <row r="3586" spans="4:7" hidden="1">
      <c r="D3586" s="5" t="s">
        <v>5476</v>
      </c>
      <c r="E3586" s="5" t="s">
        <v>451</v>
      </c>
      <c r="G3586" s="5" t="s">
        <v>1917</v>
      </c>
    </row>
    <row r="3587" spans="4:7" hidden="1">
      <c r="D3587" s="5" t="s">
        <v>5477</v>
      </c>
      <c r="E3587" s="5" t="s">
        <v>2005</v>
      </c>
      <c r="G3587" s="5" t="s">
        <v>1917</v>
      </c>
    </row>
    <row r="3588" spans="4:7" hidden="1">
      <c r="D3588" s="5" t="s">
        <v>5478</v>
      </c>
      <c r="E3588" s="5" t="s">
        <v>52</v>
      </c>
      <c r="G3588" s="5" t="s">
        <v>1917</v>
      </c>
    </row>
    <row r="3589" spans="4:7" hidden="1">
      <c r="D3589" s="5" t="s">
        <v>5479</v>
      </c>
      <c r="E3589" s="5" t="s">
        <v>451</v>
      </c>
      <c r="G3589" s="5" t="s">
        <v>1917</v>
      </c>
    </row>
    <row r="3590" spans="4:7" hidden="1">
      <c r="D3590" s="5" t="s">
        <v>5480</v>
      </c>
      <c r="E3590" s="5" t="s">
        <v>2005</v>
      </c>
      <c r="G3590" s="5" t="s">
        <v>1917</v>
      </c>
    </row>
    <row r="3591" spans="4:7" hidden="1">
      <c r="D3591" s="5" t="s">
        <v>5481</v>
      </c>
      <c r="E3591" s="5" t="s">
        <v>451</v>
      </c>
      <c r="G3591" s="5" t="s">
        <v>1917</v>
      </c>
    </row>
    <row r="3592" spans="4:7" hidden="1">
      <c r="D3592" s="5" t="s">
        <v>5482</v>
      </c>
      <c r="E3592" s="5" t="s">
        <v>3661</v>
      </c>
      <c r="G3592" s="5" t="s">
        <v>1917</v>
      </c>
    </row>
    <row r="3593" spans="4:7" hidden="1">
      <c r="D3593" s="5" t="s">
        <v>5483</v>
      </c>
      <c r="E3593" s="5" t="s">
        <v>2091</v>
      </c>
      <c r="G3593" s="5" t="s">
        <v>1917</v>
      </c>
    </row>
    <row r="3594" spans="4:7" hidden="1">
      <c r="D3594" s="5" t="s">
        <v>5484</v>
      </c>
      <c r="E3594" s="5" t="s">
        <v>451</v>
      </c>
      <c r="G3594" s="5" t="s">
        <v>1917</v>
      </c>
    </row>
    <row r="3595" spans="4:7" hidden="1">
      <c r="D3595" s="5" t="s">
        <v>5485</v>
      </c>
      <c r="E3595" s="5" t="s">
        <v>52</v>
      </c>
      <c r="G3595" s="5" t="s">
        <v>1917</v>
      </c>
    </row>
    <row r="3596" spans="4:7" hidden="1">
      <c r="D3596" s="5" t="s">
        <v>5486</v>
      </c>
      <c r="E3596" s="5" t="s">
        <v>52</v>
      </c>
      <c r="G3596" s="5" t="s">
        <v>1917</v>
      </c>
    </row>
    <row r="3597" spans="4:7" hidden="1">
      <c r="D3597" s="5" t="s">
        <v>5487</v>
      </c>
      <c r="E3597" s="5" t="s">
        <v>451</v>
      </c>
      <c r="G3597" s="5" t="s">
        <v>1917</v>
      </c>
    </row>
    <row r="3598" spans="4:7" hidden="1">
      <c r="D3598" s="5" t="s">
        <v>5488</v>
      </c>
      <c r="E3598" s="5" t="s">
        <v>2005</v>
      </c>
      <c r="G3598" s="5" t="s">
        <v>1917</v>
      </c>
    </row>
    <row r="3599" spans="4:7" hidden="1">
      <c r="D3599" s="5" t="s">
        <v>1215</v>
      </c>
      <c r="E3599" s="5" t="s">
        <v>52</v>
      </c>
      <c r="G3599" s="5" t="s">
        <v>1917</v>
      </c>
    </row>
    <row r="3600" spans="4:7" hidden="1">
      <c r="D3600" s="5" t="s">
        <v>5489</v>
      </c>
      <c r="E3600" s="5" t="s">
        <v>2005</v>
      </c>
      <c r="G3600" s="5" t="s">
        <v>1917</v>
      </c>
    </row>
    <row r="3601" spans="4:7" hidden="1">
      <c r="D3601" s="5" t="s">
        <v>5490</v>
      </c>
      <c r="E3601" s="5" t="s">
        <v>451</v>
      </c>
      <c r="G3601" s="5" t="s">
        <v>1917</v>
      </c>
    </row>
    <row r="3602" spans="4:7" hidden="1">
      <c r="D3602" s="5" t="s">
        <v>5491</v>
      </c>
      <c r="E3602" s="5" t="s">
        <v>1894</v>
      </c>
      <c r="G3602" s="5" t="s">
        <v>1917</v>
      </c>
    </row>
    <row r="3603" spans="4:7" hidden="1">
      <c r="D3603" s="5" t="s">
        <v>677</v>
      </c>
      <c r="E3603" s="5" t="s">
        <v>52</v>
      </c>
      <c r="G3603" s="5" t="s">
        <v>1917</v>
      </c>
    </row>
    <row r="3604" spans="4:7" hidden="1">
      <c r="D3604" s="5" t="s">
        <v>5492</v>
      </c>
      <c r="E3604" s="5" t="s">
        <v>451</v>
      </c>
      <c r="G3604" s="5" t="s">
        <v>1917</v>
      </c>
    </row>
    <row r="3605" spans="4:7" hidden="1">
      <c r="D3605" s="5" t="s">
        <v>5493</v>
      </c>
      <c r="E3605" s="5" t="s">
        <v>52</v>
      </c>
      <c r="G3605" s="5" t="s">
        <v>1917</v>
      </c>
    </row>
    <row r="3606" spans="4:7" hidden="1">
      <c r="D3606" s="5" t="s">
        <v>5494</v>
      </c>
      <c r="E3606" s="5" t="s">
        <v>1890</v>
      </c>
      <c r="G3606" s="5" t="s">
        <v>1917</v>
      </c>
    </row>
    <row r="3607" spans="4:7" hidden="1">
      <c r="D3607" s="5" t="s">
        <v>5495</v>
      </c>
      <c r="E3607" s="5" t="s">
        <v>427</v>
      </c>
      <c r="G3607" s="5" t="s">
        <v>1917</v>
      </c>
    </row>
    <row r="3608" spans="4:7" hidden="1">
      <c r="D3608" s="5" t="s">
        <v>5496</v>
      </c>
      <c r="E3608" s="5" t="s">
        <v>52</v>
      </c>
      <c r="G3608" s="5" t="s">
        <v>1917</v>
      </c>
    </row>
    <row r="3609" spans="4:7" hidden="1">
      <c r="D3609" s="5" t="s">
        <v>5497</v>
      </c>
      <c r="E3609" s="5" t="s">
        <v>2056</v>
      </c>
      <c r="G3609" s="5" t="s">
        <v>1917</v>
      </c>
    </row>
    <row r="3610" spans="4:7" hidden="1">
      <c r="D3610" s="5" t="s">
        <v>5498</v>
      </c>
      <c r="E3610" s="5" t="s">
        <v>2091</v>
      </c>
      <c r="G3610" s="5" t="s">
        <v>1917</v>
      </c>
    </row>
    <row r="3611" spans="4:7" hidden="1">
      <c r="D3611" s="5" t="s">
        <v>5499</v>
      </c>
      <c r="E3611" s="5" t="s">
        <v>451</v>
      </c>
      <c r="G3611" s="5" t="s">
        <v>1917</v>
      </c>
    </row>
    <row r="3612" spans="4:7" hidden="1">
      <c r="D3612" s="5" t="s">
        <v>537</v>
      </c>
      <c r="E3612" s="5" t="s">
        <v>430</v>
      </c>
      <c r="G3612" s="5" t="s">
        <v>1926</v>
      </c>
    </row>
    <row r="3613" spans="4:7" hidden="1">
      <c r="D3613" s="5" t="s">
        <v>5500</v>
      </c>
      <c r="E3613" s="5" t="s">
        <v>52</v>
      </c>
      <c r="G3613" s="5" t="s">
        <v>1917</v>
      </c>
    </row>
    <row r="3614" spans="4:7" hidden="1">
      <c r="D3614" s="5" t="s">
        <v>5501</v>
      </c>
      <c r="E3614" s="5" t="s">
        <v>3656</v>
      </c>
      <c r="G3614" s="5" t="s">
        <v>1917</v>
      </c>
    </row>
    <row r="3615" spans="4:7" hidden="1">
      <c r="D3615" s="5" t="s">
        <v>5502</v>
      </c>
      <c r="E3615" s="5" t="s">
        <v>451</v>
      </c>
      <c r="G3615" s="5" t="s">
        <v>1917</v>
      </c>
    </row>
    <row r="3616" spans="4:7" hidden="1">
      <c r="D3616" s="5" t="s">
        <v>5503</v>
      </c>
      <c r="E3616" s="5" t="s">
        <v>430</v>
      </c>
      <c r="G3616" s="5" t="s">
        <v>1917</v>
      </c>
    </row>
    <row r="3617" spans="4:7" hidden="1">
      <c r="D3617" s="5" t="s">
        <v>5504</v>
      </c>
      <c r="E3617" s="5" t="s">
        <v>1901</v>
      </c>
      <c r="G3617" s="5" t="s">
        <v>1917</v>
      </c>
    </row>
    <row r="3618" spans="4:7" hidden="1">
      <c r="D3618" s="5" t="s">
        <v>582</v>
      </c>
      <c r="E3618" s="5" t="s">
        <v>430</v>
      </c>
      <c r="G3618" s="5" t="s">
        <v>1926</v>
      </c>
    </row>
    <row r="3619" spans="4:7" hidden="1">
      <c r="D3619" s="5" t="s">
        <v>5505</v>
      </c>
      <c r="E3619" s="5" t="s">
        <v>451</v>
      </c>
      <c r="G3619" s="5" t="s">
        <v>1917</v>
      </c>
    </row>
    <row r="3620" spans="4:7" hidden="1">
      <c r="D3620" s="5" t="s">
        <v>5506</v>
      </c>
      <c r="E3620" s="5" t="s">
        <v>52</v>
      </c>
      <c r="G3620" s="5" t="s">
        <v>1917</v>
      </c>
    </row>
    <row r="3621" spans="4:7" hidden="1">
      <c r="D3621" s="5" t="s">
        <v>5507</v>
      </c>
      <c r="E3621" s="5" t="s">
        <v>451</v>
      </c>
      <c r="G3621" s="5" t="s">
        <v>1917</v>
      </c>
    </row>
    <row r="3622" spans="4:7" hidden="1">
      <c r="D3622" s="5" t="s">
        <v>5508</v>
      </c>
      <c r="E3622" s="5" t="s">
        <v>52</v>
      </c>
      <c r="G3622" s="5" t="s">
        <v>1917</v>
      </c>
    </row>
    <row r="3623" spans="4:7" hidden="1">
      <c r="D3623" s="5" t="s">
        <v>5509</v>
      </c>
      <c r="E3623" s="5" t="s">
        <v>451</v>
      </c>
      <c r="G3623" s="5" t="s">
        <v>1917</v>
      </c>
    </row>
    <row r="3624" spans="4:7" hidden="1">
      <c r="D3624" s="5" t="s">
        <v>5510</v>
      </c>
      <c r="E3624" s="5" t="s">
        <v>791</v>
      </c>
      <c r="G3624" s="5" t="s">
        <v>1917</v>
      </c>
    </row>
    <row r="3625" spans="4:7" hidden="1">
      <c r="D3625" s="5" t="s">
        <v>5511</v>
      </c>
      <c r="E3625" s="5" t="s">
        <v>791</v>
      </c>
      <c r="G3625" s="5" t="s">
        <v>1917</v>
      </c>
    </row>
    <row r="3626" spans="4:7" hidden="1">
      <c r="D3626" s="5" t="s">
        <v>5512</v>
      </c>
      <c r="E3626" s="5" t="s">
        <v>451</v>
      </c>
      <c r="G3626" s="5" t="s">
        <v>1917</v>
      </c>
    </row>
    <row r="3627" spans="4:7" hidden="1">
      <c r="D3627" s="5" t="s">
        <v>5513</v>
      </c>
      <c r="E3627" s="5" t="s">
        <v>2091</v>
      </c>
      <c r="G3627" s="5" t="s">
        <v>1917</v>
      </c>
    </row>
    <row r="3628" spans="4:7" hidden="1">
      <c r="D3628" s="5" t="s">
        <v>1334</v>
      </c>
      <c r="E3628" s="5" t="s">
        <v>427</v>
      </c>
      <c r="G3628" s="5" t="s">
        <v>1917</v>
      </c>
    </row>
    <row r="3629" spans="4:7" hidden="1">
      <c r="D3629" s="5" t="s">
        <v>5514</v>
      </c>
      <c r="E3629" s="5" t="s">
        <v>1945</v>
      </c>
      <c r="G3629" s="5" t="s">
        <v>1917</v>
      </c>
    </row>
    <row r="3630" spans="4:7" hidden="1">
      <c r="D3630" s="5" t="s">
        <v>5515</v>
      </c>
      <c r="E3630" s="5" t="s">
        <v>52</v>
      </c>
      <c r="G3630" s="5" t="s">
        <v>1917</v>
      </c>
    </row>
    <row r="3631" spans="4:7" hidden="1">
      <c r="D3631" s="5" t="s">
        <v>5516</v>
      </c>
      <c r="E3631" s="5" t="s">
        <v>2493</v>
      </c>
      <c r="G3631" s="5" t="s">
        <v>2364</v>
      </c>
    </row>
    <row r="3632" spans="4:7" hidden="1">
      <c r="D3632" s="5" t="s">
        <v>5517</v>
      </c>
      <c r="E3632" s="5" t="s">
        <v>309</v>
      </c>
      <c r="G3632" s="5" t="s">
        <v>1917</v>
      </c>
    </row>
    <row r="3633" spans="4:7" hidden="1">
      <c r="D3633" s="5" t="s">
        <v>5518</v>
      </c>
      <c r="E3633" s="5" t="s">
        <v>451</v>
      </c>
      <c r="G3633" s="5" t="s">
        <v>1917</v>
      </c>
    </row>
    <row r="3634" spans="4:7" hidden="1">
      <c r="D3634" s="5" t="s">
        <v>5519</v>
      </c>
      <c r="E3634" s="5" t="s">
        <v>309</v>
      </c>
      <c r="G3634" s="5" t="s">
        <v>1917</v>
      </c>
    </row>
    <row r="3635" spans="4:7" hidden="1">
      <c r="D3635" s="5" t="s">
        <v>5520</v>
      </c>
      <c r="E3635" s="5" t="s">
        <v>451</v>
      </c>
      <c r="G3635" s="5" t="s">
        <v>1917</v>
      </c>
    </row>
    <row r="3636" spans="4:7" hidden="1">
      <c r="D3636" s="5" t="s">
        <v>682</v>
      </c>
      <c r="E3636" s="5" t="s">
        <v>451</v>
      </c>
      <c r="G3636" s="5" t="s">
        <v>1917</v>
      </c>
    </row>
    <row r="3637" spans="4:7" hidden="1">
      <c r="D3637" s="5" t="s">
        <v>5521</v>
      </c>
      <c r="E3637" s="5" t="s">
        <v>2614</v>
      </c>
      <c r="F3637" s="5" t="s">
        <v>4384</v>
      </c>
      <c r="G3637" s="5" t="s">
        <v>1926</v>
      </c>
    </row>
    <row r="3638" spans="4:7" hidden="1">
      <c r="D3638" s="5" t="s">
        <v>5522</v>
      </c>
      <c r="E3638" s="5" t="s">
        <v>2091</v>
      </c>
      <c r="G3638" s="5" t="s">
        <v>1917</v>
      </c>
    </row>
    <row r="3639" spans="4:7" hidden="1">
      <c r="D3639" s="5" t="s">
        <v>5523</v>
      </c>
      <c r="E3639" s="5" t="s">
        <v>2091</v>
      </c>
      <c r="G3639" s="5" t="s">
        <v>1917</v>
      </c>
    </row>
    <row r="3640" spans="4:7" hidden="1">
      <c r="D3640" s="5" t="s">
        <v>5524</v>
      </c>
      <c r="E3640" s="5" t="s">
        <v>309</v>
      </c>
      <c r="G3640" s="5" t="s">
        <v>1917</v>
      </c>
    </row>
    <row r="3641" spans="4:7" hidden="1">
      <c r="D3641" s="5" t="s">
        <v>5525</v>
      </c>
      <c r="E3641" s="5" t="s">
        <v>52</v>
      </c>
      <c r="G3641" s="5" t="s">
        <v>1917</v>
      </c>
    </row>
    <row r="3642" spans="4:7" hidden="1">
      <c r="D3642" s="5" t="s">
        <v>5526</v>
      </c>
      <c r="E3642" s="5" t="s">
        <v>3661</v>
      </c>
      <c r="G3642" s="5" t="s">
        <v>1917</v>
      </c>
    </row>
    <row r="3643" spans="4:7" hidden="1">
      <c r="D3643" s="5" t="s">
        <v>5527</v>
      </c>
      <c r="E3643" s="5" t="s">
        <v>2091</v>
      </c>
      <c r="G3643" s="5" t="s">
        <v>1917</v>
      </c>
    </row>
    <row r="3644" spans="4:7" hidden="1">
      <c r="D3644" s="5" t="s">
        <v>5528</v>
      </c>
      <c r="E3644" s="5" t="s">
        <v>5529</v>
      </c>
      <c r="G3644" s="5" t="s">
        <v>5530</v>
      </c>
    </row>
    <row r="3645" spans="4:7" hidden="1">
      <c r="D3645" s="5" t="s">
        <v>5531</v>
      </c>
      <c r="E3645" s="5" t="s">
        <v>52</v>
      </c>
      <c r="G3645" s="5" t="s">
        <v>1917</v>
      </c>
    </row>
    <row r="3646" spans="4:7" hidden="1">
      <c r="D3646" s="5" t="s">
        <v>5532</v>
      </c>
      <c r="E3646" s="5" t="s">
        <v>2091</v>
      </c>
      <c r="G3646" s="5" t="s">
        <v>1917</v>
      </c>
    </row>
    <row r="3647" spans="4:7" hidden="1">
      <c r="D3647" s="5" t="s">
        <v>5533</v>
      </c>
      <c r="E3647" s="5" t="s">
        <v>1890</v>
      </c>
      <c r="G3647" s="5" t="s">
        <v>1917</v>
      </c>
    </row>
    <row r="3648" spans="4:7" hidden="1">
      <c r="D3648" s="5" t="s">
        <v>5534</v>
      </c>
      <c r="E3648" s="5" t="s">
        <v>52</v>
      </c>
      <c r="G3648" s="5" t="s">
        <v>1917</v>
      </c>
    </row>
    <row r="3649" spans="4:7" hidden="1">
      <c r="D3649" s="5" t="s">
        <v>5535</v>
      </c>
      <c r="E3649" s="5" t="s">
        <v>2005</v>
      </c>
      <c r="G3649" s="5" t="s">
        <v>1917</v>
      </c>
    </row>
    <row r="3650" spans="4:7" hidden="1">
      <c r="D3650" s="5" t="s">
        <v>5536</v>
      </c>
      <c r="E3650" s="5" t="s">
        <v>309</v>
      </c>
      <c r="G3650" s="5" t="s">
        <v>1917</v>
      </c>
    </row>
    <row r="3651" spans="4:7" hidden="1">
      <c r="D3651" s="5" t="s">
        <v>5537</v>
      </c>
      <c r="E3651" s="5" t="s">
        <v>451</v>
      </c>
      <c r="G3651" s="5" t="s">
        <v>1917</v>
      </c>
    </row>
    <row r="3652" spans="4:7" hidden="1">
      <c r="D3652" s="5" t="s">
        <v>5538</v>
      </c>
      <c r="E3652" s="5" t="s">
        <v>2005</v>
      </c>
      <c r="G3652" s="5" t="s">
        <v>1917</v>
      </c>
    </row>
    <row r="3653" spans="4:7" hidden="1">
      <c r="D3653" s="5" t="s">
        <v>5539</v>
      </c>
      <c r="E3653" s="5" t="s">
        <v>430</v>
      </c>
      <c r="G3653" s="5" t="s">
        <v>1917</v>
      </c>
    </row>
    <row r="3654" spans="4:7" hidden="1">
      <c r="D3654" s="5" t="s">
        <v>5540</v>
      </c>
      <c r="E3654" s="5" t="s">
        <v>2005</v>
      </c>
      <c r="G3654" s="5" t="s">
        <v>1917</v>
      </c>
    </row>
    <row r="3655" spans="4:7" hidden="1">
      <c r="D3655" s="5" t="s">
        <v>5541</v>
      </c>
      <c r="E3655" s="5" t="s">
        <v>2091</v>
      </c>
      <c r="G3655" s="5" t="s">
        <v>1917</v>
      </c>
    </row>
    <row r="3656" spans="4:7" hidden="1">
      <c r="D3656" s="5" t="s">
        <v>5542</v>
      </c>
      <c r="E3656" s="5" t="s">
        <v>2005</v>
      </c>
      <c r="G3656" s="5" t="s">
        <v>1917</v>
      </c>
    </row>
    <row r="3657" spans="4:7" hidden="1">
      <c r="D3657" s="5" t="s">
        <v>5543</v>
      </c>
      <c r="E3657" s="5" t="s">
        <v>791</v>
      </c>
      <c r="G3657" s="5" t="s">
        <v>1917</v>
      </c>
    </row>
    <row r="3658" spans="4:7" hidden="1">
      <c r="D3658" s="5" t="s">
        <v>5544</v>
      </c>
      <c r="E3658" s="5" t="s">
        <v>2819</v>
      </c>
      <c r="G3658" s="5" t="s">
        <v>1917</v>
      </c>
    </row>
    <row r="3659" spans="4:7" hidden="1">
      <c r="D3659" s="5" t="s">
        <v>5545</v>
      </c>
      <c r="E3659" s="5" t="s">
        <v>52</v>
      </c>
      <c r="G3659" s="5" t="s">
        <v>1917</v>
      </c>
    </row>
    <row r="3660" spans="4:7" hidden="1">
      <c r="D3660" s="5" t="s">
        <v>5546</v>
      </c>
      <c r="E3660" s="5" t="s">
        <v>791</v>
      </c>
      <c r="G3660" s="5" t="s">
        <v>1917</v>
      </c>
    </row>
    <row r="3661" spans="4:7" hidden="1">
      <c r="D3661" s="5" t="s">
        <v>5547</v>
      </c>
      <c r="E3661" s="5" t="s">
        <v>3661</v>
      </c>
      <c r="G3661" s="5" t="s">
        <v>1917</v>
      </c>
    </row>
    <row r="3662" spans="4:7" hidden="1">
      <c r="D3662" s="5" t="s">
        <v>5548</v>
      </c>
      <c r="E3662" s="5" t="s">
        <v>52</v>
      </c>
      <c r="G3662" s="5" t="s">
        <v>1917</v>
      </c>
    </row>
    <row r="3663" spans="4:7" hidden="1">
      <c r="D3663" s="5" t="s">
        <v>5549</v>
      </c>
      <c r="E3663" s="5" t="s">
        <v>1890</v>
      </c>
      <c r="G3663" s="5" t="s">
        <v>1917</v>
      </c>
    </row>
    <row r="3664" spans="4:7" hidden="1">
      <c r="D3664" s="5" t="s">
        <v>5550</v>
      </c>
      <c r="E3664" s="5" t="s">
        <v>2005</v>
      </c>
      <c r="G3664" s="5" t="s">
        <v>1917</v>
      </c>
    </row>
    <row r="3665" spans="4:7" hidden="1">
      <c r="D3665" s="5" t="s">
        <v>5551</v>
      </c>
      <c r="E3665" s="5" t="s">
        <v>1890</v>
      </c>
      <c r="G3665" s="5" t="s">
        <v>1917</v>
      </c>
    </row>
    <row r="3666" spans="4:7" hidden="1">
      <c r="D3666" s="5" t="s">
        <v>5552</v>
      </c>
      <c r="E3666" s="5" t="s">
        <v>1890</v>
      </c>
      <c r="G3666" s="5" t="s">
        <v>1917</v>
      </c>
    </row>
    <row r="3667" spans="4:7" hidden="1">
      <c r="D3667" s="5" t="s">
        <v>5553</v>
      </c>
      <c r="E3667" s="5" t="s">
        <v>309</v>
      </c>
      <c r="G3667" s="5" t="s">
        <v>1917</v>
      </c>
    </row>
    <row r="3668" spans="4:7" hidden="1">
      <c r="D3668" s="5" t="s">
        <v>5554</v>
      </c>
      <c r="E3668" s="5" t="s">
        <v>451</v>
      </c>
      <c r="G3668" s="5" t="s">
        <v>1917</v>
      </c>
    </row>
    <row r="3669" spans="4:7" hidden="1">
      <c r="D3669" s="5" t="s">
        <v>5555</v>
      </c>
      <c r="E3669" s="5" t="s">
        <v>1890</v>
      </c>
      <c r="G3669" s="5" t="s">
        <v>1917</v>
      </c>
    </row>
    <row r="3670" spans="4:7" hidden="1">
      <c r="D3670" s="5" t="s">
        <v>918</v>
      </c>
      <c r="E3670" s="5" t="s">
        <v>1890</v>
      </c>
      <c r="G3670" s="5" t="s">
        <v>1917</v>
      </c>
    </row>
    <row r="3671" spans="4:7" hidden="1">
      <c r="D3671" s="5" t="s">
        <v>5556</v>
      </c>
      <c r="E3671" s="5" t="s">
        <v>309</v>
      </c>
      <c r="G3671" s="5" t="s">
        <v>1917</v>
      </c>
    </row>
    <row r="3672" spans="4:7" hidden="1">
      <c r="D3672" s="5" t="s">
        <v>5557</v>
      </c>
      <c r="E3672" s="5" t="s">
        <v>1890</v>
      </c>
      <c r="G3672" s="5" t="s">
        <v>1917</v>
      </c>
    </row>
    <row r="3673" spans="4:7" hidden="1">
      <c r="D3673" s="5" t="s">
        <v>5558</v>
      </c>
      <c r="E3673" s="5" t="s">
        <v>5529</v>
      </c>
      <c r="G3673" s="5" t="s">
        <v>5530</v>
      </c>
    </row>
    <row r="3674" spans="4:7" hidden="1">
      <c r="D3674" s="5" t="s">
        <v>5559</v>
      </c>
      <c r="E3674" s="5" t="s">
        <v>2824</v>
      </c>
      <c r="F3674" s="5" t="s">
        <v>4983</v>
      </c>
      <c r="G3674" s="5" t="s">
        <v>1926</v>
      </c>
    </row>
    <row r="3675" spans="4:7" hidden="1">
      <c r="D3675" s="5" t="s">
        <v>5560</v>
      </c>
      <c r="E3675" s="5" t="s">
        <v>1890</v>
      </c>
      <c r="G3675" s="5" t="s">
        <v>1926</v>
      </c>
    </row>
    <row r="3676" spans="4:7" hidden="1">
      <c r="D3676" s="5" t="s">
        <v>710</v>
      </c>
      <c r="E3676" s="5" t="s">
        <v>709</v>
      </c>
      <c r="G3676" s="5" t="s">
        <v>1917</v>
      </c>
    </row>
    <row r="3677" spans="4:7" hidden="1">
      <c r="D3677" s="5" t="s">
        <v>5561</v>
      </c>
      <c r="E3677" s="5" t="s">
        <v>309</v>
      </c>
      <c r="G3677" s="5" t="s">
        <v>1917</v>
      </c>
    </row>
    <row r="3678" spans="4:7" hidden="1">
      <c r="D3678" s="5" t="s">
        <v>5562</v>
      </c>
      <c r="E3678" s="5" t="s">
        <v>1890</v>
      </c>
      <c r="G3678" s="5" t="s">
        <v>1917</v>
      </c>
    </row>
    <row r="3679" spans="4:7" hidden="1">
      <c r="D3679" s="5" t="s">
        <v>5563</v>
      </c>
      <c r="E3679" s="5" t="s">
        <v>1890</v>
      </c>
      <c r="G3679" s="5" t="s">
        <v>1917</v>
      </c>
    </row>
    <row r="3680" spans="4:7" hidden="1">
      <c r="D3680" s="5" t="s">
        <v>5564</v>
      </c>
      <c r="E3680" s="5" t="s">
        <v>309</v>
      </c>
      <c r="G3680" s="5" t="s">
        <v>1917</v>
      </c>
    </row>
    <row r="3681" spans="4:7" hidden="1">
      <c r="D3681" s="5" t="s">
        <v>5565</v>
      </c>
      <c r="E3681" s="5" t="s">
        <v>1890</v>
      </c>
      <c r="G3681" s="5" t="s">
        <v>1917</v>
      </c>
    </row>
    <row r="3682" spans="4:7" hidden="1">
      <c r="D3682" s="5" t="s">
        <v>5566</v>
      </c>
      <c r="E3682" s="5" t="s">
        <v>451</v>
      </c>
      <c r="G3682" s="5" t="s">
        <v>1917</v>
      </c>
    </row>
    <row r="3683" spans="4:7" hidden="1">
      <c r="D3683" s="5" t="s">
        <v>5567</v>
      </c>
      <c r="E3683" s="5" t="s">
        <v>1890</v>
      </c>
      <c r="G3683" s="5" t="s">
        <v>1917</v>
      </c>
    </row>
    <row r="3684" spans="4:7" hidden="1">
      <c r="D3684" s="5" t="s">
        <v>5568</v>
      </c>
      <c r="E3684" s="5" t="s">
        <v>2254</v>
      </c>
      <c r="G3684" s="5" t="s">
        <v>1917</v>
      </c>
    </row>
    <row r="3685" spans="4:7" hidden="1">
      <c r="D3685" s="5" t="s">
        <v>5569</v>
      </c>
      <c r="E3685" s="5" t="s">
        <v>430</v>
      </c>
      <c r="G3685" s="5" t="s">
        <v>1917</v>
      </c>
    </row>
    <row r="3686" spans="4:7" hidden="1">
      <c r="D3686" s="5" t="s">
        <v>5570</v>
      </c>
      <c r="E3686" s="5" t="s">
        <v>1890</v>
      </c>
      <c r="G3686" s="5" t="s">
        <v>1917</v>
      </c>
    </row>
    <row r="3687" spans="4:7" hidden="1">
      <c r="D3687" s="5" t="s">
        <v>5571</v>
      </c>
      <c r="E3687" s="5" t="s">
        <v>1890</v>
      </c>
      <c r="G3687" s="5" t="s">
        <v>1917</v>
      </c>
    </row>
    <row r="3688" spans="4:7" hidden="1">
      <c r="D3688" s="5" t="s">
        <v>5572</v>
      </c>
      <c r="E3688" s="5" t="s">
        <v>430</v>
      </c>
      <c r="G3688" s="5" t="s">
        <v>1917</v>
      </c>
    </row>
    <row r="3689" spans="4:7" hidden="1">
      <c r="D3689" s="5" t="s">
        <v>5573</v>
      </c>
      <c r="E3689" s="5" t="s">
        <v>1890</v>
      </c>
      <c r="G3689" s="5" t="s">
        <v>1917</v>
      </c>
    </row>
    <row r="3690" spans="4:7" hidden="1">
      <c r="D3690" s="5" t="s">
        <v>5574</v>
      </c>
      <c r="E3690" s="5" t="s">
        <v>1890</v>
      </c>
      <c r="G3690" s="5" t="s">
        <v>1917</v>
      </c>
    </row>
    <row r="3691" spans="4:7" hidden="1">
      <c r="D3691" s="5" t="s">
        <v>5575</v>
      </c>
      <c r="E3691" s="5" t="s">
        <v>2091</v>
      </c>
      <c r="G3691" s="5" t="s">
        <v>1917</v>
      </c>
    </row>
    <row r="3692" spans="4:7" hidden="1">
      <c r="D3692" s="5" t="s">
        <v>5576</v>
      </c>
      <c r="E3692" s="5" t="s">
        <v>309</v>
      </c>
      <c r="G3692" s="5" t="s">
        <v>1917</v>
      </c>
    </row>
    <row r="3693" spans="4:7" hidden="1">
      <c r="D3693" s="5" t="s">
        <v>5577</v>
      </c>
      <c r="E3693" s="5" t="s">
        <v>1890</v>
      </c>
      <c r="G3693" s="5" t="s">
        <v>1917</v>
      </c>
    </row>
    <row r="3694" spans="4:7" hidden="1">
      <c r="D3694" s="5" t="s">
        <v>5578</v>
      </c>
      <c r="E3694" s="5" t="s">
        <v>168</v>
      </c>
      <c r="G3694" s="5" t="s">
        <v>1917</v>
      </c>
    </row>
    <row r="3695" spans="4:7" hidden="1">
      <c r="D3695" s="5" t="s">
        <v>5579</v>
      </c>
      <c r="E3695" s="5" t="s">
        <v>309</v>
      </c>
      <c r="G3695" s="5" t="s">
        <v>1917</v>
      </c>
    </row>
    <row r="3696" spans="4:7" hidden="1">
      <c r="D3696" s="5" t="s">
        <v>5580</v>
      </c>
      <c r="E3696" s="5" t="s">
        <v>427</v>
      </c>
      <c r="G3696" s="5" t="s">
        <v>1917</v>
      </c>
    </row>
    <row r="3697" spans="4:7" hidden="1">
      <c r="D3697" s="5" t="s">
        <v>5581</v>
      </c>
      <c r="E3697" s="5" t="s">
        <v>309</v>
      </c>
      <c r="G3697" s="5" t="s">
        <v>1917</v>
      </c>
    </row>
    <row r="3698" spans="4:7" hidden="1">
      <c r="D3698" s="5" t="s">
        <v>5582</v>
      </c>
      <c r="E3698" s="5" t="s">
        <v>430</v>
      </c>
      <c r="G3698" s="5" t="s">
        <v>1917</v>
      </c>
    </row>
    <row r="3699" spans="4:7" hidden="1">
      <c r="D3699" s="5" t="s">
        <v>5583</v>
      </c>
      <c r="E3699" s="5" t="s">
        <v>309</v>
      </c>
      <c r="G3699" s="5" t="s">
        <v>1917</v>
      </c>
    </row>
    <row r="3700" spans="4:7" hidden="1">
      <c r="D3700" s="5" t="s">
        <v>5584</v>
      </c>
      <c r="E3700" s="5" t="s">
        <v>309</v>
      </c>
      <c r="G3700" s="5" t="s">
        <v>1917</v>
      </c>
    </row>
    <row r="3701" spans="4:7" hidden="1">
      <c r="D3701" s="5" t="s">
        <v>5585</v>
      </c>
      <c r="E3701" s="5" t="s">
        <v>2005</v>
      </c>
      <c r="G3701" s="5" t="s">
        <v>1917</v>
      </c>
    </row>
    <row r="3702" spans="4:7" hidden="1">
      <c r="D3702" s="5" t="s">
        <v>5586</v>
      </c>
      <c r="E3702" s="5" t="s">
        <v>2091</v>
      </c>
      <c r="G3702" s="5" t="s">
        <v>1917</v>
      </c>
    </row>
    <row r="3703" spans="4:7" hidden="1">
      <c r="D3703" s="5" t="s">
        <v>5587</v>
      </c>
      <c r="E3703" s="5" t="s">
        <v>309</v>
      </c>
      <c r="G3703" s="5" t="s">
        <v>1917</v>
      </c>
    </row>
    <row r="3704" spans="4:7" hidden="1">
      <c r="D3704" s="5" t="s">
        <v>5588</v>
      </c>
      <c r="E3704" s="5" t="s">
        <v>427</v>
      </c>
      <c r="G3704" s="5" t="s">
        <v>1917</v>
      </c>
    </row>
    <row r="3705" spans="4:7" hidden="1">
      <c r="D3705" s="5" t="s">
        <v>5589</v>
      </c>
      <c r="E3705" s="5" t="s">
        <v>309</v>
      </c>
      <c r="G3705" s="5" t="s">
        <v>1917</v>
      </c>
    </row>
    <row r="3706" spans="4:7" hidden="1">
      <c r="D3706" s="5" t="s">
        <v>5590</v>
      </c>
      <c r="E3706" s="5" t="s">
        <v>2091</v>
      </c>
      <c r="G3706" s="5" t="s">
        <v>1917</v>
      </c>
    </row>
    <row r="3707" spans="4:7" hidden="1">
      <c r="D3707" s="5" t="s">
        <v>5591</v>
      </c>
      <c r="E3707" s="5" t="s">
        <v>309</v>
      </c>
      <c r="G3707" s="5" t="s">
        <v>1917</v>
      </c>
    </row>
    <row r="3708" spans="4:7" hidden="1">
      <c r="D3708" s="5" t="s">
        <v>5592</v>
      </c>
      <c r="E3708" s="5" t="s">
        <v>2005</v>
      </c>
      <c r="G3708" s="5" t="s">
        <v>1917</v>
      </c>
    </row>
    <row r="3709" spans="4:7" hidden="1">
      <c r="D3709" s="5" t="s">
        <v>5593</v>
      </c>
      <c r="E3709" s="5" t="s">
        <v>309</v>
      </c>
      <c r="G3709" s="5" t="s">
        <v>1917</v>
      </c>
    </row>
    <row r="3710" spans="4:7" hidden="1">
      <c r="D3710" s="5" t="s">
        <v>5594</v>
      </c>
      <c r="E3710" s="5" t="s">
        <v>309</v>
      </c>
      <c r="G3710" s="5" t="s">
        <v>1917</v>
      </c>
    </row>
    <row r="3711" spans="4:7" hidden="1">
      <c r="D3711" s="5" t="s">
        <v>5595</v>
      </c>
      <c r="E3711" s="5" t="s">
        <v>309</v>
      </c>
      <c r="G3711" s="5" t="s">
        <v>1917</v>
      </c>
    </row>
    <row r="3712" spans="4:7" hidden="1">
      <c r="D3712" s="5" t="s">
        <v>5596</v>
      </c>
      <c r="E3712" s="5" t="s">
        <v>2005</v>
      </c>
      <c r="G3712" s="5" t="s">
        <v>1917</v>
      </c>
    </row>
    <row r="3713" spans="4:7" hidden="1">
      <c r="D3713" s="5" t="s">
        <v>836</v>
      </c>
      <c r="E3713" s="5" t="s">
        <v>451</v>
      </c>
      <c r="G3713" s="5" t="s">
        <v>1917</v>
      </c>
    </row>
    <row r="3714" spans="4:7" hidden="1">
      <c r="D3714" s="5" t="s">
        <v>5597</v>
      </c>
      <c r="E3714" s="5" t="s">
        <v>2005</v>
      </c>
      <c r="G3714" s="5" t="s">
        <v>1917</v>
      </c>
    </row>
    <row r="3715" spans="4:7" hidden="1">
      <c r="D3715" s="5" t="s">
        <v>5598</v>
      </c>
      <c r="E3715" s="5" t="s">
        <v>2005</v>
      </c>
      <c r="G3715" s="5" t="s">
        <v>1917</v>
      </c>
    </row>
    <row r="3716" spans="4:7" hidden="1">
      <c r="D3716" s="5" t="s">
        <v>5599</v>
      </c>
      <c r="E3716" s="5" t="s">
        <v>451</v>
      </c>
      <c r="G3716" s="5" t="s">
        <v>1926</v>
      </c>
    </row>
    <row r="3717" spans="4:7" hidden="1">
      <c r="D3717" s="5" t="s">
        <v>5600</v>
      </c>
      <c r="E3717" s="5" t="s">
        <v>427</v>
      </c>
      <c r="G3717" s="5" t="s">
        <v>1917</v>
      </c>
    </row>
    <row r="3718" spans="4:7" hidden="1">
      <c r="D3718" s="5" t="s">
        <v>5601</v>
      </c>
      <c r="E3718" s="5" t="s">
        <v>2254</v>
      </c>
      <c r="G3718" s="5" t="s">
        <v>1917</v>
      </c>
    </row>
    <row r="3719" spans="4:7" hidden="1">
      <c r="D3719" s="5" t="s">
        <v>5602</v>
      </c>
      <c r="E3719" s="5" t="s">
        <v>451</v>
      </c>
      <c r="G3719" s="5" t="s">
        <v>1926</v>
      </c>
    </row>
    <row r="3720" spans="4:7" hidden="1">
      <c r="D3720" s="5" t="s">
        <v>5603</v>
      </c>
      <c r="E3720" s="5" t="s">
        <v>451</v>
      </c>
      <c r="G3720" s="5" t="s">
        <v>1917</v>
      </c>
    </row>
    <row r="3721" spans="4:7" hidden="1">
      <c r="D3721" s="5" t="s">
        <v>5604</v>
      </c>
      <c r="E3721" s="5" t="s">
        <v>812</v>
      </c>
      <c r="G3721" s="5" t="s">
        <v>1917</v>
      </c>
    </row>
    <row r="3722" spans="4:7" hidden="1">
      <c r="D3722" s="5" t="s">
        <v>5605</v>
      </c>
      <c r="E3722" s="5" t="s">
        <v>2254</v>
      </c>
      <c r="G3722" s="5" t="s">
        <v>1917</v>
      </c>
    </row>
    <row r="3723" spans="4:7" hidden="1">
      <c r="D3723" s="5" t="s">
        <v>5606</v>
      </c>
      <c r="E3723" s="5" t="s">
        <v>1901</v>
      </c>
      <c r="G3723" s="5" t="s">
        <v>1917</v>
      </c>
    </row>
    <row r="3724" spans="4:7" hidden="1">
      <c r="D3724" s="5" t="s">
        <v>5607</v>
      </c>
      <c r="E3724" s="5" t="s">
        <v>2091</v>
      </c>
      <c r="G3724" s="5" t="s">
        <v>1917</v>
      </c>
    </row>
    <row r="3725" spans="4:7" hidden="1">
      <c r="D3725" s="5" t="s">
        <v>5608</v>
      </c>
      <c r="E3725" s="5" t="s">
        <v>1890</v>
      </c>
      <c r="G3725" s="5" t="s">
        <v>1917</v>
      </c>
    </row>
    <row r="3726" spans="4:7" hidden="1">
      <c r="D3726" s="5" t="s">
        <v>5609</v>
      </c>
      <c r="E3726" s="5" t="s">
        <v>1894</v>
      </c>
      <c r="G3726" s="5" t="s">
        <v>1917</v>
      </c>
    </row>
    <row r="3727" spans="4:7" hidden="1">
      <c r="D3727" s="5" t="s">
        <v>5610</v>
      </c>
      <c r="E3727" s="5" t="s">
        <v>2254</v>
      </c>
      <c r="G3727" s="5" t="s">
        <v>1917</v>
      </c>
    </row>
    <row r="3728" spans="4:7" hidden="1">
      <c r="D3728" s="5" t="s">
        <v>5611</v>
      </c>
      <c r="E3728" s="5" t="s">
        <v>2005</v>
      </c>
      <c r="G3728" s="5" t="s">
        <v>1917</v>
      </c>
    </row>
    <row r="3729" spans="4:7" hidden="1">
      <c r="D3729" s="5" t="s">
        <v>5612</v>
      </c>
      <c r="E3729" s="5" t="s">
        <v>2005</v>
      </c>
      <c r="G3729" s="5" t="s">
        <v>1917</v>
      </c>
    </row>
    <row r="3730" spans="4:7" hidden="1">
      <c r="D3730" s="5" t="s">
        <v>5613</v>
      </c>
      <c r="E3730" s="5" t="s">
        <v>2091</v>
      </c>
      <c r="G3730" s="5" t="s">
        <v>1917</v>
      </c>
    </row>
    <row r="3731" spans="4:7" hidden="1">
      <c r="D3731" s="5" t="s">
        <v>5614</v>
      </c>
      <c r="E3731" s="5" t="s">
        <v>2005</v>
      </c>
      <c r="G3731" s="5" t="s">
        <v>1917</v>
      </c>
    </row>
    <row r="3732" spans="4:7" hidden="1">
      <c r="D3732" s="5" t="s">
        <v>5615</v>
      </c>
      <c r="E3732" s="5" t="s">
        <v>2005</v>
      </c>
      <c r="G3732" s="5" t="s">
        <v>1917</v>
      </c>
    </row>
    <row r="3733" spans="4:7" hidden="1">
      <c r="D3733" s="5" t="s">
        <v>5616</v>
      </c>
      <c r="E3733" s="5" t="s">
        <v>427</v>
      </c>
      <c r="G3733" s="5" t="s">
        <v>1917</v>
      </c>
    </row>
    <row r="3734" spans="4:7" hidden="1">
      <c r="D3734" s="5" t="s">
        <v>5617</v>
      </c>
      <c r="E3734" s="5" t="s">
        <v>2819</v>
      </c>
      <c r="G3734" s="5" t="s">
        <v>1917</v>
      </c>
    </row>
    <row r="3735" spans="4:7" hidden="1">
      <c r="D3735" s="5" t="s">
        <v>5618</v>
      </c>
      <c r="E3735" s="5" t="s">
        <v>427</v>
      </c>
      <c r="G3735" s="5" t="s">
        <v>1917</v>
      </c>
    </row>
    <row r="3736" spans="4:7" hidden="1">
      <c r="D3736" s="5" t="s">
        <v>5619</v>
      </c>
      <c r="E3736" s="5" t="s">
        <v>52</v>
      </c>
      <c r="G3736" s="5" t="s">
        <v>1917</v>
      </c>
    </row>
    <row r="3737" spans="4:7" hidden="1">
      <c r="D3737" s="5" t="s">
        <v>5620</v>
      </c>
      <c r="E3737" s="5" t="s">
        <v>709</v>
      </c>
      <c r="G3737" s="5" t="s">
        <v>1917</v>
      </c>
    </row>
    <row r="3738" spans="4:7" hidden="1">
      <c r="D3738" s="5" t="s">
        <v>5621</v>
      </c>
      <c r="E3738" s="5" t="s">
        <v>1901</v>
      </c>
      <c r="G3738" s="5" t="s">
        <v>1917</v>
      </c>
    </row>
    <row r="3739" spans="4:7" hidden="1">
      <c r="D3739" s="5" t="s">
        <v>5622</v>
      </c>
      <c r="E3739" s="5" t="s">
        <v>791</v>
      </c>
      <c r="G3739" s="5" t="s">
        <v>1917</v>
      </c>
    </row>
    <row r="3740" spans="4:7" hidden="1">
      <c r="D3740" s="5" t="s">
        <v>908</v>
      </c>
      <c r="E3740" s="5" t="s">
        <v>1901</v>
      </c>
      <c r="G3740" s="5" t="s">
        <v>1917</v>
      </c>
    </row>
    <row r="3741" spans="4:7" hidden="1">
      <c r="D3741" s="5" t="s">
        <v>5623</v>
      </c>
      <c r="E3741" s="5" t="s">
        <v>427</v>
      </c>
      <c r="G3741" s="5" t="s">
        <v>1917</v>
      </c>
    </row>
    <row r="3742" spans="4:7" hidden="1">
      <c r="D3742" s="5" t="s">
        <v>5624</v>
      </c>
      <c r="E3742" s="5" t="s">
        <v>720</v>
      </c>
      <c r="G3742" s="5" t="s">
        <v>1926</v>
      </c>
    </row>
    <row r="3743" spans="4:7" hidden="1">
      <c r="D3743" s="5" t="s">
        <v>5625</v>
      </c>
      <c r="E3743" s="5" t="s">
        <v>2091</v>
      </c>
      <c r="G3743" s="5" t="s">
        <v>1917</v>
      </c>
    </row>
    <row r="3744" spans="4:7" hidden="1">
      <c r="D3744" s="5" t="s">
        <v>903</v>
      </c>
      <c r="E3744" s="5" t="s">
        <v>2020</v>
      </c>
      <c r="G3744" s="5" t="s">
        <v>1917</v>
      </c>
    </row>
    <row r="3745" spans="4:7" hidden="1">
      <c r="D3745" s="5" t="s">
        <v>5626</v>
      </c>
      <c r="E3745" s="5" t="s">
        <v>791</v>
      </c>
      <c r="G3745" s="5" t="s">
        <v>1917</v>
      </c>
    </row>
    <row r="3746" spans="4:7" hidden="1">
      <c r="D3746" s="5" t="s">
        <v>5627</v>
      </c>
      <c r="E3746" s="5" t="s">
        <v>451</v>
      </c>
      <c r="G3746" s="5" t="s">
        <v>1917</v>
      </c>
    </row>
    <row r="3747" spans="4:7" hidden="1">
      <c r="D3747" s="5" t="s">
        <v>5628</v>
      </c>
      <c r="E3747" s="5" t="s">
        <v>2005</v>
      </c>
      <c r="G3747" s="5" t="s">
        <v>1917</v>
      </c>
    </row>
    <row r="3748" spans="4:7" hidden="1">
      <c r="D3748" s="5" t="s">
        <v>5629</v>
      </c>
      <c r="E3748" s="5" t="s">
        <v>720</v>
      </c>
      <c r="G3748" s="5" t="s">
        <v>1917</v>
      </c>
    </row>
    <row r="3749" spans="4:7" hidden="1">
      <c r="D3749" s="5" t="s">
        <v>5630</v>
      </c>
      <c r="E3749" s="5" t="s">
        <v>171</v>
      </c>
      <c r="G3749" s="5" t="s">
        <v>1917</v>
      </c>
    </row>
    <row r="3750" spans="4:7" hidden="1">
      <c r="D3750" s="5" t="s">
        <v>5631</v>
      </c>
      <c r="E3750" s="5" t="s">
        <v>2091</v>
      </c>
      <c r="G3750" s="5" t="s">
        <v>1917</v>
      </c>
    </row>
    <row r="3751" spans="4:7" hidden="1">
      <c r="D3751" s="5" t="s">
        <v>5632</v>
      </c>
      <c r="E3751" s="5" t="s">
        <v>2005</v>
      </c>
      <c r="G3751" s="5" t="s">
        <v>1917</v>
      </c>
    </row>
    <row r="3752" spans="4:7" hidden="1">
      <c r="D3752" s="5" t="s">
        <v>5633</v>
      </c>
      <c r="E3752" s="5" t="s">
        <v>720</v>
      </c>
      <c r="G3752" s="5" t="s">
        <v>1917</v>
      </c>
    </row>
    <row r="3753" spans="4:7" hidden="1">
      <c r="D3753" s="5" t="s">
        <v>5634</v>
      </c>
      <c r="E3753" s="5" t="s">
        <v>168</v>
      </c>
      <c r="G3753" s="5" t="s">
        <v>1917</v>
      </c>
    </row>
    <row r="3754" spans="4:7" hidden="1">
      <c r="D3754" s="5" t="s">
        <v>5635</v>
      </c>
      <c r="E3754" s="5" t="s">
        <v>709</v>
      </c>
      <c r="G3754" s="5" t="s">
        <v>1917</v>
      </c>
    </row>
    <row r="3755" spans="4:7" hidden="1">
      <c r="D3755" s="5" t="s">
        <v>5636</v>
      </c>
      <c r="E3755" s="5" t="s">
        <v>2005</v>
      </c>
      <c r="G3755" s="5" t="s">
        <v>1917</v>
      </c>
    </row>
    <row r="3756" spans="4:7" hidden="1">
      <c r="D3756" s="5" t="s">
        <v>5637</v>
      </c>
      <c r="E3756" s="5" t="s">
        <v>720</v>
      </c>
      <c r="G3756" s="5" t="s">
        <v>1926</v>
      </c>
    </row>
    <row r="3757" spans="4:7" hidden="1">
      <c r="D3757" s="5" t="s">
        <v>5638</v>
      </c>
      <c r="E3757" s="5" t="s">
        <v>2091</v>
      </c>
      <c r="G3757" s="5" t="s">
        <v>1917</v>
      </c>
    </row>
    <row r="3758" spans="4:7" hidden="1">
      <c r="D3758" s="5" t="s">
        <v>5639</v>
      </c>
      <c r="E3758" s="5" t="s">
        <v>1901</v>
      </c>
      <c r="G3758" s="5" t="s">
        <v>1926</v>
      </c>
    </row>
    <row r="3759" spans="4:7" hidden="1">
      <c r="D3759" s="5" t="s">
        <v>5640</v>
      </c>
      <c r="E3759" s="5" t="s">
        <v>720</v>
      </c>
      <c r="G3759" s="5" t="s">
        <v>1917</v>
      </c>
    </row>
    <row r="3760" spans="4:7" hidden="1">
      <c r="D3760" s="5" t="s">
        <v>5641</v>
      </c>
      <c r="E3760" s="5" t="s">
        <v>451</v>
      </c>
      <c r="G3760" s="5" t="s">
        <v>1917</v>
      </c>
    </row>
    <row r="3761" spans="4:7" hidden="1">
      <c r="D3761" s="5" t="s">
        <v>5642</v>
      </c>
      <c r="E3761" s="5" t="s">
        <v>1953</v>
      </c>
      <c r="G3761" s="5" t="s">
        <v>1917</v>
      </c>
    </row>
    <row r="3762" spans="4:7" hidden="1">
      <c r="D3762" s="5" t="s">
        <v>5643</v>
      </c>
      <c r="E3762" s="5" t="s">
        <v>2091</v>
      </c>
      <c r="G3762" s="5" t="s">
        <v>1917</v>
      </c>
    </row>
    <row r="3763" spans="4:7" hidden="1">
      <c r="D3763" s="5" t="s">
        <v>5644</v>
      </c>
      <c r="E3763" s="5" t="s">
        <v>720</v>
      </c>
      <c r="G3763" s="5" t="s">
        <v>1917</v>
      </c>
    </row>
    <row r="3764" spans="4:7" hidden="1">
      <c r="D3764" s="5" t="s">
        <v>5645</v>
      </c>
      <c r="E3764" s="5" t="s">
        <v>2348</v>
      </c>
      <c r="G3764" s="5" t="s">
        <v>1917</v>
      </c>
    </row>
    <row r="3765" spans="4:7" hidden="1">
      <c r="D3765" s="5" t="s">
        <v>5646</v>
      </c>
      <c r="E3765" s="5" t="s">
        <v>720</v>
      </c>
      <c r="G3765" s="5" t="s">
        <v>1917</v>
      </c>
    </row>
    <row r="3766" spans="4:7" hidden="1">
      <c r="D3766" s="5" t="s">
        <v>5647</v>
      </c>
      <c r="E3766" s="5" t="s">
        <v>1953</v>
      </c>
      <c r="G3766" s="5" t="s">
        <v>1917</v>
      </c>
    </row>
    <row r="3767" spans="4:7" hidden="1">
      <c r="D3767" s="5" t="s">
        <v>5648</v>
      </c>
      <c r="E3767" s="5" t="s">
        <v>2091</v>
      </c>
      <c r="G3767" s="5" t="s">
        <v>1917</v>
      </c>
    </row>
    <row r="3768" spans="4:7" hidden="1">
      <c r="D3768" s="5" t="s">
        <v>5649</v>
      </c>
      <c r="E3768" s="5" t="s">
        <v>709</v>
      </c>
      <c r="G3768" s="5" t="s">
        <v>1917</v>
      </c>
    </row>
    <row r="3769" spans="4:7" hidden="1">
      <c r="D3769" s="5" t="s">
        <v>5650</v>
      </c>
      <c r="E3769" s="5" t="s">
        <v>2536</v>
      </c>
      <c r="G3769" s="5" t="s">
        <v>1926</v>
      </c>
    </row>
    <row r="3770" spans="4:7" hidden="1">
      <c r="D3770" s="5" t="s">
        <v>5651</v>
      </c>
      <c r="E3770" s="5" t="s">
        <v>791</v>
      </c>
      <c r="G3770" s="5" t="s">
        <v>1917</v>
      </c>
    </row>
    <row r="3771" spans="4:7" hidden="1">
      <c r="D3771" s="5" t="s">
        <v>5652</v>
      </c>
      <c r="E3771" s="5" t="s">
        <v>720</v>
      </c>
      <c r="G3771" s="5" t="s">
        <v>1917</v>
      </c>
    </row>
    <row r="3772" spans="4:7" hidden="1">
      <c r="D3772" s="5" t="s">
        <v>5653</v>
      </c>
      <c r="E3772" s="5" t="s">
        <v>2091</v>
      </c>
      <c r="G3772" s="5" t="s">
        <v>1917</v>
      </c>
    </row>
    <row r="3773" spans="4:7" hidden="1">
      <c r="D3773" s="5" t="s">
        <v>5654</v>
      </c>
      <c r="E3773" s="5" t="s">
        <v>2091</v>
      </c>
      <c r="G3773" s="5" t="s">
        <v>1917</v>
      </c>
    </row>
    <row r="3774" spans="4:7" hidden="1">
      <c r="D3774" s="5" t="s">
        <v>5655</v>
      </c>
      <c r="E3774" s="5" t="s">
        <v>709</v>
      </c>
      <c r="G3774" s="5" t="s">
        <v>1917</v>
      </c>
    </row>
    <row r="3775" spans="4:7" hidden="1">
      <c r="D3775" s="5" t="s">
        <v>5656</v>
      </c>
      <c r="E3775" s="5" t="s">
        <v>720</v>
      </c>
      <c r="G3775" s="5" t="s">
        <v>1917</v>
      </c>
    </row>
    <row r="3776" spans="4:7" hidden="1">
      <c r="D3776" s="5" t="s">
        <v>5657</v>
      </c>
      <c r="E3776" s="5" t="s">
        <v>1953</v>
      </c>
      <c r="G3776" s="5" t="s">
        <v>1917</v>
      </c>
    </row>
    <row r="3777" spans="4:7" hidden="1">
      <c r="D3777" s="5" t="s">
        <v>5658</v>
      </c>
      <c r="E3777" s="5" t="s">
        <v>2091</v>
      </c>
      <c r="G3777" s="5" t="s">
        <v>1917</v>
      </c>
    </row>
    <row r="3778" spans="4:7" hidden="1">
      <c r="D3778" s="5" t="s">
        <v>5659</v>
      </c>
      <c r="E3778" s="5" t="s">
        <v>720</v>
      </c>
      <c r="G3778" s="5" t="s">
        <v>1917</v>
      </c>
    </row>
    <row r="3779" spans="4:7" hidden="1">
      <c r="D3779" s="5" t="s">
        <v>5660</v>
      </c>
      <c r="E3779" s="5" t="s">
        <v>1983</v>
      </c>
      <c r="G3779" s="5" t="s">
        <v>1917</v>
      </c>
    </row>
    <row r="3780" spans="4:7" hidden="1">
      <c r="D3780" s="5" t="s">
        <v>5661</v>
      </c>
      <c r="E3780" s="5" t="s">
        <v>2091</v>
      </c>
      <c r="G3780" s="5" t="s">
        <v>1917</v>
      </c>
    </row>
    <row r="3781" spans="4:7" hidden="1">
      <c r="D3781" s="5" t="s">
        <v>5662</v>
      </c>
      <c r="E3781" s="5" t="s">
        <v>709</v>
      </c>
      <c r="G3781" s="5" t="s">
        <v>1917</v>
      </c>
    </row>
    <row r="3782" spans="4:7" hidden="1">
      <c r="D3782" s="5" t="s">
        <v>5663</v>
      </c>
      <c r="E3782" s="5" t="s">
        <v>2819</v>
      </c>
      <c r="G3782" s="5" t="s">
        <v>1917</v>
      </c>
    </row>
    <row r="3783" spans="4:7" hidden="1">
      <c r="D3783" s="5" t="s">
        <v>5664</v>
      </c>
      <c r="E3783" s="5" t="s">
        <v>168</v>
      </c>
      <c r="G3783" s="5" t="s">
        <v>1917</v>
      </c>
    </row>
    <row r="3784" spans="4:7" hidden="1">
      <c r="D3784" s="5" t="s">
        <v>5665</v>
      </c>
      <c r="E3784" s="5" t="s">
        <v>720</v>
      </c>
      <c r="G3784" s="5" t="s">
        <v>1917</v>
      </c>
    </row>
    <row r="3785" spans="4:7" hidden="1">
      <c r="D3785" s="5" t="s">
        <v>5666</v>
      </c>
      <c r="E3785" s="5" t="s">
        <v>2091</v>
      </c>
      <c r="G3785" s="5" t="s">
        <v>1917</v>
      </c>
    </row>
    <row r="3786" spans="4:7" hidden="1">
      <c r="D3786" s="5" t="s">
        <v>5667</v>
      </c>
      <c r="E3786" s="5" t="s">
        <v>427</v>
      </c>
      <c r="G3786" s="5" t="s">
        <v>1917</v>
      </c>
    </row>
    <row r="3787" spans="4:7" hidden="1">
      <c r="D3787" s="5" t="s">
        <v>5668</v>
      </c>
      <c r="E3787" s="5" t="s">
        <v>709</v>
      </c>
      <c r="G3787" s="5" t="s">
        <v>1917</v>
      </c>
    </row>
    <row r="3788" spans="4:7" hidden="1">
      <c r="D3788" s="5" t="s">
        <v>5669</v>
      </c>
      <c r="E3788" s="5" t="s">
        <v>709</v>
      </c>
      <c r="G3788" s="5" t="s">
        <v>1917</v>
      </c>
    </row>
    <row r="3789" spans="4:7" hidden="1">
      <c r="D3789" s="5" t="s">
        <v>5670</v>
      </c>
      <c r="E3789" s="5" t="s">
        <v>2819</v>
      </c>
      <c r="G3789" s="5" t="s">
        <v>1917</v>
      </c>
    </row>
    <row r="3790" spans="4:7" hidden="1">
      <c r="D3790" s="5" t="s">
        <v>5671</v>
      </c>
      <c r="E3790" s="5" t="s">
        <v>5672</v>
      </c>
      <c r="G3790" s="5" t="s">
        <v>2364</v>
      </c>
    </row>
    <row r="3791" spans="4:7" hidden="1">
      <c r="D3791" s="5" t="s">
        <v>5673</v>
      </c>
      <c r="E3791" s="5" t="s">
        <v>2091</v>
      </c>
      <c r="G3791" s="5" t="s">
        <v>1917</v>
      </c>
    </row>
    <row r="3792" spans="4:7" hidden="1">
      <c r="D3792" s="5" t="s">
        <v>5674</v>
      </c>
      <c r="E3792" s="5" t="s">
        <v>430</v>
      </c>
      <c r="G3792" s="5" t="s">
        <v>1917</v>
      </c>
    </row>
    <row r="3793" spans="4:7" hidden="1">
      <c r="D3793" s="5" t="s">
        <v>5675</v>
      </c>
      <c r="E3793" s="5" t="s">
        <v>709</v>
      </c>
      <c r="G3793" s="5" t="s">
        <v>1917</v>
      </c>
    </row>
    <row r="3794" spans="4:7" hidden="1">
      <c r="D3794" s="5" t="s">
        <v>5676</v>
      </c>
      <c r="E3794" s="5" t="s">
        <v>451</v>
      </c>
      <c r="G3794" s="5" t="s">
        <v>1917</v>
      </c>
    </row>
    <row r="3795" spans="4:7" hidden="1">
      <c r="D3795" s="5" t="s">
        <v>5677</v>
      </c>
      <c r="E3795" s="5" t="s">
        <v>2819</v>
      </c>
      <c r="G3795" s="5" t="s">
        <v>1917</v>
      </c>
    </row>
    <row r="3796" spans="4:7" hidden="1">
      <c r="D3796" s="5" t="s">
        <v>5678</v>
      </c>
      <c r="E3796" s="5" t="s">
        <v>720</v>
      </c>
      <c r="G3796" s="5" t="s">
        <v>1917</v>
      </c>
    </row>
    <row r="3797" spans="4:7" hidden="1">
      <c r="D3797" s="5" t="s">
        <v>5679</v>
      </c>
      <c r="E3797" s="5" t="s">
        <v>3979</v>
      </c>
      <c r="G3797" s="5" t="s">
        <v>1920</v>
      </c>
    </row>
    <row r="3798" spans="4:7" hidden="1">
      <c r="D3798" s="5" t="s">
        <v>5680</v>
      </c>
      <c r="E3798" s="5" t="s">
        <v>709</v>
      </c>
      <c r="G3798" s="5" t="s">
        <v>1917</v>
      </c>
    </row>
    <row r="3799" spans="4:7" hidden="1">
      <c r="D3799" s="5" t="s">
        <v>5681</v>
      </c>
      <c r="E3799" s="5" t="s">
        <v>2005</v>
      </c>
      <c r="G3799" s="5" t="s">
        <v>1917</v>
      </c>
    </row>
    <row r="3800" spans="4:7" hidden="1">
      <c r="D3800" s="5" t="s">
        <v>5682</v>
      </c>
      <c r="E3800" s="5" t="s">
        <v>812</v>
      </c>
      <c r="G3800" s="5" t="s">
        <v>1917</v>
      </c>
    </row>
    <row r="3801" spans="4:7" hidden="1">
      <c r="D3801" s="5" t="s">
        <v>5683</v>
      </c>
      <c r="E3801" s="5" t="s">
        <v>709</v>
      </c>
      <c r="G3801" s="5" t="s">
        <v>1917</v>
      </c>
    </row>
    <row r="3802" spans="4:7" hidden="1">
      <c r="D3802" s="5" t="s">
        <v>5684</v>
      </c>
      <c r="E3802" s="5" t="s">
        <v>709</v>
      </c>
      <c r="G3802" s="5" t="s">
        <v>1917</v>
      </c>
    </row>
    <row r="3803" spans="4:7" hidden="1">
      <c r="D3803" s="5" t="s">
        <v>5685</v>
      </c>
      <c r="E3803" s="5" t="s">
        <v>812</v>
      </c>
      <c r="G3803" s="5" t="s">
        <v>1917</v>
      </c>
    </row>
    <row r="3804" spans="4:7" hidden="1">
      <c r="D3804" s="5" t="s">
        <v>5686</v>
      </c>
      <c r="E3804" s="5" t="s">
        <v>2091</v>
      </c>
      <c r="G3804" s="5" t="s">
        <v>1917</v>
      </c>
    </row>
    <row r="3805" spans="4:7" hidden="1">
      <c r="D3805" s="5" t="s">
        <v>5687</v>
      </c>
      <c r="E3805" s="5" t="s">
        <v>709</v>
      </c>
      <c r="G3805" s="5" t="s">
        <v>1917</v>
      </c>
    </row>
    <row r="3806" spans="4:7" hidden="1">
      <c r="D3806" s="5" t="s">
        <v>5688</v>
      </c>
      <c r="E3806" s="5" t="s">
        <v>1890</v>
      </c>
      <c r="G3806" s="5" t="s">
        <v>1926</v>
      </c>
    </row>
    <row r="3807" spans="4:7" hidden="1">
      <c r="D3807" s="5" t="s">
        <v>5689</v>
      </c>
      <c r="E3807" s="5" t="s">
        <v>309</v>
      </c>
      <c r="G3807" s="5" t="s">
        <v>1917</v>
      </c>
    </row>
    <row r="3808" spans="4:7" hidden="1">
      <c r="D3808" s="5" t="s">
        <v>5690</v>
      </c>
      <c r="E3808" s="5" t="s">
        <v>427</v>
      </c>
      <c r="G3808" s="5" t="s">
        <v>1917</v>
      </c>
    </row>
    <row r="3809" spans="4:7" hidden="1">
      <c r="D3809" s="5" t="s">
        <v>5691</v>
      </c>
      <c r="E3809" s="5" t="s">
        <v>1890</v>
      </c>
      <c r="G3809" s="5" t="s">
        <v>1917</v>
      </c>
    </row>
    <row r="3810" spans="4:7" hidden="1">
      <c r="D3810" s="5" t="s">
        <v>5692</v>
      </c>
      <c r="E3810" s="5" t="s">
        <v>2091</v>
      </c>
      <c r="G3810" s="5" t="s">
        <v>1917</v>
      </c>
    </row>
    <row r="3811" spans="4:7" hidden="1">
      <c r="D3811" s="5" t="s">
        <v>5693</v>
      </c>
      <c r="E3811" s="5" t="s">
        <v>709</v>
      </c>
      <c r="G3811" s="5" t="s">
        <v>1917</v>
      </c>
    </row>
    <row r="3812" spans="4:7" hidden="1">
      <c r="D3812" s="5" t="s">
        <v>5694</v>
      </c>
      <c r="E3812" s="5" t="s">
        <v>309</v>
      </c>
      <c r="G3812" s="5" t="s">
        <v>1917</v>
      </c>
    </row>
    <row r="3813" spans="4:7" hidden="1">
      <c r="D3813" s="5" t="s">
        <v>5695</v>
      </c>
      <c r="E3813" s="5" t="s">
        <v>2899</v>
      </c>
      <c r="G3813" s="5" t="s">
        <v>1926</v>
      </c>
    </row>
    <row r="3814" spans="4:7" hidden="1">
      <c r="D3814" s="5" t="s">
        <v>5696</v>
      </c>
      <c r="E3814" s="5" t="s">
        <v>709</v>
      </c>
      <c r="G3814" s="5" t="s">
        <v>1917</v>
      </c>
    </row>
    <row r="3815" spans="4:7" hidden="1">
      <c r="D3815" s="5" t="s">
        <v>5697</v>
      </c>
      <c r="E3815" s="5" t="s">
        <v>472</v>
      </c>
      <c r="G3815" s="5" t="s">
        <v>1917</v>
      </c>
    </row>
    <row r="3816" spans="4:7" hidden="1">
      <c r="D3816" s="5" t="s">
        <v>5698</v>
      </c>
      <c r="E3816" s="5" t="s">
        <v>2091</v>
      </c>
      <c r="G3816" s="5" t="s">
        <v>1917</v>
      </c>
    </row>
    <row r="3817" spans="4:7" hidden="1">
      <c r="D3817" s="5" t="s">
        <v>5699</v>
      </c>
      <c r="E3817" s="5" t="s">
        <v>709</v>
      </c>
      <c r="G3817" s="5" t="s">
        <v>1917</v>
      </c>
    </row>
    <row r="3818" spans="4:7" hidden="1">
      <c r="D3818" s="5" t="s">
        <v>5700</v>
      </c>
      <c r="E3818" s="5" t="s">
        <v>472</v>
      </c>
      <c r="G3818" s="5" t="s">
        <v>1917</v>
      </c>
    </row>
    <row r="3819" spans="4:7" hidden="1">
      <c r="D3819" s="5" t="s">
        <v>5701</v>
      </c>
      <c r="E3819" s="5" t="s">
        <v>2091</v>
      </c>
      <c r="G3819" s="5" t="s">
        <v>1917</v>
      </c>
    </row>
    <row r="3820" spans="4:7" hidden="1">
      <c r="D3820" s="5" t="s">
        <v>5702</v>
      </c>
      <c r="E3820" s="5" t="s">
        <v>709</v>
      </c>
      <c r="G3820" s="5" t="s">
        <v>1917</v>
      </c>
    </row>
    <row r="3821" spans="4:7" hidden="1">
      <c r="D3821" s="5" t="s">
        <v>5703</v>
      </c>
      <c r="E3821" s="5" t="s">
        <v>1945</v>
      </c>
      <c r="G3821" s="5" t="s">
        <v>1917</v>
      </c>
    </row>
    <row r="3822" spans="4:7" hidden="1">
      <c r="D3822" s="5" t="s">
        <v>5704</v>
      </c>
      <c r="E3822" s="5" t="s">
        <v>2091</v>
      </c>
      <c r="G3822" s="5" t="s">
        <v>1917</v>
      </c>
    </row>
    <row r="3823" spans="4:7" hidden="1">
      <c r="D3823" s="5" t="s">
        <v>5705</v>
      </c>
      <c r="E3823" s="5" t="s">
        <v>2091</v>
      </c>
      <c r="G3823" s="5" t="s">
        <v>1917</v>
      </c>
    </row>
    <row r="3824" spans="4:7" hidden="1">
      <c r="D3824" s="5" t="s">
        <v>5706</v>
      </c>
      <c r="E3824" s="5" t="s">
        <v>812</v>
      </c>
      <c r="G3824" s="5" t="s">
        <v>1917</v>
      </c>
    </row>
    <row r="3825" spans="4:7" hidden="1">
      <c r="D3825" s="5" t="s">
        <v>5707</v>
      </c>
      <c r="E3825" s="5" t="s">
        <v>171</v>
      </c>
      <c r="G3825" s="5" t="s">
        <v>1917</v>
      </c>
    </row>
    <row r="3826" spans="4:7" hidden="1">
      <c r="D3826" s="5" t="s">
        <v>5708</v>
      </c>
      <c r="E3826" s="5" t="s">
        <v>2091</v>
      </c>
      <c r="G3826" s="5" t="s">
        <v>1917</v>
      </c>
    </row>
    <row r="3827" spans="4:7" hidden="1">
      <c r="D3827" s="5" t="s">
        <v>5709</v>
      </c>
      <c r="E3827" s="5" t="s">
        <v>2091</v>
      </c>
      <c r="G3827" s="5" t="s">
        <v>1917</v>
      </c>
    </row>
    <row r="3828" spans="4:7" hidden="1">
      <c r="D3828" s="5" t="s">
        <v>5710</v>
      </c>
      <c r="E3828" s="5" t="s">
        <v>2091</v>
      </c>
      <c r="G3828" s="5" t="s">
        <v>1917</v>
      </c>
    </row>
    <row r="3829" spans="4:7" hidden="1">
      <c r="D3829" s="5" t="s">
        <v>5711</v>
      </c>
      <c r="E3829" s="5" t="s">
        <v>1945</v>
      </c>
      <c r="G3829" s="5" t="s">
        <v>1917</v>
      </c>
    </row>
    <row r="3830" spans="4:7" hidden="1">
      <c r="D3830" s="5" t="s">
        <v>5712</v>
      </c>
      <c r="E3830" s="5" t="s">
        <v>1945</v>
      </c>
      <c r="G3830" s="5" t="s">
        <v>1917</v>
      </c>
    </row>
    <row r="3831" spans="4:7" hidden="1">
      <c r="D3831" s="5" t="s">
        <v>5713</v>
      </c>
      <c r="E3831" s="5" t="s">
        <v>2091</v>
      </c>
      <c r="G3831" s="5" t="s">
        <v>1917</v>
      </c>
    </row>
    <row r="3832" spans="4:7" hidden="1">
      <c r="D3832" s="5" t="s">
        <v>5714</v>
      </c>
      <c r="E3832" s="5" t="s">
        <v>5529</v>
      </c>
      <c r="G3832" s="5" t="s">
        <v>5530</v>
      </c>
    </row>
    <row r="3833" spans="4:7" hidden="1">
      <c r="D3833" s="5" t="s">
        <v>5715</v>
      </c>
      <c r="E3833" s="5" t="s">
        <v>2091</v>
      </c>
      <c r="G3833" s="5" t="s">
        <v>1917</v>
      </c>
    </row>
    <row r="3834" spans="4:7" hidden="1">
      <c r="D3834" s="5" t="s">
        <v>5716</v>
      </c>
      <c r="E3834" s="5" t="s">
        <v>52</v>
      </c>
      <c r="G3834" s="5" t="s">
        <v>1917</v>
      </c>
    </row>
    <row r="3835" spans="4:7" hidden="1">
      <c r="D3835" s="5" t="s">
        <v>5717</v>
      </c>
      <c r="E3835" s="5" t="s">
        <v>427</v>
      </c>
      <c r="G3835" s="5" t="s">
        <v>1917</v>
      </c>
    </row>
    <row r="3836" spans="4:7" hidden="1">
      <c r="D3836" s="5" t="s">
        <v>5718</v>
      </c>
      <c r="E3836" s="5" t="s">
        <v>812</v>
      </c>
      <c r="G3836" s="5" t="s">
        <v>1917</v>
      </c>
    </row>
    <row r="3837" spans="4:7" hidden="1">
      <c r="D3837" s="5" t="s">
        <v>5719</v>
      </c>
      <c r="E3837" s="5" t="s">
        <v>1894</v>
      </c>
      <c r="G3837" s="5" t="s">
        <v>1917</v>
      </c>
    </row>
    <row r="3838" spans="4:7" hidden="1">
      <c r="D3838" s="5" t="s">
        <v>5720</v>
      </c>
      <c r="E3838" s="5" t="s">
        <v>2091</v>
      </c>
      <c r="G3838" s="5" t="s">
        <v>1917</v>
      </c>
    </row>
    <row r="3839" spans="4:7" hidden="1">
      <c r="D3839" s="5" t="s">
        <v>5721</v>
      </c>
      <c r="E3839" s="5" t="s">
        <v>2091</v>
      </c>
      <c r="G3839" s="5" t="s">
        <v>1917</v>
      </c>
    </row>
    <row r="3840" spans="4:7" hidden="1">
      <c r="D3840" s="5" t="s">
        <v>5722</v>
      </c>
      <c r="E3840" s="5" t="s">
        <v>52</v>
      </c>
      <c r="G3840" s="5" t="s">
        <v>1917</v>
      </c>
    </row>
    <row r="3841" spans="4:7" hidden="1">
      <c r="D3841" s="5" t="s">
        <v>5723</v>
      </c>
      <c r="E3841" s="5" t="s">
        <v>427</v>
      </c>
      <c r="G3841" s="5" t="s">
        <v>1917</v>
      </c>
    </row>
    <row r="3842" spans="4:7" hidden="1">
      <c r="D3842" s="5" t="s">
        <v>5724</v>
      </c>
      <c r="E3842" s="5" t="s">
        <v>1945</v>
      </c>
      <c r="G3842" s="5" t="s">
        <v>1917</v>
      </c>
    </row>
    <row r="3843" spans="4:7" hidden="1">
      <c r="D3843" s="5" t="s">
        <v>5725</v>
      </c>
      <c r="E3843" s="5" t="s">
        <v>2091</v>
      </c>
      <c r="G3843" s="5" t="s">
        <v>1917</v>
      </c>
    </row>
    <row r="3844" spans="4:7" hidden="1">
      <c r="D3844" s="5" t="s">
        <v>5726</v>
      </c>
      <c r="E3844" s="5" t="s">
        <v>2091</v>
      </c>
      <c r="G3844" s="5" t="s">
        <v>1917</v>
      </c>
    </row>
    <row r="3845" spans="4:7" hidden="1">
      <c r="D3845" s="5" t="s">
        <v>5727</v>
      </c>
      <c r="E3845" s="5" t="s">
        <v>1945</v>
      </c>
      <c r="G3845" s="5" t="s">
        <v>1917</v>
      </c>
    </row>
    <row r="3846" spans="4:7" hidden="1">
      <c r="D3846" s="5" t="s">
        <v>5728</v>
      </c>
      <c r="E3846" s="5" t="s">
        <v>2091</v>
      </c>
      <c r="G3846" s="5" t="s">
        <v>1917</v>
      </c>
    </row>
    <row r="3847" spans="4:7" hidden="1">
      <c r="D3847" s="5" t="s">
        <v>5729</v>
      </c>
      <c r="E3847" s="5" t="s">
        <v>2091</v>
      </c>
      <c r="G3847" s="5" t="s">
        <v>1917</v>
      </c>
    </row>
    <row r="3848" spans="4:7" hidden="1">
      <c r="D3848" s="5" t="s">
        <v>5730</v>
      </c>
      <c r="E3848" s="5" t="s">
        <v>2091</v>
      </c>
      <c r="G3848" s="5" t="s">
        <v>1917</v>
      </c>
    </row>
    <row r="3849" spans="4:7" hidden="1">
      <c r="D3849" s="5" t="s">
        <v>5731</v>
      </c>
      <c r="E3849" s="5" t="s">
        <v>427</v>
      </c>
      <c r="G3849" s="5" t="s">
        <v>1917</v>
      </c>
    </row>
    <row r="3850" spans="4:7" hidden="1">
      <c r="D3850" s="5" t="s">
        <v>5732</v>
      </c>
      <c r="E3850" s="5" t="s">
        <v>1894</v>
      </c>
      <c r="G3850" s="5" t="s">
        <v>1926</v>
      </c>
    </row>
    <row r="3851" spans="4:7" hidden="1">
      <c r="D3851" s="5" t="s">
        <v>5733</v>
      </c>
      <c r="E3851" s="5" t="s">
        <v>3979</v>
      </c>
      <c r="G3851" s="5" t="s">
        <v>1920</v>
      </c>
    </row>
    <row r="3852" spans="4:7" hidden="1">
      <c r="D3852" s="5" t="s">
        <v>5734</v>
      </c>
      <c r="E3852" s="5" t="s">
        <v>3979</v>
      </c>
      <c r="G3852" s="5" t="s">
        <v>1920</v>
      </c>
    </row>
    <row r="3853" spans="4:7" hidden="1">
      <c r="D3853" s="5" t="s">
        <v>5735</v>
      </c>
      <c r="E3853" s="5" t="s">
        <v>430</v>
      </c>
      <c r="G3853" s="5" t="s">
        <v>1917</v>
      </c>
    </row>
    <row r="3854" spans="4:7" hidden="1">
      <c r="D3854" s="5" t="s">
        <v>5736</v>
      </c>
      <c r="E3854" s="5" t="s">
        <v>1945</v>
      </c>
      <c r="G3854" s="5" t="s">
        <v>1917</v>
      </c>
    </row>
    <row r="3855" spans="4:7" hidden="1">
      <c r="D3855" s="5" t="s">
        <v>5737</v>
      </c>
      <c r="E3855" s="5" t="s">
        <v>427</v>
      </c>
      <c r="G3855" s="5" t="s">
        <v>1917</v>
      </c>
    </row>
    <row r="3856" spans="4:7" hidden="1">
      <c r="D3856" s="5" t="s">
        <v>5738</v>
      </c>
      <c r="E3856" s="5" t="s">
        <v>2091</v>
      </c>
      <c r="G3856" s="5" t="s">
        <v>1917</v>
      </c>
    </row>
    <row r="3857" spans="4:7" hidden="1">
      <c r="D3857" s="5" t="s">
        <v>5739</v>
      </c>
      <c r="E3857" s="5" t="s">
        <v>752</v>
      </c>
      <c r="G3857" s="5" t="s">
        <v>1917</v>
      </c>
    </row>
    <row r="3858" spans="4:7" hidden="1">
      <c r="D3858" s="5" t="s">
        <v>5740</v>
      </c>
      <c r="E3858" s="5" t="s">
        <v>430</v>
      </c>
      <c r="G3858" s="5" t="s">
        <v>1917</v>
      </c>
    </row>
    <row r="3859" spans="4:7" hidden="1">
      <c r="D3859" s="5" t="s">
        <v>5741</v>
      </c>
      <c r="E3859" s="5" t="s">
        <v>1945</v>
      </c>
      <c r="G3859" s="5" t="s">
        <v>1917</v>
      </c>
    </row>
    <row r="3860" spans="4:7" hidden="1">
      <c r="D3860" s="5" t="s">
        <v>5742</v>
      </c>
      <c r="E3860" s="5" t="s">
        <v>427</v>
      </c>
      <c r="G3860" s="5" t="s">
        <v>1917</v>
      </c>
    </row>
    <row r="3861" spans="4:7" hidden="1">
      <c r="D3861" s="5" t="s">
        <v>607</v>
      </c>
      <c r="E3861" s="5" t="s">
        <v>1894</v>
      </c>
      <c r="G3861" s="5" t="s">
        <v>1917</v>
      </c>
    </row>
    <row r="3862" spans="4:7" hidden="1">
      <c r="D3862" s="5" t="s">
        <v>5743</v>
      </c>
      <c r="E3862" s="5" t="s">
        <v>451</v>
      </c>
      <c r="G3862" s="5" t="s">
        <v>1917</v>
      </c>
    </row>
    <row r="3863" spans="4:7" hidden="1">
      <c r="D3863" s="5" t="s">
        <v>5744</v>
      </c>
      <c r="E3863" s="5" t="s">
        <v>1978</v>
      </c>
      <c r="G3863" s="5" t="s">
        <v>1917</v>
      </c>
    </row>
    <row r="3864" spans="4:7" hidden="1">
      <c r="D3864" s="5" t="s">
        <v>5745</v>
      </c>
      <c r="E3864" s="5" t="s">
        <v>2091</v>
      </c>
      <c r="G3864" s="5" t="s">
        <v>1917</v>
      </c>
    </row>
    <row r="3865" spans="4:7" hidden="1">
      <c r="D3865" s="5" t="s">
        <v>5746</v>
      </c>
      <c r="E3865" s="5" t="s">
        <v>451</v>
      </c>
      <c r="G3865" s="5" t="s">
        <v>1917</v>
      </c>
    </row>
    <row r="3866" spans="4:7" hidden="1">
      <c r="D3866" s="5" t="s">
        <v>5747</v>
      </c>
      <c r="E3866" s="5" t="s">
        <v>2254</v>
      </c>
      <c r="G3866" s="5" t="s">
        <v>1917</v>
      </c>
    </row>
    <row r="3867" spans="4:7" hidden="1">
      <c r="D3867" s="5" t="s">
        <v>5748</v>
      </c>
      <c r="E3867" s="5" t="s">
        <v>752</v>
      </c>
      <c r="G3867" s="5" t="s">
        <v>1917</v>
      </c>
    </row>
    <row r="3868" spans="4:7" hidden="1">
      <c r="D3868" s="5" t="s">
        <v>5749</v>
      </c>
      <c r="E3868" s="5" t="s">
        <v>427</v>
      </c>
      <c r="G3868" s="5" t="s">
        <v>1917</v>
      </c>
    </row>
    <row r="3869" spans="4:7" hidden="1">
      <c r="D3869" s="5" t="s">
        <v>5750</v>
      </c>
      <c r="E3869" s="5" t="s">
        <v>451</v>
      </c>
      <c r="G3869" s="5" t="s">
        <v>1917</v>
      </c>
    </row>
    <row r="3870" spans="4:7" hidden="1">
      <c r="D3870" s="5" t="s">
        <v>5751</v>
      </c>
      <c r="E3870" s="5" t="s">
        <v>430</v>
      </c>
      <c r="G3870" s="5" t="s">
        <v>1926</v>
      </c>
    </row>
    <row r="3871" spans="4:7" hidden="1">
      <c r="D3871" s="5" t="s">
        <v>5752</v>
      </c>
      <c r="E3871" s="5" t="s">
        <v>752</v>
      </c>
      <c r="G3871" s="5" t="s">
        <v>1917</v>
      </c>
    </row>
    <row r="3872" spans="4:7" hidden="1">
      <c r="D3872" s="5" t="s">
        <v>5753</v>
      </c>
      <c r="E3872" s="5" t="s">
        <v>1945</v>
      </c>
      <c r="G3872" s="5" t="s">
        <v>1926</v>
      </c>
    </row>
    <row r="3873" spans="4:7" hidden="1">
      <c r="D3873" s="5" t="s">
        <v>5754</v>
      </c>
      <c r="E3873" s="5" t="s">
        <v>812</v>
      </c>
      <c r="G3873" s="5" t="s">
        <v>1917</v>
      </c>
    </row>
    <row r="3874" spans="4:7" hidden="1">
      <c r="D3874" s="5" t="s">
        <v>5755</v>
      </c>
      <c r="E3874" s="5" t="s">
        <v>427</v>
      </c>
      <c r="G3874" s="5" t="s">
        <v>1917</v>
      </c>
    </row>
    <row r="3875" spans="4:7" hidden="1">
      <c r="D3875" s="5" t="s">
        <v>5756</v>
      </c>
      <c r="E3875" s="5" t="s">
        <v>2091</v>
      </c>
      <c r="G3875" s="5" t="s">
        <v>1917</v>
      </c>
    </row>
    <row r="3876" spans="4:7" hidden="1">
      <c r="D3876" s="5" t="s">
        <v>5757</v>
      </c>
      <c r="E3876" s="5" t="s">
        <v>451</v>
      </c>
      <c r="G3876" s="5" t="s">
        <v>1917</v>
      </c>
    </row>
    <row r="3877" spans="4:7" hidden="1">
      <c r="D3877" s="5" t="s">
        <v>1098</v>
      </c>
      <c r="E3877" s="5" t="s">
        <v>430</v>
      </c>
      <c r="G3877" s="5" t="s">
        <v>1917</v>
      </c>
    </row>
    <row r="3878" spans="4:7" hidden="1">
      <c r="D3878" s="5" t="s">
        <v>5758</v>
      </c>
      <c r="E3878" s="5" t="s">
        <v>430</v>
      </c>
      <c r="G3878" s="5" t="s">
        <v>1917</v>
      </c>
    </row>
    <row r="3879" spans="4:7" hidden="1">
      <c r="D3879" s="5" t="s">
        <v>5759</v>
      </c>
      <c r="E3879" s="5" t="s">
        <v>430</v>
      </c>
      <c r="G3879" s="5" t="s">
        <v>1917</v>
      </c>
    </row>
    <row r="3880" spans="4:7" hidden="1">
      <c r="D3880" s="5" t="s">
        <v>5760</v>
      </c>
      <c r="E3880" s="5" t="s">
        <v>1945</v>
      </c>
      <c r="G3880" s="5" t="s">
        <v>1917</v>
      </c>
    </row>
    <row r="3881" spans="4:7" hidden="1">
      <c r="D3881" s="5" t="s">
        <v>5761</v>
      </c>
      <c r="E3881" s="5" t="s">
        <v>309</v>
      </c>
      <c r="G3881" s="5" t="s">
        <v>1917</v>
      </c>
    </row>
    <row r="3882" spans="4:7" hidden="1">
      <c r="D3882" s="5" t="s">
        <v>5762</v>
      </c>
      <c r="E3882" s="5" t="s">
        <v>812</v>
      </c>
      <c r="G3882" s="5" t="s">
        <v>1917</v>
      </c>
    </row>
    <row r="3883" spans="4:7" hidden="1">
      <c r="D3883" s="5" t="s">
        <v>5763</v>
      </c>
      <c r="E3883" s="5" t="s">
        <v>2091</v>
      </c>
      <c r="G3883" s="5" t="s">
        <v>1917</v>
      </c>
    </row>
    <row r="3884" spans="4:7" hidden="1">
      <c r="D3884" s="5" t="s">
        <v>5764</v>
      </c>
      <c r="E3884" s="5" t="s">
        <v>451</v>
      </c>
      <c r="G3884" s="5" t="s">
        <v>1917</v>
      </c>
    </row>
    <row r="3885" spans="4:7" hidden="1">
      <c r="D3885" s="5" t="s">
        <v>5765</v>
      </c>
      <c r="E3885" s="5" t="s">
        <v>709</v>
      </c>
      <c r="G3885" s="5" t="s">
        <v>1917</v>
      </c>
    </row>
    <row r="3886" spans="4:7" hidden="1">
      <c r="D3886" s="5" t="s">
        <v>5766</v>
      </c>
      <c r="E3886" s="5" t="s">
        <v>1945</v>
      </c>
      <c r="G3886" s="5" t="s">
        <v>1917</v>
      </c>
    </row>
    <row r="3887" spans="4:7" hidden="1">
      <c r="D3887" s="5" t="s">
        <v>5767</v>
      </c>
      <c r="E3887" s="5" t="s">
        <v>812</v>
      </c>
      <c r="G3887" s="5" t="s">
        <v>1917</v>
      </c>
    </row>
    <row r="3888" spans="4:7" hidden="1">
      <c r="D3888" s="5" t="s">
        <v>5768</v>
      </c>
      <c r="E3888" s="5" t="s">
        <v>2091</v>
      </c>
      <c r="G3888" s="5" t="s">
        <v>1917</v>
      </c>
    </row>
    <row r="3889" spans="4:7" hidden="1">
      <c r="D3889" s="5" t="s">
        <v>5769</v>
      </c>
      <c r="E3889" s="5" t="s">
        <v>1945</v>
      </c>
      <c r="G3889" s="5" t="s">
        <v>1917</v>
      </c>
    </row>
    <row r="3890" spans="4:7" hidden="1">
      <c r="D3890" s="5" t="s">
        <v>5770</v>
      </c>
      <c r="E3890" s="5" t="s">
        <v>812</v>
      </c>
      <c r="G3890" s="5" t="s">
        <v>1917</v>
      </c>
    </row>
    <row r="3891" spans="4:7" hidden="1">
      <c r="D3891" s="5" t="s">
        <v>5771</v>
      </c>
      <c r="E3891" s="5" t="s">
        <v>2091</v>
      </c>
      <c r="G3891" s="5" t="s">
        <v>1917</v>
      </c>
    </row>
    <row r="3892" spans="4:7" hidden="1">
      <c r="D3892" s="5" t="s">
        <v>5772</v>
      </c>
      <c r="E3892" s="5" t="s">
        <v>430</v>
      </c>
      <c r="G3892" s="5" t="s">
        <v>1917</v>
      </c>
    </row>
    <row r="3893" spans="4:7" hidden="1">
      <c r="D3893" s="5" t="s">
        <v>1195</v>
      </c>
      <c r="E3893" s="5" t="s">
        <v>430</v>
      </c>
      <c r="G3893" s="5" t="s">
        <v>1926</v>
      </c>
    </row>
    <row r="3894" spans="4:7" hidden="1">
      <c r="D3894" s="5" t="s">
        <v>5773</v>
      </c>
      <c r="E3894" s="5" t="s">
        <v>427</v>
      </c>
      <c r="G3894" s="5" t="s">
        <v>1917</v>
      </c>
    </row>
    <row r="3895" spans="4:7" hidden="1">
      <c r="D3895" s="5" t="s">
        <v>5774</v>
      </c>
      <c r="E3895" s="5" t="s">
        <v>2091</v>
      </c>
      <c r="G3895" s="5" t="s">
        <v>1917</v>
      </c>
    </row>
    <row r="3896" spans="4:7" hidden="1">
      <c r="D3896" s="5" t="s">
        <v>5775</v>
      </c>
      <c r="E3896" s="5" t="s">
        <v>430</v>
      </c>
      <c r="G3896" s="5" t="s">
        <v>1926</v>
      </c>
    </row>
    <row r="3897" spans="4:7" hidden="1">
      <c r="D3897" s="5" t="s">
        <v>5776</v>
      </c>
      <c r="E3897" s="5" t="s">
        <v>791</v>
      </c>
      <c r="G3897" s="5" t="s">
        <v>1917</v>
      </c>
    </row>
    <row r="3898" spans="4:7" hidden="1">
      <c r="D3898" s="5" t="s">
        <v>5777</v>
      </c>
      <c r="E3898" s="5" t="s">
        <v>1945</v>
      </c>
      <c r="G3898" s="5" t="s">
        <v>1917</v>
      </c>
    </row>
    <row r="3899" spans="4:7" hidden="1">
      <c r="D3899" s="5" t="s">
        <v>5778</v>
      </c>
      <c r="E3899" s="5" t="s">
        <v>2091</v>
      </c>
      <c r="G3899" s="5" t="s">
        <v>1917</v>
      </c>
    </row>
    <row r="3900" spans="4:7" hidden="1">
      <c r="D3900" s="5" t="s">
        <v>1107</v>
      </c>
      <c r="E3900" s="5" t="s">
        <v>430</v>
      </c>
      <c r="G3900" s="5" t="s">
        <v>1926</v>
      </c>
    </row>
    <row r="3901" spans="4:7" hidden="1">
      <c r="D3901" s="5" t="s">
        <v>5779</v>
      </c>
      <c r="E3901" s="5" t="s">
        <v>430</v>
      </c>
      <c r="G3901" s="5" t="s">
        <v>1917</v>
      </c>
    </row>
    <row r="3902" spans="4:7" hidden="1">
      <c r="D3902" s="5" t="s">
        <v>5780</v>
      </c>
      <c r="E3902" s="5" t="s">
        <v>791</v>
      </c>
      <c r="G3902" s="5" t="s">
        <v>1917</v>
      </c>
    </row>
    <row r="3903" spans="4:7" hidden="1">
      <c r="D3903" s="5" t="s">
        <v>5781</v>
      </c>
      <c r="E3903" s="5" t="s">
        <v>1945</v>
      </c>
      <c r="G3903" s="5" t="s">
        <v>1917</v>
      </c>
    </row>
    <row r="3904" spans="4:7" hidden="1">
      <c r="D3904" s="5" t="s">
        <v>5782</v>
      </c>
      <c r="E3904" s="5" t="s">
        <v>2091</v>
      </c>
      <c r="G3904" s="5" t="s">
        <v>1917</v>
      </c>
    </row>
    <row r="3905" spans="4:7" hidden="1">
      <c r="D3905" s="5" t="s">
        <v>5783</v>
      </c>
      <c r="E3905" s="5" t="s">
        <v>309</v>
      </c>
      <c r="G3905" s="5" t="s">
        <v>1917</v>
      </c>
    </row>
    <row r="3906" spans="4:7" hidden="1">
      <c r="D3906" s="5" t="s">
        <v>5784</v>
      </c>
      <c r="E3906" s="5" t="s">
        <v>791</v>
      </c>
      <c r="G3906" s="5" t="s">
        <v>1917</v>
      </c>
    </row>
    <row r="3907" spans="4:7" hidden="1">
      <c r="D3907" s="5" t="s">
        <v>5785</v>
      </c>
      <c r="E3907" s="5" t="s">
        <v>812</v>
      </c>
      <c r="G3907" s="5" t="s">
        <v>1917</v>
      </c>
    </row>
    <row r="3908" spans="4:7" hidden="1">
      <c r="D3908" s="5" t="s">
        <v>5786</v>
      </c>
      <c r="E3908" s="5" t="s">
        <v>430</v>
      </c>
      <c r="G3908" s="5" t="s">
        <v>1917</v>
      </c>
    </row>
    <row r="3909" spans="4:7" hidden="1">
      <c r="D3909" s="5" t="s">
        <v>5787</v>
      </c>
      <c r="E3909" s="5" t="s">
        <v>752</v>
      </c>
      <c r="G3909" s="5" t="s">
        <v>1917</v>
      </c>
    </row>
    <row r="3910" spans="4:7" hidden="1">
      <c r="D3910" s="5" t="s">
        <v>5788</v>
      </c>
      <c r="E3910" s="5" t="s">
        <v>2091</v>
      </c>
      <c r="G3910" s="5" t="s">
        <v>1917</v>
      </c>
    </row>
    <row r="3911" spans="4:7" hidden="1">
      <c r="D3911" s="5" t="s">
        <v>1880</v>
      </c>
      <c r="E3911" s="5" t="s">
        <v>720</v>
      </c>
      <c r="G3911" s="5" t="s">
        <v>1917</v>
      </c>
    </row>
    <row r="3912" spans="4:7" hidden="1">
      <c r="D3912" s="5" t="s">
        <v>5789</v>
      </c>
      <c r="E3912" s="5" t="s">
        <v>1945</v>
      </c>
      <c r="G3912" s="5" t="s">
        <v>1917</v>
      </c>
    </row>
    <row r="3913" spans="4:7" hidden="1">
      <c r="D3913" s="5" t="s">
        <v>5790</v>
      </c>
      <c r="E3913" s="5" t="s">
        <v>309</v>
      </c>
      <c r="G3913" s="5" t="s">
        <v>1917</v>
      </c>
    </row>
    <row r="3914" spans="4:7" hidden="1">
      <c r="D3914" s="5" t="s">
        <v>5791</v>
      </c>
      <c r="E3914" s="5" t="s">
        <v>1945</v>
      </c>
      <c r="G3914" s="5" t="s">
        <v>1926</v>
      </c>
    </row>
    <row r="3915" spans="4:7" hidden="1">
      <c r="D3915" s="5" t="s">
        <v>1324</v>
      </c>
      <c r="E3915" s="5" t="s">
        <v>427</v>
      </c>
      <c r="G3915" s="5" t="s">
        <v>1926</v>
      </c>
    </row>
    <row r="3916" spans="4:7" hidden="1">
      <c r="D3916" s="5" t="s">
        <v>5792</v>
      </c>
      <c r="E3916" s="5" t="s">
        <v>1894</v>
      </c>
      <c r="G3916" s="5" t="s">
        <v>1926</v>
      </c>
    </row>
    <row r="3917" spans="4:7" hidden="1">
      <c r="D3917" s="5" t="s">
        <v>5793</v>
      </c>
      <c r="E3917" s="5" t="s">
        <v>427</v>
      </c>
      <c r="G3917" s="5" t="s">
        <v>1917</v>
      </c>
    </row>
    <row r="3918" spans="4:7" hidden="1">
      <c r="D3918" s="5" t="s">
        <v>5794</v>
      </c>
      <c r="E3918" s="5" t="s">
        <v>309</v>
      </c>
      <c r="G3918" s="5" t="s">
        <v>1917</v>
      </c>
    </row>
    <row r="3919" spans="4:7" hidden="1">
      <c r="D3919" s="5" t="s">
        <v>5795</v>
      </c>
      <c r="E3919" s="5" t="s">
        <v>427</v>
      </c>
      <c r="G3919" s="5" t="s">
        <v>1917</v>
      </c>
    </row>
    <row r="3920" spans="4:7" hidden="1">
      <c r="D3920" s="5" t="s">
        <v>5796</v>
      </c>
      <c r="E3920" s="5" t="s">
        <v>309</v>
      </c>
      <c r="G3920" s="5" t="s">
        <v>1917</v>
      </c>
    </row>
    <row r="3921" spans="4:7" hidden="1">
      <c r="D3921" s="5" t="s">
        <v>5797</v>
      </c>
      <c r="E3921" s="5" t="s">
        <v>1890</v>
      </c>
      <c r="G3921" s="5" t="s">
        <v>1917</v>
      </c>
    </row>
    <row r="3922" spans="4:7" hidden="1">
      <c r="D3922" s="5" t="s">
        <v>5798</v>
      </c>
      <c r="E3922" s="5" t="s">
        <v>1890</v>
      </c>
      <c r="G3922" s="5" t="s">
        <v>1917</v>
      </c>
    </row>
    <row r="3923" spans="4:7" hidden="1">
      <c r="D3923" s="5" t="s">
        <v>5799</v>
      </c>
      <c r="E3923" s="5" t="s">
        <v>5529</v>
      </c>
      <c r="G3923" s="5" t="s">
        <v>5530</v>
      </c>
    </row>
    <row r="3924" spans="4:7" hidden="1">
      <c r="D3924" s="5" t="s">
        <v>5800</v>
      </c>
      <c r="E3924" s="5" t="s">
        <v>1890</v>
      </c>
      <c r="G3924" s="5" t="s">
        <v>1917</v>
      </c>
    </row>
    <row r="3925" spans="4:7" hidden="1">
      <c r="D3925" s="5" t="s">
        <v>5801</v>
      </c>
      <c r="E3925" s="5" t="s">
        <v>1945</v>
      </c>
      <c r="G3925" s="5" t="s">
        <v>1917</v>
      </c>
    </row>
    <row r="3926" spans="4:7" hidden="1">
      <c r="D3926" s="5" t="s">
        <v>5802</v>
      </c>
      <c r="E3926" s="5" t="s">
        <v>309</v>
      </c>
      <c r="G3926" s="5" t="s">
        <v>1917</v>
      </c>
    </row>
    <row r="3927" spans="4:7" hidden="1">
      <c r="D3927" s="5" t="s">
        <v>5803</v>
      </c>
      <c r="E3927" s="5" t="s">
        <v>1890</v>
      </c>
      <c r="G3927" s="5" t="s">
        <v>1917</v>
      </c>
    </row>
    <row r="3928" spans="4:7" hidden="1">
      <c r="D3928" s="5" t="s">
        <v>5804</v>
      </c>
      <c r="E3928" s="5" t="s">
        <v>752</v>
      </c>
      <c r="G3928" s="5" t="s">
        <v>1917</v>
      </c>
    </row>
    <row r="3929" spans="4:7" hidden="1">
      <c r="D3929" s="5" t="s">
        <v>5805</v>
      </c>
      <c r="E3929" s="5" t="s">
        <v>430</v>
      </c>
      <c r="G3929" s="5" t="s">
        <v>1917</v>
      </c>
    </row>
    <row r="3930" spans="4:7" hidden="1">
      <c r="D3930" s="5" t="s">
        <v>5806</v>
      </c>
      <c r="E3930" s="5" t="s">
        <v>720</v>
      </c>
      <c r="G3930" s="5" t="s">
        <v>1917</v>
      </c>
    </row>
    <row r="3931" spans="4:7" hidden="1">
      <c r="D3931" s="5" t="s">
        <v>5807</v>
      </c>
      <c r="E3931" s="5" t="s">
        <v>309</v>
      </c>
      <c r="G3931" s="5" t="s">
        <v>1917</v>
      </c>
    </row>
    <row r="3932" spans="4:7" hidden="1">
      <c r="D3932" s="5" t="s">
        <v>5808</v>
      </c>
      <c r="E3932" s="5" t="s">
        <v>1890</v>
      </c>
      <c r="G3932" s="5" t="s">
        <v>1917</v>
      </c>
    </row>
    <row r="3933" spans="4:7" hidden="1">
      <c r="D3933" s="5" t="s">
        <v>5809</v>
      </c>
      <c r="E3933" s="5" t="s">
        <v>1953</v>
      </c>
      <c r="G3933" s="5" t="s">
        <v>1917</v>
      </c>
    </row>
    <row r="3934" spans="4:7" hidden="1">
      <c r="D3934" s="5" t="s">
        <v>5810</v>
      </c>
      <c r="E3934" s="5" t="s">
        <v>309</v>
      </c>
      <c r="G3934" s="5" t="s">
        <v>1917</v>
      </c>
    </row>
    <row r="3935" spans="4:7" hidden="1">
      <c r="D3935" s="5" t="s">
        <v>5811</v>
      </c>
      <c r="E3935" s="5" t="s">
        <v>427</v>
      </c>
      <c r="G3935" s="5" t="s">
        <v>1917</v>
      </c>
    </row>
    <row r="3936" spans="4:7" hidden="1">
      <c r="D3936" s="5" t="s">
        <v>5812</v>
      </c>
      <c r="E3936" s="5" t="s">
        <v>1890</v>
      </c>
      <c r="G3936" s="5" t="s">
        <v>1917</v>
      </c>
    </row>
    <row r="3937" spans="4:7" hidden="1">
      <c r="D3937" s="5" t="s">
        <v>5813</v>
      </c>
      <c r="E3937" s="5" t="s">
        <v>752</v>
      </c>
      <c r="G3937" s="5" t="s">
        <v>1917</v>
      </c>
    </row>
    <row r="3938" spans="4:7" hidden="1">
      <c r="D3938" s="5" t="s">
        <v>630</v>
      </c>
      <c r="E3938" s="5" t="s">
        <v>2468</v>
      </c>
      <c r="G3938" s="5" t="s">
        <v>1926</v>
      </c>
    </row>
    <row r="3939" spans="4:7" hidden="1">
      <c r="D3939" s="5" t="s">
        <v>5814</v>
      </c>
      <c r="E3939" s="5" t="s">
        <v>1890</v>
      </c>
      <c r="G3939" s="5" t="s">
        <v>1917</v>
      </c>
    </row>
    <row r="3940" spans="4:7" hidden="1">
      <c r="D3940" s="5" t="s">
        <v>5815</v>
      </c>
      <c r="E3940" s="5" t="s">
        <v>309</v>
      </c>
      <c r="G3940" s="5" t="s">
        <v>1917</v>
      </c>
    </row>
    <row r="3941" spans="4:7" hidden="1">
      <c r="D3941" s="5" t="s">
        <v>5816</v>
      </c>
      <c r="E3941" s="5" t="s">
        <v>1890</v>
      </c>
      <c r="G3941" s="5" t="s">
        <v>1917</v>
      </c>
    </row>
    <row r="3942" spans="4:7" hidden="1">
      <c r="D3942" s="5" t="s">
        <v>5817</v>
      </c>
      <c r="E3942" s="5" t="s">
        <v>309</v>
      </c>
      <c r="G3942" s="5" t="s">
        <v>1917</v>
      </c>
    </row>
    <row r="3943" spans="4:7" hidden="1">
      <c r="D3943" s="5" t="s">
        <v>5818</v>
      </c>
      <c r="E3943" s="5" t="s">
        <v>52</v>
      </c>
      <c r="G3943" s="5" t="s">
        <v>1917</v>
      </c>
    </row>
    <row r="3944" spans="4:7" hidden="1">
      <c r="D3944" s="5" t="s">
        <v>5819</v>
      </c>
      <c r="E3944" s="5" t="s">
        <v>309</v>
      </c>
      <c r="G3944" s="5" t="s">
        <v>1917</v>
      </c>
    </row>
    <row r="3945" spans="4:7" hidden="1">
      <c r="D3945" s="5" t="s">
        <v>5820</v>
      </c>
      <c r="E3945" s="5" t="s">
        <v>1953</v>
      </c>
      <c r="G3945" s="5" t="s">
        <v>1917</v>
      </c>
    </row>
    <row r="3946" spans="4:7" hidden="1">
      <c r="D3946" s="5" t="s">
        <v>5821</v>
      </c>
      <c r="E3946" s="5" t="s">
        <v>451</v>
      </c>
      <c r="G3946" s="5" t="s">
        <v>1917</v>
      </c>
    </row>
    <row r="3947" spans="4:7" hidden="1">
      <c r="D3947" s="5" t="s">
        <v>5822</v>
      </c>
      <c r="E3947" s="5" t="s">
        <v>52</v>
      </c>
      <c r="G3947" s="5" t="s">
        <v>1917</v>
      </c>
    </row>
    <row r="3948" spans="4:7" hidden="1">
      <c r="D3948" s="5" t="s">
        <v>5823</v>
      </c>
      <c r="E3948" s="5" t="s">
        <v>309</v>
      </c>
      <c r="G3948" s="5" t="s">
        <v>1917</v>
      </c>
    </row>
    <row r="3949" spans="4:7" hidden="1">
      <c r="D3949" s="5" t="s">
        <v>1312</v>
      </c>
      <c r="E3949" s="5" t="s">
        <v>451</v>
      </c>
      <c r="G3949" s="5" t="s">
        <v>1917</v>
      </c>
    </row>
    <row r="3950" spans="4:7" hidden="1">
      <c r="D3950" s="5" t="s">
        <v>5824</v>
      </c>
      <c r="E3950" s="5" t="s">
        <v>427</v>
      </c>
      <c r="G3950" s="5" t="s">
        <v>1917</v>
      </c>
    </row>
    <row r="3951" spans="4:7" hidden="1">
      <c r="D3951" s="5" t="s">
        <v>5825</v>
      </c>
      <c r="E3951" s="5" t="s">
        <v>52</v>
      </c>
      <c r="G3951" s="5" t="s">
        <v>1917</v>
      </c>
    </row>
    <row r="3952" spans="4:7" hidden="1">
      <c r="D3952" s="5" t="s">
        <v>5826</v>
      </c>
      <c r="E3952" s="5" t="s">
        <v>309</v>
      </c>
      <c r="G3952" s="5" t="s">
        <v>1917</v>
      </c>
    </row>
    <row r="3953" spans="4:7" hidden="1">
      <c r="D3953" s="5" t="s">
        <v>5827</v>
      </c>
      <c r="E3953" s="5" t="s">
        <v>1983</v>
      </c>
      <c r="G3953" s="5" t="s">
        <v>1917</v>
      </c>
    </row>
    <row r="3954" spans="4:7" hidden="1">
      <c r="D3954" s="5" t="s">
        <v>5828</v>
      </c>
      <c r="E3954" s="5" t="s">
        <v>309</v>
      </c>
      <c r="G3954" s="5" t="s">
        <v>1917</v>
      </c>
    </row>
    <row r="3955" spans="4:7" hidden="1">
      <c r="D3955" s="5" t="s">
        <v>5829</v>
      </c>
      <c r="E3955" s="5" t="s">
        <v>1953</v>
      </c>
      <c r="G3955" s="5" t="s">
        <v>1917</v>
      </c>
    </row>
    <row r="3956" spans="4:7" hidden="1">
      <c r="D3956" s="5" t="s">
        <v>5830</v>
      </c>
      <c r="E3956" s="5" t="s">
        <v>430</v>
      </c>
      <c r="G3956" s="5" t="s">
        <v>1917</v>
      </c>
    </row>
    <row r="3957" spans="4:7" hidden="1">
      <c r="D3957" s="5" t="s">
        <v>5831</v>
      </c>
      <c r="E3957" s="5" t="s">
        <v>2091</v>
      </c>
      <c r="G3957" s="5" t="s">
        <v>1917</v>
      </c>
    </row>
    <row r="3958" spans="4:7" hidden="1">
      <c r="D3958" s="5" t="s">
        <v>5832</v>
      </c>
      <c r="E3958" s="5" t="s">
        <v>52</v>
      </c>
      <c r="G3958" s="5" t="s">
        <v>1917</v>
      </c>
    </row>
    <row r="3959" spans="4:7" hidden="1">
      <c r="D3959" s="5" t="s">
        <v>5833</v>
      </c>
      <c r="E3959" s="5" t="s">
        <v>427</v>
      </c>
      <c r="G3959" s="5" t="s">
        <v>1917</v>
      </c>
    </row>
    <row r="3960" spans="4:7" hidden="1">
      <c r="D3960" s="5" t="s">
        <v>5834</v>
      </c>
      <c r="E3960" s="5" t="s">
        <v>309</v>
      </c>
      <c r="G3960" s="5" t="s">
        <v>1917</v>
      </c>
    </row>
    <row r="3961" spans="4:7" hidden="1">
      <c r="D3961" s="5" t="s">
        <v>5835</v>
      </c>
      <c r="E3961" s="5" t="s">
        <v>1953</v>
      </c>
      <c r="G3961" s="5" t="s">
        <v>1917</v>
      </c>
    </row>
    <row r="3962" spans="4:7" hidden="1">
      <c r="D3962" s="5" t="s">
        <v>5836</v>
      </c>
      <c r="E3962" s="5" t="s">
        <v>3661</v>
      </c>
      <c r="G3962" s="5" t="s">
        <v>1926</v>
      </c>
    </row>
    <row r="3963" spans="4:7" hidden="1">
      <c r="D3963" s="5" t="s">
        <v>5837</v>
      </c>
      <c r="E3963" s="5" t="s">
        <v>430</v>
      </c>
      <c r="G3963" s="5" t="s">
        <v>1917</v>
      </c>
    </row>
    <row r="3964" spans="4:7" hidden="1">
      <c r="D3964" s="5" t="s">
        <v>5838</v>
      </c>
      <c r="E3964" s="5" t="s">
        <v>430</v>
      </c>
      <c r="G3964" s="5" t="s">
        <v>1917</v>
      </c>
    </row>
    <row r="3965" spans="4:7" hidden="1">
      <c r="D3965" s="5" t="s">
        <v>5839</v>
      </c>
      <c r="E3965" s="5" t="s">
        <v>1916</v>
      </c>
      <c r="G3965" s="5" t="s">
        <v>1917</v>
      </c>
    </row>
    <row r="3966" spans="4:7" hidden="1">
      <c r="D3966" s="5" t="s">
        <v>5840</v>
      </c>
      <c r="E3966" s="5" t="s">
        <v>812</v>
      </c>
      <c r="G3966" s="5" t="s">
        <v>1917</v>
      </c>
    </row>
    <row r="3967" spans="4:7" hidden="1">
      <c r="D3967" s="5" t="s">
        <v>5841</v>
      </c>
      <c r="E3967" s="5" t="s">
        <v>1953</v>
      </c>
      <c r="G3967" s="5" t="s">
        <v>1917</v>
      </c>
    </row>
    <row r="3968" spans="4:7" hidden="1">
      <c r="D3968" s="5" t="s">
        <v>5842</v>
      </c>
      <c r="E3968" s="5" t="s">
        <v>1916</v>
      </c>
      <c r="G3968" s="5" t="s">
        <v>1917</v>
      </c>
    </row>
    <row r="3969" spans="4:7" hidden="1">
      <c r="D3969" s="5" t="s">
        <v>5843</v>
      </c>
      <c r="E3969" s="5" t="s">
        <v>1890</v>
      </c>
      <c r="G3969" s="5" t="s">
        <v>1917</v>
      </c>
    </row>
    <row r="3970" spans="4:7" hidden="1">
      <c r="D3970" s="5" t="s">
        <v>5844</v>
      </c>
      <c r="E3970" s="5" t="s">
        <v>309</v>
      </c>
      <c r="G3970" s="5" t="s">
        <v>1917</v>
      </c>
    </row>
    <row r="3971" spans="4:7" hidden="1">
      <c r="D3971" s="5" t="s">
        <v>5845</v>
      </c>
      <c r="E3971" s="5" t="s">
        <v>1953</v>
      </c>
      <c r="G3971" s="5" t="s">
        <v>1917</v>
      </c>
    </row>
    <row r="3972" spans="4:7" hidden="1">
      <c r="D3972" s="5" t="s">
        <v>5846</v>
      </c>
      <c r="E3972" s="5" t="s">
        <v>427</v>
      </c>
      <c r="G3972" s="5" t="s">
        <v>1917</v>
      </c>
    </row>
    <row r="3973" spans="4:7" hidden="1">
      <c r="D3973" s="5" t="s">
        <v>5847</v>
      </c>
      <c r="E3973" s="5" t="s">
        <v>1916</v>
      </c>
      <c r="G3973" s="5" t="s">
        <v>1926</v>
      </c>
    </row>
    <row r="3974" spans="4:7" hidden="1">
      <c r="D3974" s="5" t="s">
        <v>668</v>
      </c>
      <c r="E3974" s="5" t="s">
        <v>430</v>
      </c>
      <c r="G3974" s="5" t="s">
        <v>1917</v>
      </c>
    </row>
    <row r="3975" spans="4:7" hidden="1">
      <c r="D3975" s="5" t="s">
        <v>5848</v>
      </c>
      <c r="E3975" s="5" t="s">
        <v>1916</v>
      </c>
      <c r="G3975" s="5" t="s">
        <v>1926</v>
      </c>
    </row>
    <row r="3976" spans="4:7" hidden="1">
      <c r="D3976" s="5" t="s">
        <v>5849</v>
      </c>
      <c r="E3976" s="5" t="s">
        <v>812</v>
      </c>
      <c r="G3976" s="5" t="s">
        <v>1917</v>
      </c>
    </row>
    <row r="3977" spans="4:7" hidden="1">
      <c r="D3977" s="5" t="s">
        <v>5850</v>
      </c>
      <c r="E3977" s="5" t="s">
        <v>430</v>
      </c>
      <c r="G3977" s="5" t="s">
        <v>1926</v>
      </c>
    </row>
    <row r="3978" spans="4:7" hidden="1">
      <c r="D3978" s="5" t="s">
        <v>5851</v>
      </c>
      <c r="E3978" s="5" t="s">
        <v>812</v>
      </c>
      <c r="G3978" s="5" t="s">
        <v>1917</v>
      </c>
    </row>
    <row r="3979" spans="4:7" hidden="1">
      <c r="D3979" s="5" t="s">
        <v>5852</v>
      </c>
      <c r="E3979" s="5" t="s">
        <v>451</v>
      </c>
      <c r="G3979" s="5" t="s">
        <v>1917</v>
      </c>
    </row>
    <row r="3980" spans="4:7" hidden="1">
      <c r="D3980" s="5" t="s">
        <v>5853</v>
      </c>
      <c r="E3980" s="5" t="s">
        <v>812</v>
      </c>
      <c r="G3980" s="5" t="s">
        <v>1917</v>
      </c>
    </row>
    <row r="3981" spans="4:7" hidden="1">
      <c r="D3981" s="5" t="s">
        <v>5854</v>
      </c>
      <c r="E3981" s="5" t="s">
        <v>812</v>
      </c>
      <c r="G3981" s="5" t="s">
        <v>1917</v>
      </c>
    </row>
    <row r="3982" spans="4:7" hidden="1">
      <c r="D3982" s="5" t="s">
        <v>5855</v>
      </c>
      <c r="E3982" s="5" t="s">
        <v>1890</v>
      </c>
      <c r="G3982" s="5" t="s">
        <v>1917</v>
      </c>
    </row>
    <row r="3983" spans="4:7" hidden="1">
      <c r="D3983" s="5" t="s">
        <v>5856</v>
      </c>
      <c r="E3983" s="5" t="s">
        <v>2254</v>
      </c>
      <c r="G3983" s="5" t="s">
        <v>1917</v>
      </c>
    </row>
    <row r="3984" spans="4:7" hidden="1">
      <c r="D3984" s="5" t="s">
        <v>883</v>
      </c>
      <c r="E3984" s="5" t="s">
        <v>430</v>
      </c>
      <c r="G3984" s="5" t="s">
        <v>1917</v>
      </c>
    </row>
    <row r="3985" spans="4:7" hidden="1">
      <c r="D3985" s="5" t="s">
        <v>5857</v>
      </c>
      <c r="E3985" s="5" t="s">
        <v>2070</v>
      </c>
      <c r="G3985" s="5" t="s">
        <v>1917</v>
      </c>
    </row>
    <row r="3986" spans="4:7" hidden="1">
      <c r="D3986" s="5" t="s">
        <v>5858</v>
      </c>
      <c r="E3986" s="5" t="s">
        <v>812</v>
      </c>
      <c r="G3986" s="5" t="s">
        <v>1917</v>
      </c>
    </row>
    <row r="3987" spans="4:7" hidden="1">
      <c r="D3987" s="5" t="s">
        <v>5859</v>
      </c>
      <c r="E3987" s="5" t="s">
        <v>430</v>
      </c>
      <c r="G3987" s="5" t="s">
        <v>1917</v>
      </c>
    </row>
    <row r="3988" spans="4:7" hidden="1">
      <c r="D3988" s="5" t="s">
        <v>5860</v>
      </c>
      <c r="E3988" s="5" t="s">
        <v>812</v>
      </c>
      <c r="G3988" s="5" t="s">
        <v>1917</v>
      </c>
    </row>
    <row r="3989" spans="4:7" hidden="1">
      <c r="D3989" s="5" t="s">
        <v>5861</v>
      </c>
      <c r="E3989" s="5" t="s">
        <v>2005</v>
      </c>
      <c r="G3989" s="5" t="s">
        <v>1917</v>
      </c>
    </row>
    <row r="3990" spans="4:7" hidden="1">
      <c r="D3990" s="5" t="s">
        <v>5862</v>
      </c>
      <c r="E3990" s="5" t="s">
        <v>812</v>
      </c>
      <c r="G3990" s="5" t="s">
        <v>1917</v>
      </c>
    </row>
    <row r="3991" spans="4:7" hidden="1">
      <c r="D3991" s="5" t="s">
        <v>5863</v>
      </c>
      <c r="E3991" s="5" t="s">
        <v>430</v>
      </c>
      <c r="G3991" s="5" t="s">
        <v>1917</v>
      </c>
    </row>
    <row r="3992" spans="4:7" hidden="1">
      <c r="D3992" s="5" t="s">
        <v>5864</v>
      </c>
      <c r="E3992" s="5" t="s">
        <v>430</v>
      </c>
      <c r="G3992" s="5" t="s">
        <v>1917</v>
      </c>
    </row>
    <row r="3993" spans="4:7" hidden="1">
      <c r="D3993" s="5" t="s">
        <v>5865</v>
      </c>
      <c r="E3993" s="5" t="s">
        <v>430</v>
      </c>
      <c r="G3993" s="5" t="s">
        <v>1917</v>
      </c>
    </row>
    <row r="3994" spans="4:7" hidden="1">
      <c r="D3994" s="5" t="s">
        <v>459</v>
      </c>
      <c r="E3994" s="5" t="s">
        <v>430</v>
      </c>
      <c r="G3994" s="5" t="s">
        <v>1926</v>
      </c>
    </row>
    <row r="3995" spans="4:7" hidden="1">
      <c r="D3995" s="5" t="s">
        <v>5866</v>
      </c>
      <c r="E3995" s="5" t="s">
        <v>1901</v>
      </c>
      <c r="G3995" s="5" t="s">
        <v>1917</v>
      </c>
    </row>
    <row r="3996" spans="4:7" hidden="1">
      <c r="D3996" s="5" t="s">
        <v>5867</v>
      </c>
      <c r="E3996" s="5" t="s">
        <v>309</v>
      </c>
      <c r="G3996" s="5" t="s">
        <v>1917</v>
      </c>
    </row>
    <row r="3997" spans="4:7" hidden="1">
      <c r="D3997" s="5" t="s">
        <v>935</v>
      </c>
      <c r="E3997" s="5" t="s">
        <v>430</v>
      </c>
      <c r="G3997" s="5" t="s">
        <v>1926</v>
      </c>
    </row>
    <row r="3998" spans="4:7" hidden="1">
      <c r="D3998" s="5" t="s">
        <v>5868</v>
      </c>
      <c r="E3998" s="5" t="s">
        <v>1901</v>
      </c>
      <c r="G3998" s="5" t="s">
        <v>1917</v>
      </c>
    </row>
    <row r="3999" spans="4:7" hidden="1">
      <c r="D3999" s="5" t="s">
        <v>5869</v>
      </c>
      <c r="E3999" s="5" t="s">
        <v>791</v>
      </c>
      <c r="G3999" s="5" t="s">
        <v>1917</v>
      </c>
    </row>
    <row r="4000" spans="4:7" hidden="1">
      <c r="D4000" s="5" t="s">
        <v>5870</v>
      </c>
      <c r="E4000" s="5" t="s">
        <v>2091</v>
      </c>
      <c r="G4000" s="5" t="s">
        <v>1917</v>
      </c>
    </row>
    <row r="4001" spans="4:7" hidden="1">
      <c r="D4001" s="5" t="s">
        <v>5871</v>
      </c>
      <c r="E4001" s="5" t="s">
        <v>427</v>
      </c>
      <c r="G4001" s="5" t="s">
        <v>1917</v>
      </c>
    </row>
    <row r="4002" spans="4:7" hidden="1">
      <c r="D4002" s="5" t="s">
        <v>5872</v>
      </c>
      <c r="E4002" s="5" t="s">
        <v>427</v>
      </c>
      <c r="G4002" s="5" t="s">
        <v>1917</v>
      </c>
    </row>
    <row r="4003" spans="4:7" hidden="1">
      <c r="D4003" s="5" t="s">
        <v>5873</v>
      </c>
      <c r="E4003" s="5" t="s">
        <v>430</v>
      </c>
      <c r="G4003" s="5" t="s">
        <v>1917</v>
      </c>
    </row>
    <row r="4004" spans="4:7" hidden="1">
      <c r="D4004" s="5" t="s">
        <v>5874</v>
      </c>
      <c r="E4004" s="5" t="s">
        <v>168</v>
      </c>
      <c r="G4004" s="5" t="s">
        <v>1917</v>
      </c>
    </row>
    <row r="4005" spans="4:7" hidden="1">
      <c r="D4005" s="5" t="s">
        <v>5875</v>
      </c>
      <c r="E4005" s="5" t="s">
        <v>2091</v>
      </c>
      <c r="G4005" s="5" t="s">
        <v>1917</v>
      </c>
    </row>
    <row r="4006" spans="4:7" hidden="1">
      <c r="D4006" s="5" t="s">
        <v>5876</v>
      </c>
      <c r="E4006" s="5" t="s">
        <v>5529</v>
      </c>
      <c r="G4006" s="5" t="s">
        <v>5530</v>
      </c>
    </row>
    <row r="4007" spans="4:7" hidden="1">
      <c r="D4007" s="5" t="s">
        <v>5877</v>
      </c>
      <c r="E4007" s="5" t="s">
        <v>427</v>
      </c>
      <c r="G4007" s="5" t="s">
        <v>1917</v>
      </c>
    </row>
    <row r="4008" spans="4:7" hidden="1">
      <c r="D4008" s="5" t="s">
        <v>5878</v>
      </c>
      <c r="E4008" s="5" t="s">
        <v>2091</v>
      </c>
      <c r="G4008" s="5" t="s">
        <v>1917</v>
      </c>
    </row>
    <row r="4009" spans="4:7" hidden="1">
      <c r="D4009" s="5" t="s">
        <v>5879</v>
      </c>
      <c r="E4009" s="5" t="s">
        <v>3838</v>
      </c>
      <c r="G4009" s="5" t="s">
        <v>1917</v>
      </c>
    </row>
    <row r="4010" spans="4:7" hidden="1">
      <c r="D4010" s="5" t="s">
        <v>5880</v>
      </c>
      <c r="E4010" s="5" t="s">
        <v>2091</v>
      </c>
      <c r="G4010" s="5" t="s">
        <v>1917</v>
      </c>
    </row>
    <row r="4011" spans="4:7" hidden="1">
      <c r="D4011" s="5" t="s">
        <v>5881</v>
      </c>
      <c r="E4011" s="5" t="s">
        <v>2091</v>
      </c>
      <c r="G4011" s="5" t="s">
        <v>1917</v>
      </c>
    </row>
    <row r="4012" spans="4:7" hidden="1">
      <c r="D4012" s="5" t="s">
        <v>5882</v>
      </c>
      <c r="E4012" s="5" t="s">
        <v>2091</v>
      </c>
      <c r="G4012" s="5" t="s">
        <v>1917</v>
      </c>
    </row>
    <row r="4013" spans="4:7" hidden="1">
      <c r="D4013" s="5" t="s">
        <v>5883</v>
      </c>
      <c r="E4013" s="5" t="s">
        <v>427</v>
      </c>
      <c r="G4013" s="5" t="s">
        <v>1917</v>
      </c>
    </row>
    <row r="4014" spans="4:7" hidden="1">
      <c r="D4014" s="5" t="s">
        <v>5884</v>
      </c>
      <c r="E4014" s="5" t="s">
        <v>2091</v>
      </c>
      <c r="G4014" s="5" t="s">
        <v>1917</v>
      </c>
    </row>
    <row r="4015" spans="4:7" hidden="1">
      <c r="D4015" s="5" t="s">
        <v>5885</v>
      </c>
      <c r="E4015" s="5" t="s">
        <v>427</v>
      </c>
      <c r="G4015" s="5" t="s">
        <v>1917</v>
      </c>
    </row>
    <row r="4016" spans="4:7" hidden="1">
      <c r="D4016" s="5" t="s">
        <v>5886</v>
      </c>
      <c r="E4016" s="5" t="s">
        <v>1953</v>
      </c>
      <c r="G4016" s="5" t="s">
        <v>1917</v>
      </c>
    </row>
    <row r="4017" spans="4:7" hidden="1">
      <c r="D4017" s="5" t="s">
        <v>5887</v>
      </c>
      <c r="E4017" s="5" t="s">
        <v>1945</v>
      </c>
      <c r="G4017" s="5" t="s">
        <v>1917</v>
      </c>
    </row>
    <row r="4018" spans="4:7" hidden="1">
      <c r="D4018" s="5" t="s">
        <v>5888</v>
      </c>
      <c r="E4018" s="5" t="s">
        <v>2091</v>
      </c>
      <c r="G4018" s="5" t="s">
        <v>1917</v>
      </c>
    </row>
    <row r="4019" spans="4:7" hidden="1">
      <c r="D4019" s="5" t="s">
        <v>5889</v>
      </c>
      <c r="E4019" s="5" t="s">
        <v>720</v>
      </c>
      <c r="G4019" s="5" t="s">
        <v>1917</v>
      </c>
    </row>
    <row r="4020" spans="4:7" hidden="1">
      <c r="D4020" s="5" t="s">
        <v>5890</v>
      </c>
      <c r="E4020" s="5" t="s">
        <v>3656</v>
      </c>
      <c r="G4020" s="5" t="s">
        <v>1917</v>
      </c>
    </row>
    <row r="4021" spans="4:7" hidden="1">
      <c r="D4021" s="5" t="s">
        <v>5891</v>
      </c>
      <c r="E4021" s="5" t="s">
        <v>3656</v>
      </c>
      <c r="G4021" s="5" t="s">
        <v>1917</v>
      </c>
    </row>
    <row r="4022" spans="4:7" hidden="1">
      <c r="D4022" s="5" t="s">
        <v>5892</v>
      </c>
      <c r="E4022" s="5" t="s">
        <v>1953</v>
      </c>
      <c r="G4022" s="5" t="s">
        <v>1917</v>
      </c>
    </row>
    <row r="4023" spans="4:7" hidden="1">
      <c r="D4023" s="5" t="s">
        <v>5893</v>
      </c>
      <c r="E4023" s="5" t="s">
        <v>2254</v>
      </c>
      <c r="G4023" s="5" t="s">
        <v>1917</v>
      </c>
    </row>
    <row r="4024" spans="4:7" hidden="1">
      <c r="D4024" s="5" t="s">
        <v>5894</v>
      </c>
      <c r="E4024" s="5" t="s">
        <v>812</v>
      </c>
      <c r="G4024" s="5" t="s">
        <v>1917</v>
      </c>
    </row>
    <row r="4025" spans="4:7" hidden="1">
      <c r="D4025" s="5" t="s">
        <v>5895</v>
      </c>
      <c r="E4025" s="5" t="s">
        <v>309</v>
      </c>
      <c r="G4025" s="5" t="s">
        <v>1917</v>
      </c>
    </row>
    <row r="4026" spans="4:7" hidden="1">
      <c r="D4026" s="5" t="s">
        <v>5896</v>
      </c>
      <c r="E4026" s="5" t="s">
        <v>2254</v>
      </c>
      <c r="G4026" s="5" t="s">
        <v>1917</v>
      </c>
    </row>
    <row r="4027" spans="4:7" hidden="1">
      <c r="D4027" s="5" t="s">
        <v>5897</v>
      </c>
      <c r="E4027" s="5" t="s">
        <v>812</v>
      </c>
      <c r="G4027" s="5" t="s">
        <v>1917</v>
      </c>
    </row>
    <row r="4028" spans="4:7" hidden="1">
      <c r="D4028" s="5" t="s">
        <v>5898</v>
      </c>
      <c r="E4028" s="5" t="s">
        <v>752</v>
      </c>
      <c r="G4028" s="5" t="s">
        <v>1917</v>
      </c>
    </row>
    <row r="4029" spans="4:7" hidden="1">
      <c r="D4029" s="5" t="s">
        <v>5899</v>
      </c>
      <c r="E4029" s="5" t="s">
        <v>2091</v>
      </c>
      <c r="G4029" s="5" t="s">
        <v>1917</v>
      </c>
    </row>
    <row r="4030" spans="4:7" hidden="1">
      <c r="D4030" s="5" t="s">
        <v>5900</v>
      </c>
      <c r="E4030" s="5" t="s">
        <v>309</v>
      </c>
      <c r="G4030" s="5" t="s">
        <v>1917</v>
      </c>
    </row>
    <row r="4031" spans="4:7" hidden="1">
      <c r="D4031" s="5" t="s">
        <v>5901</v>
      </c>
      <c r="E4031" s="5" t="s">
        <v>812</v>
      </c>
      <c r="G4031" s="5" t="s">
        <v>1917</v>
      </c>
    </row>
    <row r="4032" spans="4:7" hidden="1">
      <c r="D4032" s="5" t="s">
        <v>5902</v>
      </c>
      <c r="E4032" s="5" t="s">
        <v>2091</v>
      </c>
      <c r="G4032" s="5" t="s">
        <v>1917</v>
      </c>
    </row>
    <row r="4033" spans="4:7" hidden="1">
      <c r="D4033" s="5" t="s">
        <v>5903</v>
      </c>
      <c r="E4033" s="5" t="s">
        <v>2091</v>
      </c>
      <c r="G4033" s="5" t="s">
        <v>1917</v>
      </c>
    </row>
    <row r="4034" spans="4:7" hidden="1">
      <c r="D4034" s="5" t="s">
        <v>5904</v>
      </c>
      <c r="E4034" s="5" t="s">
        <v>427</v>
      </c>
      <c r="G4034" s="5" t="s">
        <v>1917</v>
      </c>
    </row>
    <row r="4035" spans="4:7" hidden="1">
      <c r="D4035" s="5" t="s">
        <v>5905</v>
      </c>
      <c r="E4035" s="5" t="s">
        <v>309</v>
      </c>
      <c r="G4035" s="5" t="s">
        <v>1917</v>
      </c>
    </row>
    <row r="4036" spans="4:7" hidden="1">
      <c r="D4036" s="5" t="s">
        <v>5906</v>
      </c>
      <c r="E4036" s="5" t="s">
        <v>2091</v>
      </c>
      <c r="G4036" s="5" t="s">
        <v>1917</v>
      </c>
    </row>
    <row r="4037" spans="4:7" hidden="1">
      <c r="D4037" s="5" t="s">
        <v>5907</v>
      </c>
      <c r="E4037" s="5" t="s">
        <v>427</v>
      </c>
      <c r="G4037" s="5" t="s">
        <v>1917</v>
      </c>
    </row>
    <row r="4038" spans="4:7" hidden="1">
      <c r="D4038" s="5" t="s">
        <v>5908</v>
      </c>
      <c r="E4038" s="5" t="s">
        <v>2091</v>
      </c>
      <c r="G4038" s="5" t="s">
        <v>1917</v>
      </c>
    </row>
    <row r="4039" spans="4:7" hidden="1">
      <c r="D4039" s="5" t="s">
        <v>5909</v>
      </c>
      <c r="E4039" s="5" t="s">
        <v>427</v>
      </c>
      <c r="G4039" s="5" t="s">
        <v>1917</v>
      </c>
    </row>
    <row r="4040" spans="4:7" hidden="1">
      <c r="D4040" s="5" t="s">
        <v>1893</v>
      </c>
      <c r="E4040" s="5" t="s">
        <v>1894</v>
      </c>
      <c r="G4040" s="5" t="s">
        <v>1926</v>
      </c>
    </row>
    <row r="4041" spans="4:7" hidden="1">
      <c r="D4041" s="5" t="s">
        <v>5910</v>
      </c>
      <c r="E4041" s="5" t="s">
        <v>171</v>
      </c>
      <c r="G4041" s="5" t="s">
        <v>1917</v>
      </c>
    </row>
    <row r="4042" spans="4:7" hidden="1">
      <c r="D4042" s="5" t="s">
        <v>5911</v>
      </c>
      <c r="E4042" s="5" t="s">
        <v>2091</v>
      </c>
      <c r="G4042" s="5" t="s">
        <v>1917</v>
      </c>
    </row>
    <row r="4043" spans="4:7" hidden="1">
      <c r="D4043" s="5" t="s">
        <v>5912</v>
      </c>
      <c r="E4043" s="5" t="s">
        <v>2091</v>
      </c>
      <c r="G4043" s="5" t="s">
        <v>1917</v>
      </c>
    </row>
    <row r="4044" spans="4:7" hidden="1">
      <c r="D4044" s="5" t="s">
        <v>5913</v>
      </c>
      <c r="E4044" s="5" t="s">
        <v>430</v>
      </c>
      <c r="G4044" s="5" t="s">
        <v>1917</v>
      </c>
    </row>
    <row r="4045" spans="4:7" hidden="1">
      <c r="D4045" s="5" t="s">
        <v>5914</v>
      </c>
      <c r="E4045" s="5" t="s">
        <v>720</v>
      </c>
      <c r="G4045" s="5" t="s">
        <v>1917</v>
      </c>
    </row>
    <row r="4046" spans="4:7" hidden="1">
      <c r="D4046" s="5" t="s">
        <v>5915</v>
      </c>
      <c r="E4046" s="5" t="s">
        <v>2091</v>
      </c>
      <c r="G4046" s="5" t="s">
        <v>1917</v>
      </c>
    </row>
    <row r="4047" spans="4:7" hidden="1">
      <c r="D4047" s="5" t="s">
        <v>5916</v>
      </c>
      <c r="E4047" s="5" t="s">
        <v>720</v>
      </c>
      <c r="G4047" s="5" t="s">
        <v>1917</v>
      </c>
    </row>
    <row r="4048" spans="4:7" hidden="1">
      <c r="D4048" s="5" t="s">
        <v>5917</v>
      </c>
      <c r="E4048" s="5" t="s">
        <v>812</v>
      </c>
      <c r="G4048" s="5" t="s">
        <v>1917</v>
      </c>
    </row>
    <row r="4049" spans="4:7" hidden="1">
      <c r="D4049" s="5" t="s">
        <v>5918</v>
      </c>
      <c r="E4049" s="5" t="s">
        <v>1945</v>
      </c>
      <c r="G4049" s="5" t="s">
        <v>1917</v>
      </c>
    </row>
    <row r="4050" spans="4:7" hidden="1">
      <c r="D4050" s="5" t="s">
        <v>5919</v>
      </c>
      <c r="E4050" s="5" t="s">
        <v>1890</v>
      </c>
      <c r="G4050" s="5" t="s">
        <v>1917</v>
      </c>
    </row>
    <row r="4051" spans="4:7" hidden="1">
      <c r="D4051" s="5" t="s">
        <v>5920</v>
      </c>
      <c r="E4051" s="5" t="s">
        <v>1945</v>
      </c>
      <c r="G4051" s="5" t="s">
        <v>1917</v>
      </c>
    </row>
    <row r="4052" spans="4:7" hidden="1">
      <c r="D4052" s="5" t="s">
        <v>5921</v>
      </c>
      <c r="E4052" s="5" t="s">
        <v>2091</v>
      </c>
      <c r="G4052" s="5" t="s">
        <v>1917</v>
      </c>
    </row>
    <row r="4053" spans="4:7" hidden="1">
      <c r="D4053" s="5" t="s">
        <v>5922</v>
      </c>
      <c r="E4053" s="5" t="s">
        <v>2091</v>
      </c>
      <c r="G4053" s="5" t="s">
        <v>1917</v>
      </c>
    </row>
    <row r="4054" spans="4:7" hidden="1">
      <c r="D4054" s="5" t="s">
        <v>5923</v>
      </c>
      <c r="E4054" s="5" t="s">
        <v>2091</v>
      </c>
      <c r="G4054" s="5" t="s">
        <v>1917</v>
      </c>
    </row>
    <row r="4055" spans="4:7" hidden="1">
      <c r="D4055" s="5" t="s">
        <v>5924</v>
      </c>
      <c r="E4055" s="5" t="s">
        <v>451</v>
      </c>
      <c r="G4055" s="5" t="s">
        <v>1917</v>
      </c>
    </row>
    <row r="4056" spans="4:7" hidden="1">
      <c r="D4056" s="5" t="s">
        <v>5925</v>
      </c>
      <c r="E4056" s="5" t="s">
        <v>2091</v>
      </c>
      <c r="G4056" s="5" t="s">
        <v>1917</v>
      </c>
    </row>
    <row r="4057" spans="4:7" hidden="1">
      <c r="D4057" s="5" t="s">
        <v>5926</v>
      </c>
      <c r="E4057" s="5" t="s">
        <v>1978</v>
      </c>
      <c r="G4057" s="5" t="s">
        <v>1917</v>
      </c>
    </row>
    <row r="4058" spans="4:7" hidden="1">
      <c r="D4058" s="5" t="s">
        <v>5927</v>
      </c>
      <c r="E4058" s="5" t="s">
        <v>2091</v>
      </c>
      <c r="G4058" s="5" t="s">
        <v>1917</v>
      </c>
    </row>
    <row r="4059" spans="4:7" hidden="1">
      <c r="D4059" s="5" t="s">
        <v>5928</v>
      </c>
      <c r="E4059" s="5" t="s">
        <v>451</v>
      </c>
      <c r="G4059" s="5" t="s">
        <v>1917</v>
      </c>
    </row>
    <row r="4060" spans="4:7" hidden="1">
      <c r="D4060" s="5" t="s">
        <v>5929</v>
      </c>
      <c r="E4060" s="5" t="s">
        <v>2091</v>
      </c>
      <c r="G4060" s="5" t="s">
        <v>1917</v>
      </c>
    </row>
    <row r="4061" spans="4:7" hidden="1">
      <c r="D4061" s="5" t="s">
        <v>5930</v>
      </c>
      <c r="E4061" s="5" t="s">
        <v>451</v>
      </c>
      <c r="G4061" s="5" t="s">
        <v>1917</v>
      </c>
    </row>
    <row r="4062" spans="4:7" hidden="1">
      <c r="D4062" s="5" t="s">
        <v>5931</v>
      </c>
      <c r="E4062" s="5" t="s">
        <v>2091</v>
      </c>
      <c r="G4062" s="5" t="s">
        <v>1917</v>
      </c>
    </row>
    <row r="4063" spans="4:7" hidden="1">
      <c r="D4063" s="5" t="s">
        <v>5932</v>
      </c>
      <c r="E4063" s="5" t="s">
        <v>1901</v>
      </c>
      <c r="G4063" s="5" t="s">
        <v>1917</v>
      </c>
    </row>
    <row r="4064" spans="4:7" hidden="1">
      <c r="D4064" s="5" t="s">
        <v>5933</v>
      </c>
      <c r="E4064" s="5" t="s">
        <v>427</v>
      </c>
      <c r="G4064" s="5" t="s">
        <v>1917</v>
      </c>
    </row>
    <row r="4065" spans="4:7" hidden="1">
      <c r="D4065" s="5" t="s">
        <v>5934</v>
      </c>
      <c r="E4065" s="5" t="s">
        <v>2091</v>
      </c>
      <c r="G4065" s="5" t="s">
        <v>1917</v>
      </c>
    </row>
    <row r="4066" spans="4:7" hidden="1">
      <c r="D4066" s="5" t="s">
        <v>5935</v>
      </c>
      <c r="E4066" s="5" t="s">
        <v>5529</v>
      </c>
      <c r="G4066" s="5" t="s">
        <v>5530</v>
      </c>
    </row>
    <row r="4067" spans="4:7" hidden="1">
      <c r="D4067" s="5" t="s">
        <v>5936</v>
      </c>
      <c r="E4067" s="5" t="s">
        <v>451</v>
      </c>
      <c r="G4067" s="5" t="s">
        <v>1917</v>
      </c>
    </row>
    <row r="4068" spans="4:7" hidden="1">
      <c r="D4068" s="5" t="s">
        <v>5937</v>
      </c>
      <c r="E4068" s="5" t="s">
        <v>2091</v>
      </c>
      <c r="G4068" s="5" t="s">
        <v>1917</v>
      </c>
    </row>
    <row r="4069" spans="4:7" hidden="1">
      <c r="D4069" s="5" t="s">
        <v>5938</v>
      </c>
      <c r="E4069" s="5" t="s">
        <v>1945</v>
      </c>
      <c r="G4069" s="5" t="s">
        <v>1917</v>
      </c>
    </row>
    <row r="4070" spans="4:7" hidden="1">
      <c r="D4070" s="5" t="s">
        <v>5939</v>
      </c>
      <c r="E4070" s="5" t="s">
        <v>2091</v>
      </c>
      <c r="G4070" s="5" t="s">
        <v>1917</v>
      </c>
    </row>
    <row r="4071" spans="4:7" hidden="1">
      <c r="D4071" s="5" t="s">
        <v>846</v>
      </c>
      <c r="E4071" s="5" t="s">
        <v>1901</v>
      </c>
      <c r="G4071" s="5" t="s">
        <v>1917</v>
      </c>
    </row>
    <row r="4072" spans="4:7" hidden="1">
      <c r="D4072" s="5" t="s">
        <v>5940</v>
      </c>
      <c r="E4072" s="5" t="s">
        <v>430</v>
      </c>
      <c r="G4072" s="5" t="s">
        <v>1926</v>
      </c>
    </row>
    <row r="4073" spans="4:7" hidden="1">
      <c r="D4073" s="5" t="s">
        <v>5941</v>
      </c>
      <c r="E4073" s="5" t="s">
        <v>451</v>
      </c>
      <c r="G4073" s="5" t="s">
        <v>1917</v>
      </c>
    </row>
    <row r="4074" spans="4:7" hidden="1">
      <c r="D4074" s="5" t="s">
        <v>5942</v>
      </c>
      <c r="E4074" s="5" t="s">
        <v>168</v>
      </c>
      <c r="G4074" s="5" t="s">
        <v>1917</v>
      </c>
    </row>
    <row r="4075" spans="4:7" hidden="1">
      <c r="D4075" s="5" t="s">
        <v>5943</v>
      </c>
      <c r="E4075" s="5" t="s">
        <v>1901</v>
      </c>
      <c r="G4075" s="5" t="s">
        <v>1917</v>
      </c>
    </row>
    <row r="4076" spans="4:7" hidden="1">
      <c r="D4076" s="5" t="s">
        <v>5944</v>
      </c>
      <c r="E4076" s="5" t="s">
        <v>430</v>
      </c>
      <c r="G4076" s="5" t="s">
        <v>1926</v>
      </c>
    </row>
    <row r="4077" spans="4:7" hidden="1">
      <c r="D4077" s="5" t="s">
        <v>5945</v>
      </c>
      <c r="E4077" s="5" t="s">
        <v>451</v>
      </c>
      <c r="G4077" s="5" t="s">
        <v>1917</v>
      </c>
    </row>
    <row r="4078" spans="4:7" hidden="1">
      <c r="D4078" s="5" t="s">
        <v>5946</v>
      </c>
      <c r="E4078" s="5" t="s">
        <v>2091</v>
      </c>
      <c r="G4078" s="5" t="s">
        <v>1917</v>
      </c>
    </row>
    <row r="4079" spans="4:7" hidden="1">
      <c r="D4079" s="5" t="s">
        <v>5947</v>
      </c>
      <c r="E4079" s="5" t="s">
        <v>1901</v>
      </c>
      <c r="G4079" s="5" t="s">
        <v>1926</v>
      </c>
    </row>
    <row r="4080" spans="4:7" hidden="1">
      <c r="D4080" s="5" t="s">
        <v>5948</v>
      </c>
      <c r="E4080" s="5" t="s">
        <v>451</v>
      </c>
      <c r="G4080" s="5" t="s">
        <v>1917</v>
      </c>
    </row>
    <row r="4081" spans="4:7" hidden="1">
      <c r="D4081" s="5" t="s">
        <v>5949</v>
      </c>
      <c r="E4081" s="5" t="s">
        <v>2091</v>
      </c>
      <c r="G4081" s="5" t="s">
        <v>1917</v>
      </c>
    </row>
    <row r="4082" spans="4:7" hidden="1">
      <c r="D4082" s="5" t="s">
        <v>5950</v>
      </c>
      <c r="E4082" s="5" t="s">
        <v>430</v>
      </c>
      <c r="G4082" s="5" t="s">
        <v>1926</v>
      </c>
    </row>
    <row r="4083" spans="4:7" hidden="1">
      <c r="D4083" s="5" t="s">
        <v>5951</v>
      </c>
      <c r="E4083" s="5" t="s">
        <v>2091</v>
      </c>
      <c r="G4083" s="5" t="s">
        <v>1917</v>
      </c>
    </row>
    <row r="4084" spans="4:7" hidden="1">
      <c r="D4084" s="5" t="s">
        <v>1332</v>
      </c>
      <c r="E4084" s="5" t="s">
        <v>1916</v>
      </c>
      <c r="G4084" s="5" t="s">
        <v>1917</v>
      </c>
    </row>
    <row r="4085" spans="4:7" hidden="1">
      <c r="D4085" s="5" t="s">
        <v>5952</v>
      </c>
      <c r="E4085" s="5" t="s">
        <v>309</v>
      </c>
      <c r="G4085" s="5" t="s">
        <v>1917</v>
      </c>
    </row>
    <row r="4086" spans="4:7" hidden="1">
      <c r="D4086" s="5" t="s">
        <v>5953</v>
      </c>
      <c r="E4086" s="5" t="s">
        <v>2091</v>
      </c>
      <c r="G4086" s="5" t="s">
        <v>1917</v>
      </c>
    </row>
    <row r="4087" spans="4:7" hidden="1">
      <c r="D4087" s="5" t="s">
        <v>5954</v>
      </c>
      <c r="E4087" s="5" t="s">
        <v>1901</v>
      </c>
      <c r="G4087" s="5" t="s">
        <v>1917</v>
      </c>
    </row>
    <row r="4088" spans="4:7" hidden="1">
      <c r="D4088" s="5" t="s">
        <v>5955</v>
      </c>
      <c r="E4088" s="5" t="s">
        <v>791</v>
      </c>
      <c r="G4088" s="5" t="s">
        <v>1917</v>
      </c>
    </row>
    <row r="4089" spans="4:7" hidden="1">
      <c r="D4089" s="5" t="s">
        <v>5956</v>
      </c>
      <c r="E4089" s="5" t="s">
        <v>5529</v>
      </c>
      <c r="G4089" s="5" t="s">
        <v>5530</v>
      </c>
    </row>
    <row r="4090" spans="4:7" hidden="1">
      <c r="D4090" s="5" t="s">
        <v>5957</v>
      </c>
      <c r="E4090" s="5" t="s">
        <v>430</v>
      </c>
      <c r="G4090" s="5" t="s">
        <v>1917</v>
      </c>
    </row>
    <row r="4091" spans="4:7" hidden="1">
      <c r="D4091" s="5" t="s">
        <v>5958</v>
      </c>
      <c r="E4091" s="5" t="s">
        <v>2091</v>
      </c>
      <c r="G4091" s="5" t="s">
        <v>1917</v>
      </c>
    </row>
    <row r="4092" spans="4:7" hidden="1">
      <c r="D4092" s="5" t="s">
        <v>5959</v>
      </c>
      <c r="E4092" s="5" t="s">
        <v>1890</v>
      </c>
      <c r="G4092" s="5" t="s">
        <v>1917</v>
      </c>
    </row>
    <row r="4093" spans="4:7" hidden="1">
      <c r="D4093" s="5" t="s">
        <v>5960</v>
      </c>
      <c r="E4093" s="5" t="s">
        <v>1901</v>
      </c>
      <c r="G4093" s="5" t="s">
        <v>1917</v>
      </c>
    </row>
    <row r="4094" spans="4:7" hidden="1">
      <c r="D4094" s="5" t="s">
        <v>5961</v>
      </c>
      <c r="E4094" s="5" t="s">
        <v>791</v>
      </c>
      <c r="G4094" s="5" t="s">
        <v>1917</v>
      </c>
    </row>
    <row r="4095" spans="4:7" hidden="1">
      <c r="D4095" s="5" t="s">
        <v>5962</v>
      </c>
      <c r="E4095" s="5" t="s">
        <v>309</v>
      </c>
      <c r="G4095" s="5" t="s">
        <v>1917</v>
      </c>
    </row>
    <row r="4096" spans="4:7" hidden="1">
      <c r="D4096" s="5" t="s">
        <v>5963</v>
      </c>
      <c r="E4096" s="5" t="s">
        <v>430</v>
      </c>
      <c r="G4096" s="5" t="s">
        <v>1917</v>
      </c>
    </row>
    <row r="4097" spans="4:7" hidden="1">
      <c r="D4097" s="5" t="s">
        <v>5964</v>
      </c>
      <c r="E4097" s="5" t="s">
        <v>2091</v>
      </c>
      <c r="G4097" s="5" t="s">
        <v>1917</v>
      </c>
    </row>
    <row r="4098" spans="4:7" hidden="1">
      <c r="D4098" s="5" t="s">
        <v>5965</v>
      </c>
      <c r="E4098" s="5" t="s">
        <v>5529</v>
      </c>
      <c r="G4098" s="5" t="s">
        <v>5530</v>
      </c>
    </row>
    <row r="4099" spans="4:7" hidden="1">
      <c r="D4099" s="5" t="s">
        <v>5966</v>
      </c>
      <c r="E4099" s="5" t="s">
        <v>2091</v>
      </c>
      <c r="G4099" s="5" t="s">
        <v>1917</v>
      </c>
    </row>
    <row r="4100" spans="4:7" hidden="1">
      <c r="D4100" s="5" t="s">
        <v>5967</v>
      </c>
      <c r="E4100" s="5" t="s">
        <v>1953</v>
      </c>
      <c r="G4100" s="5" t="s">
        <v>1917</v>
      </c>
    </row>
    <row r="4101" spans="4:7" hidden="1">
      <c r="D4101" s="5" t="s">
        <v>5968</v>
      </c>
      <c r="E4101" s="5" t="s">
        <v>309</v>
      </c>
      <c r="G4101" s="5" t="s">
        <v>1917</v>
      </c>
    </row>
    <row r="4102" spans="4:7" hidden="1">
      <c r="D4102" s="5" t="s">
        <v>5969</v>
      </c>
      <c r="E4102" s="5" t="s">
        <v>427</v>
      </c>
      <c r="G4102" s="5" t="s">
        <v>1917</v>
      </c>
    </row>
    <row r="4103" spans="4:7" hidden="1">
      <c r="D4103" s="5" t="s">
        <v>5970</v>
      </c>
      <c r="E4103" s="5" t="s">
        <v>2091</v>
      </c>
      <c r="G4103" s="5" t="s">
        <v>1917</v>
      </c>
    </row>
    <row r="4104" spans="4:7" hidden="1">
      <c r="D4104" s="5" t="s">
        <v>5971</v>
      </c>
      <c r="E4104" s="5" t="s">
        <v>2091</v>
      </c>
      <c r="G4104" s="5" t="s">
        <v>1917</v>
      </c>
    </row>
    <row r="4105" spans="4:7" hidden="1">
      <c r="D4105" s="5" t="s">
        <v>5972</v>
      </c>
      <c r="E4105" s="5" t="s">
        <v>5529</v>
      </c>
      <c r="G4105" s="5" t="s">
        <v>5530</v>
      </c>
    </row>
    <row r="4106" spans="4:7" hidden="1">
      <c r="D4106" s="5" t="s">
        <v>5973</v>
      </c>
      <c r="E4106" s="5" t="s">
        <v>2091</v>
      </c>
      <c r="G4106" s="5" t="s">
        <v>1917</v>
      </c>
    </row>
    <row r="4107" spans="4:7" hidden="1">
      <c r="D4107" s="5" t="s">
        <v>5974</v>
      </c>
      <c r="E4107" s="5" t="s">
        <v>5975</v>
      </c>
      <c r="G4107" s="5" t="s">
        <v>1926</v>
      </c>
    </row>
    <row r="4108" spans="4:7" hidden="1">
      <c r="D4108" s="5" t="s">
        <v>5976</v>
      </c>
      <c r="E4108" s="5" t="s">
        <v>720</v>
      </c>
      <c r="G4108" s="5" t="s">
        <v>1917</v>
      </c>
    </row>
    <row r="4109" spans="4:7" hidden="1">
      <c r="D4109" s="5" t="s">
        <v>5977</v>
      </c>
      <c r="E4109" s="5" t="s">
        <v>812</v>
      </c>
      <c r="G4109" s="5" t="s">
        <v>1917</v>
      </c>
    </row>
    <row r="4110" spans="4:7" hidden="1">
      <c r="D4110" s="5" t="s">
        <v>5978</v>
      </c>
      <c r="E4110" s="5" t="s">
        <v>2091</v>
      </c>
      <c r="G4110" s="5" t="s">
        <v>1917</v>
      </c>
    </row>
    <row r="4111" spans="4:7" hidden="1">
      <c r="D4111" s="5" t="s">
        <v>5979</v>
      </c>
      <c r="E4111" s="5" t="s">
        <v>2536</v>
      </c>
      <c r="G4111" s="5" t="s">
        <v>1926</v>
      </c>
    </row>
    <row r="4112" spans="4:7" hidden="1">
      <c r="D4112" s="5" t="s">
        <v>5980</v>
      </c>
      <c r="E4112" s="5" t="s">
        <v>720</v>
      </c>
      <c r="G4112" s="5" t="s">
        <v>1917</v>
      </c>
    </row>
    <row r="4113" spans="4:7" hidden="1">
      <c r="D4113" s="5" t="s">
        <v>5981</v>
      </c>
      <c r="E4113" s="5" t="s">
        <v>5982</v>
      </c>
      <c r="G4113" s="5" t="s">
        <v>1926</v>
      </c>
    </row>
    <row r="4114" spans="4:7" hidden="1">
      <c r="D4114" s="5" t="s">
        <v>5983</v>
      </c>
      <c r="E4114" s="5" t="s">
        <v>2091</v>
      </c>
      <c r="G4114" s="5" t="s">
        <v>1917</v>
      </c>
    </row>
    <row r="4115" spans="4:7" hidden="1">
      <c r="D4115" s="5" t="s">
        <v>5984</v>
      </c>
      <c r="E4115" s="5" t="s">
        <v>430</v>
      </c>
      <c r="G4115" s="5" t="s">
        <v>1926</v>
      </c>
    </row>
    <row r="4116" spans="4:7" hidden="1">
      <c r="D4116" s="5" t="s">
        <v>5985</v>
      </c>
      <c r="E4116" s="5" t="s">
        <v>812</v>
      </c>
      <c r="G4116" s="5" t="s">
        <v>1917</v>
      </c>
    </row>
    <row r="4117" spans="4:7" hidden="1">
      <c r="D4117" s="5" t="s">
        <v>5986</v>
      </c>
      <c r="E4117" s="5" t="s">
        <v>5529</v>
      </c>
      <c r="G4117" s="5" t="s">
        <v>5530</v>
      </c>
    </row>
    <row r="4118" spans="4:7" hidden="1">
      <c r="D4118" s="5" t="s">
        <v>5987</v>
      </c>
      <c r="E4118" s="5" t="s">
        <v>430</v>
      </c>
      <c r="G4118" s="5" t="s">
        <v>1917</v>
      </c>
    </row>
    <row r="4119" spans="4:7" hidden="1">
      <c r="D4119" s="5" t="s">
        <v>5988</v>
      </c>
      <c r="E4119" s="5" t="s">
        <v>430</v>
      </c>
      <c r="G4119" s="5" t="s">
        <v>1926</v>
      </c>
    </row>
    <row r="4120" spans="4:7" hidden="1">
      <c r="D4120" s="5" t="s">
        <v>5989</v>
      </c>
      <c r="E4120" s="5" t="s">
        <v>812</v>
      </c>
      <c r="G4120" s="5" t="s">
        <v>1917</v>
      </c>
    </row>
    <row r="4121" spans="4:7" hidden="1">
      <c r="D4121" s="5" t="s">
        <v>5990</v>
      </c>
      <c r="E4121" s="5" t="s">
        <v>2091</v>
      </c>
      <c r="G4121" s="5" t="s">
        <v>1917</v>
      </c>
    </row>
    <row r="4122" spans="4:7" hidden="1">
      <c r="D4122" s="5" t="s">
        <v>5991</v>
      </c>
      <c r="E4122" s="5" t="s">
        <v>427</v>
      </c>
      <c r="G4122" s="5" t="s">
        <v>1917</v>
      </c>
    </row>
    <row r="4123" spans="4:7" hidden="1">
      <c r="D4123" s="5" t="s">
        <v>5992</v>
      </c>
      <c r="E4123" s="5" t="s">
        <v>2070</v>
      </c>
      <c r="G4123" s="5" t="s">
        <v>1917</v>
      </c>
    </row>
    <row r="4124" spans="4:7" hidden="1">
      <c r="D4124" s="5" t="s">
        <v>5993</v>
      </c>
      <c r="E4124" s="5" t="s">
        <v>812</v>
      </c>
      <c r="G4124" s="5" t="s">
        <v>1917</v>
      </c>
    </row>
    <row r="4125" spans="4:7" hidden="1">
      <c r="D4125" s="5" t="s">
        <v>5994</v>
      </c>
      <c r="E4125" s="5" t="s">
        <v>2091</v>
      </c>
      <c r="G4125" s="5" t="s">
        <v>1917</v>
      </c>
    </row>
    <row r="4126" spans="4:7" hidden="1">
      <c r="D4126" s="5" t="s">
        <v>5995</v>
      </c>
      <c r="E4126" s="5" t="s">
        <v>812</v>
      </c>
      <c r="G4126" s="5" t="s">
        <v>1926</v>
      </c>
    </row>
    <row r="4127" spans="4:7" hidden="1">
      <c r="D4127" s="5" t="s">
        <v>5996</v>
      </c>
      <c r="E4127" s="5" t="s">
        <v>2091</v>
      </c>
      <c r="G4127" s="5" t="s">
        <v>1917</v>
      </c>
    </row>
    <row r="4128" spans="4:7" hidden="1">
      <c r="D4128" s="5" t="s">
        <v>5997</v>
      </c>
      <c r="E4128" s="5" t="s">
        <v>812</v>
      </c>
      <c r="G4128" s="5" t="s">
        <v>1917</v>
      </c>
    </row>
    <row r="4129" spans="4:7" hidden="1">
      <c r="D4129" s="5" t="s">
        <v>5998</v>
      </c>
      <c r="E4129" s="5" t="s">
        <v>2091</v>
      </c>
      <c r="G4129" s="5" t="s">
        <v>1917</v>
      </c>
    </row>
    <row r="4130" spans="4:7" hidden="1">
      <c r="D4130" s="5" t="s">
        <v>5999</v>
      </c>
      <c r="E4130" s="5" t="s">
        <v>168</v>
      </c>
      <c r="G4130" s="5" t="s">
        <v>1917</v>
      </c>
    </row>
    <row r="4131" spans="4:7" hidden="1">
      <c r="D4131" s="5" t="s">
        <v>6000</v>
      </c>
      <c r="E4131" s="5" t="s">
        <v>427</v>
      </c>
      <c r="G4131" s="5" t="s">
        <v>1917</v>
      </c>
    </row>
    <row r="4132" spans="4:7" hidden="1">
      <c r="D4132" s="5" t="s">
        <v>6001</v>
      </c>
      <c r="E4132" s="5" t="s">
        <v>2819</v>
      </c>
      <c r="G4132" s="5" t="s">
        <v>1917</v>
      </c>
    </row>
    <row r="4133" spans="4:7" hidden="1">
      <c r="D4133" s="5" t="s">
        <v>6002</v>
      </c>
      <c r="E4133" s="5" t="s">
        <v>2005</v>
      </c>
      <c r="G4133" s="5" t="s">
        <v>1917</v>
      </c>
    </row>
    <row r="4134" spans="4:7" hidden="1">
      <c r="D4134" s="5" t="s">
        <v>6003</v>
      </c>
      <c r="E4134" s="5" t="s">
        <v>812</v>
      </c>
      <c r="G4134" s="5" t="s">
        <v>1917</v>
      </c>
    </row>
    <row r="4135" spans="4:7" hidden="1">
      <c r="D4135" s="5" t="s">
        <v>6004</v>
      </c>
      <c r="E4135" s="5" t="s">
        <v>2091</v>
      </c>
      <c r="G4135" s="5" t="s">
        <v>1917</v>
      </c>
    </row>
    <row r="4136" spans="4:7" hidden="1">
      <c r="D4136" s="5" t="s">
        <v>6005</v>
      </c>
      <c r="E4136" s="5" t="s">
        <v>171</v>
      </c>
      <c r="G4136" s="5" t="s">
        <v>1917</v>
      </c>
    </row>
    <row r="4137" spans="4:7" hidden="1">
      <c r="D4137" s="5" t="s">
        <v>6006</v>
      </c>
      <c r="E4137" s="5" t="s">
        <v>812</v>
      </c>
      <c r="G4137" s="5" t="s">
        <v>1917</v>
      </c>
    </row>
    <row r="4138" spans="4:7" hidden="1">
      <c r="D4138" s="5" t="s">
        <v>6007</v>
      </c>
      <c r="E4138" s="5" t="s">
        <v>2091</v>
      </c>
      <c r="G4138" s="5" t="s">
        <v>1917</v>
      </c>
    </row>
    <row r="4139" spans="4:7" hidden="1">
      <c r="D4139" s="5" t="s">
        <v>6008</v>
      </c>
      <c r="E4139" s="5" t="s">
        <v>451</v>
      </c>
      <c r="G4139" s="5" t="s">
        <v>1917</v>
      </c>
    </row>
    <row r="4140" spans="4:7" hidden="1">
      <c r="D4140" s="5" t="s">
        <v>6009</v>
      </c>
      <c r="E4140" s="5" t="s">
        <v>720</v>
      </c>
      <c r="G4140" s="5" t="s">
        <v>1917</v>
      </c>
    </row>
    <row r="4141" spans="4:7" hidden="1">
      <c r="D4141" s="5" t="s">
        <v>6010</v>
      </c>
      <c r="E4141" s="5" t="s">
        <v>812</v>
      </c>
      <c r="G4141" s="5" t="s">
        <v>1917</v>
      </c>
    </row>
    <row r="4142" spans="4:7" hidden="1">
      <c r="D4142" s="5" t="s">
        <v>6011</v>
      </c>
      <c r="E4142" s="5" t="s">
        <v>2091</v>
      </c>
      <c r="G4142" s="5" t="s">
        <v>1917</v>
      </c>
    </row>
    <row r="4143" spans="4:7" hidden="1">
      <c r="D4143" s="5" t="s">
        <v>6012</v>
      </c>
      <c r="E4143" s="5" t="s">
        <v>451</v>
      </c>
      <c r="G4143" s="5" t="s">
        <v>1917</v>
      </c>
    </row>
    <row r="4144" spans="4:7" hidden="1">
      <c r="D4144" s="5" t="s">
        <v>6013</v>
      </c>
      <c r="E4144" s="5" t="s">
        <v>2091</v>
      </c>
      <c r="G4144" s="5" t="s">
        <v>1917</v>
      </c>
    </row>
    <row r="4145" spans="4:7" hidden="1">
      <c r="D4145" s="5" t="s">
        <v>6014</v>
      </c>
      <c r="E4145" s="5" t="s">
        <v>2091</v>
      </c>
      <c r="G4145" s="5" t="s">
        <v>1917</v>
      </c>
    </row>
    <row r="4146" spans="4:7" hidden="1">
      <c r="D4146" s="5" t="s">
        <v>6015</v>
      </c>
      <c r="E4146" s="5" t="s">
        <v>451</v>
      </c>
      <c r="G4146" s="5" t="s">
        <v>1917</v>
      </c>
    </row>
    <row r="4147" spans="4:7" hidden="1">
      <c r="D4147" s="5" t="s">
        <v>6016</v>
      </c>
      <c r="E4147" s="5" t="s">
        <v>2091</v>
      </c>
      <c r="G4147" s="5" t="s">
        <v>1917</v>
      </c>
    </row>
    <row r="4148" spans="4:7" hidden="1">
      <c r="D4148" s="5" t="s">
        <v>6017</v>
      </c>
      <c r="E4148" s="5" t="s">
        <v>427</v>
      </c>
      <c r="G4148" s="5" t="s">
        <v>1917</v>
      </c>
    </row>
    <row r="4149" spans="4:7" hidden="1">
      <c r="D4149" s="5" t="s">
        <v>6018</v>
      </c>
      <c r="E4149" s="5" t="s">
        <v>1890</v>
      </c>
      <c r="G4149" s="5" t="s">
        <v>1917</v>
      </c>
    </row>
    <row r="4150" spans="4:7" hidden="1">
      <c r="D4150" s="5" t="s">
        <v>6019</v>
      </c>
      <c r="E4150" s="5" t="s">
        <v>1890</v>
      </c>
      <c r="G4150" s="5" t="s">
        <v>1917</v>
      </c>
    </row>
    <row r="4151" spans="4:7" hidden="1">
      <c r="D4151" s="5" t="s">
        <v>6020</v>
      </c>
      <c r="E4151" s="5" t="s">
        <v>2091</v>
      </c>
      <c r="G4151" s="5" t="s">
        <v>1917</v>
      </c>
    </row>
    <row r="4152" spans="4:7" hidden="1">
      <c r="D4152" s="5" t="s">
        <v>6021</v>
      </c>
      <c r="E4152" s="5" t="s">
        <v>1890</v>
      </c>
      <c r="G4152" s="5" t="s">
        <v>1917</v>
      </c>
    </row>
    <row r="4153" spans="4:7" hidden="1">
      <c r="D4153" s="5" t="s">
        <v>6022</v>
      </c>
      <c r="E4153" s="5" t="s">
        <v>5529</v>
      </c>
      <c r="G4153" s="5" t="s">
        <v>5530</v>
      </c>
    </row>
    <row r="4154" spans="4:7" hidden="1">
      <c r="D4154" s="5" t="s">
        <v>6023</v>
      </c>
      <c r="E4154" s="5" t="s">
        <v>4977</v>
      </c>
      <c r="G4154" s="5" t="s">
        <v>5530</v>
      </c>
    </row>
    <row r="4155" spans="4:7" hidden="1">
      <c r="D4155" s="5" t="s">
        <v>6024</v>
      </c>
      <c r="E4155" s="5" t="s">
        <v>2254</v>
      </c>
      <c r="G4155" s="5" t="s">
        <v>1917</v>
      </c>
    </row>
    <row r="4156" spans="4:7" hidden="1">
      <c r="D4156" s="5" t="s">
        <v>6025</v>
      </c>
      <c r="E4156" s="5" t="s">
        <v>1890</v>
      </c>
      <c r="G4156" s="5" t="s">
        <v>1917</v>
      </c>
    </row>
    <row r="4157" spans="4:7" hidden="1">
      <c r="D4157" s="5" t="s">
        <v>6026</v>
      </c>
      <c r="E4157" s="5" t="s">
        <v>2091</v>
      </c>
      <c r="G4157" s="5" t="s">
        <v>1917</v>
      </c>
    </row>
    <row r="4158" spans="4:7" hidden="1">
      <c r="D4158" s="5" t="s">
        <v>6027</v>
      </c>
      <c r="E4158" s="5" t="s">
        <v>427</v>
      </c>
      <c r="G4158" s="5" t="s">
        <v>1917</v>
      </c>
    </row>
    <row r="4159" spans="4:7" hidden="1">
      <c r="D4159" s="5" t="s">
        <v>6028</v>
      </c>
      <c r="E4159" s="5" t="s">
        <v>1890</v>
      </c>
      <c r="G4159" s="5" t="s">
        <v>1917</v>
      </c>
    </row>
    <row r="4160" spans="4:7" hidden="1">
      <c r="D4160" s="5" t="s">
        <v>6029</v>
      </c>
      <c r="E4160" s="5" t="s">
        <v>720</v>
      </c>
      <c r="G4160" s="5" t="s">
        <v>1917</v>
      </c>
    </row>
    <row r="4161" spans="4:7" hidden="1">
      <c r="D4161" s="5" t="s">
        <v>6030</v>
      </c>
      <c r="E4161" s="5" t="s">
        <v>1890</v>
      </c>
      <c r="G4161" s="5" t="s">
        <v>1917</v>
      </c>
    </row>
    <row r="4162" spans="4:7" hidden="1">
      <c r="D4162" s="5" t="s">
        <v>6031</v>
      </c>
      <c r="E4162" s="5" t="s">
        <v>2091</v>
      </c>
      <c r="G4162" s="5" t="s">
        <v>1917</v>
      </c>
    </row>
    <row r="4163" spans="4:7" hidden="1">
      <c r="D4163" s="5" t="s">
        <v>6032</v>
      </c>
      <c r="E4163" s="5" t="s">
        <v>1953</v>
      </c>
      <c r="G4163" s="5" t="s">
        <v>1917</v>
      </c>
    </row>
    <row r="4164" spans="4:7" hidden="1">
      <c r="D4164" s="5" t="s">
        <v>6033</v>
      </c>
      <c r="E4164" s="5" t="s">
        <v>720</v>
      </c>
      <c r="G4164" s="5" t="s">
        <v>1917</v>
      </c>
    </row>
    <row r="4165" spans="4:7" hidden="1">
      <c r="D4165" s="5" t="s">
        <v>6034</v>
      </c>
      <c r="E4165" s="5" t="s">
        <v>1890</v>
      </c>
      <c r="G4165" s="5" t="s">
        <v>1917</v>
      </c>
    </row>
    <row r="4166" spans="4:7" hidden="1">
      <c r="D4166" s="5" t="s">
        <v>6035</v>
      </c>
      <c r="E4166" s="5" t="s">
        <v>720</v>
      </c>
      <c r="G4166" s="5" t="s">
        <v>1917</v>
      </c>
    </row>
    <row r="4167" spans="4:7" hidden="1">
      <c r="D4167" s="5" t="s">
        <v>6036</v>
      </c>
      <c r="E4167" s="5" t="s">
        <v>427</v>
      </c>
      <c r="G4167" s="5" t="s">
        <v>1917</v>
      </c>
    </row>
    <row r="4168" spans="4:7" hidden="1">
      <c r="D4168" s="5" t="s">
        <v>6037</v>
      </c>
      <c r="E4168" s="5" t="s">
        <v>720</v>
      </c>
      <c r="G4168" s="5" t="s">
        <v>1917</v>
      </c>
    </row>
    <row r="4169" spans="4:7" hidden="1">
      <c r="D4169" s="5" t="s">
        <v>6038</v>
      </c>
      <c r="E4169" s="5" t="s">
        <v>1890</v>
      </c>
      <c r="G4169" s="5" t="s">
        <v>1917</v>
      </c>
    </row>
    <row r="4170" spans="4:7" hidden="1">
      <c r="D4170" s="5" t="s">
        <v>6039</v>
      </c>
      <c r="E4170" s="5" t="s">
        <v>720</v>
      </c>
      <c r="G4170" s="5" t="s">
        <v>1917</v>
      </c>
    </row>
    <row r="4171" spans="4:7" hidden="1">
      <c r="D4171" s="5" t="s">
        <v>6040</v>
      </c>
      <c r="E4171" s="5" t="s">
        <v>1890</v>
      </c>
      <c r="G4171" s="5" t="s">
        <v>1917</v>
      </c>
    </row>
    <row r="4172" spans="4:7" hidden="1">
      <c r="D4172" s="5" t="s">
        <v>6041</v>
      </c>
      <c r="E4172" s="5" t="s">
        <v>709</v>
      </c>
      <c r="G4172" s="5" t="s">
        <v>1917</v>
      </c>
    </row>
    <row r="4173" spans="4:7" hidden="1">
      <c r="D4173" s="5" t="s">
        <v>6042</v>
      </c>
      <c r="E4173" s="5" t="s">
        <v>791</v>
      </c>
      <c r="G4173" s="5" t="s">
        <v>1917</v>
      </c>
    </row>
    <row r="4174" spans="4:7" hidden="1">
      <c r="D4174" s="5" t="s">
        <v>6043</v>
      </c>
      <c r="E4174" s="5" t="s">
        <v>309</v>
      </c>
      <c r="G4174" s="5" t="s">
        <v>1917</v>
      </c>
    </row>
    <row r="4175" spans="4:7" hidden="1">
      <c r="D4175" s="5" t="s">
        <v>6044</v>
      </c>
      <c r="E4175" s="5" t="s">
        <v>709</v>
      </c>
      <c r="G4175" s="5" t="s">
        <v>1917</v>
      </c>
    </row>
    <row r="4176" spans="4:7" hidden="1">
      <c r="D4176" s="5" t="s">
        <v>6045</v>
      </c>
      <c r="E4176" s="5" t="s">
        <v>430</v>
      </c>
      <c r="G4176" s="5" t="s">
        <v>1917</v>
      </c>
    </row>
    <row r="4177" spans="4:7" hidden="1">
      <c r="D4177" s="5" t="s">
        <v>6046</v>
      </c>
      <c r="E4177" s="5" t="s">
        <v>709</v>
      </c>
      <c r="G4177" s="5" t="s">
        <v>1917</v>
      </c>
    </row>
    <row r="4178" spans="4:7" hidden="1">
      <c r="D4178" s="5" t="s">
        <v>6047</v>
      </c>
      <c r="E4178" s="5" t="s">
        <v>709</v>
      </c>
      <c r="G4178" s="5" t="s">
        <v>1917</v>
      </c>
    </row>
    <row r="4179" spans="4:7" hidden="1">
      <c r="D4179" s="5" t="s">
        <v>6048</v>
      </c>
      <c r="E4179" s="5" t="s">
        <v>168</v>
      </c>
      <c r="G4179" s="5" t="s">
        <v>1917</v>
      </c>
    </row>
    <row r="4180" spans="4:7" hidden="1">
      <c r="D4180" s="5" t="s">
        <v>6049</v>
      </c>
      <c r="E4180" s="5" t="s">
        <v>709</v>
      </c>
      <c r="G4180" s="5" t="s">
        <v>1917</v>
      </c>
    </row>
    <row r="4181" spans="4:7" hidden="1">
      <c r="D4181" s="5" t="s">
        <v>6050</v>
      </c>
      <c r="E4181" s="5" t="s">
        <v>430</v>
      </c>
      <c r="G4181" s="5" t="s">
        <v>1917</v>
      </c>
    </row>
    <row r="4182" spans="4:7" hidden="1">
      <c r="D4182" s="5" t="s">
        <v>6051</v>
      </c>
      <c r="E4182" s="5" t="s">
        <v>709</v>
      </c>
      <c r="G4182" s="5" t="s">
        <v>1926</v>
      </c>
    </row>
    <row r="4183" spans="4:7" hidden="1">
      <c r="D4183" s="5" t="s">
        <v>6052</v>
      </c>
      <c r="E4183" s="5" t="s">
        <v>709</v>
      </c>
      <c r="G4183" s="5" t="s">
        <v>1917</v>
      </c>
    </row>
    <row r="4184" spans="4:7" hidden="1">
      <c r="D4184" s="5" t="s">
        <v>6053</v>
      </c>
      <c r="E4184" s="5" t="s">
        <v>309</v>
      </c>
      <c r="G4184" s="5" t="s">
        <v>1917</v>
      </c>
    </row>
    <row r="4185" spans="4:7" hidden="1">
      <c r="D4185" s="5" t="s">
        <v>6054</v>
      </c>
      <c r="E4185" s="5" t="s">
        <v>52</v>
      </c>
      <c r="G4185" s="5" t="s">
        <v>1917</v>
      </c>
    </row>
    <row r="4186" spans="4:7" hidden="1">
      <c r="D4186" s="5" t="s">
        <v>6055</v>
      </c>
      <c r="E4186" s="5" t="s">
        <v>430</v>
      </c>
      <c r="G4186" s="5" t="s">
        <v>1917</v>
      </c>
    </row>
    <row r="4187" spans="4:7" hidden="1">
      <c r="D4187" s="5" t="s">
        <v>6056</v>
      </c>
      <c r="E4187" s="5" t="s">
        <v>709</v>
      </c>
      <c r="G4187" s="5" t="s">
        <v>1917</v>
      </c>
    </row>
    <row r="4188" spans="4:7" hidden="1">
      <c r="D4188" s="5" t="s">
        <v>6057</v>
      </c>
      <c r="E4188" s="5" t="s">
        <v>5529</v>
      </c>
      <c r="G4188" s="5" t="s">
        <v>5530</v>
      </c>
    </row>
    <row r="4189" spans="4:7" hidden="1">
      <c r="D4189" s="5" t="s">
        <v>6058</v>
      </c>
      <c r="E4189" s="5" t="s">
        <v>709</v>
      </c>
      <c r="G4189" s="5" t="s">
        <v>1917</v>
      </c>
    </row>
    <row r="4190" spans="4:7" hidden="1">
      <c r="D4190" s="5" t="s">
        <v>6059</v>
      </c>
      <c r="E4190" s="5" t="s">
        <v>5082</v>
      </c>
      <c r="G4190" s="5" t="s">
        <v>1926</v>
      </c>
    </row>
    <row r="4191" spans="4:7" hidden="1">
      <c r="D4191" s="5" t="s">
        <v>6060</v>
      </c>
      <c r="E4191" s="5" t="s">
        <v>709</v>
      </c>
      <c r="G4191" s="5" t="s">
        <v>1917</v>
      </c>
    </row>
    <row r="4192" spans="4:7" hidden="1">
      <c r="D4192" s="5" t="s">
        <v>6061</v>
      </c>
      <c r="E4192" s="5" t="s">
        <v>5529</v>
      </c>
      <c r="G4192" s="5" t="s">
        <v>5530</v>
      </c>
    </row>
    <row r="4193" spans="4:7" hidden="1">
      <c r="D4193" s="5" t="s">
        <v>6062</v>
      </c>
      <c r="E4193" s="5" t="s">
        <v>709</v>
      </c>
      <c r="G4193" s="5" t="s">
        <v>1926</v>
      </c>
    </row>
    <row r="4194" spans="4:7" hidden="1">
      <c r="D4194" s="5" t="s">
        <v>6063</v>
      </c>
      <c r="E4194" s="5" t="s">
        <v>427</v>
      </c>
      <c r="G4194" s="5" t="s">
        <v>1917</v>
      </c>
    </row>
    <row r="4195" spans="4:7" hidden="1">
      <c r="D4195" s="5" t="s">
        <v>6064</v>
      </c>
      <c r="E4195" s="5" t="s">
        <v>309</v>
      </c>
      <c r="G4195" s="5" t="s">
        <v>1917</v>
      </c>
    </row>
    <row r="4196" spans="4:7" hidden="1">
      <c r="D4196" s="5" t="s">
        <v>6065</v>
      </c>
      <c r="E4196" s="5" t="s">
        <v>709</v>
      </c>
      <c r="G4196" s="5" t="s">
        <v>1917</v>
      </c>
    </row>
    <row r="4197" spans="4:7" hidden="1">
      <c r="D4197" s="5" t="s">
        <v>6066</v>
      </c>
      <c r="E4197" s="5" t="s">
        <v>309</v>
      </c>
      <c r="G4197" s="5" t="s">
        <v>1917</v>
      </c>
    </row>
    <row r="4198" spans="4:7" hidden="1">
      <c r="D4198" s="5" t="s">
        <v>6067</v>
      </c>
      <c r="E4198" s="5" t="s">
        <v>427</v>
      </c>
      <c r="G4198" s="5" t="s">
        <v>1917</v>
      </c>
    </row>
    <row r="4199" spans="4:7" hidden="1">
      <c r="D4199" s="5" t="s">
        <v>6068</v>
      </c>
      <c r="E4199" s="5" t="s">
        <v>709</v>
      </c>
      <c r="G4199" s="5" t="s">
        <v>1917</v>
      </c>
    </row>
    <row r="4200" spans="4:7" hidden="1">
      <c r="D4200" s="5" t="s">
        <v>6069</v>
      </c>
      <c r="E4200" s="5" t="s">
        <v>5193</v>
      </c>
      <c r="G4200" s="5" t="s">
        <v>1926</v>
      </c>
    </row>
    <row r="4201" spans="4:7" hidden="1">
      <c r="D4201" s="5" t="s">
        <v>6070</v>
      </c>
      <c r="E4201" s="5" t="s">
        <v>812</v>
      </c>
      <c r="G4201" s="5" t="s">
        <v>1917</v>
      </c>
    </row>
    <row r="4202" spans="4:7" hidden="1">
      <c r="D4202" s="5" t="s">
        <v>6071</v>
      </c>
      <c r="E4202" s="5" t="s">
        <v>309</v>
      </c>
      <c r="G4202" s="5" t="s">
        <v>1917</v>
      </c>
    </row>
    <row r="4203" spans="4:7" hidden="1">
      <c r="D4203" s="5" t="s">
        <v>6072</v>
      </c>
      <c r="E4203" s="5" t="s">
        <v>709</v>
      </c>
      <c r="G4203" s="5" t="s">
        <v>1917</v>
      </c>
    </row>
    <row r="4204" spans="4:7" hidden="1">
      <c r="D4204" s="5" t="s">
        <v>6073</v>
      </c>
      <c r="E4204" s="5" t="s">
        <v>709</v>
      </c>
      <c r="G4204" s="5" t="s">
        <v>1917</v>
      </c>
    </row>
    <row r="4205" spans="4:7" hidden="1">
      <c r="D4205" s="5" t="s">
        <v>6074</v>
      </c>
      <c r="E4205" s="5" t="s">
        <v>309</v>
      </c>
      <c r="G4205" s="5" t="s">
        <v>1917</v>
      </c>
    </row>
    <row r="4206" spans="4:7" hidden="1">
      <c r="D4206" s="5" t="s">
        <v>533</v>
      </c>
      <c r="E4206" s="5" t="s">
        <v>430</v>
      </c>
      <c r="G4206" s="5" t="s">
        <v>1926</v>
      </c>
    </row>
    <row r="4207" spans="4:7" hidden="1">
      <c r="D4207" s="5" t="s">
        <v>6075</v>
      </c>
      <c r="E4207" s="5" t="s">
        <v>709</v>
      </c>
      <c r="G4207" s="5" t="s">
        <v>1917</v>
      </c>
    </row>
    <row r="4208" spans="4:7" hidden="1">
      <c r="D4208" s="5" t="s">
        <v>6076</v>
      </c>
      <c r="E4208" s="5" t="s">
        <v>430</v>
      </c>
      <c r="G4208" s="5" t="s">
        <v>1926</v>
      </c>
    </row>
    <row r="4209" spans="4:7" hidden="1">
      <c r="D4209" s="5" t="s">
        <v>6077</v>
      </c>
      <c r="E4209" s="5" t="s">
        <v>709</v>
      </c>
      <c r="G4209" s="5" t="s">
        <v>1917</v>
      </c>
    </row>
    <row r="4210" spans="4:7" hidden="1">
      <c r="D4210" s="5" t="s">
        <v>6078</v>
      </c>
      <c r="E4210" s="5" t="s">
        <v>430</v>
      </c>
      <c r="G4210" s="5" t="s">
        <v>1917</v>
      </c>
    </row>
    <row r="4211" spans="4:7" hidden="1">
      <c r="D4211" s="5" t="s">
        <v>6079</v>
      </c>
      <c r="E4211" s="5" t="s">
        <v>430</v>
      </c>
      <c r="G4211" s="5" t="s">
        <v>1917</v>
      </c>
    </row>
    <row r="4212" spans="4:7" hidden="1">
      <c r="D4212" s="5" t="s">
        <v>6080</v>
      </c>
      <c r="E4212" s="5" t="s">
        <v>709</v>
      </c>
      <c r="G4212" s="5" t="s">
        <v>1917</v>
      </c>
    </row>
    <row r="4213" spans="4:7" hidden="1">
      <c r="D4213" s="5" t="s">
        <v>6081</v>
      </c>
      <c r="E4213" s="5" t="s">
        <v>430</v>
      </c>
      <c r="G4213" s="5" t="s">
        <v>1926</v>
      </c>
    </row>
    <row r="4214" spans="4:7" hidden="1">
      <c r="D4214" s="5" t="s">
        <v>6082</v>
      </c>
      <c r="E4214" s="5" t="s">
        <v>812</v>
      </c>
      <c r="G4214" s="5" t="s">
        <v>1917</v>
      </c>
    </row>
    <row r="4215" spans="4:7" hidden="1">
      <c r="D4215" s="5" t="s">
        <v>6083</v>
      </c>
      <c r="E4215" s="5" t="s">
        <v>2091</v>
      </c>
      <c r="G4215" s="5" t="s">
        <v>1917</v>
      </c>
    </row>
    <row r="4216" spans="4:7" hidden="1">
      <c r="D4216" s="5" t="s">
        <v>6084</v>
      </c>
      <c r="E4216" s="5" t="s">
        <v>709</v>
      </c>
      <c r="G4216" s="5" t="s">
        <v>1917</v>
      </c>
    </row>
    <row r="4217" spans="4:7" hidden="1">
      <c r="D4217" s="5" t="s">
        <v>1316</v>
      </c>
      <c r="E4217" s="5" t="s">
        <v>430</v>
      </c>
      <c r="G4217" s="5" t="s">
        <v>1926</v>
      </c>
    </row>
    <row r="4218" spans="4:7" hidden="1">
      <c r="D4218" s="5" t="s">
        <v>6085</v>
      </c>
      <c r="E4218" s="5" t="s">
        <v>812</v>
      </c>
      <c r="G4218" s="5" t="s">
        <v>1917</v>
      </c>
    </row>
    <row r="4219" spans="4:7" hidden="1">
      <c r="D4219" s="5" t="s">
        <v>6086</v>
      </c>
      <c r="E4219" s="5" t="s">
        <v>2005</v>
      </c>
      <c r="G4219" s="5" t="s">
        <v>1917</v>
      </c>
    </row>
    <row r="4220" spans="4:7" hidden="1">
      <c r="D4220" s="5" t="s">
        <v>6087</v>
      </c>
      <c r="E4220" s="5" t="s">
        <v>709</v>
      </c>
      <c r="G4220" s="5" t="s">
        <v>1917</v>
      </c>
    </row>
    <row r="4221" spans="4:7" hidden="1">
      <c r="D4221" s="5" t="s">
        <v>6088</v>
      </c>
      <c r="E4221" s="5" t="s">
        <v>309</v>
      </c>
      <c r="G4221" s="5" t="s">
        <v>1917</v>
      </c>
    </row>
    <row r="4222" spans="4:7" hidden="1">
      <c r="D4222" s="5" t="s">
        <v>6089</v>
      </c>
      <c r="E4222" s="5" t="s">
        <v>2005</v>
      </c>
      <c r="G4222" s="5" t="s">
        <v>1917</v>
      </c>
    </row>
    <row r="4223" spans="4:7" hidden="1">
      <c r="D4223" s="5" t="s">
        <v>6090</v>
      </c>
      <c r="E4223" s="5" t="s">
        <v>709</v>
      </c>
      <c r="G4223" s="5" t="s">
        <v>1917</v>
      </c>
    </row>
    <row r="4224" spans="4:7" hidden="1">
      <c r="D4224" s="5" t="s">
        <v>6091</v>
      </c>
      <c r="E4224" s="5" t="s">
        <v>812</v>
      </c>
      <c r="G4224" s="5" t="s">
        <v>1917</v>
      </c>
    </row>
    <row r="4225" spans="4:7" hidden="1">
      <c r="D4225" s="5" t="s">
        <v>6092</v>
      </c>
      <c r="E4225" s="5" t="s">
        <v>5529</v>
      </c>
      <c r="G4225" s="5" t="s">
        <v>5530</v>
      </c>
    </row>
    <row r="4226" spans="4:7" hidden="1">
      <c r="D4226" s="5" t="s">
        <v>6093</v>
      </c>
      <c r="E4226" s="5" t="s">
        <v>709</v>
      </c>
      <c r="G4226" s="5" t="s">
        <v>1917</v>
      </c>
    </row>
    <row r="4227" spans="4:7" hidden="1">
      <c r="D4227" s="5" t="s">
        <v>6094</v>
      </c>
      <c r="E4227" s="5" t="s">
        <v>812</v>
      </c>
      <c r="G4227" s="5" t="s">
        <v>1917</v>
      </c>
    </row>
    <row r="4228" spans="4:7" hidden="1">
      <c r="D4228" s="5" t="s">
        <v>6095</v>
      </c>
      <c r="E4228" s="5" t="s">
        <v>309</v>
      </c>
      <c r="G4228" s="5" t="s">
        <v>1917</v>
      </c>
    </row>
    <row r="4229" spans="4:7" hidden="1">
      <c r="D4229" s="5" t="s">
        <v>6096</v>
      </c>
      <c r="E4229" s="5" t="s">
        <v>709</v>
      </c>
      <c r="G4229" s="5" t="s">
        <v>1917</v>
      </c>
    </row>
    <row r="4230" spans="4:7" hidden="1">
      <c r="D4230" s="5" t="s">
        <v>6097</v>
      </c>
      <c r="E4230" s="5" t="s">
        <v>1890</v>
      </c>
      <c r="G4230" s="5" t="s">
        <v>1917</v>
      </c>
    </row>
    <row r="4231" spans="4:7" hidden="1">
      <c r="D4231" s="5" t="s">
        <v>6098</v>
      </c>
      <c r="E4231" s="5" t="s">
        <v>430</v>
      </c>
      <c r="G4231" s="5" t="s">
        <v>1926</v>
      </c>
    </row>
    <row r="4232" spans="4:7" hidden="1">
      <c r="D4232" s="5" t="s">
        <v>6099</v>
      </c>
      <c r="E4232" s="5" t="s">
        <v>309</v>
      </c>
      <c r="G4232" s="5" t="s">
        <v>1917</v>
      </c>
    </row>
    <row r="4233" spans="4:7" hidden="1">
      <c r="D4233" s="5" t="s">
        <v>6100</v>
      </c>
      <c r="E4233" s="5" t="s">
        <v>430</v>
      </c>
      <c r="G4233" s="5" t="s">
        <v>1926</v>
      </c>
    </row>
    <row r="4234" spans="4:7" hidden="1">
      <c r="D4234" s="5" t="s">
        <v>6101</v>
      </c>
      <c r="E4234" s="5" t="s">
        <v>812</v>
      </c>
      <c r="G4234" s="5" t="s">
        <v>1917</v>
      </c>
    </row>
    <row r="4235" spans="4:7" hidden="1">
      <c r="D4235" s="5" t="s">
        <v>6102</v>
      </c>
      <c r="E4235" s="5" t="s">
        <v>2536</v>
      </c>
      <c r="G4235" s="5" t="s">
        <v>1926</v>
      </c>
    </row>
    <row r="4236" spans="4:7" hidden="1">
      <c r="D4236" s="5" t="s">
        <v>6103</v>
      </c>
      <c r="E4236" s="5" t="s">
        <v>2005</v>
      </c>
      <c r="G4236" s="5" t="s">
        <v>1917</v>
      </c>
    </row>
    <row r="4237" spans="4:7" hidden="1">
      <c r="D4237" s="5" t="s">
        <v>6104</v>
      </c>
      <c r="E4237" s="5" t="s">
        <v>472</v>
      </c>
      <c r="G4237" s="5" t="s">
        <v>1917</v>
      </c>
    </row>
    <row r="4238" spans="4:7" hidden="1">
      <c r="D4238" s="5" t="s">
        <v>6105</v>
      </c>
      <c r="E4238" s="5" t="s">
        <v>427</v>
      </c>
      <c r="G4238" s="5" t="s">
        <v>1917</v>
      </c>
    </row>
    <row r="4239" spans="4:7" hidden="1">
      <c r="D4239" s="5" t="s">
        <v>6106</v>
      </c>
      <c r="E4239" s="5" t="s">
        <v>2824</v>
      </c>
      <c r="F4239" s="5" t="s">
        <v>4983</v>
      </c>
      <c r="G4239" s="5" t="s">
        <v>1926</v>
      </c>
    </row>
    <row r="4240" spans="4:7" hidden="1">
      <c r="D4240" s="5" t="s">
        <v>6107</v>
      </c>
      <c r="E4240" s="5" t="s">
        <v>2536</v>
      </c>
      <c r="G4240" s="5" t="s">
        <v>1926</v>
      </c>
    </row>
    <row r="4241" spans="4:7" hidden="1">
      <c r="D4241" s="5" t="s">
        <v>6108</v>
      </c>
      <c r="E4241" s="5" t="s">
        <v>1890</v>
      </c>
      <c r="G4241" s="5" t="s">
        <v>1917</v>
      </c>
    </row>
    <row r="4242" spans="4:7" hidden="1">
      <c r="D4242" s="5" t="s">
        <v>6109</v>
      </c>
      <c r="E4242" s="5" t="s">
        <v>430</v>
      </c>
      <c r="G4242" s="5" t="s">
        <v>1917</v>
      </c>
    </row>
    <row r="4243" spans="4:7" hidden="1">
      <c r="D4243" s="5" t="s">
        <v>6110</v>
      </c>
      <c r="E4243" s="5" t="s">
        <v>2005</v>
      </c>
      <c r="G4243" s="5" t="s">
        <v>1917</v>
      </c>
    </row>
    <row r="4244" spans="4:7" hidden="1">
      <c r="D4244" s="5" t="s">
        <v>6111</v>
      </c>
      <c r="E4244" s="5" t="s">
        <v>427</v>
      </c>
      <c r="G4244" s="5" t="s">
        <v>1917</v>
      </c>
    </row>
    <row r="4245" spans="4:7" hidden="1">
      <c r="D4245" s="5" t="s">
        <v>6112</v>
      </c>
      <c r="E4245" s="5" t="s">
        <v>2536</v>
      </c>
      <c r="G4245" s="5" t="s">
        <v>1926</v>
      </c>
    </row>
    <row r="4246" spans="4:7" hidden="1">
      <c r="D4246" s="5" t="s">
        <v>6113</v>
      </c>
      <c r="E4246" s="5" t="s">
        <v>1890</v>
      </c>
      <c r="G4246" s="5" t="s">
        <v>1917</v>
      </c>
    </row>
    <row r="4247" spans="4:7" hidden="1">
      <c r="D4247" s="5" t="s">
        <v>6114</v>
      </c>
      <c r="E4247" s="5" t="s">
        <v>2005</v>
      </c>
      <c r="G4247" s="5" t="s">
        <v>1926</v>
      </c>
    </row>
    <row r="4248" spans="4:7" hidden="1">
      <c r="D4248" s="5" t="s">
        <v>6115</v>
      </c>
      <c r="E4248" s="5" t="s">
        <v>1890</v>
      </c>
      <c r="G4248" s="5" t="s">
        <v>1917</v>
      </c>
    </row>
    <row r="4249" spans="4:7" hidden="1">
      <c r="D4249" s="5" t="s">
        <v>6116</v>
      </c>
      <c r="E4249" s="5" t="s">
        <v>2005</v>
      </c>
      <c r="G4249" s="5" t="s">
        <v>1917</v>
      </c>
    </row>
    <row r="4250" spans="4:7" hidden="1">
      <c r="D4250" s="5" t="s">
        <v>6117</v>
      </c>
      <c r="E4250" s="5" t="s">
        <v>427</v>
      </c>
      <c r="G4250" s="5" t="s">
        <v>1917</v>
      </c>
    </row>
    <row r="4251" spans="4:7" hidden="1">
      <c r="D4251" s="5" t="s">
        <v>6118</v>
      </c>
      <c r="E4251" s="5" t="s">
        <v>2091</v>
      </c>
      <c r="G4251" s="5" t="s">
        <v>1917</v>
      </c>
    </row>
    <row r="4252" spans="4:7" hidden="1">
      <c r="D4252" s="5" t="s">
        <v>6119</v>
      </c>
      <c r="E4252" s="5" t="s">
        <v>2005</v>
      </c>
      <c r="G4252" s="5" t="s">
        <v>1917</v>
      </c>
    </row>
    <row r="4253" spans="4:7" hidden="1">
      <c r="D4253" s="5" t="s">
        <v>6120</v>
      </c>
      <c r="E4253" s="5" t="s">
        <v>2091</v>
      </c>
      <c r="G4253" s="5" t="s">
        <v>1917</v>
      </c>
    </row>
    <row r="4254" spans="4:7" hidden="1">
      <c r="D4254" s="5" t="s">
        <v>6121</v>
      </c>
      <c r="E4254" s="5" t="s">
        <v>2091</v>
      </c>
      <c r="G4254" s="5" t="s">
        <v>1926</v>
      </c>
    </row>
    <row r="4255" spans="4:7" hidden="1">
      <c r="D4255" s="5" t="s">
        <v>6122</v>
      </c>
      <c r="E4255" s="5" t="s">
        <v>2005</v>
      </c>
      <c r="G4255" s="5" t="s">
        <v>1917</v>
      </c>
    </row>
    <row r="4256" spans="4:7" hidden="1">
      <c r="D4256" s="5" t="s">
        <v>6123</v>
      </c>
      <c r="E4256" s="5" t="s">
        <v>2005</v>
      </c>
      <c r="G4256" s="5" t="s">
        <v>1917</v>
      </c>
    </row>
    <row r="4257" spans="4:7" hidden="1">
      <c r="D4257" s="5" t="s">
        <v>6124</v>
      </c>
      <c r="E4257" s="5" t="s">
        <v>2536</v>
      </c>
      <c r="G4257" s="5" t="s">
        <v>1926</v>
      </c>
    </row>
    <row r="4258" spans="4:7" hidden="1">
      <c r="D4258" s="5" t="s">
        <v>6125</v>
      </c>
      <c r="E4258" s="5" t="s">
        <v>52</v>
      </c>
      <c r="G4258" s="5" t="s">
        <v>1917</v>
      </c>
    </row>
    <row r="4259" spans="4:7" hidden="1">
      <c r="D4259" s="5" t="s">
        <v>6126</v>
      </c>
      <c r="E4259" s="5" t="s">
        <v>427</v>
      </c>
      <c r="G4259" s="5" t="s">
        <v>1917</v>
      </c>
    </row>
    <row r="4260" spans="4:7" hidden="1">
      <c r="D4260" s="5" t="s">
        <v>6127</v>
      </c>
      <c r="E4260" s="5" t="s">
        <v>1890</v>
      </c>
      <c r="G4260" s="5" t="s">
        <v>1917</v>
      </c>
    </row>
    <row r="4261" spans="4:7" hidden="1">
      <c r="D4261" s="5" t="s">
        <v>6128</v>
      </c>
      <c r="E4261" s="5" t="s">
        <v>52</v>
      </c>
      <c r="G4261" s="5" t="s">
        <v>1917</v>
      </c>
    </row>
    <row r="4262" spans="4:7" hidden="1">
      <c r="D4262" s="5" t="s">
        <v>6129</v>
      </c>
      <c r="E4262" s="5" t="s">
        <v>427</v>
      </c>
      <c r="G4262" s="5" t="s">
        <v>1917</v>
      </c>
    </row>
    <row r="4263" spans="4:7" hidden="1">
      <c r="D4263" s="5" t="s">
        <v>6130</v>
      </c>
      <c r="E4263" s="5" t="s">
        <v>1901</v>
      </c>
      <c r="G4263" s="5" t="s">
        <v>1917</v>
      </c>
    </row>
    <row r="4264" spans="4:7" hidden="1">
      <c r="D4264" s="5" t="s">
        <v>6131</v>
      </c>
      <c r="E4264" s="5" t="s">
        <v>3979</v>
      </c>
      <c r="G4264" s="5" t="s">
        <v>1920</v>
      </c>
    </row>
    <row r="4265" spans="4:7" hidden="1">
      <c r="D4265" s="5" t="s">
        <v>6132</v>
      </c>
      <c r="E4265" s="5" t="s">
        <v>3979</v>
      </c>
      <c r="G4265" s="5" t="s">
        <v>1917</v>
      </c>
    </row>
    <row r="4266" spans="4:7" hidden="1">
      <c r="D4266" s="5" t="s">
        <v>6133</v>
      </c>
      <c r="E4266" s="5" t="s">
        <v>3979</v>
      </c>
      <c r="G4266" s="5" t="s">
        <v>1920</v>
      </c>
    </row>
    <row r="4267" spans="4:7" hidden="1">
      <c r="D4267" s="5" t="s">
        <v>6134</v>
      </c>
      <c r="E4267" s="5" t="s">
        <v>3979</v>
      </c>
      <c r="G4267" s="5" t="s">
        <v>1920</v>
      </c>
    </row>
    <row r="4268" spans="4:7" hidden="1">
      <c r="D4268" s="5" t="s">
        <v>6135</v>
      </c>
      <c r="E4268" s="5" t="s">
        <v>3979</v>
      </c>
      <c r="G4268" s="5" t="s">
        <v>1920</v>
      </c>
    </row>
    <row r="4269" spans="4:7" hidden="1">
      <c r="D4269" s="5" t="s">
        <v>6136</v>
      </c>
      <c r="E4269" s="5" t="s">
        <v>52</v>
      </c>
      <c r="G4269" s="5" t="s">
        <v>1917</v>
      </c>
    </row>
    <row r="4270" spans="4:7" hidden="1">
      <c r="D4270" s="5" t="s">
        <v>6137</v>
      </c>
      <c r="E4270" s="5" t="s">
        <v>2792</v>
      </c>
      <c r="G4270" s="5" t="s">
        <v>1917</v>
      </c>
    </row>
    <row r="4271" spans="4:7" hidden="1">
      <c r="D4271" s="5" t="s">
        <v>6138</v>
      </c>
      <c r="E4271" s="5" t="s">
        <v>430</v>
      </c>
      <c r="G4271" s="5" t="s">
        <v>1917</v>
      </c>
    </row>
    <row r="4272" spans="4:7" hidden="1">
      <c r="D4272" s="5" t="s">
        <v>6139</v>
      </c>
      <c r="E4272" s="5" t="s">
        <v>3979</v>
      </c>
      <c r="G4272" s="5" t="s">
        <v>1926</v>
      </c>
    </row>
    <row r="4273" spans="4:7" hidden="1">
      <c r="D4273" s="5" t="s">
        <v>6140</v>
      </c>
      <c r="E4273" s="5" t="s">
        <v>52</v>
      </c>
      <c r="G4273" s="5" t="s">
        <v>1917</v>
      </c>
    </row>
    <row r="4274" spans="4:7" hidden="1">
      <c r="D4274" s="5" t="s">
        <v>6141</v>
      </c>
      <c r="E4274" s="5" t="s">
        <v>2005</v>
      </c>
      <c r="G4274" s="5" t="s">
        <v>1917</v>
      </c>
    </row>
    <row r="4275" spans="4:7" hidden="1">
      <c r="D4275" s="5" t="s">
        <v>6142</v>
      </c>
      <c r="E4275" s="5" t="s">
        <v>430</v>
      </c>
      <c r="G4275" s="5" t="s">
        <v>1917</v>
      </c>
    </row>
    <row r="4276" spans="4:7" hidden="1">
      <c r="D4276" s="5" t="s">
        <v>6143</v>
      </c>
      <c r="E4276" s="5" t="s">
        <v>2091</v>
      </c>
      <c r="G4276" s="5" t="s">
        <v>1917</v>
      </c>
    </row>
    <row r="4277" spans="4:7" hidden="1">
      <c r="D4277" s="5" t="s">
        <v>6144</v>
      </c>
      <c r="E4277" s="5" t="s">
        <v>1890</v>
      </c>
      <c r="G4277" s="5" t="s">
        <v>1917</v>
      </c>
    </row>
    <row r="4278" spans="4:7" hidden="1">
      <c r="D4278" s="5" t="s">
        <v>6145</v>
      </c>
      <c r="E4278" s="5" t="s">
        <v>1953</v>
      </c>
      <c r="G4278" s="5" t="s">
        <v>1917</v>
      </c>
    </row>
    <row r="4279" spans="4:7" hidden="1">
      <c r="D4279" s="5" t="s">
        <v>6146</v>
      </c>
      <c r="E4279" s="5" t="s">
        <v>451</v>
      </c>
      <c r="G4279" s="5" t="s">
        <v>1917</v>
      </c>
    </row>
    <row r="4280" spans="4:7" hidden="1">
      <c r="D4280" s="5" t="s">
        <v>6147</v>
      </c>
      <c r="E4280" s="5" t="s">
        <v>451</v>
      </c>
      <c r="G4280" s="5" t="s">
        <v>1917</v>
      </c>
    </row>
    <row r="4281" spans="4:7" hidden="1">
      <c r="D4281" s="5" t="s">
        <v>6148</v>
      </c>
      <c r="E4281" s="5" t="s">
        <v>451</v>
      </c>
      <c r="G4281" s="5" t="s">
        <v>1926</v>
      </c>
    </row>
    <row r="4282" spans="4:7" hidden="1">
      <c r="D4282" s="5" t="s">
        <v>6149</v>
      </c>
      <c r="E4282" s="5" t="s">
        <v>451</v>
      </c>
      <c r="G4282" s="5" t="s">
        <v>1917</v>
      </c>
    </row>
    <row r="4283" spans="4:7" hidden="1">
      <c r="D4283" s="5" t="s">
        <v>6150</v>
      </c>
      <c r="E4283" s="5" t="s">
        <v>1890</v>
      </c>
      <c r="G4283" s="5" t="s">
        <v>1917</v>
      </c>
    </row>
    <row r="4284" spans="4:7" hidden="1">
      <c r="D4284" s="5" t="s">
        <v>6151</v>
      </c>
      <c r="E4284" s="5" t="s">
        <v>451</v>
      </c>
      <c r="G4284" s="5" t="s">
        <v>1917</v>
      </c>
    </row>
    <row r="4285" spans="4:7" hidden="1">
      <c r="D4285" s="5" t="s">
        <v>6152</v>
      </c>
      <c r="E4285" s="5" t="s">
        <v>1890</v>
      </c>
      <c r="G4285" s="5" t="s">
        <v>1917</v>
      </c>
    </row>
    <row r="4286" spans="4:7" hidden="1">
      <c r="D4286" s="5" t="s">
        <v>6153</v>
      </c>
      <c r="E4286" s="5" t="s">
        <v>427</v>
      </c>
      <c r="G4286" s="5" t="s">
        <v>1917</v>
      </c>
    </row>
    <row r="4287" spans="4:7" hidden="1">
      <c r="D4287" s="5" t="s">
        <v>6154</v>
      </c>
      <c r="E4287" s="5" t="s">
        <v>451</v>
      </c>
      <c r="G4287" s="5" t="s">
        <v>1917</v>
      </c>
    </row>
    <row r="4288" spans="4:7" hidden="1">
      <c r="D4288" s="5" t="s">
        <v>6155</v>
      </c>
      <c r="E4288" s="5" t="s">
        <v>430</v>
      </c>
      <c r="G4288" s="5" t="s">
        <v>1926</v>
      </c>
    </row>
    <row r="4289" spans="4:7" hidden="1">
      <c r="D4289" s="5" t="s">
        <v>6156</v>
      </c>
      <c r="E4289" s="5" t="s">
        <v>720</v>
      </c>
      <c r="G4289" s="5" t="s">
        <v>1917</v>
      </c>
    </row>
    <row r="4290" spans="4:7" hidden="1">
      <c r="D4290" s="5" t="s">
        <v>6157</v>
      </c>
      <c r="E4290" s="5" t="s">
        <v>451</v>
      </c>
      <c r="G4290" s="5" t="s">
        <v>1926</v>
      </c>
    </row>
    <row r="4291" spans="4:7" hidden="1">
      <c r="D4291" s="5" t="s">
        <v>6158</v>
      </c>
      <c r="E4291" s="5" t="s">
        <v>5193</v>
      </c>
      <c r="G4291" s="5" t="s">
        <v>1926</v>
      </c>
    </row>
    <row r="4292" spans="4:7" hidden="1">
      <c r="D4292" s="5" t="s">
        <v>6159</v>
      </c>
      <c r="E4292" s="5" t="s">
        <v>451</v>
      </c>
      <c r="G4292" s="5" t="s">
        <v>1917</v>
      </c>
    </row>
    <row r="4293" spans="4:7" hidden="1">
      <c r="D4293" s="5" t="s">
        <v>6160</v>
      </c>
      <c r="E4293" s="5" t="s">
        <v>451</v>
      </c>
      <c r="G4293" s="5" t="s">
        <v>1917</v>
      </c>
    </row>
    <row r="4294" spans="4:7" hidden="1">
      <c r="D4294" s="5" t="s">
        <v>6161</v>
      </c>
      <c r="E4294" s="5" t="s">
        <v>430</v>
      </c>
      <c r="G4294" s="5" t="s">
        <v>1917</v>
      </c>
    </row>
    <row r="4295" spans="4:7" hidden="1">
      <c r="D4295" s="5" t="s">
        <v>6162</v>
      </c>
      <c r="E4295" s="5" t="s">
        <v>3656</v>
      </c>
      <c r="G4295" s="5" t="s">
        <v>1917</v>
      </c>
    </row>
    <row r="4296" spans="4:7" hidden="1">
      <c r="D4296" s="5" t="s">
        <v>6163</v>
      </c>
      <c r="E4296" s="5" t="s">
        <v>430</v>
      </c>
      <c r="G4296" s="5" t="s">
        <v>1917</v>
      </c>
    </row>
    <row r="4297" spans="4:7" hidden="1">
      <c r="D4297" s="5" t="s">
        <v>6164</v>
      </c>
      <c r="E4297" s="5" t="s">
        <v>3656</v>
      </c>
      <c r="G4297" s="5" t="s">
        <v>1917</v>
      </c>
    </row>
    <row r="4298" spans="4:7" hidden="1">
      <c r="D4298" s="5" t="s">
        <v>6165</v>
      </c>
      <c r="E4298" s="5" t="s">
        <v>430</v>
      </c>
      <c r="G4298" s="5" t="s">
        <v>1926</v>
      </c>
    </row>
    <row r="4299" spans="4:7" hidden="1">
      <c r="D4299" s="5" t="s">
        <v>6166</v>
      </c>
      <c r="E4299" s="5" t="s">
        <v>3656</v>
      </c>
      <c r="G4299" s="5" t="s">
        <v>1917</v>
      </c>
    </row>
    <row r="4300" spans="4:7" hidden="1">
      <c r="D4300" s="5" t="s">
        <v>6167</v>
      </c>
      <c r="E4300" s="5" t="s">
        <v>427</v>
      </c>
      <c r="G4300" s="5" t="s">
        <v>1917</v>
      </c>
    </row>
    <row r="4301" spans="4:7" hidden="1">
      <c r="D4301" s="5" t="s">
        <v>6168</v>
      </c>
      <c r="E4301" s="5" t="s">
        <v>430</v>
      </c>
      <c r="G4301" s="5" t="s">
        <v>1917</v>
      </c>
    </row>
    <row r="4302" spans="4:7" hidden="1">
      <c r="D4302" s="5" t="s">
        <v>6169</v>
      </c>
      <c r="E4302" s="5" t="s">
        <v>2005</v>
      </c>
      <c r="G4302" s="5" t="s">
        <v>1917</v>
      </c>
    </row>
    <row r="4303" spans="4:7" hidden="1">
      <c r="D4303" s="5" t="s">
        <v>6170</v>
      </c>
      <c r="E4303" s="5" t="s">
        <v>427</v>
      </c>
      <c r="G4303" s="5" t="s">
        <v>1917</v>
      </c>
    </row>
    <row r="4304" spans="4:7" hidden="1">
      <c r="D4304" s="5" t="s">
        <v>6171</v>
      </c>
      <c r="E4304" s="5" t="s">
        <v>2091</v>
      </c>
      <c r="G4304" s="5" t="s">
        <v>1917</v>
      </c>
    </row>
    <row r="4305" spans="4:7" hidden="1">
      <c r="D4305" s="5" t="s">
        <v>6172</v>
      </c>
      <c r="E4305" s="5" t="s">
        <v>1890</v>
      </c>
      <c r="G4305" s="5" t="s">
        <v>1917</v>
      </c>
    </row>
    <row r="4306" spans="4:7" hidden="1">
      <c r="D4306" s="5" t="s">
        <v>6173</v>
      </c>
      <c r="E4306" s="5" t="s">
        <v>427</v>
      </c>
      <c r="G4306" s="5" t="s">
        <v>1917</v>
      </c>
    </row>
    <row r="4307" spans="4:7" hidden="1">
      <c r="D4307" s="5" t="s">
        <v>6174</v>
      </c>
      <c r="E4307" s="5" t="s">
        <v>2091</v>
      </c>
      <c r="G4307" s="5" t="s">
        <v>1917</v>
      </c>
    </row>
    <row r="4308" spans="4:7" hidden="1">
      <c r="D4308" s="5" t="s">
        <v>6175</v>
      </c>
      <c r="E4308" s="5" t="s">
        <v>3979</v>
      </c>
      <c r="G4308" s="5" t="s">
        <v>1920</v>
      </c>
    </row>
    <row r="4309" spans="4:7" hidden="1">
      <c r="D4309" s="5" t="s">
        <v>6176</v>
      </c>
      <c r="E4309" s="5" t="s">
        <v>2091</v>
      </c>
      <c r="G4309" s="5" t="s">
        <v>1917</v>
      </c>
    </row>
    <row r="4310" spans="4:7" hidden="1">
      <c r="D4310" s="5" t="s">
        <v>6177</v>
      </c>
      <c r="E4310" s="5" t="s">
        <v>2091</v>
      </c>
      <c r="G4310" s="5" t="s">
        <v>1917</v>
      </c>
    </row>
    <row r="4311" spans="4:7" hidden="1">
      <c r="D4311" s="5" t="s">
        <v>6178</v>
      </c>
      <c r="E4311" s="5" t="s">
        <v>2792</v>
      </c>
      <c r="G4311" s="5" t="s">
        <v>1926</v>
      </c>
    </row>
    <row r="4312" spans="4:7" hidden="1">
      <c r="D4312" s="5" t="s">
        <v>6179</v>
      </c>
      <c r="E4312" s="5" t="s">
        <v>309</v>
      </c>
      <c r="G4312" s="5" t="s">
        <v>1917</v>
      </c>
    </row>
    <row r="4313" spans="4:7" hidden="1">
      <c r="D4313" s="5" t="s">
        <v>6180</v>
      </c>
      <c r="E4313" s="5" t="s">
        <v>309</v>
      </c>
      <c r="G4313" s="5" t="s">
        <v>1917</v>
      </c>
    </row>
    <row r="4314" spans="4:7" hidden="1">
      <c r="D4314" s="5" t="s">
        <v>6181</v>
      </c>
      <c r="E4314" s="5" t="s">
        <v>430</v>
      </c>
      <c r="G4314" s="5" t="s">
        <v>1926</v>
      </c>
    </row>
    <row r="4315" spans="4:7" hidden="1">
      <c r="D4315" s="5" t="s">
        <v>6182</v>
      </c>
      <c r="E4315" s="5" t="s">
        <v>430</v>
      </c>
      <c r="G4315" s="5" t="s">
        <v>1926</v>
      </c>
    </row>
    <row r="4316" spans="4:7" hidden="1">
      <c r="D4316" s="5" t="s">
        <v>6183</v>
      </c>
      <c r="E4316" s="5" t="s">
        <v>430</v>
      </c>
      <c r="G4316" s="5" t="s">
        <v>1926</v>
      </c>
    </row>
    <row r="4317" spans="4:7" hidden="1">
      <c r="D4317" s="5" t="s">
        <v>6184</v>
      </c>
      <c r="E4317" s="5" t="s">
        <v>309</v>
      </c>
      <c r="G4317" s="5" t="s">
        <v>1917</v>
      </c>
    </row>
    <row r="4318" spans="4:7" hidden="1">
      <c r="D4318" s="5" t="s">
        <v>6185</v>
      </c>
      <c r="E4318" s="5" t="s">
        <v>791</v>
      </c>
      <c r="G4318" s="5" t="s">
        <v>1917</v>
      </c>
    </row>
    <row r="4319" spans="4:7" hidden="1">
      <c r="D4319" s="5" t="s">
        <v>6186</v>
      </c>
      <c r="E4319" s="5" t="s">
        <v>451</v>
      </c>
      <c r="G4319" s="5" t="s">
        <v>1917</v>
      </c>
    </row>
    <row r="4320" spans="4:7" hidden="1">
      <c r="D4320" s="5" t="s">
        <v>6187</v>
      </c>
      <c r="E4320" s="5" t="s">
        <v>1945</v>
      </c>
      <c r="G4320" s="5" t="s">
        <v>1917</v>
      </c>
    </row>
    <row r="4321" spans="4:7" hidden="1">
      <c r="D4321" s="5" t="s">
        <v>6188</v>
      </c>
      <c r="E4321" s="5" t="s">
        <v>451</v>
      </c>
      <c r="G4321" s="5" t="s">
        <v>1917</v>
      </c>
    </row>
    <row r="4322" spans="4:7" hidden="1">
      <c r="D4322" s="5" t="s">
        <v>6189</v>
      </c>
      <c r="E4322" s="5" t="s">
        <v>451</v>
      </c>
      <c r="G4322" s="5" t="s">
        <v>1917</v>
      </c>
    </row>
    <row r="4323" spans="4:7" hidden="1">
      <c r="D4323" s="5" t="s">
        <v>6190</v>
      </c>
      <c r="E4323" s="5" t="s">
        <v>2091</v>
      </c>
      <c r="G4323" s="5" t="s">
        <v>1917</v>
      </c>
    </row>
    <row r="4324" spans="4:7" hidden="1">
      <c r="D4324" s="5" t="s">
        <v>6191</v>
      </c>
      <c r="E4324" s="5" t="s">
        <v>451</v>
      </c>
      <c r="G4324" s="5" t="s">
        <v>1917</v>
      </c>
    </row>
    <row r="4325" spans="4:7" hidden="1">
      <c r="D4325" s="5" t="s">
        <v>6192</v>
      </c>
      <c r="E4325" s="5" t="s">
        <v>2091</v>
      </c>
      <c r="G4325" s="5" t="s">
        <v>1917</v>
      </c>
    </row>
    <row r="4326" spans="4:7" hidden="1">
      <c r="D4326" s="5" t="s">
        <v>6193</v>
      </c>
      <c r="E4326" s="5" t="s">
        <v>1945</v>
      </c>
      <c r="G4326" s="5" t="s">
        <v>1917</v>
      </c>
    </row>
    <row r="4327" spans="4:7" hidden="1">
      <c r="D4327" s="5" t="s">
        <v>6194</v>
      </c>
      <c r="E4327" s="5" t="s">
        <v>1901</v>
      </c>
      <c r="G4327" s="5" t="s">
        <v>1917</v>
      </c>
    </row>
    <row r="4328" spans="4:7" hidden="1">
      <c r="D4328" s="5" t="s">
        <v>6195</v>
      </c>
      <c r="E4328" s="5" t="s">
        <v>812</v>
      </c>
      <c r="G4328" s="5" t="s">
        <v>1917</v>
      </c>
    </row>
    <row r="4329" spans="4:7" hidden="1">
      <c r="D4329" s="5" t="s">
        <v>6196</v>
      </c>
      <c r="E4329" s="5" t="s">
        <v>451</v>
      </c>
      <c r="G4329" s="5" t="s">
        <v>1917</v>
      </c>
    </row>
    <row r="4330" spans="4:7" hidden="1">
      <c r="D4330" s="5" t="s">
        <v>6197</v>
      </c>
      <c r="E4330" s="5" t="s">
        <v>2056</v>
      </c>
      <c r="G4330" s="5" t="s">
        <v>1917</v>
      </c>
    </row>
    <row r="4331" spans="4:7" hidden="1">
      <c r="D4331" s="5" t="s">
        <v>6198</v>
      </c>
      <c r="E4331" s="5" t="s">
        <v>451</v>
      </c>
      <c r="G4331" s="5" t="s">
        <v>1926</v>
      </c>
    </row>
    <row r="4332" spans="4:7" hidden="1">
      <c r="D4332" s="5" t="s">
        <v>6199</v>
      </c>
      <c r="E4332" s="5" t="s">
        <v>52</v>
      </c>
      <c r="G4332" s="5" t="s">
        <v>1917</v>
      </c>
    </row>
    <row r="4333" spans="4:7" hidden="1">
      <c r="D4333" s="5" t="s">
        <v>6200</v>
      </c>
      <c r="E4333" s="5" t="s">
        <v>451</v>
      </c>
      <c r="G4333" s="5" t="s">
        <v>1917</v>
      </c>
    </row>
    <row r="4334" spans="4:7" hidden="1">
      <c r="D4334" s="5" t="s">
        <v>6201</v>
      </c>
      <c r="E4334" s="5" t="s">
        <v>52</v>
      </c>
      <c r="G4334" s="5" t="s">
        <v>1917</v>
      </c>
    </row>
    <row r="4335" spans="4:7" hidden="1">
      <c r="D4335" s="5" t="s">
        <v>6202</v>
      </c>
      <c r="E4335" s="5" t="s">
        <v>812</v>
      </c>
      <c r="G4335" s="5" t="s">
        <v>1917</v>
      </c>
    </row>
    <row r="4336" spans="4:7" hidden="1">
      <c r="D4336" s="5" t="s">
        <v>6203</v>
      </c>
      <c r="E4336" s="5" t="s">
        <v>52</v>
      </c>
      <c r="G4336" s="5" t="s">
        <v>1917</v>
      </c>
    </row>
    <row r="4337" spans="4:7" hidden="1">
      <c r="D4337" s="5" t="s">
        <v>6204</v>
      </c>
      <c r="E4337" s="5" t="s">
        <v>812</v>
      </c>
      <c r="G4337" s="5" t="s">
        <v>1917</v>
      </c>
    </row>
    <row r="4338" spans="4:7" hidden="1">
      <c r="D4338" s="5" t="s">
        <v>6205</v>
      </c>
      <c r="E4338" s="5" t="s">
        <v>52</v>
      </c>
      <c r="G4338" s="5" t="s">
        <v>1917</v>
      </c>
    </row>
    <row r="4339" spans="4:7" hidden="1">
      <c r="D4339" s="5" t="s">
        <v>6206</v>
      </c>
      <c r="E4339" s="5" t="s">
        <v>2091</v>
      </c>
      <c r="G4339" s="5" t="s">
        <v>1917</v>
      </c>
    </row>
    <row r="4340" spans="4:7" hidden="1">
      <c r="D4340" s="5" t="s">
        <v>6207</v>
      </c>
      <c r="E4340" s="5" t="s">
        <v>791</v>
      </c>
      <c r="G4340" s="5" t="s">
        <v>1917</v>
      </c>
    </row>
    <row r="4341" spans="4:7" hidden="1">
      <c r="D4341" s="5" t="s">
        <v>6208</v>
      </c>
      <c r="E4341" s="5" t="s">
        <v>430</v>
      </c>
      <c r="G4341" s="5" t="s">
        <v>1917</v>
      </c>
    </row>
    <row r="4342" spans="4:7" hidden="1">
      <c r="D4342" s="5" t="s">
        <v>6209</v>
      </c>
      <c r="E4342" s="5" t="s">
        <v>430</v>
      </c>
      <c r="G4342" s="5" t="s">
        <v>1917</v>
      </c>
    </row>
    <row r="4343" spans="4:7" hidden="1">
      <c r="D4343" s="5" t="s">
        <v>6210</v>
      </c>
      <c r="E4343" s="5" t="s">
        <v>3979</v>
      </c>
      <c r="G4343" s="5" t="s">
        <v>1920</v>
      </c>
    </row>
    <row r="4344" spans="4:7" hidden="1">
      <c r="D4344" s="5" t="s">
        <v>6211</v>
      </c>
      <c r="E4344" s="5" t="s">
        <v>3979</v>
      </c>
      <c r="G4344" s="5" t="s">
        <v>1920</v>
      </c>
    </row>
    <row r="4345" spans="4:7" hidden="1">
      <c r="D4345" s="5" t="s">
        <v>6212</v>
      </c>
      <c r="E4345" s="5" t="s">
        <v>2348</v>
      </c>
      <c r="G4345" s="5" t="s">
        <v>1917</v>
      </c>
    </row>
    <row r="4346" spans="4:7" hidden="1">
      <c r="D4346" s="5" t="s">
        <v>6213</v>
      </c>
      <c r="E4346" s="5" t="s">
        <v>3979</v>
      </c>
      <c r="G4346" s="5" t="s">
        <v>1917</v>
      </c>
    </row>
    <row r="4347" spans="4:7" hidden="1">
      <c r="D4347" s="5" t="s">
        <v>6214</v>
      </c>
      <c r="E4347" s="5" t="s">
        <v>3979</v>
      </c>
      <c r="G4347" s="5" t="s">
        <v>1920</v>
      </c>
    </row>
    <row r="4348" spans="4:7" hidden="1">
      <c r="D4348" s="5" t="s">
        <v>6215</v>
      </c>
      <c r="E4348" s="5" t="s">
        <v>2792</v>
      </c>
      <c r="G4348" s="5" t="s">
        <v>1917</v>
      </c>
    </row>
    <row r="4349" spans="4:7" hidden="1">
      <c r="D4349" s="5" t="s">
        <v>6216</v>
      </c>
      <c r="E4349" s="5" t="s">
        <v>451</v>
      </c>
      <c r="G4349" s="5" t="s">
        <v>1917</v>
      </c>
    </row>
    <row r="4350" spans="4:7" hidden="1">
      <c r="D4350" s="5" t="s">
        <v>6217</v>
      </c>
      <c r="E4350" s="5" t="s">
        <v>451</v>
      </c>
      <c r="G4350" s="5" t="s">
        <v>1917</v>
      </c>
    </row>
    <row r="4351" spans="4:7" hidden="1">
      <c r="D4351" s="5" t="s">
        <v>6218</v>
      </c>
      <c r="E4351" s="5" t="s">
        <v>3979</v>
      </c>
      <c r="G4351" s="5" t="s">
        <v>1920</v>
      </c>
    </row>
    <row r="4352" spans="4:7" hidden="1">
      <c r="D4352" s="5" t="s">
        <v>6219</v>
      </c>
      <c r="E4352" s="5" t="s">
        <v>309</v>
      </c>
      <c r="G4352" s="5" t="s">
        <v>1917</v>
      </c>
    </row>
    <row r="4353" spans="4:7" hidden="1">
      <c r="D4353" s="5" t="s">
        <v>6220</v>
      </c>
      <c r="E4353" s="5" t="s">
        <v>2020</v>
      </c>
      <c r="G4353" s="5" t="s">
        <v>1917</v>
      </c>
    </row>
    <row r="4354" spans="4:7" hidden="1">
      <c r="D4354" s="5" t="s">
        <v>6221</v>
      </c>
      <c r="E4354" s="5" t="s">
        <v>451</v>
      </c>
      <c r="G4354" s="5" t="s">
        <v>1917</v>
      </c>
    </row>
    <row r="4355" spans="4:7" hidden="1">
      <c r="D4355" s="5" t="s">
        <v>6222</v>
      </c>
      <c r="E4355" s="5" t="s">
        <v>3979</v>
      </c>
      <c r="G4355" s="5" t="s">
        <v>1917</v>
      </c>
    </row>
    <row r="4356" spans="4:7" hidden="1">
      <c r="D4356" s="5" t="s">
        <v>6223</v>
      </c>
      <c r="E4356" s="5" t="s">
        <v>309</v>
      </c>
      <c r="G4356" s="5" t="s">
        <v>1917</v>
      </c>
    </row>
    <row r="4357" spans="4:7" hidden="1">
      <c r="D4357" s="5" t="s">
        <v>6224</v>
      </c>
      <c r="E4357" s="5" t="s">
        <v>2056</v>
      </c>
      <c r="G4357" s="5" t="s">
        <v>1917</v>
      </c>
    </row>
    <row r="4358" spans="4:7" hidden="1">
      <c r="D4358" s="5" t="s">
        <v>6225</v>
      </c>
      <c r="E4358" s="5" t="s">
        <v>2091</v>
      </c>
      <c r="G4358" s="5" t="s">
        <v>1917</v>
      </c>
    </row>
    <row r="4359" spans="4:7" hidden="1">
      <c r="D4359" s="5" t="s">
        <v>6226</v>
      </c>
      <c r="E4359" s="5" t="s">
        <v>451</v>
      </c>
      <c r="G4359" s="5" t="s">
        <v>1917</v>
      </c>
    </row>
    <row r="4360" spans="4:7" hidden="1">
      <c r="D4360" s="5" t="s">
        <v>6227</v>
      </c>
      <c r="E4360" s="5" t="s">
        <v>309</v>
      </c>
      <c r="G4360" s="5" t="s">
        <v>1917</v>
      </c>
    </row>
    <row r="4361" spans="4:7" hidden="1">
      <c r="D4361" s="5" t="s">
        <v>6228</v>
      </c>
      <c r="E4361" s="5" t="s">
        <v>2056</v>
      </c>
      <c r="G4361" s="5" t="s">
        <v>1917</v>
      </c>
    </row>
    <row r="4362" spans="4:7" hidden="1">
      <c r="D4362" s="5" t="s">
        <v>6229</v>
      </c>
      <c r="E4362" s="5" t="s">
        <v>451</v>
      </c>
      <c r="G4362" s="5" t="s">
        <v>1926</v>
      </c>
    </row>
    <row r="4363" spans="4:7" hidden="1">
      <c r="D4363" s="5" t="s">
        <v>6230</v>
      </c>
      <c r="E4363" s="5" t="s">
        <v>2824</v>
      </c>
      <c r="G4363" s="5" t="s">
        <v>3807</v>
      </c>
    </row>
    <row r="4364" spans="4:7" hidden="1">
      <c r="D4364" s="5" t="s">
        <v>6231</v>
      </c>
      <c r="E4364" s="5" t="s">
        <v>451</v>
      </c>
      <c r="G4364" s="5" t="s">
        <v>1917</v>
      </c>
    </row>
    <row r="4365" spans="4:7" hidden="1">
      <c r="D4365" s="5" t="s">
        <v>6232</v>
      </c>
      <c r="E4365" s="5" t="s">
        <v>2348</v>
      </c>
      <c r="G4365" s="5" t="s">
        <v>1917</v>
      </c>
    </row>
    <row r="4366" spans="4:7" hidden="1">
      <c r="D4366" s="5" t="s">
        <v>6233</v>
      </c>
      <c r="E4366" s="5" t="s">
        <v>2824</v>
      </c>
      <c r="F4366" s="5" t="s">
        <v>4983</v>
      </c>
      <c r="G4366" s="5" t="s">
        <v>1926</v>
      </c>
    </row>
    <row r="4367" spans="4:7" hidden="1">
      <c r="D4367" s="5" t="s">
        <v>6234</v>
      </c>
      <c r="E4367" s="5" t="s">
        <v>2005</v>
      </c>
      <c r="G4367" s="5" t="s">
        <v>1917</v>
      </c>
    </row>
    <row r="4368" spans="4:7" hidden="1">
      <c r="D4368" s="5" t="s">
        <v>6235</v>
      </c>
      <c r="E4368" s="5" t="s">
        <v>3979</v>
      </c>
      <c r="G4368" s="5" t="s">
        <v>1917</v>
      </c>
    </row>
    <row r="4369" spans="4:7" hidden="1">
      <c r="D4369" s="5" t="s">
        <v>6236</v>
      </c>
      <c r="E4369" s="5" t="s">
        <v>3979</v>
      </c>
      <c r="G4369" s="5" t="s">
        <v>1920</v>
      </c>
    </row>
    <row r="4370" spans="4:7" hidden="1">
      <c r="D4370" s="5" t="s">
        <v>6237</v>
      </c>
      <c r="E4370" s="5" t="s">
        <v>430</v>
      </c>
      <c r="G4370" s="5" t="s">
        <v>1917</v>
      </c>
    </row>
    <row r="4371" spans="4:7" hidden="1">
      <c r="D4371" s="5" t="s">
        <v>6238</v>
      </c>
      <c r="E4371" s="5" t="s">
        <v>2824</v>
      </c>
      <c r="F4371" s="5" t="s">
        <v>4983</v>
      </c>
      <c r="G4371" s="5" t="s">
        <v>3807</v>
      </c>
    </row>
    <row r="4372" spans="4:7" hidden="1">
      <c r="D4372" s="5" t="s">
        <v>6239</v>
      </c>
      <c r="E4372" s="5" t="s">
        <v>52</v>
      </c>
      <c r="G4372" s="5" t="s">
        <v>1920</v>
      </c>
    </row>
    <row r="4373" spans="4:7" hidden="1">
      <c r="D4373" s="5" t="s">
        <v>6240</v>
      </c>
      <c r="E4373" s="5" t="s">
        <v>2005</v>
      </c>
      <c r="G4373" s="5" t="s">
        <v>1917</v>
      </c>
    </row>
    <row r="4374" spans="4:7" hidden="1">
      <c r="D4374" s="5" t="s">
        <v>6241</v>
      </c>
      <c r="E4374" s="5" t="s">
        <v>52</v>
      </c>
      <c r="G4374" s="5" t="s">
        <v>1917</v>
      </c>
    </row>
    <row r="4375" spans="4:7" hidden="1">
      <c r="D4375" s="5" t="s">
        <v>6242</v>
      </c>
      <c r="E4375" s="5" t="s">
        <v>2005</v>
      </c>
      <c r="G4375" s="5" t="s">
        <v>1917</v>
      </c>
    </row>
    <row r="4376" spans="4:7" hidden="1">
      <c r="D4376" s="5" t="s">
        <v>6243</v>
      </c>
      <c r="E4376" s="5" t="s">
        <v>52</v>
      </c>
      <c r="G4376" s="5" t="s">
        <v>1917</v>
      </c>
    </row>
    <row r="4377" spans="4:7" hidden="1">
      <c r="D4377" s="5" t="s">
        <v>6244</v>
      </c>
      <c r="E4377" s="5" t="s">
        <v>52</v>
      </c>
      <c r="G4377" s="5" t="s">
        <v>1920</v>
      </c>
    </row>
    <row r="4378" spans="4:7" hidden="1">
      <c r="D4378" s="5" t="s">
        <v>6245</v>
      </c>
      <c r="E4378" s="5" t="s">
        <v>2056</v>
      </c>
      <c r="G4378" s="5" t="s">
        <v>1917</v>
      </c>
    </row>
    <row r="4379" spans="4:7" hidden="1">
      <c r="D4379" s="5" t="s">
        <v>6246</v>
      </c>
      <c r="E4379" s="5" t="s">
        <v>451</v>
      </c>
      <c r="G4379" s="5" t="s">
        <v>1917</v>
      </c>
    </row>
    <row r="4380" spans="4:7" hidden="1">
      <c r="D4380" s="5" t="s">
        <v>6247</v>
      </c>
      <c r="E4380" s="5" t="s">
        <v>52</v>
      </c>
      <c r="G4380" s="5" t="s">
        <v>1920</v>
      </c>
    </row>
    <row r="4381" spans="4:7" hidden="1">
      <c r="D4381" s="5" t="s">
        <v>6248</v>
      </c>
      <c r="E4381" s="5" t="s">
        <v>1945</v>
      </c>
      <c r="G4381" s="5" t="s">
        <v>1917</v>
      </c>
    </row>
    <row r="4382" spans="4:7" hidden="1">
      <c r="D4382" s="5" t="s">
        <v>6249</v>
      </c>
      <c r="E4382" s="5" t="s">
        <v>427</v>
      </c>
      <c r="G4382" s="5" t="s">
        <v>1917</v>
      </c>
    </row>
    <row r="4383" spans="4:7" hidden="1">
      <c r="D4383" s="5" t="s">
        <v>6250</v>
      </c>
      <c r="E4383" s="5" t="s">
        <v>451</v>
      </c>
      <c r="G4383" s="5" t="s">
        <v>1917</v>
      </c>
    </row>
    <row r="4384" spans="4:7" hidden="1">
      <c r="D4384" s="5" t="s">
        <v>6251</v>
      </c>
      <c r="E4384" s="5" t="s">
        <v>451</v>
      </c>
      <c r="G4384" s="5" t="s">
        <v>1917</v>
      </c>
    </row>
    <row r="4385" spans="4:7" hidden="1">
      <c r="D4385" s="5" t="s">
        <v>6252</v>
      </c>
      <c r="E4385" s="5" t="s">
        <v>3785</v>
      </c>
      <c r="G4385" s="5" t="s">
        <v>1926</v>
      </c>
    </row>
    <row r="4386" spans="4:7" hidden="1">
      <c r="D4386" s="5" t="s">
        <v>6253</v>
      </c>
      <c r="E4386" s="5" t="s">
        <v>1890</v>
      </c>
      <c r="G4386" s="5" t="s">
        <v>1917</v>
      </c>
    </row>
    <row r="4387" spans="4:7" hidden="1">
      <c r="D4387" s="5" t="s">
        <v>6254</v>
      </c>
      <c r="E4387" s="5" t="s">
        <v>1945</v>
      </c>
      <c r="G4387" s="5" t="s">
        <v>1917</v>
      </c>
    </row>
    <row r="4388" spans="4:7" hidden="1">
      <c r="D4388" s="5" t="s">
        <v>6255</v>
      </c>
      <c r="E4388" s="5" t="s">
        <v>427</v>
      </c>
      <c r="G4388" s="5" t="s">
        <v>1917</v>
      </c>
    </row>
    <row r="4389" spans="4:7" hidden="1">
      <c r="D4389" s="5" t="s">
        <v>6256</v>
      </c>
      <c r="E4389" s="5" t="s">
        <v>1901</v>
      </c>
      <c r="G4389" s="5" t="s">
        <v>1917</v>
      </c>
    </row>
    <row r="4390" spans="4:7" hidden="1">
      <c r="D4390" s="5" t="s">
        <v>6257</v>
      </c>
      <c r="E4390" s="5" t="s">
        <v>2536</v>
      </c>
      <c r="G4390" s="5" t="s">
        <v>1926</v>
      </c>
    </row>
    <row r="4391" spans="4:7" hidden="1">
      <c r="D4391" s="5" t="s">
        <v>6258</v>
      </c>
      <c r="E4391" s="5" t="s">
        <v>3979</v>
      </c>
      <c r="G4391" s="5" t="s">
        <v>1917</v>
      </c>
    </row>
    <row r="4392" spans="4:7" hidden="1">
      <c r="D4392" s="5" t="s">
        <v>6259</v>
      </c>
      <c r="E4392" s="5" t="s">
        <v>3979</v>
      </c>
      <c r="G4392" s="5" t="s">
        <v>1920</v>
      </c>
    </row>
    <row r="4393" spans="4:7" hidden="1">
      <c r="D4393" s="5" t="s">
        <v>6260</v>
      </c>
      <c r="E4393" s="5" t="s">
        <v>2091</v>
      </c>
      <c r="G4393" s="5" t="s">
        <v>1917</v>
      </c>
    </row>
    <row r="4394" spans="4:7" hidden="1">
      <c r="D4394" s="5" t="s">
        <v>6261</v>
      </c>
      <c r="E4394" s="5" t="s">
        <v>791</v>
      </c>
      <c r="G4394" s="5" t="s">
        <v>1917</v>
      </c>
    </row>
    <row r="4395" spans="4:7" hidden="1">
      <c r="D4395" s="5" t="s">
        <v>6262</v>
      </c>
      <c r="E4395" s="5" t="s">
        <v>2536</v>
      </c>
      <c r="G4395" s="5" t="s">
        <v>1926</v>
      </c>
    </row>
    <row r="4396" spans="4:7" hidden="1">
      <c r="D4396" s="5" t="s">
        <v>6263</v>
      </c>
      <c r="E4396" s="5" t="s">
        <v>1945</v>
      </c>
      <c r="G4396" s="5" t="s">
        <v>1917</v>
      </c>
    </row>
    <row r="4397" spans="4:7" hidden="1">
      <c r="D4397" s="5" t="s">
        <v>6264</v>
      </c>
      <c r="E4397" s="5" t="s">
        <v>2536</v>
      </c>
      <c r="G4397" s="5" t="s">
        <v>1926</v>
      </c>
    </row>
    <row r="4398" spans="4:7" hidden="1">
      <c r="D4398" s="5" t="s">
        <v>6265</v>
      </c>
      <c r="E4398" s="5" t="s">
        <v>2091</v>
      </c>
      <c r="G4398" s="5" t="s">
        <v>1917</v>
      </c>
    </row>
    <row r="4399" spans="4:7" hidden="1">
      <c r="D4399" s="5" t="s">
        <v>6266</v>
      </c>
      <c r="E4399" s="5" t="s">
        <v>430</v>
      </c>
      <c r="G4399" s="5" t="s">
        <v>1917</v>
      </c>
    </row>
    <row r="4400" spans="4:7" hidden="1">
      <c r="D4400" s="5" t="s">
        <v>6267</v>
      </c>
      <c r="E4400" s="5" t="s">
        <v>2536</v>
      </c>
      <c r="G4400" s="5" t="s">
        <v>1926</v>
      </c>
    </row>
    <row r="4401" spans="4:7" hidden="1">
      <c r="D4401" s="5" t="s">
        <v>6268</v>
      </c>
      <c r="E4401" s="5" t="s">
        <v>430</v>
      </c>
      <c r="G4401" s="5" t="s">
        <v>1926</v>
      </c>
    </row>
    <row r="4402" spans="4:7" hidden="1">
      <c r="D4402" s="5" t="s">
        <v>6269</v>
      </c>
      <c r="E4402" s="5" t="s">
        <v>2536</v>
      </c>
      <c r="G4402" s="5" t="s">
        <v>1926</v>
      </c>
    </row>
    <row r="4403" spans="4:7" hidden="1">
      <c r="D4403" s="5" t="s">
        <v>6270</v>
      </c>
      <c r="E4403" s="5" t="s">
        <v>2091</v>
      </c>
      <c r="G4403" s="5" t="s">
        <v>1917</v>
      </c>
    </row>
    <row r="4404" spans="4:7" hidden="1">
      <c r="D4404" s="5" t="s">
        <v>6271</v>
      </c>
      <c r="E4404" s="5" t="s">
        <v>2091</v>
      </c>
      <c r="G4404" s="5" t="s">
        <v>1917</v>
      </c>
    </row>
    <row r="4405" spans="4:7" hidden="1">
      <c r="D4405" s="5" t="s">
        <v>6272</v>
      </c>
      <c r="E4405" s="5" t="s">
        <v>2536</v>
      </c>
      <c r="G4405" s="5" t="s">
        <v>1926</v>
      </c>
    </row>
    <row r="4406" spans="4:7" hidden="1">
      <c r="D4406" s="5" t="s">
        <v>6273</v>
      </c>
      <c r="E4406" s="5" t="s">
        <v>2091</v>
      </c>
      <c r="G4406" s="5" t="s">
        <v>1917</v>
      </c>
    </row>
    <row r="4407" spans="4:7" hidden="1">
      <c r="D4407" s="5" t="s">
        <v>6274</v>
      </c>
      <c r="E4407" s="5" t="s">
        <v>1945</v>
      </c>
      <c r="G4407" s="5" t="s">
        <v>1917</v>
      </c>
    </row>
    <row r="4408" spans="4:7" hidden="1">
      <c r="D4408" s="5" t="s">
        <v>6275</v>
      </c>
      <c r="E4408" s="5" t="s">
        <v>2091</v>
      </c>
      <c r="G4408" s="5" t="s">
        <v>1917</v>
      </c>
    </row>
    <row r="4409" spans="4:7" hidden="1">
      <c r="D4409" s="5" t="s">
        <v>6276</v>
      </c>
      <c r="E4409" s="5" t="s">
        <v>2536</v>
      </c>
      <c r="G4409" s="5" t="s">
        <v>1926</v>
      </c>
    </row>
    <row r="4410" spans="4:7" hidden="1">
      <c r="D4410" s="5" t="s">
        <v>6277</v>
      </c>
      <c r="E4410" s="5" t="s">
        <v>2091</v>
      </c>
      <c r="G4410" s="5" t="s">
        <v>1917</v>
      </c>
    </row>
    <row r="4411" spans="4:7" hidden="1">
      <c r="D4411" s="5" t="s">
        <v>6278</v>
      </c>
      <c r="E4411" s="5" t="s">
        <v>2005</v>
      </c>
      <c r="G4411" s="5" t="s">
        <v>1917</v>
      </c>
    </row>
    <row r="4412" spans="4:7" hidden="1">
      <c r="D4412" s="5" t="s">
        <v>6279</v>
      </c>
      <c r="E4412" s="5" t="s">
        <v>2536</v>
      </c>
      <c r="G4412" s="5" t="s">
        <v>1926</v>
      </c>
    </row>
    <row r="4413" spans="4:7" hidden="1">
      <c r="D4413" s="5" t="s">
        <v>6280</v>
      </c>
      <c r="E4413" s="5" t="s">
        <v>2091</v>
      </c>
      <c r="G4413" s="5" t="s">
        <v>1917</v>
      </c>
    </row>
    <row r="4414" spans="4:7" hidden="1">
      <c r="D4414" s="5" t="s">
        <v>6281</v>
      </c>
      <c r="E4414" s="5" t="s">
        <v>2005</v>
      </c>
      <c r="G4414" s="5" t="s">
        <v>1917</v>
      </c>
    </row>
    <row r="4415" spans="4:7" hidden="1">
      <c r="D4415" s="5" t="s">
        <v>6282</v>
      </c>
      <c r="E4415" s="5" t="s">
        <v>3656</v>
      </c>
      <c r="G4415" s="5" t="s">
        <v>1917</v>
      </c>
    </row>
    <row r="4416" spans="4:7" hidden="1">
      <c r="D4416" s="5" t="s">
        <v>6283</v>
      </c>
      <c r="E4416" s="5" t="s">
        <v>2536</v>
      </c>
      <c r="G4416" s="5" t="s">
        <v>1926</v>
      </c>
    </row>
    <row r="4417" spans="4:7" hidden="1">
      <c r="D4417" s="5" t="s">
        <v>6284</v>
      </c>
      <c r="E4417" s="5" t="s">
        <v>2091</v>
      </c>
      <c r="G4417" s="5" t="s">
        <v>1917</v>
      </c>
    </row>
    <row r="4418" spans="4:7" hidden="1">
      <c r="D4418" s="5" t="s">
        <v>6285</v>
      </c>
      <c r="E4418" s="5" t="s">
        <v>3656</v>
      </c>
      <c r="G4418" s="5" t="s">
        <v>1917</v>
      </c>
    </row>
    <row r="4419" spans="4:7" hidden="1">
      <c r="D4419" s="5" t="s">
        <v>6286</v>
      </c>
      <c r="E4419" s="5" t="s">
        <v>2536</v>
      </c>
      <c r="G4419" s="5" t="s">
        <v>1926</v>
      </c>
    </row>
    <row r="4420" spans="4:7" hidden="1">
      <c r="D4420" s="5" t="s">
        <v>6287</v>
      </c>
      <c r="E4420" s="5" t="s">
        <v>2091</v>
      </c>
      <c r="G4420" s="5" t="s">
        <v>1917</v>
      </c>
    </row>
    <row r="4421" spans="4:7" hidden="1">
      <c r="D4421" s="5" t="s">
        <v>6288</v>
      </c>
      <c r="E4421" s="5" t="s">
        <v>52</v>
      </c>
      <c r="G4421" s="5" t="s">
        <v>1917</v>
      </c>
    </row>
    <row r="4422" spans="4:7" hidden="1">
      <c r="D4422" s="5" t="s">
        <v>6289</v>
      </c>
      <c r="E4422" s="5" t="s">
        <v>3656</v>
      </c>
      <c r="G4422" s="5" t="s">
        <v>1917</v>
      </c>
    </row>
    <row r="4423" spans="4:7" hidden="1">
      <c r="D4423" s="5" t="s">
        <v>6290</v>
      </c>
      <c r="E4423" s="5" t="s">
        <v>2536</v>
      </c>
      <c r="G4423" s="5" t="s">
        <v>1926</v>
      </c>
    </row>
    <row r="4424" spans="4:7" hidden="1">
      <c r="D4424" s="5" t="s">
        <v>6291</v>
      </c>
      <c r="E4424" s="5" t="s">
        <v>52</v>
      </c>
      <c r="G4424" s="5" t="s">
        <v>1917</v>
      </c>
    </row>
    <row r="4425" spans="4:7" hidden="1">
      <c r="D4425" s="5" t="s">
        <v>6292</v>
      </c>
      <c r="E4425" s="5" t="s">
        <v>3656</v>
      </c>
      <c r="G4425" s="5" t="s">
        <v>1917</v>
      </c>
    </row>
    <row r="4426" spans="4:7" hidden="1">
      <c r="D4426" s="5" t="s">
        <v>6293</v>
      </c>
      <c r="E4426" s="5" t="s">
        <v>2536</v>
      </c>
      <c r="G4426" s="5" t="s">
        <v>1926</v>
      </c>
    </row>
    <row r="4427" spans="4:7" hidden="1">
      <c r="D4427" s="5" t="s">
        <v>6294</v>
      </c>
      <c r="E4427" s="5" t="s">
        <v>2091</v>
      </c>
      <c r="G4427" s="5" t="s">
        <v>1917</v>
      </c>
    </row>
    <row r="4428" spans="4:7" hidden="1">
      <c r="D4428" s="5" t="s">
        <v>6295</v>
      </c>
      <c r="E4428" s="5" t="s">
        <v>3656</v>
      </c>
      <c r="G4428" s="5" t="s">
        <v>1917</v>
      </c>
    </row>
    <row r="4429" spans="4:7" hidden="1">
      <c r="D4429" s="5" t="s">
        <v>6296</v>
      </c>
      <c r="E4429" s="5" t="s">
        <v>2536</v>
      </c>
      <c r="G4429" s="5" t="s">
        <v>1926</v>
      </c>
    </row>
    <row r="4430" spans="4:7" hidden="1">
      <c r="D4430" s="5" t="s">
        <v>860</v>
      </c>
      <c r="E4430" s="5" t="s">
        <v>52</v>
      </c>
      <c r="G4430" s="5" t="s">
        <v>1917</v>
      </c>
    </row>
    <row r="4431" spans="4:7" hidden="1">
      <c r="D4431" s="5" t="s">
        <v>6297</v>
      </c>
      <c r="E4431" s="5" t="s">
        <v>52</v>
      </c>
      <c r="G4431" s="5" t="s">
        <v>1917</v>
      </c>
    </row>
    <row r="4432" spans="4:7" hidden="1">
      <c r="D4432" s="5" t="s">
        <v>6298</v>
      </c>
      <c r="E4432" s="5" t="s">
        <v>2536</v>
      </c>
      <c r="G4432" s="5" t="s">
        <v>1926</v>
      </c>
    </row>
    <row r="4433" spans="4:7" hidden="1">
      <c r="D4433" s="5" t="s">
        <v>6299</v>
      </c>
      <c r="E4433" s="5" t="s">
        <v>52</v>
      </c>
      <c r="G4433" s="5" t="s">
        <v>1917</v>
      </c>
    </row>
    <row r="4434" spans="4:7" hidden="1">
      <c r="D4434" s="5" t="s">
        <v>6300</v>
      </c>
      <c r="E4434" s="5" t="s">
        <v>1940</v>
      </c>
      <c r="G4434" s="5" t="s">
        <v>1917</v>
      </c>
    </row>
    <row r="4435" spans="4:7" hidden="1">
      <c r="D4435" s="5" t="s">
        <v>6301</v>
      </c>
      <c r="E4435" s="5" t="s">
        <v>52</v>
      </c>
      <c r="G4435" s="5" t="s">
        <v>1917</v>
      </c>
    </row>
    <row r="4436" spans="4:7" hidden="1">
      <c r="D4436" s="5" t="s">
        <v>6302</v>
      </c>
      <c r="E4436" s="5" t="s">
        <v>2536</v>
      </c>
      <c r="G4436" s="5" t="s">
        <v>1926</v>
      </c>
    </row>
    <row r="4437" spans="4:7" hidden="1">
      <c r="D4437" s="5" t="s">
        <v>6303</v>
      </c>
      <c r="E4437" s="5" t="s">
        <v>52</v>
      </c>
      <c r="G4437" s="5" t="s">
        <v>1926</v>
      </c>
    </row>
    <row r="4438" spans="4:7" hidden="1">
      <c r="D4438" s="5" t="s">
        <v>6304</v>
      </c>
      <c r="E4438" s="5" t="s">
        <v>52</v>
      </c>
      <c r="G4438" s="5" t="s">
        <v>1917</v>
      </c>
    </row>
    <row r="4439" spans="4:7" hidden="1">
      <c r="D4439" s="5" t="s">
        <v>6305</v>
      </c>
      <c r="E4439" s="5" t="s">
        <v>2536</v>
      </c>
      <c r="G4439" s="5" t="s">
        <v>1926</v>
      </c>
    </row>
    <row r="4440" spans="4:7" hidden="1">
      <c r="D4440" s="5" t="s">
        <v>6306</v>
      </c>
      <c r="E4440" s="5" t="s">
        <v>309</v>
      </c>
      <c r="G4440" s="5" t="s">
        <v>1917</v>
      </c>
    </row>
    <row r="4441" spans="4:7" hidden="1">
      <c r="D4441" s="5" t="s">
        <v>6307</v>
      </c>
      <c r="E4441" s="5" t="s">
        <v>812</v>
      </c>
      <c r="G4441" s="5" t="s">
        <v>1917</v>
      </c>
    </row>
    <row r="4442" spans="4:7" hidden="1">
      <c r="D4442" s="5" t="s">
        <v>6308</v>
      </c>
      <c r="E4442" s="5" t="s">
        <v>52</v>
      </c>
      <c r="G4442" s="5" t="s">
        <v>1917</v>
      </c>
    </row>
    <row r="4443" spans="4:7" hidden="1">
      <c r="D4443" s="5" t="s">
        <v>6309</v>
      </c>
      <c r="E4443" s="5" t="s">
        <v>52</v>
      </c>
      <c r="G4443" s="5" t="s">
        <v>1917</v>
      </c>
    </row>
    <row r="4444" spans="4:7" hidden="1">
      <c r="D4444" s="5" t="s">
        <v>6310</v>
      </c>
      <c r="E4444" s="5" t="s">
        <v>2536</v>
      </c>
      <c r="G4444" s="5" t="s">
        <v>1926</v>
      </c>
    </row>
    <row r="4445" spans="4:7" hidden="1">
      <c r="D4445" s="5" t="s">
        <v>6311</v>
      </c>
      <c r="E4445" s="5" t="s">
        <v>812</v>
      </c>
      <c r="G4445" s="5" t="s">
        <v>1917</v>
      </c>
    </row>
    <row r="4446" spans="4:7" hidden="1">
      <c r="D4446" s="5" t="s">
        <v>6312</v>
      </c>
      <c r="E4446" s="5" t="s">
        <v>720</v>
      </c>
      <c r="G4446" s="5" t="s">
        <v>1917</v>
      </c>
    </row>
    <row r="4447" spans="4:7" hidden="1">
      <c r="D4447" s="5" t="s">
        <v>6313</v>
      </c>
      <c r="E4447" s="5" t="s">
        <v>52</v>
      </c>
      <c r="G4447" s="5" t="s">
        <v>1917</v>
      </c>
    </row>
    <row r="4448" spans="4:7" hidden="1">
      <c r="D4448" s="5" t="s">
        <v>6314</v>
      </c>
      <c r="E4448" s="5" t="s">
        <v>52</v>
      </c>
      <c r="G4448" s="5" t="s">
        <v>1917</v>
      </c>
    </row>
    <row r="4449" spans="4:7" hidden="1">
      <c r="D4449" s="5" t="s">
        <v>6315</v>
      </c>
      <c r="E4449" s="5" t="s">
        <v>2536</v>
      </c>
      <c r="G4449" s="5" t="s">
        <v>1926</v>
      </c>
    </row>
    <row r="4450" spans="4:7" hidden="1">
      <c r="D4450" s="5" t="s">
        <v>6316</v>
      </c>
      <c r="E4450" s="5" t="s">
        <v>1901</v>
      </c>
      <c r="G4450" s="5" t="s">
        <v>1917</v>
      </c>
    </row>
    <row r="4451" spans="4:7" hidden="1">
      <c r="D4451" s="5" t="s">
        <v>6317</v>
      </c>
      <c r="E4451" s="5" t="s">
        <v>52</v>
      </c>
      <c r="G4451" s="5" t="s">
        <v>1917</v>
      </c>
    </row>
    <row r="4452" spans="4:7" hidden="1">
      <c r="D4452" s="5" t="s">
        <v>6318</v>
      </c>
      <c r="E4452" s="5" t="s">
        <v>52</v>
      </c>
      <c r="G4452" s="5" t="s">
        <v>1917</v>
      </c>
    </row>
    <row r="4453" spans="4:7" hidden="1">
      <c r="D4453" s="5" t="s">
        <v>6319</v>
      </c>
      <c r="E4453" s="5" t="s">
        <v>309</v>
      </c>
      <c r="G4453" s="5" t="s">
        <v>1917</v>
      </c>
    </row>
    <row r="4454" spans="4:7" hidden="1">
      <c r="D4454" s="5" t="s">
        <v>6320</v>
      </c>
      <c r="E4454" s="5" t="s">
        <v>812</v>
      </c>
      <c r="G4454" s="5" t="s">
        <v>1917</v>
      </c>
    </row>
    <row r="4455" spans="4:7" hidden="1">
      <c r="D4455" s="5" t="s">
        <v>6321</v>
      </c>
      <c r="E4455" s="5" t="s">
        <v>812</v>
      </c>
      <c r="G4455" s="5" t="s">
        <v>1917</v>
      </c>
    </row>
    <row r="4456" spans="4:7" hidden="1">
      <c r="D4456" s="5" t="s">
        <v>6322</v>
      </c>
      <c r="E4456" s="5" t="s">
        <v>430</v>
      </c>
      <c r="G4456" s="5" t="s">
        <v>1917</v>
      </c>
    </row>
    <row r="4457" spans="4:7" hidden="1">
      <c r="D4457" s="5" t="s">
        <v>6323</v>
      </c>
      <c r="E4457" s="5" t="s">
        <v>52</v>
      </c>
      <c r="G4457" s="5" t="s">
        <v>1917</v>
      </c>
    </row>
    <row r="4458" spans="4:7" hidden="1">
      <c r="D4458" s="5" t="s">
        <v>6324</v>
      </c>
      <c r="E4458" s="5" t="s">
        <v>309</v>
      </c>
      <c r="G4458" s="5" t="s">
        <v>1917</v>
      </c>
    </row>
    <row r="4459" spans="4:7" hidden="1">
      <c r="D4459" s="5" t="s">
        <v>6325</v>
      </c>
      <c r="E4459" s="5" t="s">
        <v>812</v>
      </c>
      <c r="G4459" s="5" t="s">
        <v>1917</v>
      </c>
    </row>
    <row r="4460" spans="4:7" hidden="1">
      <c r="D4460" s="5" t="s">
        <v>6326</v>
      </c>
      <c r="E4460" s="5" t="s">
        <v>52</v>
      </c>
      <c r="G4460" s="5" t="s">
        <v>1917</v>
      </c>
    </row>
    <row r="4461" spans="4:7" hidden="1">
      <c r="D4461" s="5" t="s">
        <v>6327</v>
      </c>
      <c r="E4461" s="5" t="s">
        <v>6328</v>
      </c>
      <c r="G4461" s="5" t="s">
        <v>1926</v>
      </c>
    </row>
    <row r="4462" spans="4:7" hidden="1">
      <c r="D4462" s="5" t="s">
        <v>6329</v>
      </c>
      <c r="E4462" s="5" t="s">
        <v>309</v>
      </c>
      <c r="G4462" s="5" t="s">
        <v>1917</v>
      </c>
    </row>
    <row r="4463" spans="4:7" hidden="1">
      <c r="D4463" s="5" t="s">
        <v>6330</v>
      </c>
      <c r="E4463" s="5" t="s">
        <v>309</v>
      </c>
      <c r="G4463" s="5" t="s">
        <v>1917</v>
      </c>
    </row>
    <row r="4464" spans="4:7" hidden="1">
      <c r="D4464" s="5" t="s">
        <v>6331</v>
      </c>
      <c r="E4464" s="5" t="s">
        <v>430</v>
      </c>
      <c r="G4464" s="5" t="s">
        <v>1917</v>
      </c>
    </row>
    <row r="4465" spans="4:7" hidden="1">
      <c r="D4465" s="5" t="s">
        <v>6332</v>
      </c>
      <c r="E4465" s="5" t="s">
        <v>168</v>
      </c>
      <c r="G4465" s="5" t="s">
        <v>1917</v>
      </c>
    </row>
    <row r="4466" spans="4:7" hidden="1">
      <c r="D4466" s="5" t="s">
        <v>6333</v>
      </c>
      <c r="E4466" s="5" t="s">
        <v>427</v>
      </c>
      <c r="G4466" s="5" t="s">
        <v>1917</v>
      </c>
    </row>
    <row r="4467" spans="4:7" hidden="1">
      <c r="D4467" s="5" t="s">
        <v>6334</v>
      </c>
      <c r="E4467" s="5" t="s">
        <v>430</v>
      </c>
      <c r="G4467" s="5" t="s">
        <v>1917</v>
      </c>
    </row>
    <row r="4468" spans="4:7" hidden="1">
      <c r="D4468" s="5" t="s">
        <v>1294</v>
      </c>
      <c r="E4468" s="5" t="s">
        <v>1916</v>
      </c>
      <c r="G4468" s="5" t="s">
        <v>1926</v>
      </c>
    </row>
    <row r="4469" spans="4:7" hidden="1">
      <c r="D4469" s="5" t="s">
        <v>6335</v>
      </c>
      <c r="E4469" s="5" t="s">
        <v>451</v>
      </c>
      <c r="G4469" s="5" t="s">
        <v>1917</v>
      </c>
    </row>
    <row r="4470" spans="4:7" hidden="1">
      <c r="D4470" s="5" t="s">
        <v>6336</v>
      </c>
      <c r="E4470" s="5" t="s">
        <v>5529</v>
      </c>
      <c r="G4470" s="5" t="s">
        <v>5530</v>
      </c>
    </row>
    <row r="4471" spans="4:7" hidden="1">
      <c r="D4471" s="5" t="s">
        <v>6337</v>
      </c>
      <c r="E4471" s="5" t="s">
        <v>1916</v>
      </c>
      <c r="G4471" s="5" t="s">
        <v>1917</v>
      </c>
    </row>
    <row r="4472" spans="4:7" hidden="1">
      <c r="D4472" s="5" t="s">
        <v>6338</v>
      </c>
      <c r="E4472" s="5" t="s">
        <v>3995</v>
      </c>
      <c r="F4472" s="5" t="s">
        <v>6339</v>
      </c>
      <c r="G4472" s="5" t="s">
        <v>1926</v>
      </c>
    </row>
    <row r="4473" spans="4:7" hidden="1">
      <c r="D4473" s="5" t="s">
        <v>6340</v>
      </c>
      <c r="E4473" s="5" t="s">
        <v>2091</v>
      </c>
      <c r="G4473" s="5" t="s">
        <v>1917</v>
      </c>
    </row>
    <row r="4474" spans="4:7" hidden="1">
      <c r="D4474" s="5" t="s">
        <v>1283</v>
      </c>
      <c r="E4474" s="5" t="s">
        <v>2792</v>
      </c>
      <c r="G4474" s="5" t="s">
        <v>1926</v>
      </c>
    </row>
    <row r="4475" spans="4:7" hidden="1">
      <c r="D4475" s="5" t="s">
        <v>6341</v>
      </c>
      <c r="E4475" s="5" t="s">
        <v>168</v>
      </c>
      <c r="G4475" s="5" t="s">
        <v>1917</v>
      </c>
    </row>
    <row r="4476" spans="4:7" hidden="1">
      <c r="D4476" s="5" t="s">
        <v>6342</v>
      </c>
      <c r="E4476" s="5" t="s">
        <v>2091</v>
      </c>
      <c r="G4476" s="5" t="s">
        <v>1917</v>
      </c>
    </row>
    <row r="4477" spans="4:7" hidden="1">
      <c r="D4477" s="5" t="s">
        <v>6343</v>
      </c>
      <c r="E4477" s="5" t="s">
        <v>168</v>
      </c>
      <c r="G4477" s="5" t="s">
        <v>1917</v>
      </c>
    </row>
    <row r="4478" spans="4:7" hidden="1">
      <c r="D4478" s="5" t="s">
        <v>6344</v>
      </c>
      <c r="E4478" s="5" t="s">
        <v>5529</v>
      </c>
      <c r="G4478" s="5" t="s">
        <v>5530</v>
      </c>
    </row>
    <row r="4479" spans="4:7" hidden="1">
      <c r="D4479" s="5" t="s">
        <v>6345</v>
      </c>
      <c r="E4479" s="5" t="s">
        <v>309</v>
      </c>
      <c r="G4479" s="5" t="s">
        <v>5530</v>
      </c>
    </row>
    <row r="4480" spans="4:7" hidden="1">
      <c r="D4480" s="5" t="s">
        <v>6346</v>
      </c>
      <c r="E4480" s="5" t="s">
        <v>430</v>
      </c>
      <c r="G4480" s="5" t="s">
        <v>1917</v>
      </c>
    </row>
    <row r="4481" spans="4:7" hidden="1">
      <c r="D4481" s="5" t="s">
        <v>6347</v>
      </c>
      <c r="E4481" s="5" t="s">
        <v>309</v>
      </c>
      <c r="G4481" s="5" t="s">
        <v>1917</v>
      </c>
    </row>
    <row r="4482" spans="4:7" hidden="1">
      <c r="D4482" s="5" t="s">
        <v>6348</v>
      </c>
      <c r="E4482" s="5" t="s">
        <v>2091</v>
      </c>
      <c r="G4482" s="5" t="s">
        <v>1917</v>
      </c>
    </row>
    <row r="4483" spans="4:7" hidden="1">
      <c r="D4483" s="5" t="s">
        <v>1001</v>
      </c>
      <c r="E4483" s="5" t="s">
        <v>2468</v>
      </c>
      <c r="G4483" s="5" t="s">
        <v>2364</v>
      </c>
    </row>
    <row r="4484" spans="4:7" hidden="1">
      <c r="D4484" s="5" t="s">
        <v>1302</v>
      </c>
      <c r="E4484" s="5" t="s">
        <v>430</v>
      </c>
      <c r="G4484" s="5" t="s">
        <v>1926</v>
      </c>
    </row>
    <row r="4485" spans="4:7" hidden="1">
      <c r="D4485" s="5" t="s">
        <v>6349</v>
      </c>
      <c r="E4485" s="5" t="s">
        <v>430</v>
      </c>
      <c r="G4485" s="5" t="s">
        <v>1917</v>
      </c>
    </row>
    <row r="4486" spans="4:7" hidden="1">
      <c r="D4486" s="5" t="s">
        <v>6350</v>
      </c>
      <c r="E4486" s="5" t="s">
        <v>2091</v>
      </c>
      <c r="G4486" s="5" t="s">
        <v>1917</v>
      </c>
    </row>
    <row r="4487" spans="4:7" hidden="1">
      <c r="D4487" s="5" t="s">
        <v>6351</v>
      </c>
      <c r="E4487" s="5" t="s">
        <v>2468</v>
      </c>
      <c r="G4487" s="5" t="s">
        <v>2364</v>
      </c>
    </row>
    <row r="4488" spans="4:7" hidden="1">
      <c r="D4488" s="5" t="s">
        <v>6352</v>
      </c>
      <c r="E4488" s="5" t="s">
        <v>2091</v>
      </c>
      <c r="G4488" s="5" t="s">
        <v>1917</v>
      </c>
    </row>
    <row r="4489" spans="4:7" hidden="1">
      <c r="D4489" s="5" t="s">
        <v>891</v>
      </c>
      <c r="E4489" s="5" t="s">
        <v>2468</v>
      </c>
      <c r="G4489" s="5" t="s">
        <v>2364</v>
      </c>
    </row>
    <row r="4490" spans="4:7" hidden="1">
      <c r="D4490" s="5" t="s">
        <v>6353</v>
      </c>
      <c r="E4490" s="5" t="s">
        <v>451</v>
      </c>
      <c r="G4490" s="5" t="s">
        <v>1926</v>
      </c>
    </row>
    <row r="4491" spans="4:7" hidden="1">
      <c r="D4491" s="5" t="s">
        <v>6354</v>
      </c>
      <c r="E4491" s="5" t="s">
        <v>2091</v>
      </c>
      <c r="G4491" s="5" t="s">
        <v>1917</v>
      </c>
    </row>
    <row r="4492" spans="4:7" hidden="1">
      <c r="D4492" s="5" t="s">
        <v>6355</v>
      </c>
      <c r="E4492" s="5" t="s">
        <v>171</v>
      </c>
      <c r="G4492" s="5" t="s">
        <v>1917</v>
      </c>
    </row>
    <row r="4493" spans="4:7" hidden="1">
      <c r="D4493" s="5" t="s">
        <v>6356</v>
      </c>
      <c r="E4493" s="5" t="s">
        <v>2468</v>
      </c>
      <c r="G4493" s="5" t="s">
        <v>2364</v>
      </c>
    </row>
    <row r="4494" spans="4:7" hidden="1">
      <c r="D4494" s="5" t="s">
        <v>6357</v>
      </c>
      <c r="E4494" s="5" t="s">
        <v>451</v>
      </c>
      <c r="G4494" s="5" t="s">
        <v>1926</v>
      </c>
    </row>
    <row r="4495" spans="4:7" hidden="1">
      <c r="D4495" s="5" t="s">
        <v>6358</v>
      </c>
      <c r="E4495" s="5" t="s">
        <v>2091</v>
      </c>
      <c r="G4495" s="5" t="s">
        <v>1917</v>
      </c>
    </row>
    <row r="4496" spans="4:7" hidden="1">
      <c r="D4496" s="5" t="s">
        <v>6359</v>
      </c>
      <c r="E4496" s="5" t="s">
        <v>2091</v>
      </c>
      <c r="G4496" s="5" t="s">
        <v>1917</v>
      </c>
    </row>
    <row r="4497" spans="4:7" hidden="1">
      <c r="D4497" s="5" t="s">
        <v>6360</v>
      </c>
      <c r="E4497" s="5" t="s">
        <v>171</v>
      </c>
      <c r="G4497" s="5" t="s">
        <v>1917</v>
      </c>
    </row>
    <row r="4498" spans="4:7" hidden="1">
      <c r="D4498" s="5" t="s">
        <v>6361</v>
      </c>
      <c r="E4498" s="5" t="s">
        <v>2091</v>
      </c>
      <c r="G4498" s="5" t="s">
        <v>1917</v>
      </c>
    </row>
    <row r="4499" spans="4:7" hidden="1">
      <c r="D4499" s="5" t="s">
        <v>6362</v>
      </c>
      <c r="E4499" s="5" t="s">
        <v>2091</v>
      </c>
      <c r="G4499" s="5" t="s">
        <v>1917</v>
      </c>
    </row>
    <row r="4500" spans="4:7" hidden="1">
      <c r="D4500" s="5" t="s">
        <v>6363</v>
      </c>
      <c r="E4500" s="5" t="s">
        <v>2091</v>
      </c>
      <c r="G4500" s="5" t="s">
        <v>1917</v>
      </c>
    </row>
    <row r="4501" spans="4:7" hidden="1">
      <c r="D4501" s="5" t="s">
        <v>6364</v>
      </c>
      <c r="E4501" s="5" t="s">
        <v>171</v>
      </c>
      <c r="G4501" s="5" t="s">
        <v>1917</v>
      </c>
    </row>
    <row r="4502" spans="4:7" hidden="1">
      <c r="D4502" s="5" t="s">
        <v>6365</v>
      </c>
      <c r="E4502" s="5" t="s">
        <v>2020</v>
      </c>
      <c r="G4502" s="5" t="s">
        <v>1917</v>
      </c>
    </row>
    <row r="4503" spans="4:7" hidden="1">
      <c r="D4503" s="5" t="s">
        <v>6366</v>
      </c>
      <c r="E4503" s="5" t="s">
        <v>5529</v>
      </c>
      <c r="G4503" s="5" t="s">
        <v>5530</v>
      </c>
    </row>
    <row r="4504" spans="4:7" hidden="1">
      <c r="D4504" s="5" t="s">
        <v>6367</v>
      </c>
      <c r="E4504" s="5" t="s">
        <v>430</v>
      </c>
      <c r="G4504" s="5" t="s">
        <v>1917</v>
      </c>
    </row>
    <row r="4505" spans="4:7" hidden="1">
      <c r="D4505" s="5" t="s">
        <v>6368</v>
      </c>
      <c r="E4505" s="5" t="s">
        <v>791</v>
      </c>
      <c r="G4505" s="5" t="s">
        <v>1926</v>
      </c>
    </row>
    <row r="4506" spans="4:7" hidden="1">
      <c r="D4506" s="5" t="s">
        <v>6369</v>
      </c>
      <c r="E4506" s="5" t="s">
        <v>309</v>
      </c>
      <c r="G4506" s="5" t="s">
        <v>1917</v>
      </c>
    </row>
    <row r="4507" spans="4:7" hidden="1">
      <c r="D4507" s="5" t="s">
        <v>6370</v>
      </c>
      <c r="E4507" s="5" t="s">
        <v>309</v>
      </c>
      <c r="G4507" s="5" t="s">
        <v>1917</v>
      </c>
    </row>
    <row r="4508" spans="4:7" hidden="1">
      <c r="D4508" s="5" t="s">
        <v>6371</v>
      </c>
      <c r="E4508" s="5" t="s">
        <v>430</v>
      </c>
      <c r="G4508" s="5" t="s">
        <v>1917</v>
      </c>
    </row>
    <row r="4509" spans="4:7" hidden="1">
      <c r="D4509" s="5" t="s">
        <v>6372</v>
      </c>
      <c r="E4509" s="5" t="s">
        <v>5529</v>
      </c>
      <c r="G4509" s="5" t="s">
        <v>5530</v>
      </c>
    </row>
    <row r="4510" spans="4:7" hidden="1">
      <c r="D4510" s="5" t="s">
        <v>1292</v>
      </c>
      <c r="E4510" s="5" t="s">
        <v>430</v>
      </c>
      <c r="G4510" s="5" t="s">
        <v>1917</v>
      </c>
    </row>
    <row r="4511" spans="4:7" hidden="1">
      <c r="D4511" s="5" t="s">
        <v>6373</v>
      </c>
      <c r="E4511" s="5" t="s">
        <v>451</v>
      </c>
      <c r="G4511" s="5" t="s">
        <v>1917</v>
      </c>
    </row>
    <row r="4512" spans="4:7" hidden="1">
      <c r="D4512" s="5" t="s">
        <v>6374</v>
      </c>
      <c r="E4512" s="5" t="s">
        <v>4977</v>
      </c>
      <c r="G4512" s="5" t="s">
        <v>5530</v>
      </c>
    </row>
    <row r="4513" spans="4:7" hidden="1">
      <c r="D4513" s="5" t="s">
        <v>6375</v>
      </c>
      <c r="E4513" s="5" t="s">
        <v>52</v>
      </c>
      <c r="G4513" s="5" t="s">
        <v>1917</v>
      </c>
    </row>
    <row r="4514" spans="4:7" hidden="1">
      <c r="D4514" s="5" t="s">
        <v>6376</v>
      </c>
      <c r="E4514" s="5" t="s">
        <v>430</v>
      </c>
      <c r="G4514" s="5" t="s">
        <v>1926</v>
      </c>
    </row>
    <row r="4515" spans="4:7" hidden="1">
      <c r="D4515" s="5" t="s">
        <v>1886</v>
      </c>
      <c r="E4515" s="5" t="s">
        <v>52</v>
      </c>
      <c r="G4515" s="5" t="s">
        <v>1917</v>
      </c>
    </row>
    <row r="4516" spans="4:7" hidden="1">
      <c r="D4516" s="5" t="s">
        <v>6377</v>
      </c>
      <c r="E4516" s="5" t="s">
        <v>451</v>
      </c>
      <c r="G4516" s="5" t="s">
        <v>1917</v>
      </c>
    </row>
    <row r="4517" spans="4:7" hidden="1">
      <c r="D4517" s="5" t="s">
        <v>6378</v>
      </c>
      <c r="E4517" s="5" t="s">
        <v>52</v>
      </c>
      <c r="G4517" s="5" t="s">
        <v>1917</v>
      </c>
    </row>
    <row r="4518" spans="4:7" hidden="1">
      <c r="D4518" s="5" t="s">
        <v>6379</v>
      </c>
      <c r="E4518" s="5" t="s">
        <v>430</v>
      </c>
      <c r="G4518" s="5" t="s">
        <v>1917</v>
      </c>
    </row>
    <row r="4519" spans="4:7" hidden="1">
      <c r="D4519" s="5" t="s">
        <v>6380</v>
      </c>
      <c r="E4519" s="5" t="s">
        <v>2005</v>
      </c>
      <c r="G4519" s="5" t="s">
        <v>1917</v>
      </c>
    </row>
    <row r="4520" spans="4:7" hidden="1">
      <c r="D4520" s="5" t="s">
        <v>6381</v>
      </c>
      <c r="E4520" s="5" t="s">
        <v>1901</v>
      </c>
      <c r="G4520" s="5" t="s">
        <v>1917</v>
      </c>
    </row>
    <row r="4521" spans="4:7" hidden="1">
      <c r="D4521" s="5" t="s">
        <v>6382</v>
      </c>
      <c r="E4521" s="5" t="s">
        <v>309</v>
      </c>
      <c r="G4521" s="5" t="s">
        <v>1917</v>
      </c>
    </row>
    <row r="4522" spans="4:7" hidden="1">
      <c r="D4522" s="5" t="s">
        <v>6383</v>
      </c>
      <c r="E4522" s="5" t="s">
        <v>812</v>
      </c>
      <c r="G4522" s="5" t="s">
        <v>1917</v>
      </c>
    </row>
    <row r="4523" spans="4:7" hidden="1">
      <c r="D4523" s="5" t="s">
        <v>6384</v>
      </c>
      <c r="E4523" s="5" t="s">
        <v>52</v>
      </c>
      <c r="G4523" s="5" t="s">
        <v>1917</v>
      </c>
    </row>
    <row r="4524" spans="4:7" hidden="1">
      <c r="D4524" s="5" t="s">
        <v>6385</v>
      </c>
      <c r="E4524" s="5" t="s">
        <v>52</v>
      </c>
      <c r="G4524" s="5" t="s">
        <v>1917</v>
      </c>
    </row>
    <row r="4525" spans="4:7" hidden="1">
      <c r="D4525" s="5" t="s">
        <v>6386</v>
      </c>
      <c r="E4525" s="5" t="s">
        <v>2005</v>
      </c>
      <c r="G4525" s="5" t="s">
        <v>1917</v>
      </c>
    </row>
    <row r="4526" spans="4:7" hidden="1">
      <c r="D4526" s="5" t="s">
        <v>1124</v>
      </c>
      <c r="E4526" s="5" t="s">
        <v>430</v>
      </c>
      <c r="G4526" s="5" t="s">
        <v>1926</v>
      </c>
    </row>
    <row r="4527" spans="4:7" hidden="1">
      <c r="D4527" s="5" t="s">
        <v>6387</v>
      </c>
      <c r="E4527" s="5" t="s">
        <v>430</v>
      </c>
      <c r="G4527" s="5" t="s">
        <v>1926</v>
      </c>
    </row>
    <row r="4528" spans="4:7" hidden="1">
      <c r="D4528" s="5" t="s">
        <v>6388</v>
      </c>
      <c r="E4528" s="5" t="s">
        <v>1901</v>
      </c>
      <c r="G4528" s="5" t="s">
        <v>1917</v>
      </c>
    </row>
    <row r="4529" spans="4:7" hidden="1">
      <c r="D4529" s="5" t="s">
        <v>6389</v>
      </c>
      <c r="E4529" s="5" t="s">
        <v>430</v>
      </c>
      <c r="G4529" s="5" t="s">
        <v>1926</v>
      </c>
    </row>
    <row r="4530" spans="4:7" hidden="1">
      <c r="D4530" s="5" t="s">
        <v>6390</v>
      </c>
      <c r="E4530" s="5" t="s">
        <v>709</v>
      </c>
      <c r="G4530" s="5" t="s">
        <v>1917</v>
      </c>
    </row>
    <row r="4531" spans="4:7" hidden="1">
      <c r="D4531" s="5" t="s">
        <v>6391</v>
      </c>
      <c r="E4531" s="5" t="s">
        <v>791</v>
      </c>
      <c r="G4531" s="5" t="s">
        <v>1917</v>
      </c>
    </row>
    <row r="4532" spans="4:7" hidden="1">
      <c r="D4532" s="5" t="s">
        <v>6392</v>
      </c>
      <c r="E4532" s="5" t="s">
        <v>427</v>
      </c>
      <c r="G4532" s="5" t="s">
        <v>1917</v>
      </c>
    </row>
    <row r="4533" spans="4:7" hidden="1">
      <c r="D4533" s="5" t="s">
        <v>6393</v>
      </c>
      <c r="E4533" s="5" t="s">
        <v>791</v>
      </c>
      <c r="G4533" s="5" t="s">
        <v>1917</v>
      </c>
    </row>
    <row r="4534" spans="4:7" hidden="1">
      <c r="D4534" s="5" t="s">
        <v>6394</v>
      </c>
      <c r="E4534" s="5" t="s">
        <v>709</v>
      </c>
      <c r="G4534" s="5" t="s">
        <v>1917</v>
      </c>
    </row>
    <row r="4535" spans="4:7" hidden="1">
      <c r="D4535" s="5" t="s">
        <v>6395</v>
      </c>
      <c r="E4535" s="5" t="s">
        <v>2056</v>
      </c>
      <c r="G4535" s="5" t="s">
        <v>1917</v>
      </c>
    </row>
    <row r="4536" spans="4:7" hidden="1">
      <c r="D4536" s="5" t="s">
        <v>6396</v>
      </c>
      <c r="E4536" s="5" t="s">
        <v>791</v>
      </c>
      <c r="G4536" s="5" t="s">
        <v>1917</v>
      </c>
    </row>
    <row r="4537" spans="4:7" hidden="1">
      <c r="D4537" s="5" t="s">
        <v>6397</v>
      </c>
      <c r="E4537" s="5" t="s">
        <v>791</v>
      </c>
      <c r="G4537" s="5" t="s">
        <v>1926</v>
      </c>
    </row>
    <row r="4538" spans="4:7" hidden="1">
      <c r="D4538" s="5" t="s">
        <v>6398</v>
      </c>
      <c r="E4538" s="5" t="s">
        <v>451</v>
      </c>
      <c r="G4538" s="5" t="s">
        <v>1926</v>
      </c>
    </row>
    <row r="4539" spans="4:7" hidden="1">
      <c r="D4539" s="5" t="s">
        <v>6399</v>
      </c>
      <c r="E4539" s="5" t="s">
        <v>791</v>
      </c>
      <c r="G4539" s="5" t="s">
        <v>1917</v>
      </c>
    </row>
    <row r="4540" spans="4:7" hidden="1">
      <c r="D4540" s="5" t="s">
        <v>6400</v>
      </c>
      <c r="E4540" s="5" t="s">
        <v>451</v>
      </c>
      <c r="G4540" s="5" t="s">
        <v>1917</v>
      </c>
    </row>
    <row r="4541" spans="4:7" hidden="1">
      <c r="D4541" s="5" t="s">
        <v>6401</v>
      </c>
      <c r="E4541" s="5" t="s">
        <v>451</v>
      </c>
      <c r="G4541" s="5" t="s">
        <v>1917</v>
      </c>
    </row>
    <row r="4542" spans="4:7" hidden="1">
      <c r="D4542" s="5" t="s">
        <v>6402</v>
      </c>
      <c r="E4542" s="5" t="s">
        <v>791</v>
      </c>
      <c r="G4542" s="5" t="s">
        <v>1917</v>
      </c>
    </row>
    <row r="4543" spans="4:7" hidden="1">
      <c r="D4543" s="5" t="s">
        <v>6403</v>
      </c>
      <c r="E4543" s="5" t="s">
        <v>451</v>
      </c>
      <c r="G4543" s="5" t="s">
        <v>1917</v>
      </c>
    </row>
    <row r="4544" spans="4:7" hidden="1">
      <c r="D4544" s="5" t="s">
        <v>6404</v>
      </c>
      <c r="E4544" s="5" t="s">
        <v>451</v>
      </c>
      <c r="G4544" s="5" t="s">
        <v>1917</v>
      </c>
    </row>
    <row r="4545" spans="4:7" hidden="1">
      <c r="D4545" s="5" t="s">
        <v>6405</v>
      </c>
      <c r="E4545" s="5" t="s">
        <v>791</v>
      </c>
      <c r="G4545" s="5" t="s">
        <v>1917</v>
      </c>
    </row>
    <row r="4546" spans="4:7" hidden="1">
      <c r="D4546" s="5" t="s">
        <v>6406</v>
      </c>
      <c r="E4546" s="5" t="s">
        <v>451</v>
      </c>
      <c r="G4546" s="5" t="s">
        <v>1917</v>
      </c>
    </row>
    <row r="4547" spans="4:7" hidden="1">
      <c r="D4547" s="5" t="s">
        <v>6407</v>
      </c>
      <c r="E4547" s="5" t="s">
        <v>2091</v>
      </c>
      <c r="G4547" s="5" t="s">
        <v>1917</v>
      </c>
    </row>
    <row r="4548" spans="4:7" hidden="1">
      <c r="D4548" s="5" t="s">
        <v>6408</v>
      </c>
      <c r="E4548" s="5" t="s">
        <v>451</v>
      </c>
      <c r="G4548" s="5" t="s">
        <v>1926</v>
      </c>
    </row>
    <row r="4549" spans="4:7" hidden="1">
      <c r="D4549" s="5" t="s">
        <v>6409</v>
      </c>
      <c r="E4549" s="5" t="s">
        <v>451</v>
      </c>
      <c r="G4549" s="5" t="s">
        <v>1926</v>
      </c>
    </row>
    <row r="4550" spans="4:7" hidden="1">
      <c r="D4550" s="5" t="s">
        <v>6410</v>
      </c>
      <c r="E4550" s="5" t="s">
        <v>791</v>
      </c>
      <c r="G4550" s="5" t="s">
        <v>1926</v>
      </c>
    </row>
    <row r="4551" spans="4:7" hidden="1">
      <c r="D4551" s="5" t="s">
        <v>6411</v>
      </c>
      <c r="E4551" s="5" t="s">
        <v>720</v>
      </c>
      <c r="G4551" s="5" t="s">
        <v>1917</v>
      </c>
    </row>
    <row r="4552" spans="4:7" hidden="1">
      <c r="D4552" s="5" t="s">
        <v>6412</v>
      </c>
      <c r="E4552" s="5" t="s">
        <v>5529</v>
      </c>
      <c r="G4552" s="5" t="s">
        <v>5530</v>
      </c>
    </row>
    <row r="4553" spans="4:7" hidden="1">
      <c r="D4553" s="5" t="s">
        <v>6413</v>
      </c>
      <c r="E4553" s="5" t="s">
        <v>720</v>
      </c>
      <c r="G4553" s="5" t="s">
        <v>1917</v>
      </c>
    </row>
    <row r="4554" spans="4:7" hidden="1">
      <c r="D4554" s="5" t="s">
        <v>6414</v>
      </c>
      <c r="E4554" s="5" t="s">
        <v>2056</v>
      </c>
      <c r="G4554" s="5" t="s">
        <v>1917</v>
      </c>
    </row>
    <row r="4555" spans="4:7" hidden="1">
      <c r="D4555" s="5" t="s">
        <v>6415</v>
      </c>
      <c r="E4555" s="5" t="s">
        <v>720</v>
      </c>
      <c r="G4555" s="5" t="s">
        <v>1917</v>
      </c>
    </row>
    <row r="4556" spans="4:7" hidden="1">
      <c r="D4556" s="5" t="s">
        <v>6416</v>
      </c>
      <c r="E4556" s="5" t="s">
        <v>1945</v>
      </c>
      <c r="G4556" s="5" t="s">
        <v>1926</v>
      </c>
    </row>
    <row r="4557" spans="4:7" hidden="1">
      <c r="D4557" s="5" t="s">
        <v>6417</v>
      </c>
      <c r="E4557" s="5" t="s">
        <v>2056</v>
      </c>
      <c r="G4557" s="5" t="s">
        <v>1917</v>
      </c>
    </row>
    <row r="4558" spans="4:7" hidden="1">
      <c r="D4558" s="5" t="s">
        <v>6418</v>
      </c>
      <c r="E4558" s="5" t="s">
        <v>791</v>
      </c>
      <c r="G4558" s="5" t="s">
        <v>1917</v>
      </c>
    </row>
    <row r="4559" spans="4:7" hidden="1">
      <c r="D4559" s="5" t="s">
        <v>6419</v>
      </c>
      <c r="E4559" s="5" t="s">
        <v>720</v>
      </c>
      <c r="G4559" s="5" t="s">
        <v>1917</v>
      </c>
    </row>
    <row r="4560" spans="4:7" hidden="1">
      <c r="D4560" s="5" t="s">
        <v>6420</v>
      </c>
      <c r="E4560" s="5" t="s">
        <v>309</v>
      </c>
      <c r="G4560" s="5" t="s">
        <v>5530</v>
      </c>
    </row>
    <row r="4561" spans="4:7" hidden="1">
      <c r="D4561" s="5" t="s">
        <v>6421</v>
      </c>
      <c r="E4561" s="5" t="s">
        <v>2005</v>
      </c>
      <c r="G4561" s="5" t="s">
        <v>1917</v>
      </c>
    </row>
    <row r="4562" spans="4:7" hidden="1">
      <c r="D4562" s="5" t="s">
        <v>6422</v>
      </c>
      <c r="E4562" s="5" t="s">
        <v>791</v>
      </c>
      <c r="G4562" s="5" t="s">
        <v>1917</v>
      </c>
    </row>
    <row r="4563" spans="4:7" hidden="1">
      <c r="D4563" s="5" t="s">
        <v>6423</v>
      </c>
      <c r="E4563" s="5" t="s">
        <v>720</v>
      </c>
      <c r="G4563" s="5" t="s">
        <v>1917</v>
      </c>
    </row>
    <row r="4564" spans="4:7" hidden="1">
      <c r="D4564" s="5" t="s">
        <v>6424</v>
      </c>
      <c r="E4564" s="5" t="s">
        <v>1945</v>
      </c>
      <c r="G4564" s="5" t="s">
        <v>1917</v>
      </c>
    </row>
    <row r="4565" spans="4:7" hidden="1">
      <c r="D4565" s="5" t="s">
        <v>6425</v>
      </c>
      <c r="E4565" s="5" t="s">
        <v>2005</v>
      </c>
      <c r="G4565" s="5" t="s">
        <v>1917</v>
      </c>
    </row>
    <row r="4566" spans="4:7" hidden="1">
      <c r="D4566" s="5" t="s">
        <v>6426</v>
      </c>
      <c r="E4566" s="5" t="s">
        <v>791</v>
      </c>
      <c r="G4566" s="5" t="s">
        <v>1917</v>
      </c>
    </row>
    <row r="4567" spans="4:7" hidden="1">
      <c r="D4567" s="5" t="s">
        <v>6427</v>
      </c>
      <c r="E4567" s="5" t="s">
        <v>709</v>
      </c>
      <c r="G4567" s="5" t="s">
        <v>1917</v>
      </c>
    </row>
    <row r="4568" spans="4:7" hidden="1">
      <c r="D4568" s="5" t="s">
        <v>6428</v>
      </c>
      <c r="E4568" s="5" t="s">
        <v>427</v>
      </c>
      <c r="G4568" s="5" t="s">
        <v>1917</v>
      </c>
    </row>
    <row r="4569" spans="4:7" hidden="1">
      <c r="D4569" s="5" t="s">
        <v>1209</v>
      </c>
      <c r="E4569" s="5" t="s">
        <v>791</v>
      </c>
      <c r="G4569" s="5" t="s">
        <v>1917</v>
      </c>
    </row>
    <row r="4570" spans="4:7" hidden="1">
      <c r="D4570" s="5" t="s">
        <v>6429</v>
      </c>
      <c r="E4570" s="5" t="s">
        <v>709</v>
      </c>
      <c r="G4570" s="5" t="s">
        <v>1917</v>
      </c>
    </row>
    <row r="4571" spans="4:7" hidden="1">
      <c r="D4571" s="5" t="s">
        <v>6430</v>
      </c>
      <c r="E4571" s="5" t="s">
        <v>427</v>
      </c>
      <c r="G4571" s="5" t="s">
        <v>1926</v>
      </c>
    </row>
    <row r="4572" spans="4:7" hidden="1">
      <c r="D4572" s="5" t="s">
        <v>6431</v>
      </c>
      <c r="E4572" s="5" t="s">
        <v>791</v>
      </c>
      <c r="G4572" s="5" t="s">
        <v>1917</v>
      </c>
    </row>
    <row r="4573" spans="4:7" hidden="1">
      <c r="D4573" s="5" t="s">
        <v>6432</v>
      </c>
      <c r="E4573" s="5" t="s">
        <v>720</v>
      </c>
      <c r="G4573" s="5" t="s">
        <v>1917</v>
      </c>
    </row>
    <row r="4574" spans="4:7" hidden="1">
      <c r="D4574" s="5" t="s">
        <v>6433</v>
      </c>
      <c r="E4574" s="5" t="s">
        <v>2020</v>
      </c>
      <c r="G4574" s="5" t="s">
        <v>1917</v>
      </c>
    </row>
    <row r="4575" spans="4:7" hidden="1">
      <c r="D4575" s="5" t="s">
        <v>6434</v>
      </c>
      <c r="E4575" s="5" t="s">
        <v>5529</v>
      </c>
      <c r="G4575" s="5" t="s">
        <v>1917</v>
      </c>
    </row>
    <row r="4576" spans="4:7" hidden="1">
      <c r="D4576" s="5" t="s">
        <v>6435</v>
      </c>
      <c r="E4576" s="5" t="s">
        <v>1945</v>
      </c>
      <c r="G4576" s="5" t="s">
        <v>1926</v>
      </c>
    </row>
    <row r="4577" spans="4:7" hidden="1">
      <c r="D4577" s="5" t="s">
        <v>753</v>
      </c>
      <c r="E4577" s="5" t="s">
        <v>1945</v>
      </c>
      <c r="G4577" s="5" t="s">
        <v>1926</v>
      </c>
    </row>
    <row r="4578" spans="4:7" hidden="1">
      <c r="D4578" s="5" t="s">
        <v>6436</v>
      </c>
      <c r="E4578" s="5" t="s">
        <v>3910</v>
      </c>
      <c r="F4578" s="5" t="s">
        <v>3911</v>
      </c>
      <c r="G4578" s="5" t="s">
        <v>1926</v>
      </c>
    </row>
    <row r="4579" spans="4:7" hidden="1">
      <c r="D4579" s="5" t="s">
        <v>6437</v>
      </c>
      <c r="E4579" s="5" t="s">
        <v>1945</v>
      </c>
      <c r="G4579" s="5" t="s">
        <v>1926</v>
      </c>
    </row>
    <row r="4580" spans="4:7" hidden="1">
      <c r="D4580" s="5" t="s">
        <v>6438</v>
      </c>
      <c r="E4580" s="5" t="s">
        <v>1945</v>
      </c>
      <c r="G4580" s="5" t="s">
        <v>1926</v>
      </c>
    </row>
    <row r="4581" spans="4:7" hidden="1">
      <c r="D4581" s="5" t="s">
        <v>6439</v>
      </c>
      <c r="E4581" s="5" t="s">
        <v>1945</v>
      </c>
      <c r="G4581" s="5" t="s">
        <v>1926</v>
      </c>
    </row>
    <row r="4582" spans="4:7" hidden="1">
      <c r="D4582" s="5" t="s">
        <v>6440</v>
      </c>
      <c r="E4582" s="5" t="s">
        <v>1945</v>
      </c>
      <c r="G4582" s="5" t="s">
        <v>1926</v>
      </c>
    </row>
    <row r="4583" spans="4:7" hidden="1">
      <c r="D4583" s="5" t="s">
        <v>6441</v>
      </c>
      <c r="E4583" s="5" t="s">
        <v>52</v>
      </c>
      <c r="G4583" s="5" t="s">
        <v>1926</v>
      </c>
    </row>
    <row r="4584" spans="4:7" hidden="1">
      <c r="D4584" s="5" t="s">
        <v>6442</v>
      </c>
      <c r="E4584" s="5" t="s">
        <v>52</v>
      </c>
      <c r="G4584" s="5" t="s">
        <v>1926</v>
      </c>
    </row>
    <row r="4585" spans="4:7" hidden="1">
      <c r="D4585" s="5" t="s">
        <v>6443</v>
      </c>
      <c r="E4585" s="5" t="s">
        <v>427</v>
      </c>
      <c r="G4585" s="5" t="s">
        <v>1917</v>
      </c>
    </row>
    <row r="4586" spans="4:7" hidden="1">
      <c r="D4586" s="5" t="s">
        <v>840</v>
      </c>
      <c r="E4586" s="5" t="s">
        <v>451</v>
      </c>
      <c r="G4586" s="5" t="s">
        <v>1926</v>
      </c>
    </row>
    <row r="4587" spans="4:7" hidden="1">
      <c r="D4587" s="5" t="s">
        <v>6444</v>
      </c>
      <c r="E4587" s="5" t="s">
        <v>4036</v>
      </c>
      <c r="F4587" s="5" t="s">
        <v>6445</v>
      </c>
      <c r="G4587" s="5" t="s">
        <v>3807</v>
      </c>
    </row>
    <row r="4588" spans="4:7" hidden="1">
      <c r="D4588" s="5" t="s">
        <v>6446</v>
      </c>
      <c r="E4588" s="5" t="s">
        <v>451</v>
      </c>
      <c r="G4588" s="5" t="s">
        <v>1926</v>
      </c>
    </row>
    <row r="4589" spans="4:7" hidden="1">
      <c r="D4589" s="5" t="s">
        <v>6447</v>
      </c>
      <c r="E4589" s="5" t="s">
        <v>4036</v>
      </c>
      <c r="F4589" s="5" t="s">
        <v>6445</v>
      </c>
      <c r="G4589" s="5" t="s">
        <v>3807</v>
      </c>
    </row>
    <row r="4590" spans="4:7" hidden="1">
      <c r="D4590" s="5" t="s">
        <v>6448</v>
      </c>
      <c r="E4590" s="5" t="s">
        <v>451</v>
      </c>
      <c r="G4590" s="5" t="s">
        <v>1926</v>
      </c>
    </row>
    <row r="4591" spans="4:7" hidden="1">
      <c r="D4591" s="5" t="s">
        <v>653</v>
      </c>
      <c r="E4591" s="5" t="s">
        <v>451</v>
      </c>
      <c r="G4591" s="5" t="s">
        <v>1926</v>
      </c>
    </row>
    <row r="4592" spans="4:7" hidden="1">
      <c r="D4592" s="5" t="s">
        <v>6449</v>
      </c>
      <c r="E4592" s="5" t="s">
        <v>4036</v>
      </c>
      <c r="F4592" s="5" t="s">
        <v>6445</v>
      </c>
      <c r="G4592" s="5" t="s">
        <v>3807</v>
      </c>
    </row>
    <row r="4593" spans="4:7" hidden="1">
      <c r="D4593" s="5" t="s">
        <v>6450</v>
      </c>
      <c r="E4593" s="5" t="s">
        <v>451</v>
      </c>
      <c r="G4593" s="5" t="s">
        <v>1926</v>
      </c>
    </row>
    <row r="4594" spans="4:7" hidden="1">
      <c r="D4594" s="5" t="s">
        <v>468</v>
      </c>
      <c r="E4594" s="5" t="s">
        <v>451</v>
      </c>
      <c r="G4594" s="5" t="s">
        <v>1926</v>
      </c>
    </row>
    <row r="4595" spans="4:7" hidden="1">
      <c r="D4595" s="5" t="s">
        <v>6451</v>
      </c>
      <c r="E4595" s="5" t="s">
        <v>1901</v>
      </c>
      <c r="G4595" s="5" t="s">
        <v>1917</v>
      </c>
    </row>
    <row r="4596" spans="4:7" hidden="1">
      <c r="D4596" s="5" t="s">
        <v>6452</v>
      </c>
      <c r="E4596" s="5" t="s">
        <v>427</v>
      </c>
      <c r="G4596" s="5" t="s">
        <v>1926</v>
      </c>
    </row>
    <row r="4597" spans="4:7" hidden="1">
      <c r="D4597" s="5" t="s">
        <v>6453</v>
      </c>
      <c r="E4597" s="5" t="s">
        <v>812</v>
      </c>
      <c r="G4597" s="5" t="s">
        <v>1926</v>
      </c>
    </row>
    <row r="4598" spans="4:7" hidden="1">
      <c r="D4598" s="5" t="s">
        <v>6454</v>
      </c>
      <c r="E4598" s="5" t="s">
        <v>709</v>
      </c>
      <c r="G4598" s="5" t="s">
        <v>1917</v>
      </c>
    </row>
    <row r="4599" spans="4:7" hidden="1">
      <c r="D4599" s="5" t="s">
        <v>6455</v>
      </c>
      <c r="E4599" s="5" t="s">
        <v>1901</v>
      </c>
      <c r="G4599" s="5" t="s">
        <v>1917</v>
      </c>
    </row>
    <row r="4600" spans="4:7" hidden="1">
      <c r="D4600" s="5" t="s">
        <v>6456</v>
      </c>
      <c r="E4600" s="5" t="s">
        <v>1901</v>
      </c>
      <c r="G4600" s="5" t="s">
        <v>1917</v>
      </c>
    </row>
    <row r="4601" spans="4:7" hidden="1">
      <c r="D4601" s="5" t="s">
        <v>6457</v>
      </c>
      <c r="E4601" s="5" t="s">
        <v>1901</v>
      </c>
      <c r="G4601" s="5" t="s">
        <v>1926</v>
      </c>
    </row>
    <row r="4602" spans="4:7" hidden="1">
      <c r="D4602" s="5" t="s">
        <v>1033</v>
      </c>
      <c r="E4602" s="5" t="s">
        <v>1325</v>
      </c>
      <c r="F4602" s="5" t="s">
        <v>6458</v>
      </c>
      <c r="G4602" s="5" t="s">
        <v>3807</v>
      </c>
    </row>
    <row r="4603" spans="4:7" hidden="1">
      <c r="D4603" s="5" t="s">
        <v>6459</v>
      </c>
      <c r="E4603" s="5" t="s">
        <v>1325</v>
      </c>
      <c r="F4603" s="5" t="s">
        <v>6458</v>
      </c>
      <c r="G4603" s="5" t="s">
        <v>3807</v>
      </c>
    </row>
    <row r="4604" spans="4:7" hidden="1">
      <c r="D4604" s="5" t="s">
        <v>6460</v>
      </c>
      <c r="E4604" s="5" t="s">
        <v>1325</v>
      </c>
      <c r="F4604" s="5" t="s">
        <v>6458</v>
      </c>
      <c r="G4604" s="5" t="s">
        <v>3807</v>
      </c>
    </row>
    <row r="4605" spans="4:7" hidden="1">
      <c r="D4605" s="5" t="s">
        <v>6461</v>
      </c>
      <c r="E4605" s="5" t="s">
        <v>430</v>
      </c>
      <c r="G4605" s="5" t="s">
        <v>1917</v>
      </c>
    </row>
    <row r="4606" spans="4:7" hidden="1">
      <c r="D4606" s="5" t="s">
        <v>6462</v>
      </c>
      <c r="E4606" s="5" t="s">
        <v>3838</v>
      </c>
      <c r="G4606" s="5" t="s">
        <v>1926</v>
      </c>
    </row>
    <row r="4607" spans="4:7" hidden="1">
      <c r="D4607" s="5" t="s">
        <v>6463</v>
      </c>
      <c r="E4607" s="5" t="s">
        <v>3838</v>
      </c>
      <c r="G4607" s="5" t="s">
        <v>1926</v>
      </c>
    </row>
    <row r="4608" spans="4:7" hidden="1">
      <c r="D4608" s="5" t="s">
        <v>6464</v>
      </c>
      <c r="E4608" s="5" t="s">
        <v>1901</v>
      </c>
      <c r="G4608" s="5" t="s">
        <v>1926</v>
      </c>
    </row>
    <row r="4609" spans="4:7" hidden="1">
      <c r="D4609" s="5" t="s">
        <v>6465</v>
      </c>
      <c r="E4609" s="5" t="s">
        <v>1901</v>
      </c>
      <c r="G4609" s="5" t="s">
        <v>1926</v>
      </c>
    </row>
    <row r="4610" spans="4:7" hidden="1">
      <c r="D4610" s="5" t="s">
        <v>6466</v>
      </c>
      <c r="E4610" s="5" t="s">
        <v>2745</v>
      </c>
      <c r="G4610" s="5" t="s">
        <v>1926</v>
      </c>
    </row>
    <row r="4611" spans="4:7" hidden="1">
      <c r="D4611" s="5" t="s">
        <v>6467</v>
      </c>
      <c r="E4611" s="5" t="s">
        <v>52</v>
      </c>
      <c r="G4611" s="5" t="s">
        <v>1926</v>
      </c>
    </row>
    <row r="4612" spans="4:7" hidden="1">
      <c r="D4612" s="5" t="s">
        <v>6468</v>
      </c>
      <c r="E4612" s="5" t="s">
        <v>2056</v>
      </c>
      <c r="G4612" s="5" t="s">
        <v>1926</v>
      </c>
    </row>
    <row r="4613" spans="4:7" hidden="1">
      <c r="D4613" s="5" t="s">
        <v>6469</v>
      </c>
      <c r="E4613" s="5" t="s">
        <v>2056</v>
      </c>
      <c r="G4613" s="5" t="s">
        <v>1926</v>
      </c>
    </row>
    <row r="4614" spans="4:7" hidden="1">
      <c r="D4614" s="5" t="s">
        <v>6470</v>
      </c>
      <c r="E4614" s="5" t="s">
        <v>2056</v>
      </c>
      <c r="G4614" s="5" t="s">
        <v>1926</v>
      </c>
    </row>
    <row r="4615" spans="4:7" hidden="1">
      <c r="D4615" s="5" t="s">
        <v>6471</v>
      </c>
      <c r="E4615" s="5" t="s">
        <v>2056</v>
      </c>
      <c r="G4615" s="5" t="s">
        <v>1926</v>
      </c>
    </row>
    <row r="4616" spans="4:7" hidden="1">
      <c r="D4616" s="5" t="s">
        <v>6472</v>
      </c>
      <c r="E4616" s="5" t="s">
        <v>2056</v>
      </c>
      <c r="G4616" s="5" t="s">
        <v>1926</v>
      </c>
    </row>
    <row r="4617" spans="4:7" hidden="1">
      <c r="D4617" s="5" t="s">
        <v>6473</v>
      </c>
      <c r="E4617" s="5" t="s">
        <v>1873</v>
      </c>
      <c r="G4617" s="5" t="s">
        <v>1926</v>
      </c>
    </row>
    <row r="4618" spans="4:7" hidden="1">
      <c r="D4618" s="5" t="s">
        <v>6474</v>
      </c>
      <c r="E4618" s="5" t="s">
        <v>2056</v>
      </c>
      <c r="G4618" s="5" t="s">
        <v>1926</v>
      </c>
    </row>
    <row r="4619" spans="4:7" hidden="1">
      <c r="D4619" s="5" t="s">
        <v>6475</v>
      </c>
      <c r="E4619" s="5" t="s">
        <v>2056</v>
      </c>
      <c r="G4619" s="5" t="s">
        <v>1926</v>
      </c>
    </row>
    <row r="4620" spans="4:7" hidden="1">
      <c r="D4620" s="5" t="s">
        <v>6476</v>
      </c>
      <c r="E4620" s="5" t="s">
        <v>1873</v>
      </c>
      <c r="G4620" s="5" t="s">
        <v>1926</v>
      </c>
    </row>
    <row r="4621" spans="4:7" hidden="1">
      <c r="D4621" s="5" t="s">
        <v>6477</v>
      </c>
      <c r="E4621" s="5" t="s">
        <v>2056</v>
      </c>
      <c r="G4621" s="5" t="s">
        <v>1926</v>
      </c>
    </row>
    <row r="4622" spans="4:7" hidden="1">
      <c r="D4622" s="5" t="s">
        <v>6478</v>
      </c>
      <c r="E4622" s="5" t="s">
        <v>2056</v>
      </c>
      <c r="G4622" s="5" t="s">
        <v>1926</v>
      </c>
    </row>
    <row r="4623" spans="4:7" hidden="1">
      <c r="D4623" s="5" t="s">
        <v>6479</v>
      </c>
      <c r="E4623" s="5" t="s">
        <v>2056</v>
      </c>
      <c r="G4623" s="5" t="s">
        <v>1926</v>
      </c>
    </row>
    <row r="4624" spans="4:7" hidden="1">
      <c r="D4624" s="5" t="s">
        <v>452</v>
      </c>
      <c r="E4624" s="5" t="s">
        <v>451</v>
      </c>
      <c r="G4624" s="5" t="s">
        <v>1926</v>
      </c>
    </row>
    <row r="4625" spans="4:7" hidden="1">
      <c r="D4625" s="5" t="s">
        <v>6480</v>
      </c>
      <c r="E4625" s="5" t="s">
        <v>52</v>
      </c>
      <c r="G4625" s="5" t="s">
        <v>1917</v>
      </c>
    </row>
    <row r="4626" spans="4:7" hidden="1">
      <c r="D4626" s="5" t="s">
        <v>6481</v>
      </c>
      <c r="E4626" s="5" t="s">
        <v>451</v>
      </c>
      <c r="G4626" s="5" t="s">
        <v>1917</v>
      </c>
    </row>
    <row r="4627" spans="4:7" hidden="1">
      <c r="D4627" s="5" t="s">
        <v>6482</v>
      </c>
      <c r="E4627" s="5" t="s">
        <v>1442</v>
      </c>
      <c r="G4627" s="5" t="s">
        <v>1926</v>
      </c>
    </row>
    <row r="4628" spans="4:7" hidden="1">
      <c r="D4628" s="5" t="s">
        <v>6483</v>
      </c>
      <c r="E4628" s="5" t="s">
        <v>1442</v>
      </c>
      <c r="G4628" s="5" t="s">
        <v>1926</v>
      </c>
    </row>
    <row r="4629" spans="4:7" hidden="1">
      <c r="D4629" s="5" t="s">
        <v>6484</v>
      </c>
      <c r="E4629" s="5" t="s">
        <v>1442</v>
      </c>
      <c r="G4629" s="5" t="s">
        <v>1926</v>
      </c>
    </row>
    <row r="4630" spans="4:7" hidden="1">
      <c r="D4630" s="5" t="s">
        <v>6485</v>
      </c>
      <c r="E4630" s="5" t="s">
        <v>1442</v>
      </c>
      <c r="G4630" s="5" t="s">
        <v>1926</v>
      </c>
    </row>
    <row r="4631" spans="4:7" hidden="1">
      <c r="D4631" s="5" t="s">
        <v>6486</v>
      </c>
      <c r="E4631" s="5" t="s">
        <v>1442</v>
      </c>
      <c r="G4631" s="5" t="s">
        <v>1926</v>
      </c>
    </row>
    <row r="4632" spans="4:7" hidden="1">
      <c r="D4632" s="5" t="s">
        <v>6487</v>
      </c>
      <c r="E4632" s="5" t="s">
        <v>1969</v>
      </c>
      <c r="G4632" s="5" t="s">
        <v>1920</v>
      </c>
    </row>
    <row r="4633" spans="4:7" hidden="1">
      <c r="D4633" s="5" t="s">
        <v>6488</v>
      </c>
      <c r="E4633" s="5" t="s">
        <v>1969</v>
      </c>
      <c r="G4633" s="5" t="s">
        <v>1920</v>
      </c>
    </row>
    <row r="4634" spans="4:7" hidden="1">
      <c r="D4634" s="5" t="s">
        <v>6489</v>
      </c>
      <c r="E4634" s="5" t="s">
        <v>1969</v>
      </c>
      <c r="G4634" s="5" t="s">
        <v>1920</v>
      </c>
    </row>
    <row r="4635" spans="4:7" hidden="1">
      <c r="D4635" s="5" t="s">
        <v>6490</v>
      </c>
      <c r="E4635" s="5" t="s">
        <v>1969</v>
      </c>
      <c r="G4635" s="5" t="s">
        <v>1920</v>
      </c>
    </row>
    <row r="4636" spans="4:7" hidden="1">
      <c r="D4636" s="5" t="s">
        <v>6491</v>
      </c>
      <c r="E4636" s="5" t="s">
        <v>52</v>
      </c>
      <c r="G4636" s="5" t="s">
        <v>1917</v>
      </c>
    </row>
    <row r="4637" spans="4:7" hidden="1">
      <c r="D4637" s="5" t="s">
        <v>6492</v>
      </c>
      <c r="E4637" s="5" t="s">
        <v>1969</v>
      </c>
      <c r="G4637" s="5" t="s">
        <v>1920</v>
      </c>
    </row>
    <row r="4638" spans="4:7" hidden="1">
      <c r="D4638" s="5" t="s">
        <v>6493</v>
      </c>
      <c r="E4638" s="5" t="s">
        <v>1969</v>
      </c>
      <c r="G4638" s="5" t="s">
        <v>1920</v>
      </c>
    </row>
    <row r="4639" spans="4:7" hidden="1">
      <c r="D4639" s="5" t="s">
        <v>6494</v>
      </c>
      <c r="E4639" s="5" t="s">
        <v>1969</v>
      </c>
      <c r="G4639" s="5" t="s">
        <v>1920</v>
      </c>
    </row>
    <row r="4640" spans="4:7" hidden="1">
      <c r="D4640" s="5" t="s">
        <v>6495</v>
      </c>
      <c r="E4640" s="5" t="s">
        <v>1969</v>
      </c>
      <c r="G4640" s="5" t="s">
        <v>1920</v>
      </c>
    </row>
    <row r="4641" spans="4:7" hidden="1">
      <c r="D4641" s="5" t="s">
        <v>6496</v>
      </c>
      <c r="E4641" s="5" t="s">
        <v>1969</v>
      </c>
      <c r="G4641" s="5" t="s">
        <v>1920</v>
      </c>
    </row>
    <row r="4642" spans="4:7" hidden="1">
      <c r="D4642" s="5" t="s">
        <v>6497</v>
      </c>
      <c r="E4642" s="5" t="s">
        <v>1969</v>
      </c>
      <c r="G4642" s="5" t="s">
        <v>1920</v>
      </c>
    </row>
    <row r="4643" spans="4:7" hidden="1">
      <c r="D4643" s="5" t="s">
        <v>6498</v>
      </c>
      <c r="E4643" s="5" t="s">
        <v>1969</v>
      </c>
      <c r="G4643" s="5" t="s">
        <v>1920</v>
      </c>
    </row>
    <row r="4644" spans="4:7" hidden="1">
      <c r="D4644" s="5" t="s">
        <v>6499</v>
      </c>
      <c r="E4644" s="5" t="s">
        <v>1969</v>
      </c>
      <c r="G4644" s="5" t="s">
        <v>1920</v>
      </c>
    </row>
    <row r="4645" spans="4:7" hidden="1">
      <c r="D4645" s="5" t="s">
        <v>6500</v>
      </c>
      <c r="E4645" s="5" t="s">
        <v>1969</v>
      </c>
      <c r="G4645" s="5" t="s">
        <v>1926</v>
      </c>
    </row>
    <row r="4646" spans="4:7" hidden="1">
      <c r="D4646" s="5" t="s">
        <v>6501</v>
      </c>
      <c r="E4646" s="5" t="s">
        <v>1969</v>
      </c>
      <c r="G4646" s="5" t="s">
        <v>1920</v>
      </c>
    </row>
    <row r="4647" spans="4:7" hidden="1">
      <c r="D4647" s="5" t="s">
        <v>6502</v>
      </c>
      <c r="E4647" s="5" t="s">
        <v>1969</v>
      </c>
      <c r="G4647" s="5" t="s">
        <v>1920</v>
      </c>
    </row>
    <row r="4648" spans="4:7" hidden="1">
      <c r="D4648" s="5" t="s">
        <v>6503</v>
      </c>
      <c r="E4648" s="5" t="s">
        <v>6504</v>
      </c>
      <c r="G4648" s="5" t="s">
        <v>6505</v>
      </c>
    </row>
    <row r="4649" spans="4:7" hidden="1">
      <c r="D4649" s="5" t="s">
        <v>6506</v>
      </c>
      <c r="E4649" s="5" t="s">
        <v>5529</v>
      </c>
      <c r="G4649" s="5" t="s">
        <v>6507</v>
      </c>
    </row>
    <row r="4650" spans="4:7" hidden="1">
      <c r="D4650" s="5" t="s">
        <v>6508</v>
      </c>
      <c r="E4650" s="5" t="s">
        <v>5529</v>
      </c>
      <c r="G4650" s="5" t="s">
        <v>6507</v>
      </c>
    </row>
    <row r="4651" spans="4:7" hidden="1">
      <c r="D4651" s="5" t="s">
        <v>6509</v>
      </c>
      <c r="E4651" s="5" t="s">
        <v>5529</v>
      </c>
      <c r="G4651" s="5" t="s">
        <v>6507</v>
      </c>
    </row>
    <row r="4652" spans="4:7" hidden="1">
      <c r="D4652" s="5" t="s">
        <v>6510</v>
      </c>
      <c r="E4652" s="5" t="s">
        <v>430</v>
      </c>
      <c r="G4652" s="5" t="s">
        <v>6507</v>
      </c>
    </row>
    <row r="4653" spans="4:7" hidden="1">
      <c r="D4653" s="5" t="s">
        <v>6511</v>
      </c>
      <c r="E4653" s="5" t="s">
        <v>5529</v>
      </c>
      <c r="G4653" s="5" t="s">
        <v>6507</v>
      </c>
    </row>
    <row r="4654" spans="4:7" hidden="1">
      <c r="D4654" s="5" t="s">
        <v>6512</v>
      </c>
      <c r="E4654" s="5" t="s">
        <v>5529</v>
      </c>
      <c r="G4654" s="5" t="s">
        <v>6507</v>
      </c>
    </row>
    <row r="4655" spans="4:7" hidden="1">
      <c r="D4655" s="5" t="s">
        <v>6513</v>
      </c>
      <c r="E4655" s="5" t="s">
        <v>5529</v>
      </c>
      <c r="G4655" s="5" t="s">
        <v>6507</v>
      </c>
    </row>
    <row r="4656" spans="4:7" hidden="1">
      <c r="D4656" s="5" t="s">
        <v>6514</v>
      </c>
      <c r="E4656" s="5" t="s">
        <v>5529</v>
      </c>
      <c r="G4656" s="5" t="s">
        <v>6507</v>
      </c>
    </row>
    <row r="4657" spans="4:7" hidden="1">
      <c r="D4657" s="5" t="s">
        <v>6515</v>
      </c>
      <c r="E4657" s="5" t="s">
        <v>4977</v>
      </c>
      <c r="G4657" s="5" t="s">
        <v>6507</v>
      </c>
    </row>
    <row r="4658" spans="4:7" hidden="1">
      <c r="D4658" s="5" t="s">
        <v>6516</v>
      </c>
      <c r="E4658" s="5" t="s">
        <v>5529</v>
      </c>
      <c r="G4658" s="5" t="s">
        <v>6507</v>
      </c>
    </row>
    <row r="4659" spans="4:7" hidden="1">
      <c r="D4659" s="5" t="s">
        <v>641</v>
      </c>
      <c r="E4659" s="5" t="s">
        <v>1305</v>
      </c>
      <c r="G4659" s="5" t="s">
        <v>2364</v>
      </c>
    </row>
    <row r="4660" spans="4:7" ht="15.75" hidden="1">
      <c r="D4660" s="403" t="s">
        <v>6517</v>
      </c>
      <c r="E4660" s="404" t="s">
        <v>1325</v>
      </c>
      <c r="F4660" s="403"/>
      <c r="G4660" s="403" t="s">
        <v>1926</v>
      </c>
    </row>
    <row r="4661" spans="4:7" ht="15.75" hidden="1">
      <c r="D4661" s="403" t="s">
        <v>6518</v>
      </c>
      <c r="E4661" s="404" t="s">
        <v>2971</v>
      </c>
      <c r="F4661" s="403"/>
      <c r="G4661" s="403" t="s">
        <v>1926</v>
      </c>
    </row>
    <row r="4662" spans="4:7" ht="15.75" hidden="1">
      <c r="D4662" s="403" t="s">
        <v>6519</v>
      </c>
      <c r="E4662" s="404" t="s">
        <v>2978</v>
      </c>
      <c r="F4662" s="403"/>
      <c r="G4662" s="403" t="s">
        <v>1926</v>
      </c>
    </row>
    <row r="4663" spans="4:7" ht="15.75" hidden="1">
      <c r="D4663" s="403" t="s">
        <v>6520</v>
      </c>
      <c r="E4663" s="404" t="s">
        <v>114</v>
      </c>
      <c r="F4663" s="403"/>
      <c r="G4663" s="403" t="s">
        <v>1926</v>
      </c>
    </row>
    <row r="4664" spans="4:7" ht="15.75" hidden="1">
      <c r="D4664" s="403" t="s">
        <v>6521</v>
      </c>
      <c r="E4664" s="404"/>
      <c r="F4664" s="403"/>
      <c r="G4664" s="403" t="s">
        <v>1926</v>
      </c>
    </row>
    <row r="4665" spans="4:7" ht="15.75" hidden="1">
      <c r="D4665" s="403" t="s">
        <v>6522</v>
      </c>
      <c r="E4665" s="404" t="s">
        <v>178</v>
      </c>
      <c r="F4665" s="403"/>
      <c r="G4665" s="403" t="s">
        <v>1926</v>
      </c>
    </row>
    <row r="4666" spans="4:7" ht="15.75" hidden="1">
      <c r="D4666" s="403" t="s">
        <v>6523</v>
      </c>
      <c r="E4666" s="404" t="s">
        <v>6524</v>
      </c>
      <c r="F4666" s="403"/>
      <c r="G4666" s="403" t="s">
        <v>1926</v>
      </c>
    </row>
    <row r="4667" spans="4:7" ht="15.75" hidden="1">
      <c r="D4667" s="403" t="s">
        <v>6525</v>
      </c>
      <c r="E4667" s="404" t="s">
        <v>427</v>
      </c>
      <c r="F4667" s="403"/>
      <c r="G4667" s="403" t="s">
        <v>1926</v>
      </c>
    </row>
    <row r="4668" spans="4:7" ht="15.75" hidden="1">
      <c r="D4668" s="403" t="s">
        <v>6526</v>
      </c>
      <c r="E4668" s="404" t="s">
        <v>427</v>
      </c>
      <c r="F4668" s="403"/>
      <c r="G4668" s="403" t="s">
        <v>1926</v>
      </c>
    </row>
    <row r="4669" spans="4:7" ht="15.75" hidden="1">
      <c r="D4669" s="403" t="s">
        <v>6527</v>
      </c>
      <c r="E4669" s="404" t="s">
        <v>427</v>
      </c>
      <c r="F4669" s="403"/>
      <c r="G4669" s="403" t="s">
        <v>1926</v>
      </c>
    </row>
    <row r="4670" spans="4:7" ht="15.75" hidden="1">
      <c r="D4670" s="403" t="s">
        <v>481</v>
      </c>
      <c r="E4670" s="404" t="s">
        <v>5193</v>
      </c>
      <c r="F4670" s="403"/>
      <c r="G4670" s="403" t="s">
        <v>1926</v>
      </c>
    </row>
    <row r="4671" spans="4:7" ht="15.75" hidden="1">
      <c r="D4671" s="403" t="s">
        <v>6528</v>
      </c>
      <c r="E4671" s="404" t="s">
        <v>5193</v>
      </c>
      <c r="F4671" s="403"/>
      <c r="G4671" s="403" t="s">
        <v>1926</v>
      </c>
    </row>
    <row r="4672" spans="4:7" ht="15.75" hidden="1">
      <c r="D4672" s="403" t="s">
        <v>6529</v>
      </c>
      <c r="E4672" s="404" t="s">
        <v>2792</v>
      </c>
      <c r="F4672" s="403"/>
      <c r="G4672" s="403" t="s">
        <v>1926</v>
      </c>
    </row>
    <row r="4673" spans="4:7" ht="15.75" hidden="1">
      <c r="D4673" s="403" t="s">
        <v>6530</v>
      </c>
      <c r="E4673" s="404" t="s">
        <v>427</v>
      </c>
      <c r="F4673" s="403"/>
      <c r="G4673" s="403" t="s">
        <v>1926</v>
      </c>
    </row>
    <row r="4674" spans="4:7" ht="15.75" hidden="1">
      <c r="D4674" s="403" t="s">
        <v>6531</v>
      </c>
      <c r="E4674" s="404" t="s">
        <v>720</v>
      </c>
      <c r="F4674" s="403"/>
      <c r="G4674" s="403" t="s">
        <v>1926</v>
      </c>
    </row>
    <row r="4675" spans="4:7" ht="15.75" hidden="1">
      <c r="D4675" s="403" t="s">
        <v>6532</v>
      </c>
      <c r="E4675" s="404" t="s">
        <v>52</v>
      </c>
      <c r="F4675" s="403"/>
      <c r="G4675" s="403" t="s">
        <v>1926</v>
      </c>
    </row>
    <row r="4676" spans="4:7" ht="15.75" hidden="1">
      <c r="D4676" s="404" t="s">
        <v>6533</v>
      </c>
      <c r="E4676" s="404" t="s">
        <v>451</v>
      </c>
      <c r="F4676" s="403"/>
      <c r="G4676" s="403" t="s">
        <v>1926</v>
      </c>
    </row>
    <row r="4677" spans="4:7" ht="15.75" hidden="1">
      <c r="D4677" s="404" t="s">
        <v>1226</v>
      </c>
      <c r="E4677" s="404" t="s">
        <v>2056</v>
      </c>
      <c r="F4677" s="403"/>
      <c r="G4677" s="403" t="s">
        <v>1926</v>
      </c>
    </row>
    <row r="4678" spans="4:7" ht="15.75" hidden="1">
      <c r="D4678" s="404" t="s">
        <v>6534</v>
      </c>
      <c r="E4678" s="404" t="s">
        <v>52</v>
      </c>
      <c r="F4678" s="403"/>
      <c r="G4678" s="403" t="s">
        <v>1926</v>
      </c>
    </row>
    <row r="4679" spans="4:7" ht="15.75" hidden="1">
      <c r="D4679" s="404" t="s">
        <v>6535</v>
      </c>
      <c r="E4679" s="404" t="s">
        <v>1901</v>
      </c>
      <c r="F4679" s="403"/>
      <c r="G4679" s="403" t="s">
        <v>1926</v>
      </c>
    </row>
    <row r="4680" spans="4:7" ht="15.75" hidden="1">
      <c r="D4680" s="404" t="s">
        <v>6536</v>
      </c>
      <c r="E4680" s="404" t="s">
        <v>52</v>
      </c>
      <c r="F4680" s="403"/>
      <c r="G4680" s="403" t="s">
        <v>1926</v>
      </c>
    </row>
    <row r="4681" spans="4:7" ht="15.75" hidden="1">
      <c r="D4681" s="404" t="s">
        <v>6537</v>
      </c>
      <c r="E4681" s="404" t="s">
        <v>1442</v>
      </c>
      <c r="F4681" s="403"/>
      <c r="G4681" s="403" t="s">
        <v>1926</v>
      </c>
    </row>
    <row r="4682" spans="4:7" ht="15.75" hidden="1">
      <c r="D4682" s="404" t="s">
        <v>6538</v>
      </c>
      <c r="E4682" s="404" t="s">
        <v>1442</v>
      </c>
      <c r="F4682" s="403"/>
      <c r="G4682" s="403" t="s">
        <v>1926</v>
      </c>
    </row>
    <row r="4683" spans="4:7" hidden="1">
      <c r="D4683" s="5" t="s">
        <v>6539</v>
      </c>
      <c r="E4683" s="5" t="s">
        <v>430</v>
      </c>
      <c r="G4683" s="5" t="s">
        <v>1926</v>
      </c>
    </row>
    <row r="4684" spans="4:7" hidden="1">
      <c r="D4684" s="5" t="s">
        <v>6540</v>
      </c>
      <c r="E4684" s="5" t="s">
        <v>5529</v>
      </c>
      <c r="G4684" s="5" t="s">
        <v>1926</v>
      </c>
    </row>
    <row r="4685" spans="4:7" ht="15.75" hidden="1">
      <c r="D4685" s="411" t="s">
        <v>6541</v>
      </c>
      <c r="E4685" s="404" t="s">
        <v>427</v>
      </c>
      <c r="G4685" s="5" t="s">
        <v>1926</v>
      </c>
    </row>
    <row r="4686" spans="4:7" ht="15.75" hidden="1">
      <c r="D4686" s="412" t="s">
        <v>6542</v>
      </c>
      <c r="E4686" s="404" t="s">
        <v>451</v>
      </c>
      <c r="G4686" s="5" t="s">
        <v>1926</v>
      </c>
    </row>
    <row r="4687" spans="4:7" hidden="1">
      <c r="D4687" s="5" t="s">
        <v>6543</v>
      </c>
      <c r="E4687" s="5" t="s">
        <v>1894</v>
      </c>
      <c r="G4687" s="5" t="s">
        <v>1926</v>
      </c>
    </row>
  </sheetData>
  <protectedRanges>
    <protectedRange sqref="F4:G137" name="Range6"/>
    <protectedRange sqref="F4:G137" name="Range1"/>
    <protectedRange sqref="F288" name="Range6_1"/>
    <protectedRange sqref="F288" name="Range1_1"/>
    <protectedRange sqref="F289" name="Range6_2"/>
    <protectedRange sqref="F289" name="Range1_2"/>
    <protectedRange sqref="D4686" name="Range6_3"/>
    <protectedRange sqref="D4686" name="Range1_3"/>
  </protectedRanges>
  <mergeCells count="1">
    <mergeCell ref="D1:G2"/>
  </mergeCells>
  <conditionalFormatting sqref="D1 D3:D1048576">
    <cfRule type="duplicateValues" dxfId="25" priority="17"/>
  </conditionalFormatting>
  <conditionalFormatting sqref="F4:F137">
    <cfRule type="expression" dxfId="24" priority="13">
      <formula>ROW()=CELL("row")</formula>
    </cfRule>
    <cfRule type="expression" dxfId="23" priority="14">
      <formula>$AT4&lt;&gt;""</formula>
    </cfRule>
    <cfRule type="expression" dxfId="22" priority="15">
      <formula>$AW4&lt;&gt;""</formula>
    </cfRule>
    <cfRule type="expression" dxfId="21" priority="16">
      <formula>$P4="POSIZIONAMENTO A VUOTO"</formula>
    </cfRule>
  </conditionalFormatting>
  <conditionalFormatting sqref="F288">
    <cfRule type="expression" dxfId="20" priority="9">
      <formula>ROW()=CELL("row")</formula>
    </cfRule>
    <cfRule type="expression" dxfId="19" priority="10">
      <formula>$AT288&lt;&gt;""</formula>
    </cfRule>
    <cfRule type="expression" dxfId="18" priority="11">
      <formula>$AW288&lt;&gt;""</formula>
    </cfRule>
    <cfRule type="expression" dxfId="17" priority="12">
      <formula>$P288="POSIZIONAMENTO A VUOTO"</formula>
    </cfRule>
  </conditionalFormatting>
  <conditionalFormatting sqref="F289">
    <cfRule type="expression" dxfId="16" priority="5">
      <formula>ROW()=CELL("row")</formula>
    </cfRule>
    <cfRule type="expression" dxfId="15" priority="6">
      <formula>$AT289&lt;&gt;""</formula>
    </cfRule>
    <cfRule type="expression" dxfId="14" priority="7">
      <formula>$AW289&lt;&gt;""</formula>
    </cfRule>
    <cfRule type="expression" dxfId="13" priority="8">
      <formula>$P289="POSIZIONAMENTO A VUOTO"</formula>
    </cfRule>
  </conditionalFormatting>
  <conditionalFormatting sqref="G4:G137">
    <cfRule type="expression" dxfId="12" priority="1">
      <formula>ROW()=CELL("row")</formula>
    </cfRule>
    <cfRule type="expression" dxfId="11" priority="2">
      <formula>$AT4&lt;&gt;""</formula>
    </cfRule>
    <cfRule type="expression" dxfId="10" priority="3">
      <formula>$AW4&lt;&gt;""</formula>
    </cfRule>
    <cfRule type="expression" dxfId="9" priority="4">
      <formula>$P4="POSIZIONAMENTO A VUOTO"</formula>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99FAC-5417-4180-A7A8-EACEB9935AAB}">
  <dimension ref="C1:E74"/>
  <sheetViews>
    <sheetView workbookViewId="0">
      <selection activeCell="C13" sqref="C13"/>
    </sheetView>
  </sheetViews>
  <sheetFormatPr defaultRowHeight="15"/>
  <cols>
    <col min="5" max="5" width="12.28515625" style="418" bestFit="1" customWidth="1"/>
  </cols>
  <sheetData>
    <row r="1" spans="3:5">
      <c r="C1" s="414" t="s">
        <v>6544</v>
      </c>
      <c r="D1" s="415" t="s">
        <v>6545</v>
      </c>
      <c r="E1" s="413" t="s">
        <v>6546</v>
      </c>
    </row>
    <row r="2" spans="3:5">
      <c r="C2" s="417" t="s">
        <v>751</v>
      </c>
      <c r="D2" s="417" t="s">
        <v>6547</v>
      </c>
      <c r="E2" s="416">
        <v>401</v>
      </c>
    </row>
    <row r="3" spans="3:5">
      <c r="C3" s="417" t="s">
        <v>621</v>
      </c>
      <c r="D3" s="417" t="s">
        <v>6548</v>
      </c>
      <c r="E3" s="416">
        <v>402</v>
      </c>
    </row>
    <row r="4" spans="3:5">
      <c r="C4" s="417" t="s">
        <v>211</v>
      </c>
      <c r="D4" s="417" t="s">
        <v>6549</v>
      </c>
      <c r="E4" s="416">
        <v>403</v>
      </c>
    </row>
    <row r="5" spans="3:5">
      <c r="C5" s="417" t="s">
        <v>629</v>
      </c>
      <c r="D5" s="417" t="s">
        <v>6550</v>
      </c>
      <c r="E5" s="416" t="s">
        <v>6551</v>
      </c>
    </row>
    <row r="6" spans="3:5">
      <c r="C6" s="417" t="s">
        <v>639</v>
      </c>
      <c r="D6" s="417" t="s">
        <v>6552</v>
      </c>
      <c r="E6" s="416">
        <v>406</v>
      </c>
    </row>
    <row r="7" spans="3:5">
      <c r="C7" s="417" t="s">
        <v>644</v>
      </c>
      <c r="D7" s="417" t="s">
        <v>6553</v>
      </c>
      <c r="E7" s="416">
        <v>407</v>
      </c>
    </row>
    <row r="8" spans="3:5">
      <c r="C8" s="417" t="s">
        <v>649</v>
      </c>
      <c r="D8" s="417" t="s">
        <v>6554</v>
      </c>
      <c r="E8" s="416" t="s">
        <v>6555</v>
      </c>
    </row>
    <row r="9" spans="3:5">
      <c r="C9" s="417" t="s">
        <v>657</v>
      </c>
      <c r="D9" s="417" t="s">
        <v>6556</v>
      </c>
      <c r="E9" s="416">
        <v>410</v>
      </c>
    </row>
    <row r="10" spans="3:5">
      <c r="C10" s="417" t="s">
        <v>700</v>
      </c>
      <c r="D10" s="417" t="s">
        <v>6557</v>
      </c>
      <c r="E10" s="416">
        <v>411</v>
      </c>
    </row>
    <row r="11" spans="3:5">
      <c r="C11" s="417" t="s">
        <v>663</v>
      </c>
      <c r="D11" s="417" t="s">
        <v>6558</v>
      </c>
      <c r="E11" s="416" t="s">
        <v>6559</v>
      </c>
    </row>
    <row r="12" spans="3:5">
      <c r="C12" s="417" t="s">
        <v>6560</v>
      </c>
      <c r="D12" s="417" t="s">
        <v>6561</v>
      </c>
      <c r="E12" s="416">
        <v>414</v>
      </c>
    </row>
    <row r="13" spans="3:5">
      <c r="C13" s="417" t="s">
        <v>676</v>
      </c>
      <c r="D13" s="417" t="s">
        <v>6562</v>
      </c>
      <c r="E13" s="416">
        <v>415</v>
      </c>
    </row>
    <row r="14" spans="3:5">
      <c r="C14" s="417" t="s">
        <v>681</v>
      </c>
      <c r="D14" s="417" t="s">
        <v>6563</v>
      </c>
      <c r="E14" s="416">
        <v>416</v>
      </c>
    </row>
    <row r="15" spans="3:5">
      <c r="C15" s="417" t="s">
        <v>686</v>
      </c>
      <c r="D15" s="417" t="s">
        <v>6564</v>
      </c>
      <c r="E15" s="416">
        <v>417</v>
      </c>
    </row>
    <row r="16" spans="3:5">
      <c r="C16" s="417" t="s">
        <v>691</v>
      </c>
      <c r="D16" s="417" t="s">
        <v>6565</v>
      </c>
      <c r="E16" s="416">
        <v>418</v>
      </c>
    </row>
    <row r="17" spans="3:5">
      <c r="C17" s="417" t="s">
        <v>708</v>
      </c>
      <c r="D17" s="417" t="s">
        <v>6566</v>
      </c>
      <c r="E17" s="416">
        <v>419</v>
      </c>
    </row>
    <row r="18" spans="3:5">
      <c r="C18" s="417" t="s">
        <v>671</v>
      </c>
      <c r="D18" s="417" t="s">
        <v>6567</v>
      </c>
      <c r="E18" s="416">
        <v>420</v>
      </c>
    </row>
    <row r="19" spans="3:5">
      <c r="C19" s="417" t="s">
        <v>126</v>
      </c>
      <c r="D19" s="417" t="s">
        <v>6568</v>
      </c>
      <c r="E19" s="416" t="s">
        <v>6569</v>
      </c>
    </row>
    <row r="20" spans="3:5">
      <c r="C20" s="417" t="s">
        <v>616</v>
      </c>
      <c r="D20" s="417" t="s">
        <v>6570</v>
      </c>
      <c r="E20" s="416">
        <v>424</v>
      </c>
    </row>
    <row r="21" spans="3:5">
      <c r="C21" s="417" t="s">
        <v>751</v>
      </c>
      <c r="D21" s="417" t="s">
        <v>6547</v>
      </c>
      <c r="E21" s="416" t="s">
        <v>6571</v>
      </c>
    </row>
    <row r="22" spans="3:5">
      <c r="C22" s="417" t="s">
        <v>1574</v>
      </c>
      <c r="D22" s="417" t="s">
        <v>6572</v>
      </c>
      <c r="E22" s="416">
        <v>432</v>
      </c>
    </row>
    <row r="23" spans="3:5">
      <c r="C23" s="417" t="s">
        <v>780</v>
      </c>
      <c r="D23" s="417" t="s">
        <v>6573</v>
      </c>
      <c r="E23" s="416" t="s">
        <v>6574</v>
      </c>
    </row>
    <row r="24" spans="3:5">
      <c r="C24" s="417" t="s">
        <v>790</v>
      </c>
      <c r="D24" s="417" t="s">
        <v>6575</v>
      </c>
      <c r="E24" s="416" t="s">
        <v>6576</v>
      </c>
    </row>
    <row r="25" spans="3:5">
      <c r="C25" s="417" t="s">
        <v>805</v>
      </c>
      <c r="D25" s="417" t="s">
        <v>6577</v>
      </c>
      <c r="E25" s="416">
        <v>437</v>
      </c>
    </row>
    <row r="26" spans="3:5">
      <c r="C26" s="417" t="s">
        <v>811</v>
      </c>
      <c r="D26" s="417" t="s">
        <v>6578</v>
      </c>
      <c r="E26" s="416" t="s">
        <v>6579</v>
      </c>
    </row>
    <row r="27" spans="3:5">
      <c r="C27" s="417" t="s">
        <v>917</v>
      </c>
      <c r="D27" s="417" t="s">
        <v>6580</v>
      </c>
      <c r="E27" s="416">
        <v>440</v>
      </c>
    </row>
    <row r="28" spans="3:5">
      <c r="C28" s="417" t="s">
        <v>825</v>
      </c>
      <c r="D28" s="417" t="s">
        <v>6581</v>
      </c>
      <c r="E28" s="416">
        <v>441</v>
      </c>
    </row>
    <row r="29" spans="3:5">
      <c r="C29" s="417" t="s">
        <v>831</v>
      </c>
      <c r="D29" s="417" t="s">
        <v>6582</v>
      </c>
      <c r="E29" s="416" t="s">
        <v>6583</v>
      </c>
    </row>
    <row r="30" spans="3:5">
      <c r="C30" s="417" t="s">
        <v>774</v>
      </c>
      <c r="D30" s="417" t="s">
        <v>6584</v>
      </c>
      <c r="E30" s="416">
        <v>444</v>
      </c>
    </row>
    <row r="31" spans="3:5">
      <c r="C31" s="417" t="s">
        <v>845</v>
      </c>
      <c r="D31" s="417" t="s">
        <v>6585</v>
      </c>
      <c r="E31" s="416">
        <v>445</v>
      </c>
    </row>
    <row r="32" spans="3:5">
      <c r="C32" s="417" t="s">
        <v>850</v>
      </c>
      <c r="D32" s="417" t="s">
        <v>6586</v>
      </c>
      <c r="E32" s="416">
        <v>446</v>
      </c>
    </row>
    <row r="33" spans="3:5">
      <c r="C33" s="417" t="s">
        <v>855</v>
      </c>
      <c r="D33" s="417" t="s">
        <v>6587</v>
      </c>
      <c r="E33" s="416">
        <v>447</v>
      </c>
    </row>
    <row r="34" spans="3:5">
      <c r="C34" s="417" t="s">
        <v>859</v>
      </c>
      <c r="D34" s="417" t="s">
        <v>6588</v>
      </c>
      <c r="E34" s="416" t="s">
        <v>6589</v>
      </c>
    </row>
    <row r="35" spans="3:5">
      <c r="C35" s="417" t="s">
        <v>867</v>
      </c>
      <c r="D35" s="417" t="s">
        <v>6590</v>
      </c>
      <c r="E35" s="416">
        <v>450</v>
      </c>
    </row>
    <row r="36" spans="3:5">
      <c r="C36" s="417" t="s">
        <v>874</v>
      </c>
      <c r="D36" s="417" t="s">
        <v>6591</v>
      </c>
      <c r="E36" s="416" t="s">
        <v>6592</v>
      </c>
    </row>
    <row r="37" spans="3:5">
      <c r="C37" s="417" t="s">
        <v>882</v>
      </c>
      <c r="D37" s="417" t="s">
        <v>6593</v>
      </c>
      <c r="E37" s="416">
        <v>453</v>
      </c>
    </row>
    <row r="38" spans="3:5">
      <c r="C38" s="417" t="s">
        <v>886</v>
      </c>
      <c r="D38" s="417" t="s">
        <v>6594</v>
      </c>
      <c r="E38" s="416">
        <v>454</v>
      </c>
    </row>
    <row r="39" spans="3:5">
      <c r="C39" s="417" t="s">
        <v>890</v>
      </c>
      <c r="D39" s="417" t="s">
        <v>6595</v>
      </c>
      <c r="E39" s="416">
        <v>455</v>
      </c>
    </row>
    <row r="40" spans="3:5">
      <c r="C40" s="417" t="s">
        <v>264</v>
      </c>
      <c r="D40" s="417" t="s">
        <v>6596</v>
      </c>
      <c r="E40" s="416">
        <v>456</v>
      </c>
    </row>
    <row r="41" spans="3:5">
      <c r="C41" s="417" t="s">
        <v>416</v>
      </c>
      <c r="D41" s="417" t="s">
        <v>6597</v>
      </c>
      <c r="E41" s="416" t="s">
        <v>6598</v>
      </c>
    </row>
    <row r="42" spans="3:5">
      <c r="C42" s="417" t="s">
        <v>435</v>
      </c>
      <c r="D42" s="417" t="s">
        <v>6599</v>
      </c>
      <c r="E42" s="416" t="s">
        <v>6600</v>
      </c>
    </row>
    <row r="43" spans="3:5">
      <c r="C43" s="417" t="s">
        <v>450</v>
      </c>
      <c r="D43" s="417" t="s">
        <v>6601</v>
      </c>
      <c r="E43" s="416">
        <v>306</v>
      </c>
    </row>
    <row r="44" spans="3:5">
      <c r="C44" s="417" t="s">
        <v>456</v>
      </c>
      <c r="D44" s="417" t="s">
        <v>6602</v>
      </c>
      <c r="E44" s="416" t="s">
        <v>6603</v>
      </c>
    </row>
    <row r="45" spans="3:5">
      <c r="C45" s="417" t="s">
        <v>471</v>
      </c>
      <c r="D45" s="417" t="s">
        <v>6604</v>
      </c>
      <c r="E45" s="416">
        <v>309</v>
      </c>
    </row>
    <row r="46" spans="3:5">
      <c r="C46" s="417" t="s">
        <v>480</v>
      </c>
      <c r="D46" s="417" t="s">
        <v>6605</v>
      </c>
      <c r="E46" s="416">
        <v>310</v>
      </c>
    </row>
    <row r="47" spans="3:5">
      <c r="C47" s="417" t="s">
        <v>191</v>
      </c>
      <c r="D47" s="417" t="s">
        <v>6606</v>
      </c>
      <c r="E47" s="416">
        <v>311</v>
      </c>
    </row>
    <row r="48" spans="3:5">
      <c r="C48" s="417" t="s">
        <v>308</v>
      </c>
      <c r="D48" s="417" t="s">
        <v>6607</v>
      </c>
      <c r="E48" s="416">
        <v>312</v>
      </c>
    </row>
    <row r="49" spans="3:5">
      <c r="C49" s="417" t="s">
        <v>247</v>
      </c>
      <c r="D49" s="417" t="s">
        <v>6608</v>
      </c>
      <c r="E49" s="416">
        <v>313</v>
      </c>
    </row>
    <row r="50" spans="3:5">
      <c r="C50" s="417" t="s">
        <v>285</v>
      </c>
      <c r="D50" s="417" t="s">
        <v>6609</v>
      </c>
      <c r="E50" s="416" t="s">
        <v>6610</v>
      </c>
    </row>
    <row r="51" spans="3:5">
      <c r="C51" s="417" t="s">
        <v>246</v>
      </c>
      <c r="D51" s="417" t="s">
        <v>6611</v>
      </c>
      <c r="E51" s="416">
        <v>316</v>
      </c>
    </row>
    <row r="52" spans="3:5">
      <c r="C52" s="417" t="s">
        <v>65</v>
      </c>
      <c r="D52" s="417" t="s">
        <v>6612</v>
      </c>
      <c r="E52" s="416">
        <v>317</v>
      </c>
    </row>
    <row r="53" spans="3:5">
      <c r="C53" s="417" t="s">
        <v>1550</v>
      </c>
      <c r="D53" s="417" t="s">
        <v>6613</v>
      </c>
      <c r="E53" s="416">
        <v>318</v>
      </c>
    </row>
    <row r="54" spans="3:5">
      <c r="C54" s="417" t="s">
        <v>214</v>
      </c>
      <c r="D54" s="417" t="s">
        <v>6614</v>
      </c>
      <c r="E54" s="416" t="s">
        <v>6615</v>
      </c>
    </row>
    <row r="55" spans="3:5">
      <c r="C55" s="417" t="s">
        <v>1856</v>
      </c>
      <c r="D55" s="417" t="s">
        <v>6616</v>
      </c>
      <c r="E55" s="416">
        <v>321</v>
      </c>
    </row>
    <row r="56" spans="3:5">
      <c r="C56" s="417" t="s">
        <v>197</v>
      </c>
      <c r="D56" s="417" t="s">
        <v>6617</v>
      </c>
      <c r="E56" s="416">
        <v>322</v>
      </c>
    </row>
    <row r="57" spans="3:5">
      <c r="C57" s="417" t="s">
        <v>49</v>
      </c>
      <c r="D57" s="417" t="s">
        <v>6618</v>
      </c>
      <c r="E57" s="416">
        <v>323</v>
      </c>
    </row>
    <row r="58" spans="3:5">
      <c r="C58" s="417" t="s">
        <v>187</v>
      </c>
      <c r="D58" s="417" t="s">
        <v>6612</v>
      </c>
      <c r="E58" s="416">
        <v>324</v>
      </c>
    </row>
    <row r="59" spans="3:5">
      <c r="C59" s="417" t="s">
        <v>134</v>
      </c>
      <c r="D59" s="417" t="s">
        <v>6619</v>
      </c>
      <c r="E59" s="416">
        <v>332</v>
      </c>
    </row>
    <row r="60" spans="3:5">
      <c r="C60" s="417" t="s">
        <v>1438</v>
      </c>
      <c r="D60" s="417" t="s">
        <v>6620</v>
      </c>
      <c r="E60" s="416">
        <v>333</v>
      </c>
    </row>
    <row r="61" spans="3:5">
      <c r="C61" s="417" t="s">
        <v>124</v>
      </c>
      <c r="D61" s="417" t="s">
        <v>6621</v>
      </c>
      <c r="E61" s="416">
        <v>334</v>
      </c>
    </row>
    <row r="62" spans="3:5">
      <c r="C62" s="417" t="s">
        <v>150</v>
      </c>
      <c r="D62" s="417" t="s">
        <v>6622</v>
      </c>
      <c r="E62" s="416" t="s">
        <v>6623</v>
      </c>
    </row>
    <row r="63" spans="3:5">
      <c r="C63" s="417" t="s">
        <v>238</v>
      </c>
      <c r="D63" s="417" t="s">
        <v>6624</v>
      </c>
      <c r="E63" s="416" t="s">
        <v>6625</v>
      </c>
    </row>
    <row r="64" spans="3:5">
      <c r="C64" s="417" t="s">
        <v>1537</v>
      </c>
      <c r="D64" s="417" t="s">
        <v>6626</v>
      </c>
      <c r="E64" s="416">
        <v>339</v>
      </c>
    </row>
    <row r="65" spans="3:5">
      <c r="C65" s="417" t="s">
        <v>81</v>
      </c>
      <c r="D65" s="417" t="s">
        <v>6627</v>
      </c>
      <c r="E65" s="416" t="s">
        <v>6628</v>
      </c>
    </row>
    <row r="66" spans="3:5">
      <c r="C66" s="417" t="s">
        <v>85</v>
      </c>
      <c r="D66" s="417" t="s">
        <v>6629</v>
      </c>
      <c r="E66" s="416" t="s">
        <v>6630</v>
      </c>
    </row>
    <row r="67" spans="3:5">
      <c r="C67" s="417" t="s">
        <v>241</v>
      </c>
      <c r="D67" s="417" t="s">
        <v>6631</v>
      </c>
      <c r="E67" s="416" t="s">
        <v>6632</v>
      </c>
    </row>
    <row r="68" spans="3:5">
      <c r="C68" s="417" t="s">
        <v>65</v>
      </c>
      <c r="D68" s="417" t="s">
        <v>6612</v>
      </c>
      <c r="E68" s="416">
        <v>346</v>
      </c>
    </row>
    <row r="69" spans="3:5">
      <c r="C69" s="417" t="s">
        <v>568</v>
      </c>
      <c r="D69" s="417" t="s">
        <v>6633</v>
      </c>
      <c r="E69" s="416">
        <v>347</v>
      </c>
    </row>
    <row r="70" spans="3:5">
      <c r="C70" s="417" t="s">
        <v>573</v>
      </c>
      <c r="D70" s="417" t="s">
        <v>6634</v>
      </c>
      <c r="E70" s="416" t="s">
        <v>6635</v>
      </c>
    </row>
    <row r="71" spans="3:5">
      <c r="C71" s="417" t="s">
        <v>586</v>
      </c>
      <c r="D71" s="417" t="s">
        <v>6636</v>
      </c>
      <c r="E71" s="416">
        <v>350</v>
      </c>
    </row>
    <row r="72" spans="3:5">
      <c r="C72" s="417" t="s">
        <v>591</v>
      </c>
      <c r="D72" s="417" t="s">
        <v>6637</v>
      </c>
      <c r="E72" s="416" t="s">
        <v>6638</v>
      </c>
    </row>
    <row r="73" spans="3:5">
      <c r="C73" s="417" t="s">
        <v>602</v>
      </c>
      <c r="D73" s="417" t="s">
        <v>6639</v>
      </c>
      <c r="E73" s="416" t="s">
        <v>6640</v>
      </c>
    </row>
    <row r="74" spans="3:5">
      <c r="C74" s="417" t="s">
        <v>6641</v>
      </c>
      <c r="D74" s="417" t="s">
        <v>6642</v>
      </c>
      <c r="E74" s="416">
        <v>355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6D159-7FA9-4293-8E92-35B3D02E3214}">
  <sheetPr codeName="Foglio6"/>
  <dimension ref="B1:AI76"/>
  <sheetViews>
    <sheetView topLeftCell="K11" workbookViewId="0">
      <selection activeCell="Y20" sqref="Y20"/>
    </sheetView>
  </sheetViews>
  <sheetFormatPr defaultRowHeight="15"/>
  <cols>
    <col min="2" max="2" width="15.5703125" bestFit="1" customWidth="1"/>
    <col min="3" max="3" width="1.85546875" bestFit="1" customWidth="1"/>
    <col min="5" max="5" width="9.42578125" bestFit="1" customWidth="1"/>
    <col min="6" max="6" width="1.85546875" bestFit="1" customWidth="1"/>
    <col min="7" max="7" width="47.85546875" customWidth="1"/>
    <col min="8" max="8" width="8.5703125" style="5"/>
    <col min="9" max="9" width="11" bestFit="1" customWidth="1"/>
    <col min="10" max="10" width="9.5703125" bestFit="1" customWidth="1"/>
    <col min="11" max="11" width="66.85546875" bestFit="1" customWidth="1"/>
    <col min="23" max="23" width="3.42578125" bestFit="1" customWidth="1"/>
    <col min="25" max="25" width="27" bestFit="1" customWidth="1"/>
    <col min="26" max="26" width="39.42578125" bestFit="1" customWidth="1"/>
    <col min="27" max="27" width="24.140625" bestFit="1" customWidth="1"/>
    <col min="28" max="28" width="12.5703125" bestFit="1" customWidth="1"/>
    <col min="29" max="29" width="4.42578125" bestFit="1" customWidth="1"/>
    <col min="30" max="30" width="4.140625" bestFit="1" customWidth="1"/>
    <col min="31" max="33" width="4.5703125" bestFit="1" customWidth="1"/>
    <col min="34" max="34" width="4.140625" bestFit="1" customWidth="1"/>
  </cols>
  <sheetData>
    <row r="1" spans="2:35" ht="15.75" thickBot="1"/>
    <row r="2" spans="2:35" ht="27.75" thickBot="1">
      <c r="B2" t="s">
        <v>6643</v>
      </c>
      <c r="I2" s="329" t="s">
        <v>6644</v>
      </c>
      <c r="J2" s="549"/>
      <c r="K2" s="550"/>
      <c r="Y2" s="34"/>
      <c r="Z2" s="555"/>
      <c r="AA2" s="556"/>
      <c r="AB2" s="350">
        <f ca="1">TODAY()</f>
        <v>46303</v>
      </c>
    </row>
    <row r="3" spans="2:35" ht="24.75" thickBot="1">
      <c r="H3" s="6"/>
      <c r="I3" s="330" t="s">
        <v>6645</v>
      </c>
      <c r="J3" s="331" t="s">
        <v>6646</v>
      </c>
      <c r="K3" s="331" t="s">
        <v>6647</v>
      </c>
      <c r="W3" t="s">
        <v>1605</v>
      </c>
      <c r="Y3" s="39" t="s">
        <v>6648</v>
      </c>
      <c r="Z3" s="557"/>
      <c r="AA3" s="558"/>
      <c r="AB3" s="28">
        <f ca="1">(TIME(HOUR(NOW()),MINUTE(NOW()),SECOND(NOW())))</f>
        <v>0.14546296296296296</v>
      </c>
    </row>
    <row r="4" spans="2:35" ht="15.75" thickBot="1">
      <c r="B4" t="s">
        <v>6649</v>
      </c>
      <c r="C4" s="34">
        <v>5</v>
      </c>
      <c r="E4" t="s">
        <v>6650</v>
      </c>
      <c r="F4">
        <v>1</v>
      </c>
      <c r="H4" s="6"/>
      <c r="I4" s="548" t="s">
        <v>5</v>
      </c>
      <c r="J4" s="548" t="s">
        <v>40</v>
      </c>
      <c r="K4" s="332" t="s">
        <v>6651</v>
      </c>
      <c r="Y4" s="34" t="s">
        <v>6652</v>
      </c>
      <c r="Z4" s="557"/>
      <c r="AA4" s="558"/>
      <c r="AB4" s="35"/>
    </row>
    <row r="5" spans="2:35" ht="27.75" thickBot="1">
      <c r="E5" t="s">
        <v>6653</v>
      </c>
      <c r="F5">
        <v>2</v>
      </c>
      <c r="H5" s="6"/>
      <c r="I5" s="543"/>
      <c r="J5" s="543"/>
      <c r="K5" s="333" t="s">
        <v>6654</v>
      </c>
      <c r="Y5" s="36" t="s">
        <v>6655</v>
      </c>
      <c r="Z5" s="557"/>
      <c r="AA5" s="558"/>
      <c r="AB5" s="28">
        <v>1.3888888888888888E-2</v>
      </c>
      <c r="AD5" s="567" t="s">
        <v>6656</v>
      </c>
      <c r="AE5" s="553"/>
      <c r="AF5" s="553"/>
      <c r="AG5" s="554"/>
    </row>
    <row r="6" spans="2:35" ht="41.25" thickBot="1">
      <c r="E6" t="s">
        <v>6657</v>
      </c>
      <c r="F6">
        <v>3</v>
      </c>
      <c r="H6" s="6"/>
      <c r="I6" s="334" t="s">
        <v>6658</v>
      </c>
      <c r="J6" s="334" t="s">
        <v>6659</v>
      </c>
      <c r="K6" s="332"/>
      <c r="Y6" s="37" t="s">
        <v>6660</v>
      </c>
      <c r="Z6" s="557"/>
      <c r="AA6" s="558"/>
      <c r="AB6" s="28">
        <v>2.7777777777777776E-2</v>
      </c>
      <c r="AD6" s="371" t="s">
        <v>308</v>
      </c>
      <c r="AE6" s="372" t="s">
        <v>246</v>
      </c>
      <c r="AF6" s="372" t="s">
        <v>191</v>
      </c>
      <c r="AG6" s="373" t="s">
        <v>1537</v>
      </c>
    </row>
    <row r="7" spans="2:35" ht="27.75" thickBot="1">
      <c r="E7" t="s">
        <v>6661</v>
      </c>
      <c r="F7">
        <v>4</v>
      </c>
      <c r="H7" s="6"/>
      <c r="I7" s="542" t="s">
        <v>6662</v>
      </c>
      <c r="J7" s="542" t="s">
        <v>6663</v>
      </c>
      <c r="K7" s="332" t="s">
        <v>6664</v>
      </c>
      <c r="Y7" s="37" t="s">
        <v>6665</v>
      </c>
      <c r="Z7" s="557"/>
      <c r="AA7" s="558"/>
      <c r="AB7" s="28">
        <v>4.1666666666666664E-2</v>
      </c>
      <c r="AD7" s="551" t="s">
        <v>6666</v>
      </c>
      <c r="AE7" s="552"/>
      <c r="AF7" s="552"/>
      <c r="AG7" s="552"/>
      <c r="AH7" s="553"/>
      <c r="AI7" s="554"/>
    </row>
    <row r="8" spans="2:35" ht="27.75" thickBot="1">
      <c r="E8" t="s">
        <v>6667</v>
      </c>
      <c r="F8">
        <v>5</v>
      </c>
      <c r="H8" s="6"/>
      <c r="I8" s="543"/>
      <c r="J8" s="543"/>
      <c r="K8" s="333" t="s">
        <v>6668</v>
      </c>
      <c r="Y8" s="38" t="s">
        <v>6669</v>
      </c>
      <c r="Z8" s="559"/>
      <c r="AA8" s="560"/>
      <c r="AB8" s="28">
        <v>8.3333333333333329E-2</v>
      </c>
      <c r="AD8" s="359" t="s">
        <v>65</v>
      </c>
      <c r="AE8" s="360" t="s">
        <v>211</v>
      </c>
      <c r="AF8" s="360" t="s">
        <v>1550</v>
      </c>
      <c r="AG8" s="360" t="s">
        <v>197</v>
      </c>
      <c r="AH8" s="360" t="s">
        <v>238</v>
      </c>
      <c r="AI8" s="361" t="s">
        <v>49</v>
      </c>
    </row>
    <row r="9" spans="2:35" ht="27">
      <c r="H9" s="6"/>
      <c r="I9" s="542" t="s">
        <v>1117</v>
      </c>
      <c r="J9" s="542" t="s">
        <v>487</v>
      </c>
      <c r="K9" s="335" t="s">
        <v>6670</v>
      </c>
    </row>
    <row r="10" spans="2:35" ht="15.75" thickBot="1">
      <c r="H10" s="6"/>
      <c r="I10" s="543"/>
      <c r="J10" s="543"/>
      <c r="K10" s="336" t="s">
        <v>6671</v>
      </c>
    </row>
    <row r="11" spans="2:35" ht="41.25" thickBot="1">
      <c r="H11" s="6"/>
      <c r="I11" s="336" t="s">
        <v>6672</v>
      </c>
      <c r="J11" s="337" t="s">
        <v>6673</v>
      </c>
      <c r="K11" s="338" t="s">
        <v>6674</v>
      </c>
      <c r="W11" t="s">
        <v>1605</v>
      </c>
      <c r="Y11" s="34" t="s">
        <v>6648</v>
      </c>
      <c r="Z11" s="561"/>
      <c r="AA11" s="556"/>
      <c r="AB11" s="28">
        <f ca="1">(TIME(HOUR(NOW()),MINUTE(NOW()),SECOND(NOW())))</f>
        <v>0.14546296296296296</v>
      </c>
    </row>
    <row r="12" spans="2:35" ht="15.75" thickBot="1">
      <c r="H12" s="6"/>
      <c r="I12" s="336" t="s">
        <v>6675</v>
      </c>
      <c r="J12" s="333" t="s">
        <v>6676</v>
      </c>
      <c r="K12" s="333" t="s">
        <v>6677</v>
      </c>
      <c r="Y12" s="39" t="s">
        <v>6678</v>
      </c>
      <c r="Z12" s="562"/>
      <c r="AA12" s="558"/>
      <c r="AB12" s="35"/>
    </row>
    <row r="13" spans="2:35" ht="41.25" thickBot="1">
      <c r="I13" s="334" t="s">
        <v>6679</v>
      </c>
      <c r="J13" s="332" t="s">
        <v>488</v>
      </c>
      <c r="K13" s="332" t="s">
        <v>6680</v>
      </c>
      <c r="Y13" s="36" t="s">
        <v>6655</v>
      </c>
      <c r="Z13" s="562"/>
      <c r="AA13" s="558"/>
      <c r="AB13" s="28">
        <v>3.4722222222222224E-2</v>
      </c>
    </row>
    <row r="14" spans="2:35" ht="15.75" thickBot="1">
      <c r="I14" s="542" t="s">
        <v>6681</v>
      </c>
      <c r="J14" s="542" t="s">
        <v>6682</v>
      </c>
      <c r="K14" s="544" t="s">
        <v>6683</v>
      </c>
      <c r="Y14" s="37" t="s">
        <v>6660</v>
      </c>
      <c r="Z14" s="562"/>
      <c r="AA14" s="558"/>
      <c r="AB14" s="28">
        <v>4.1666666666666664E-2</v>
      </c>
    </row>
    <row r="15" spans="2:35" ht="15.75" thickBot="1">
      <c r="I15" s="543"/>
      <c r="J15" s="543"/>
      <c r="K15" s="545"/>
      <c r="Y15" s="37" t="s">
        <v>6665</v>
      </c>
      <c r="Z15" s="562"/>
      <c r="AA15" s="558"/>
      <c r="AB15" s="28">
        <v>5.5555555555555552E-2</v>
      </c>
    </row>
    <row r="16" spans="2:35" ht="28.5" thickTop="1" thickBot="1">
      <c r="I16" s="336" t="s">
        <v>6684</v>
      </c>
      <c r="J16" s="333" t="s">
        <v>6685</v>
      </c>
      <c r="K16" s="333" t="s">
        <v>6686</v>
      </c>
      <c r="Y16" s="40" t="s">
        <v>6669</v>
      </c>
      <c r="Z16" s="562"/>
      <c r="AA16" s="558"/>
      <c r="AB16" s="41">
        <v>7.6388888888888895E-2</v>
      </c>
      <c r="AC16" s="42" t="s">
        <v>308</v>
      </c>
      <c r="AD16" s="43" t="s">
        <v>246</v>
      </c>
      <c r="AE16" s="43" t="s">
        <v>191</v>
      </c>
    </row>
    <row r="17" spans="9:34" ht="15.75" thickBot="1">
      <c r="I17" s="336" t="s">
        <v>6687</v>
      </c>
      <c r="J17" s="333" t="s">
        <v>6688</v>
      </c>
      <c r="K17" s="333" t="s">
        <v>6689</v>
      </c>
      <c r="Y17" s="44" t="s">
        <v>6690</v>
      </c>
      <c r="Z17" s="563"/>
      <c r="AA17" s="560"/>
      <c r="AB17" s="28">
        <v>3.4722222222222224E-2</v>
      </c>
      <c r="AC17" s="45" t="s">
        <v>681</v>
      </c>
      <c r="AD17" s="46" t="s">
        <v>616</v>
      </c>
      <c r="AE17" s="46" t="s">
        <v>686</v>
      </c>
      <c r="AF17" s="46" t="s">
        <v>845</v>
      </c>
      <c r="AG17" s="46" t="s">
        <v>568</v>
      </c>
      <c r="AH17" s="46" t="s">
        <v>676</v>
      </c>
    </row>
    <row r="18" spans="9:34" ht="15.75" thickBot="1"/>
    <row r="19" spans="9:34" ht="15.75" thickBot="1">
      <c r="I19" s="329" t="s">
        <v>6691</v>
      </c>
      <c r="J19" s="546" t="s">
        <v>6692</v>
      </c>
      <c r="K19" s="547"/>
      <c r="W19" t="s">
        <v>1605</v>
      </c>
      <c r="Y19" s="33" t="s">
        <v>6693</v>
      </c>
      <c r="Z19" s="368"/>
      <c r="AA19" s="369"/>
    </row>
    <row r="20" spans="9:34" ht="15.75" customHeight="1" thickBot="1">
      <c r="I20" s="330" t="s">
        <v>6694</v>
      </c>
      <c r="J20" s="331" t="s">
        <v>6646</v>
      </c>
      <c r="K20" s="331" t="s">
        <v>6695</v>
      </c>
      <c r="Y20" s="362" t="s">
        <v>418</v>
      </c>
      <c r="Z20" s="564"/>
      <c r="AA20" s="365">
        <v>14</v>
      </c>
    </row>
    <row r="21" spans="9:34">
      <c r="I21" s="548" t="s">
        <v>3807</v>
      </c>
      <c r="J21" s="548" t="s">
        <v>379</v>
      </c>
      <c r="K21" s="332" t="s">
        <v>6651</v>
      </c>
      <c r="Y21" s="363" t="s">
        <v>6696</v>
      </c>
      <c r="Z21" s="565"/>
      <c r="AA21" s="366">
        <v>10</v>
      </c>
    </row>
    <row r="22" spans="9:34" ht="15" customHeight="1" thickBot="1">
      <c r="I22" s="543"/>
      <c r="J22" s="543"/>
      <c r="K22" s="333" t="s">
        <v>6654</v>
      </c>
      <c r="Y22" s="363" t="s">
        <v>6697</v>
      </c>
      <c r="Z22" s="565"/>
      <c r="AA22" s="366">
        <v>12</v>
      </c>
    </row>
    <row r="23" spans="9:34" ht="15.75" thickBot="1">
      <c r="Y23" s="364" t="s">
        <v>640</v>
      </c>
      <c r="Z23" s="566"/>
      <c r="AA23" s="367">
        <v>12</v>
      </c>
    </row>
    <row r="25" spans="9:34">
      <c r="J25" s="19" t="s">
        <v>40</v>
      </c>
      <c r="W25" t="s">
        <v>1605</v>
      </c>
      <c r="Y25" s="5" t="s">
        <v>6698</v>
      </c>
    </row>
    <row r="26" spans="9:34">
      <c r="J26" s="19" t="s">
        <v>6659</v>
      </c>
      <c r="Y26" s="48" t="s">
        <v>420</v>
      </c>
    </row>
    <row r="27" spans="9:34">
      <c r="J27" s="19" t="s">
        <v>6663</v>
      </c>
      <c r="Y27" s="49" t="s">
        <v>6699</v>
      </c>
    </row>
    <row r="28" spans="9:34">
      <c r="J28" s="19" t="s">
        <v>487</v>
      </c>
      <c r="Y28" s="50" t="s">
        <v>6700</v>
      </c>
    </row>
    <row r="29" spans="9:34">
      <c r="J29" s="19" t="s">
        <v>6673</v>
      </c>
    </row>
    <row r="30" spans="9:34">
      <c r="J30" s="19" t="s">
        <v>6676</v>
      </c>
    </row>
    <row r="31" spans="9:34">
      <c r="J31" s="19" t="s">
        <v>488</v>
      </c>
      <c r="W31" t="s">
        <v>6701</v>
      </c>
      <c r="Y31" t="s">
        <v>6702</v>
      </c>
    </row>
    <row r="32" spans="9:34">
      <c r="J32" s="19" t="s">
        <v>6682</v>
      </c>
      <c r="Y32" t="s">
        <v>6703</v>
      </c>
    </row>
    <row r="33" spans="10:25">
      <c r="J33" s="19" t="s">
        <v>6685</v>
      </c>
      <c r="Y33" t="s">
        <v>6704</v>
      </c>
    </row>
    <row r="34" spans="10:25">
      <c r="J34" s="19" t="s">
        <v>6705</v>
      </c>
    </row>
    <row r="35" spans="10:25">
      <c r="W35" t="s">
        <v>6701</v>
      </c>
      <c r="Y35" t="s">
        <v>393</v>
      </c>
    </row>
    <row r="36" spans="10:25">
      <c r="Y36" s="51" t="s">
        <v>6706</v>
      </c>
    </row>
    <row r="37" spans="10:25">
      <c r="Y37" s="52" t="s">
        <v>6707</v>
      </c>
    </row>
    <row r="38" spans="10:25">
      <c r="Y38" s="52" t="s">
        <v>6708</v>
      </c>
    </row>
    <row r="39" spans="10:25">
      <c r="Y39" s="52" t="s">
        <v>6709</v>
      </c>
    </row>
    <row r="40" spans="10:25">
      <c r="Y40" s="53" t="s">
        <v>6710</v>
      </c>
    </row>
    <row r="41" spans="10:25">
      <c r="Y41" s="54" t="s">
        <v>6711</v>
      </c>
    </row>
    <row r="42" spans="10:25">
      <c r="Y42" s="54" t="s">
        <v>6712</v>
      </c>
    </row>
    <row r="43" spans="10:25">
      <c r="Y43" s="54" t="s">
        <v>6713</v>
      </c>
    </row>
    <row r="44" spans="10:25">
      <c r="Y44" s="51" t="s">
        <v>6714</v>
      </c>
    </row>
    <row r="45" spans="10:25" ht="30">
      <c r="Y45" s="55" t="s">
        <v>6715</v>
      </c>
    </row>
    <row r="46" spans="10:25">
      <c r="Y46" s="52" t="s">
        <v>6716</v>
      </c>
    </row>
    <row r="47" spans="10:25">
      <c r="Y47" s="52" t="s">
        <v>6717</v>
      </c>
    </row>
    <row r="48" spans="10:25">
      <c r="Y48" s="51" t="s">
        <v>6718</v>
      </c>
    </row>
    <row r="49" spans="23:25">
      <c r="Y49" s="52" t="s">
        <v>6719</v>
      </c>
    </row>
    <row r="50" spans="23:25">
      <c r="Y50" s="52" t="s">
        <v>6720</v>
      </c>
    </row>
    <row r="51" spans="23:25">
      <c r="Y51" s="4" t="s">
        <v>6721</v>
      </c>
    </row>
    <row r="52" spans="23:25">
      <c r="Y52" s="54" t="s">
        <v>6722</v>
      </c>
    </row>
    <row r="53" spans="23:25">
      <c r="Y53" s="52" t="s">
        <v>6723</v>
      </c>
    </row>
    <row r="54" spans="23:25">
      <c r="Y54" s="54" t="s">
        <v>6724</v>
      </c>
    </row>
    <row r="55" spans="23:25">
      <c r="Y55" s="56" t="s">
        <v>6725</v>
      </c>
    </row>
    <row r="58" spans="23:25">
      <c r="W58" t="s">
        <v>1605</v>
      </c>
      <c r="Y58" t="s">
        <v>6726</v>
      </c>
    </row>
    <row r="59" spans="23:25">
      <c r="Y59" t="s">
        <v>736</v>
      </c>
    </row>
    <row r="60" spans="23:25">
      <c r="Y60" t="s">
        <v>6727</v>
      </c>
    </row>
    <row r="61" spans="23:25">
      <c r="Y61" t="s">
        <v>6728</v>
      </c>
    </row>
    <row r="64" spans="23:25">
      <c r="W64" t="s">
        <v>1605</v>
      </c>
      <c r="Y64" t="s">
        <v>6729</v>
      </c>
    </row>
    <row r="65" spans="23:28">
      <c r="Y65" t="s">
        <v>6727</v>
      </c>
    </row>
    <row r="66" spans="23:28">
      <c r="Y66" t="s">
        <v>6730</v>
      </c>
    </row>
    <row r="68" spans="23:28">
      <c r="W68" t="s">
        <v>1605</v>
      </c>
      <c r="Y68" t="s">
        <v>6731</v>
      </c>
      <c r="Z68" t="s">
        <v>6732</v>
      </c>
      <c r="AA68" t="s">
        <v>6733</v>
      </c>
      <c r="AB68" t="s">
        <v>6734</v>
      </c>
    </row>
    <row r="69" spans="23:28">
      <c r="Y69" t="s">
        <v>370</v>
      </c>
    </row>
    <row r="70" spans="23:28">
      <c r="Y70" t="s">
        <v>6735</v>
      </c>
      <c r="Z70" t="str">
        <f>_xlfn.CONCAT(AA70,"   -   ",AB70)</f>
        <v>Stat 22 - LXN   -   Warehouse</v>
      </c>
      <c r="AA70" t="s">
        <v>6736</v>
      </c>
      <c r="AB70" t="s">
        <v>6737</v>
      </c>
    </row>
    <row r="71" spans="23:28">
      <c r="Y71" t="s">
        <v>6738</v>
      </c>
      <c r="Z71" t="str">
        <f t="shared" ref="Z71:Z76" si="0">_xlfn.CONCAT(AA71,"   -   ",AB71)</f>
        <v>Stat 21   -   Warehouse</v>
      </c>
      <c r="AA71" t="s">
        <v>6739</v>
      </c>
      <c r="AB71" t="s">
        <v>6737</v>
      </c>
    </row>
    <row r="72" spans="23:28">
      <c r="Y72" t="s">
        <v>6740</v>
      </c>
      <c r="Z72" t="str">
        <f t="shared" si="0"/>
        <v>Stat 22 - LXB   -   RTH</v>
      </c>
      <c r="AA72" t="s">
        <v>6741</v>
      </c>
      <c r="AB72" t="s">
        <v>6742</v>
      </c>
    </row>
    <row r="73" spans="23:28">
      <c r="Y73" t="s">
        <v>6743</v>
      </c>
      <c r="Z73" t="str">
        <f t="shared" si="0"/>
        <v>Stat 22 - LXC   -   Warehouse</v>
      </c>
      <c r="AA73" t="s">
        <v>6744</v>
      </c>
      <c r="AB73" t="s">
        <v>6737</v>
      </c>
    </row>
    <row r="74" spans="23:28">
      <c r="Y74" t="s">
        <v>6745</v>
      </c>
      <c r="Z74" t="str">
        <f t="shared" si="0"/>
        <v>Stat 22 - MTB   -   RTH</v>
      </c>
      <c r="AA74" t="s">
        <v>6746</v>
      </c>
      <c r="AB74" t="s">
        <v>6742</v>
      </c>
    </row>
    <row r="75" spans="23:28">
      <c r="Y75" t="s">
        <v>6747</v>
      </c>
      <c r="Z75" t="str">
        <f t="shared" si="0"/>
        <v>Avvisare Service Assurance   -   Control Room</v>
      </c>
      <c r="AA75" t="s">
        <v>6748</v>
      </c>
      <c r="AB75" t="s">
        <v>6749</v>
      </c>
    </row>
    <row r="76" spans="23:28">
      <c r="Y76" t="s">
        <v>6750</v>
      </c>
      <c r="Z76" t="str">
        <f t="shared" si="0"/>
        <v>Stat 22 - LXB   -   Warehouse</v>
      </c>
      <c r="AA76" t="s">
        <v>6741</v>
      </c>
      <c r="AB76" t="s">
        <v>6737</v>
      </c>
    </row>
  </sheetData>
  <sheetProtection selectLockedCells="1"/>
  <mergeCells count="18">
    <mergeCell ref="AD7:AI7"/>
    <mergeCell ref="Z2:AA8"/>
    <mergeCell ref="Z11:AA17"/>
    <mergeCell ref="Z20:Z23"/>
    <mergeCell ref="AD5:AG5"/>
    <mergeCell ref="I9:I10"/>
    <mergeCell ref="J9:J10"/>
    <mergeCell ref="J2:K2"/>
    <mergeCell ref="I4:I5"/>
    <mergeCell ref="J4:J5"/>
    <mergeCell ref="I7:I8"/>
    <mergeCell ref="J7:J8"/>
    <mergeCell ref="I14:I15"/>
    <mergeCell ref="J14:J15"/>
    <mergeCell ref="K14:K15"/>
    <mergeCell ref="J19:K19"/>
    <mergeCell ref="I21:I22"/>
    <mergeCell ref="J21:J22"/>
  </mergeCells>
  <pageMargins left="0.7" right="0.7" top="0.75" bottom="0.75" header="0.3" footer="0.3"/>
  <tableParts count="6">
    <tablePart r:id="rId1"/>
    <tablePart r:id="rId2"/>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568A-9AAB-43E1-9C19-B688F98D08FB}">
  <dimension ref="A1:AA254"/>
  <sheetViews>
    <sheetView workbookViewId="0"/>
  </sheetViews>
  <sheetFormatPr defaultRowHeight="15"/>
  <cols>
    <col min="7" max="7" width="17" bestFit="1" customWidth="1"/>
    <col min="9" max="9" width="17" bestFit="1" customWidth="1"/>
  </cols>
  <sheetData>
    <row r="1" spans="1:27">
      <c r="A1" t="s">
        <v>789</v>
      </c>
      <c r="B1" t="s">
        <v>1604</v>
      </c>
      <c r="C1" t="s">
        <v>788</v>
      </c>
      <c r="D1" t="s">
        <v>0</v>
      </c>
      <c r="E1" t="s">
        <v>790</v>
      </c>
      <c r="F1" t="s">
        <v>51</v>
      </c>
      <c r="G1" s="427">
        <v>46244.069444444445</v>
      </c>
      <c r="I1" s="427">
        <v>46213.78125</v>
      </c>
      <c r="K1" t="s">
        <v>791</v>
      </c>
      <c r="L1" t="s">
        <v>6751</v>
      </c>
      <c r="M1" t="s">
        <v>57</v>
      </c>
      <c r="N1" t="s">
        <v>6752</v>
      </c>
      <c r="O1" t="b">
        <v>0</v>
      </c>
      <c r="P1" t="s">
        <v>57</v>
      </c>
      <c r="Q1" t="s">
        <v>792</v>
      </c>
      <c r="R1" t="b">
        <v>0</v>
      </c>
      <c r="S1" t="s">
        <v>790</v>
      </c>
      <c r="T1" t="b">
        <v>1</v>
      </c>
      <c r="U1" t="s">
        <v>57</v>
      </c>
      <c r="V1" t="b">
        <v>0</v>
      </c>
      <c r="W1" t="b">
        <v>0</v>
      </c>
      <c r="X1" t="b">
        <v>0</v>
      </c>
      <c r="Y1" t="b">
        <v>0</v>
      </c>
      <c r="Z1" t="s">
        <v>59</v>
      </c>
      <c r="AA1" t="b">
        <v>0</v>
      </c>
    </row>
    <row r="2" spans="1:27">
      <c r="A2" t="s">
        <v>738</v>
      </c>
      <c r="B2" t="s">
        <v>1606</v>
      </c>
      <c r="C2" t="s">
        <v>737</v>
      </c>
      <c r="D2" t="s">
        <v>0</v>
      </c>
      <c r="E2" t="s">
        <v>126</v>
      </c>
      <c r="F2" t="s">
        <v>51</v>
      </c>
      <c r="G2" s="427">
        <v>46213.944444444445</v>
      </c>
      <c r="I2" s="427">
        <v>46213.791666666664</v>
      </c>
      <c r="K2" t="s">
        <v>1901</v>
      </c>
      <c r="L2" t="s">
        <v>6753</v>
      </c>
      <c r="M2" t="s">
        <v>57</v>
      </c>
      <c r="N2" t="s">
        <v>6754</v>
      </c>
      <c r="O2" t="b">
        <v>0</v>
      </c>
      <c r="P2" t="s">
        <v>57</v>
      </c>
      <c r="Q2" t="s">
        <v>739</v>
      </c>
      <c r="R2" t="b">
        <v>0</v>
      </c>
      <c r="S2" t="s">
        <v>126</v>
      </c>
      <c r="T2" t="b">
        <v>1</v>
      </c>
      <c r="U2" t="s">
        <v>57</v>
      </c>
      <c r="V2" t="b">
        <v>0</v>
      </c>
      <c r="W2" t="b">
        <v>0</v>
      </c>
      <c r="X2" t="b">
        <v>0</v>
      </c>
      <c r="Y2" t="b">
        <v>0</v>
      </c>
      <c r="Z2" t="s">
        <v>59</v>
      </c>
      <c r="AA2" t="b">
        <v>0</v>
      </c>
    </row>
    <row r="3" spans="1:27">
      <c r="A3" t="s">
        <v>6755</v>
      </c>
      <c r="B3" t="s">
        <v>212</v>
      </c>
      <c r="C3" t="s">
        <v>1475</v>
      </c>
      <c r="D3" t="s">
        <v>0</v>
      </c>
      <c r="E3" t="s">
        <v>211</v>
      </c>
      <c r="F3" t="s">
        <v>51</v>
      </c>
      <c r="G3" s="427">
        <v>46244.125</v>
      </c>
      <c r="I3" s="427">
        <v>46213.791666666664</v>
      </c>
      <c r="K3" t="s">
        <v>752</v>
      </c>
      <c r="L3" t="s">
        <v>1479</v>
      </c>
      <c r="M3" t="s">
        <v>57</v>
      </c>
      <c r="N3" t="s">
        <v>1480</v>
      </c>
      <c r="O3" t="b">
        <v>0</v>
      </c>
      <c r="P3" t="s">
        <v>57</v>
      </c>
      <c r="Q3" t="s">
        <v>6756</v>
      </c>
      <c r="R3" t="b">
        <v>1</v>
      </c>
      <c r="S3" t="s">
        <v>211</v>
      </c>
      <c r="T3" t="b">
        <v>1</v>
      </c>
      <c r="U3" t="s">
        <v>57</v>
      </c>
      <c r="V3" t="b">
        <v>0</v>
      </c>
      <c r="W3" t="b">
        <v>0</v>
      </c>
      <c r="X3" t="b">
        <v>0</v>
      </c>
      <c r="Y3" t="b">
        <v>0</v>
      </c>
      <c r="Z3" t="s">
        <v>59</v>
      </c>
      <c r="AA3" t="b">
        <v>0</v>
      </c>
    </row>
    <row r="4" spans="1:27">
      <c r="A4" t="s">
        <v>6757</v>
      </c>
      <c r="B4" t="s">
        <v>1607</v>
      </c>
      <c r="C4" t="s">
        <v>1608</v>
      </c>
      <c r="D4" t="s">
        <v>6758</v>
      </c>
      <c r="E4" t="s">
        <v>0</v>
      </c>
      <c r="F4" t="s">
        <v>6759</v>
      </c>
      <c r="G4" s="427">
        <v>46213.878472222219</v>
      </c>
      <c r="I4" s="427">
        <v>46213.802083333336</v>
      </c>
      <c r="K4" t="s">
        <v>430</v>
      </c>
      <c r="L4" t="s">
        <v>6760</v>
      </c>
      <c r="M4" t="s">
        <v>57</v>
      </c>
      <c r="N4" t="s">
        <v>1303</v>
      </c>
      <c r="O4" t="b">
        <v>0</v>
      </c>
      <c r="P4" t="s">
        <v>57</v>
      </c>
      <c r="Q4" t="s">
        <v>5775</v>
      </c>
      <c r="R4" t="b">
        <v>0</v>
      </c>
      <c r="S4" t="s">
        <v>0</v>
      </c>
      <c r="T4" t="b">
        <v>0</v>
      </c>
      <c r="U4" t="s">
        <v>57</v>
      </c>
      <c r="V4" t="b">
        <v>0</v>
      </c>
      <c r="W4" t="b">
        <v>0</v>
      </c>
      <c r="X4" t="b">
        <v>0</v>
      </c>
      <c r="Y4" t="b">
        <v>0</v>
      </c>
      <c r="Z4" t="s">
        <v>59</v>
      </c>
      <c r="AA4" t="b">
        <v>0</v>
      </c>
    </row>
    <row r="5" spans="1:27">
      <c r="A5" t="s">
        <v>6761</v>
      </c>
      <c r="B5" t="s">
        <v>1609</v>
      </c>
      <c r="C5" t="s">
        <v>1610</v>
      </c>
      <c r="D5" t="s">
        <v>6762</v>
      </c>
      <c r="E5" t="s">
        <v>0</v>
      </c>
      <c r="F5" t="s">
        <v>6759</v>
      </c>
      <c r="G5" s="427">
        <v>46213.881944444445</v>
      </c>
      <c r="I5" s="427">
        <v>46213.8125</v>
      </c>
      <c r="K5" t="s">
        <v>430</v>
      </c>
      <c r="L5" t="s">
        <v>6763</v>
      </c>
      <c r="M5" t="s">
        <v>57</v>
      </c>
      <c r="N5" t="s">
        <v>6764</v>
      </c>
      <c r="O5" t="b">
        <v>0</v>
      </c>
      <c r="P5" t="s">
        <v>57</v>
      </c>
      <c r="Q5" t="s">
        <v>3973</v>
      </c>
      <c r="R5" t="b">
        <v>0</v>
      </c>
      <c r="S5" t="s">
        <v>0</v>
      </c>
      <c r="T5" t="b">
        <v>0</v>
      </c>
      <c r="U5" t="s">
        <v>57</v>
      </c>
      <c r="V5" t="b">
        <v>0</v>
      </c>
      <c r="W5" t="b">
        <v>0</v>
      </c>
      <c r="X5" t="b">
        <v>0</v>
      </c>
      <c r="Y5" t="b">
        <v>0</v>
      </c>
      <c r="Z5" t="s">
        <v>59</v>
      </c>
      <c r="AA5" t="b">
        <v>0</v>
      </c>
    </row>
    <row r="6" spans="1:27">
      <c r="A6" t="s">
        <v>946</v>
      </c>
      <c r="B6" t="s">
        <v>1611</v>
      </c>
      <c r="C6" t="s">
        <v>945</v>
      </c>
      <c r="D6" t="s">
        <v>0</v>
      </c>
      <c r="E6" t="s">
        <v>831</v>
      </c>
      <c r="F6" t="s">
        <v>51</v>
      </c>
      <c r="G6" s="427">
        <v>46213.979166666664</v>
      </c>
      <c r="I6" s="427">
        <v>46213.8125</v>
      </c>
      <c r="K6" t="s">
        <v>451</v>
      </c>
      <c r="L6" t="s">
        <v>6765</v>
      </c>
      <c r="M6" t="s">
        <v>57</v>
      </c>
      <c r="N6" t="s">
        <v>6766</v>
      </c>
      <c r="O6" t="b">
        <v>0</v>
      </c>
      <c r="P6" t="s">
        <v>57</v>
      </c>
      <c r="Q6" t="s">
        <v>947</v>
      </c>
      <c r="R6" t="b">
        <v>0</v>
      </c>
      <c r="S6" t="s">
        <v>831</v>
      </c>
      <c r="T6" t="b">
        <v>0</v>
      </c>
      <c r="U6" t="s">
        <v>57</v>
      </c>
      <c r="V6" t="b">
        <v>0</v>
      </c>
      <c r="W6" t="b">
        <v>0</v>
      </c>
      <c r="X6" t="b">
        <v>0</v>
      </c>
      <c r="Y6" t="b">
        <v>0</v>
      </c>
      <c r="Z6" t="s">
        <v>59</v>
      </c>
      <c r="AA6" t="b">
        <v>0</v>
      </c>
    </row>
    <row r="7" spans="1:27">
      <c r="A7" t="s">
        <v>810</v>
      </c>
      <c r="B7" t="s">
        <v>1612</v>
      </c>
      <c r="C7" t="s">
        <v>1184</v>
      </c>
      <c r="D7" t="s">
        <v>0</v>
      </c>
      <c r="E7" t="s">
        <v>811</v>
      </c>
      <c r="F7" t="s">
        <v>51</v>
      </c>
      <c r="G7" s="427">
        <v>46244.319444444445</v>
      </c>
      <c r="I7" s="427">
        <v>46213.833333333336</v>
      </c>
      <c r="K7" t="s">
        <v>2056</v>
      </c>
      <c r="L7" t="s">
        <v>6767</v>
      </c>
      <c r="M7" t="s">
        <v>57</v>
      </c>
      <c r="N7" t="s">
        <v>6768</v>
      </c>
      <c r="O7" t="b">
        <v>0</v>
      </c>
      <c r="P7" t="s">
        <v>57</v>
      </c>
      <c r="Q7" t="s">
        <v>2076</v>
      </c>
      <c r="R7" t="b">
        <v>0</v>
      </c>
      <c r="S7" t="s">
        <v>811</v>
      </c>
      <c r="T7" t="b">
        <v>0</v>
      </c>
      <c r="U7" t="s">
        <v>57</v>
      </c>
      <c r="V7" t="b">
        <v>0</v>
      </c>
      <c r="W7" t="b">
        <v>0</v>
      </c>
      <c r="X7" t="b">
        <v>0</v>
      </c>
      <c r="Y7" t="b">
        <v>0</v>
      </c>
      <c r="Z7" t="s">
        <v>59</v>
      </c>
      <c r="AA7" t="b">
        <v>0</v>
      </c>
    </row>
    <row r="8" spans="1:27">
      <c r="A8" t="s">
        <v>6769</v>
      </c>
      <c r="B8" t="s">
        <v>1613</v>
      </c>
      <c r="C8" t="s">
        <v>1614</v>
      </c>
      <c r="D8" t="s">
        <v>6770</v>
      </c>
      <c r="E8" t="s">
        <v>126</v>
      </c>
      <c r="F8" t="s">
        <v>6759</v>
      </c>
      <c r="G8" s="427">
        <v>46213.899305555555</v>
      </c>
      <c r="I8" s="427">
        <v>46213.833333333336</v>
      </c>
      <c r="K8" t="s">
        <v>2348</v>
      </c>
      <c r="L8" t="s">
        <v>6771</v>
      </c>
      <c r="M8" t="s">
        <v>57</v>
      </c>
      <c r="N8" t="s">
        <v>6772</v>
      </c>
      <c r="O8" t="b">
        <v>0</v>
      </c>
      <c r="P8" t="s">
        <v>57</v>
      </c>
      <c r="Q8" t="s">
        <v>5195</v>
      </c>
      <c r="R8" t="b">
        <v>0</v>
      </c>
      <c r="S8" t="s">
        <v>126</v>
      </c>
      <c r="T8" t="b">
        <v>0</v>
      </c>
      <c r="U8" t="s">
        <v>57</v>
      </c>
      <c r="V8" t="b">
        <v>0</v>
      </c>
      <c r="W8" t="b">
        <v>0</v>
      </c>
      <c r="X8" t="b">
        <v>0</v>
      </c>
      <c r="Y8" t="b">
        <v>0</v>
      </c>
      <c r="Z8" t="s">
        <v>59</v>
      </c>
      <c r="AA8" t="b">
        <v>0</v>
      </c>
    </row>
    <row r="9" spans="1:27">
      <c r="A9" t="s">
        <v>719</v>
      </c>
      <c r="B9" t="s">
        <v>1615</v>
      </c>
      <c r="C9" t="s">
        <v>718</v>
      </c>
      <c r="D9" t="s">
        <v>0</v>
      </c>
      <c r="E9" t="s">
        <v>126</v>
      </c>
      <c r="F9" t="s">
        <v>51</v>
      </c>
      <c r="G9" s="427">
        <v>46213.986111111109</v>
      </c>
      <c r="I9" s="427">
        <v>46213.833333333336</v>
      </c>
      <c r="K9" t="s">
        <v>720</v>
      </c>
      <c r="L9" t="s">
        <v>6773</v>
      </c>
      <c r="M9" t="s">
        <v>57</v>
      </c>
      <c r="N9" t="s">
        <v>6774</v>
      </c>
      <c r="O9" t="b">
        <v>0</v>
      </c>
      <c r="P9" t="s">
        <v>57</v>
      </c>
      <c r="Q9" t="s">
        <v>721</v>
      </c>
      <c r="R9" t="b">
        <v>0</v>
      </c>
      <c r="S9" t="s">
        <v>126</v>
      </c>
      <c r="T9" t="b">
        <v>1</v>
      </c>
      <c r="U9" t="s">
        <v>57</v>
      </c>
      <c r="V9" t="b">
        <v>0</v>
      </c>
      <c r="W9" t="b">
        <v>0</v>
      </c>
      <c r="X9" t="b">
        <v>0</v>
      </c>
      <c r="Y9" t="b">
        <v>0</v>
      </c>
      <c r="Z9" t="s">
        <v>59</v>
      </c>
      <c r="AA9" t="b">
        <v>0</v>
      </c>
    </row>
    <row r="10" spans="1:27">
      <c r="A10" t="s">
        <v>810</v>
      </c>
      <c r="B10" t="s">
        <v>1616</v>
      </c>
      <c r="C10" t="s">
        <v>816</v>
      </c>
      <c r="D10" t="s">
        <v>0</v>
      </c>
      <c r="E10" t="s">
        <v>811</v>
      </c>
      <c r="F10" t="s">
        <v>51</v>
      </c>
      <c r="G10" s="427">
        <v>46244.319444444445</v>
      </c>
      <c r="I10" s="427">
        <v>46213.833333333336</v>
      </c>
      <c r="K10" t="s">
        <v>791</v>
      </c>
      <c r="L10" t="s">
        <v>6775</v>
      </c>
      <c r="M10" t="s">
        <v>57</v>
      </c>
      <c r="N10" t="s">
        <v>6776</v>
      </c>
      <c r="O10" t="b">
        <v>0</v>
      </c>
      <c r="P10" t="s">
        <v>57</v>
      </c>
      <c r="Q10" t="s">
        <v>817</v>
      </c>
      <c r="R10" t="b">
        <v>0</v>
      </c>
      <c r="S10" t="s">
        <v>811</v>
      </c>
      <c r="T10" t="b">
        <v>1</v>
      </c>
      <c r="U10" t="s">
        <v>57</v>
      </c>
      <c r="V10" t="b">
        <v>0</v>
      </c>
      <c r="W10" t="b">
        <v>0</v>
      </c>
      <c r="X10" t="b">
        <v>0</v>
      </c>
      <c r="Y10" t="b">
        <v>0</v>
      </c>
      <c r="Z10" t="s">
        <v>59</v>
      </c>
      <c r="AA10" t="b">
        <v>0</v>
      </c>
    </row>
    <row r="11" spans="1:27">
      <c r="A11" t="s">
        <v>6777</v>
      </c>
      <c r="B11" t="s">
        <v>1617</v>
      </c>
      <c r="C11" t="s">
        <v>1618</v>
      </c>
      <c r="D11" t="s">
        <v>6762</v>
      </c>
      <c r="E11" t="s">
        <v>456</v>
      </c>
      <c r="F11" t="s">
        <v>6759</v>
      </c>
      <c r="G11" s="427">
        <v>46213.875</v>
      </c>
      <c r="I11" s="427">
        <v>46213.833333333336</v>
      </c>
      <c r="K11" t="s">
        <v>430</v>
      </c>
      <c r="L11" t="s">
        <v>6778</v>
      </c>
      <c r="M11" t="s">
        <v>57</v>
      </c>
      <c r="N11" t="s">
        <v>6779</v>
      </c>
      <c r="O11" t="b">
        <v>0</v>
      </c>
      <c r="P11" t="s">
        <v>57</v>
      </c>
      <c r="Q11" t="s">
        <v>4905</v>
      </c>
      <c r="R11" t="b">
        <v>0</v>
      </c>
      <c r="S11" t="s">
        <v>456</v>
      </c>
      <c r="T11" t="b">
        <v>0</v>
      </c>
      <c r="U11" t="s">
        <v>57</v>
      </c>
      <c r="V11" t="b">
        <v>0</v>
      </c>
      <c r="W11" t="b">
        <v>0</v>
      </c>
      <c r="X11" t="b">
        <v>0</v>
      </c>
      <c r="Y11" t="b">
        <v>0</v>
      </c>
      <c r="Z11" t="s">
        <v>59</v>
      </c>
      <c r="AA11" t="b">
        <v>0</v>
      </c>
    </row>
    <row r="12" spans="1:27">
      <c r="A12" t="s">
        <v>1140</v>
      </c>
      <c r="B12" t="s">
        <v>1619</v>
      </c>
      <c r="C12" t="s">
        <v>1139</v>
      </c>
      <c r="D12" t="s">
        <v>0</v>
      </c>
      <c r="E12" t="s">
        <v>126</v>
      </c>
      <c r="F12" t="s">
        <v>51</v>
      </c>
      <c r="G12" s="427">
        <v>46244</v>
      </c>
      <c r="I12" s="427">
        <v>46213.847222222219</v>
      </c>
      <c r="K12" t="s">
        <v>2056</v>
      </c>
      <c r="L12" t="s">
        <v>6780</v>
      </c>
      <c r="M12" t="s">
        <v>57</v>
      </c>
      <c r="N12" t="s">
        <v>6781</v>
      </c>
      <c r="O12" t="b">
        <v>0</v>
      </c>
      <c r="P12" t="s">
        <v>57</v>
      </c>
      <c r="Q12" t="s">
        <v>1141</v>
      </c>
      <c r="R12" t="b">
        <v>0</v>
      </c>
      <c r="S12" t="s">
        <v>126</v>
      </c>
      <c r="T12" t="b">
        <v>0</v>
      </c>
      <c r="U12" t="s">
        <v>57</v>
      </c>
      <c r="V12" t="b">
        <v>0</v>
      </c>
      <c r="W12" t="b">
        <v>0</v>
      </c>
      <c r="X12" t="b">
        <v>0</v>
      </c>
      <c r="Y12" t="b">
        <v>0</v>
      </c>
      <c r="Z12" t="s">
        <v>59</v>
      </c>
      <c r="AA12" t="b">
        <v>0</v>
      </c>
    </row>
    <row r="13" spans="1:27">
      <c r="A13" t="s">
        <v>799</v>
      </c>
      <c r="B13" t="s">
        <v>1620</v>
      </c>
      <c r="C13" t="s">
        <v>798</v>
      </c>
      <c r="D13" t="s">
        <v>0</v>
      </c>
      <c r="E13" t="s">
        <v>790</v>
      </c>
      <c r="F13" t="s">
        <v>66</v>
      </c>
      <c r="G13" s="427">
        <v>46244.142361111109</v>
      </c>
      <c r="I13" s="427">
        <v>46213.854166666664</v>
      </c>
      <c r="K13" t="s">
        <v>2005</v>
      </c>
      <c r="L13" t="s">
        <v>6782</v>
      </c>
      <c r="M13" t="s">
        <v>57</v>
      </c>
      <c r="N13" t="s">
        <v>6783</v>
      </c>
      <c r="O13" t="b">
        <v>0</v>
      </c>
      <c r="P13" t="s">
        <v>57</v>
      </c>
      <c r="S13" t="s">
        <v>790</v>
      </c>
      <c r="T13" t="b">
        <v>0</v>
      </c>
      <c r="U13" t="s">
        <v>57</v>
      </c>
      <c r="V13" t="b">
        <v>0</v>
      </c>
      <c r="W13" t="b">
        <v>0</v>
      </c>
      <c r="X13" t="b">
        <v>0</v>
      </c>
      <c r="Y13" t="b">
        <v>0</v>
      </c>
      <c r="Z13" t="s">
        <v>59</v>
      </c>
      <c r="AA13" t="b">
        <v>0</v>
      </c>
    </row>
    <row r="14" spans="1:27">
      <c r="A14" t="s">
        <v>830</v>
      </c>
      <c r="B14" t="s">
        <v>1621</v>
      </c>
      <c r="C14" t="s">
        <v>829</v>
      </c>
      <c r="D14" t="s">
        <v>0</v>
      </c>
      <c r="E14" t="s">
        <v>831</v>
      </c>
      <c r="F14" t="s">
        <v>51</v>
      </c>
      <c r="G14" s="427">
        <v>46244.03125</v>
      </c>
      <c r="I14" s="427">
        <v>46213.864583333336</v>
      </c>
      <c r="K14" t="s">
        <v>451</v>
      </c>
      <c r="L14" t="s">
        <v>6784</v>
      </c>
      <c r="M14" t="s">
        <v>57</v>
      </c>
      <c r="N14" t="s">
        <v>6785</v>
      </c>
      <c r="O14" t="b">
        <v>0</v>
      </c>
      <c r="P14" t="s">
        <v>57</v>
      </c>
      <c r="Q14" t="s">
        <v>832</v>
      </c>
      <c r="R14" t="b">
        <v>0</v>
      </c>
      <c r="S14" t="s">
        <v>831</v>
      </c>
      <c r="T14" t="b">
        <v>1</v>
      </c>
      <c r="U14" t="s">
        <v>57</v>
      </c>
      <c r="V14" t="b">
        <v>0</v>
      </c>
      <c r="W14" t="b">
        <v>0</v>
      </c>
      <c r="X14" t="b">
        <v>0</v>
      </c>
      <c r="Y14" t="b">
        <v>0</v>
      </c>
      <c r="Z14" t="s">
        <v>59</v>
      </c>
      <c r="AA14" t="b">
        <v>0</v>
      </c>
    </row>
    <row r="15" spans="1:27">
      <c r="A15" t="s">
        <v>779</v>
      </c>
      <c r="B15" t="s">
        <v>1622</v>
      </c>
      <c r="C15" t="s">
        <v>778</v>
      </c>
      <c r="D15" t="s">
        <v>0</v>
      </c>
      <c r="E15" t="s">
        <v>780</v>
      </c>
      <c r="F15" t="s">
        <v>51</v>
      </c>
      <c r="G15" s="427">
        <v>46244.215277777781</v>
      </c>
      <c r="I15" s="427">
        <v>46213.864583333336</v>
      </c>
      <c r="K15" t="s">
        <v>451</v>
      </c>
      <c r="L15" t="s">
        <v>6786</v>
      </c>
      <c r="M15" t="s">
        <v>57</v>
      </c>
      <c r="N15" t="s">
        <v>6787</v>
      </c>
      <c r="O15" t="b">
        <v>0</v>
      </c>
      <c r="P15" t="s">
        <v>57</v>
      </c>
      <c r="Q15" t="s">
        <v>781</v>
      </c>
      <c r="R15" t="b">
        <v>0</v>
      </c>
      <c r="S15" t="s">
        <v>780</v>
      </c>
      <c r="T15" t="b">
        <v>1</v>
      </c>
      <c r="U15" t="s">
        <v>57</v>
      </c>
      <c r="V15" t="b">
        <v>0</v>
      </c>
      <c r="W15" t="b">
        <v>0</v>
      </c>
      <c r="X15" t="b">
        <v>0</v>
      </c>
      <c r="Y15" t="b">
        <v>0</v>
      </c>
      <c r="Z15" t="s">
        <v>59</v>
      </c>
      <c r="AA15" t="b">
        <v>0</v>
      </c>
    </row>
    <row r="16" spans="1:27">
      <c r="A16" t="s">
        <v>764</v>
      </c>
      <c r="B16" t="s">
        <v>1623</v>
      </c>
      <c r="C16" t="s">
        <v>984</v>
      </c>
      <c r="D16" t="s">
        <v>0</v>
      </c>
      <c r="E16" t="s">
        <v>751</v>
      </c>
      <c r="F16" t="s">
        <v>51</v>
      </c>
      <c r="G16" s="427">
        <v>46244.090277777781</v>
      </c>
      <c r="I16" s="427">
        <v>46213.864583333336</v>
      </c>
      <c r="K16" t="s">
        <v>1894</v>
      </c>
      <c r="L16" t="s">
        <v>6788</v>
      </c>
      <c r="M16" t="s">
        <v>57</v>
      </c>
      <c r="N16" t="s">
        <v>6789</v>
      </c>
      <c r="O16" t="b">
        <v>0</v>
      </c>
      <c r="P16" t="s">
        <v>57</v>
      </c>
      <c r="Q16" t="s">
        <v>985</v>
      </c>
      <c r="R16" t="b">
        <v>0</v>
      </c>
      <c r="S16" t="s">
        <v>751</v>
      </c>
      <c r="T16" t="b">
        <v>0</v>
      </c>
      <c r="U16" t="s">
        <v>57</v>
      </c>
      <c r="V16" t="b">
        <v>0</v>
      </c>
      <c r="W16" t="b">
        <v>0</v>
      </c>
      <c r="X16" t="b">
        <v>0</v>
      </c>
      <c r="Y16" t="b">
        <v>0</v>
      </c>
      <c r="Z16" t="s">
        <v>59</v>
      </c>
      <c r="AA16" t="b">
        <v>0</v>
      </c>
    </row>
    <row r="17" spans="1:27">
      <c r="A17" t="s">
        <v>764</v>
      </c>
      <c r="B17" t="s">
        <v>1624</v>
      </c>
      <c r="C17" t="s">
        <v>763</v>
      </c>
      <c r="D17" t="s">
        <v>0</v>
      </c>
      <c r="E17" t="s">
        <v>751</v>
      </c>
      <c r="F17" t="s">
        <v>51</v>
      </c>
      <c r="G17" s="427">
        <v>46244.090277777781</v>
      </c>
      <c r="I17" s="427">
        <v>46213.864583333336</v>
      </c>
      <c r="K17" t="s">
        <v>451</v>
      </c>
      <c r="L17" t="s">
        <v>6790</v>
      </c>
      <c r="M17" t="s">
        <v>57</v>
      </c>
      <c r="N17" t="s">
        <v>6791</v>
      </c>
      <c r="O17" t="b">
        <v>0</v>
      </c>
      <c r="P17" t="s">
        <v>57</v>
      </c>
      <c r="Q17" t="s">
        <v>5599</v>
      </c>
      <c r="R17" t="b">
        <v>0</v>
      </c>
      <c r="S17" t="s">
        <v>751</v>
      </c>
      <c r="T17" t="b">
        <v>1</v>
      </c>
      <c r="U17" t="s">
        <v>57</v>
      </c>
      <c r="V17" t="b">
        <v>0</v>
      </c>
      <c r="W17" t="b">
        <v>0</v>
      </c>
      <c r="X17" t="b">
        <v>0</v>
      </c>
      <c r="Y17" t="b">
        <v>0</v>
      </c>
      <c r="Z17" t="s">
        <v>59</v>
      </c>
      <c r="AA17" t="b">
        <v>0</v>
      </c>
    </row>
    <row r="18" spans="1:27">
      <c r="A18" t="s">
        <v>964</v>
      </c>
      <c r="B18" t="s">
        <v>1625</v>
      </c>
      <c r="C18" t="s">
        <v>963</v>
      </c>
      <c r="D18" t="s">
        <v>0</v>
      </c>
      <c r="E18" t="s">
        <v>780</v>
      </c>
      <c r="F18" t="s">
        <v>51</v>
      </c>
      <c r="G18" s="427">
        <v>46244.215277777781</v>
      </c>
      <c r="I18" s="427">
        <v>46213.864583333336</v>
      </c>
      <c r="K18" t="s">
        <v>427</v>
      </c>
      <c r="L18" t="s">
        <v>6792</v>
      </c>
      <c r="M18" t="s">
        <v>57</v>
      </c>
      <c r="N18" t="s">
        <v>6793</v>
      </c>
      <c r="O18" t="b">
        <v>0</v>
      </c>
      <c r="P18" t="s">
        <v>57</v>
      </c>
      <c r="Q18" t="s">
        <v>965</v>
      </c>
      <c r="R18" t="b">
        <v>0</v>
      </c>
      <c r="S18" t="s">
        <v>780</v>
      </c>
      <c r="T18" t="b">
        <v>0</v>
      </c>
      <c r="U18" t="s">
        <v>57</v>
      </c>
      <c r="V18" t="b">
        <v>0</v>
      </c>
      <c r="W18" t="b">
        <v>0</v>
      </c>
      <c r="X18" t="b">
        <v>0</v>
      </c>
      <c r="Y18" t="b">
        <v>0</v>
      </c>
      <c r="Z18" t="s">
        <v>59</v>
      </c>
      <c r="AA18" t="b">
        <v>0</v>
      </c>
    </row>
    <row r="19" spans="1:27">
      <c r="A19" t="s">
        <v>824</v>
      </c>
      <c r="B19" t="s">
        <v>1626</v>
      </c>
      <c r="C19" t="s">
        <v>823</v>
      </c>
      <c r="D19" t="s">
        <v>0</v>
      </c>
      <c r="E19" t="s">
        <v>825</v>
      </c>
      <c r="F19" t="s">
        <v>51</v>
      </c>
      <c r="G19" s="427">
        <v>46244.239583333336</v>
      </c>
      <c r="I19" s="427">
        <v>46213.875</v>
      </c>
      <c r="K19" t="s">
        <v>1890</v>
      </c>
      <c r="L19" t="s">
        <v>6794</v>
      </c>
      <c r="M19" t="s">
        <v>57</v>
      </c>
      <c r="N19" t="s">
        <v>6795</v>
      </c>
      <c r="O19" t="b">
        <v>0</v>
      </c>
      <c r="P19" t="s">
        <v>57</v>
      </c>
      <c r="Q19" t="s">
        <v>827</v>
      </c>
      <c r="R19" t="b">
        <v>0</v>
      </c>
      <c r="S19" t="s">
        <v>825</v>
      </c>
      <c r="T19" t="b">
        <v>1</v>
      </c>
      <c r="U19" t="s">
        <v>57</v>
      </c>
      <c r="V19" t="b">
        <v>0</v>
      </c>
      <c r="W19" t="b">
        <v>0</v>
      </c>
      <c r="X19" t="b">
        <v>0</v>
      </c>
      <c r="Y19" t="b">
        <v>0</v>
      </c>
      <c r="Z19" t="s">
        <v>59</v>
      </c>
      <c r="AA19" t="b">
        <v>0</v>
      </c>
    </row>
    <row r="20" spans="1:27">
      <c r="A20" t="s">
        <v>729</v>
      </c>
      <c r="B20" t="s">
        <v>1627</v>
      </c>
      <c r="C20" t="s">
        <v>728</v>
      </c>
      <c r="D20" t="s">
        <v>0</v>
      </c>
      <c r="E20" t="s">
        <v>126</v>
      </c>
      <c r="F20" t="s">
        <v>51</v>
      </c>
      <c r="G20" s="427">
        <v>46244.027777777781</v>
      </c>
      <c r="I20" s="427">
        <v>46213.875</v>
      </c>
      <c r="K20" t="s">
        <v>52</v>
      </c>
      <c r="L20" t="s">
        <v>6796</v>
      </c>
      <c r="M20" t="s">
        <v>57</v>
      </c>
      <c r="N20" t="s">
        <v>6797</v>
      </c>
      <c r="O20" t="b">
        <v>0</v>
      </c>
      <c r="P20" t="s">
        <v>57</v>
      </c>
      <c r="Q20" t="s">
        <v>730</v>
      </c>
      <c r="R20" t="b">
        <v>0</v>
      </c>
      <c r="S20" t="s">
        <v>126</v>
      </c>
      <c r="T20" t="b">
        <v>1</v>
      </c>
      <c r="U20" t="s">
        <v>57</v>
      </c>
      <c r="V20" t="b">
        <v>0</v>
      </c>
      <c r="W20" t="b">
        <v>0</v>
      </c>
      <c r="X20" t="b">
        <v>0</v>
      </c>
      <c r="Y20" t="b">
        <v>0</v>
      </c>
      <c r="Z20" t="s">
        <v>59</v>
      </c>
      <c r="AA20" t="b">
        <v>0</v>
      </c>
    </row>
    <row r="21" spans="1:27">
      <c r="A21" t="s">
        <v>972</v>
      </c>
      <c r="B21" t="s">
        <v>1628</v>
      </c>
      <c r="C21" t="s">
        <v>971</v>
      </c>
      <c r="D21" t="s">
        <v>0</v>
      </c>
      <c r="E21" t="s">
        <v>790</v>
      </c>
      <c r="F21" t="s">
        <v>51</v>
      </c>
      <c r="G21" s="427">
        <v>46244.173611111109</v>
      </c>
      <c r="I21" s="427">
        <v>46213.885416666664</v>
      </c>
      <c r="K21" t="s">
        <v>2056</v>
      </c>
      <c r="L21" t="s">
        <v>6798</v>
      </c>
      <c r="M21" t="s">
        <v>57</v>
      </c>
      <c r="N21" t="s">
        <v>6799</v>
      </c>
      <c r="O21" t="b">
        <v>0</v>
      </c>
      <c r="P21" t="s">
        <v>57</v>
      </c>
      <c r="Q21" t="s">
        <v>6468</v>
      </c>
      <c r="R21" t="b">
        <v>0</v>
      </c>
      <c r="S21" t="s">
        <v>790</v>
      </c>
      <c r="T21" t="b">
        <v>0</v>
      </c>
      <c r="U21" t="s">
        <v>57</v>
      </c>
      <c r="V21" t="b">
        <v>0</v>
      </c>
      <c r="W21" t="b">
        <v>0</v>
      </c>
      <c r="X21" t="b">
        <v>0</v>
      </c>
      <c r="Y21" t="b">
        <v>0</v>
      </c>
      <c r="Z21" t="s">
        <v>59</v>
      </c>
      <c r="AA21" t="b">
        <v>0</v>
      </c>
    </row>
    <row r="22" spans="1:27">
      <c r="A22" t="s">
        <v>810</v>
      </c>
      <c r="B22" t="s">
        <v>1629</v>
      </c>
      <c r="C22" t="s">
        <v>820</v>
      </c>
      <c r="D22" t="s">
        <v>0</v>
      </c>
      <c r="E22" t="s">
        <v>811</v>
      </c>
      <c r="F22" t="s">
        <v>66</v>
      </c>
      <c r="G22" s="427">
        <v>46244.371527777781</v>
      </c>
      <c r="I22" s="427">
        <v>46213.885416666664</v>
      </c>
      <c r="K22" t="s">
        <v>2056</v>
      </c>
      <c r="L22" t="s">
        <v>6800</v>
      </c>
      <c r="M22" t="s">
        <v>57</v>
      </c>
      <c r="N22" t="s">
        <v>6801</v>
      </c>
      <c r="O22" t="b">
        <v>0</v>
      </c>
      <c r="P22" t="s">
        <v>57</v>
      </c>
      <c r="S22" t="s">
        <v>811</v>
      </c>
      <c r="T22" t="b">
        <v>0</v>
      </c>
      <c r="U22" t="s">
        <v>1551</v>
      </c>
      <c r="V22" t="b">
        <v>0</v>
      </c>
      <c r="W22" t="b">
        <v>0</v>
      </c>
      <c r="X22" t="b">
        <v>0</v>
      </c>
      <c r="Y22" t="b">
        <v>0</v>
      </c>
      <c r="Z22" t="s">
        <v>59</v>
      </c>
      <c r="AA22" t="b">
        <v>0</v>
      </c>
    </row>
    <row r="23" spans="1:27">
      <c r="A23" t="s">
        <v>804</v>
      </c>
      <c r="B23" t="s">
        <v>1630</v>
      </c>
      <c r="C23" t="s">
        <v>803</v>
      </c>
      <c r="D23" t="s">
        <v>0</v>
      </c>
      <c r="E23" t="s">
        <v>805</v>
      </c>
      <c r="F23" t="s">
        <v>51</v>
      </c>
      <c r="G23" s="427">
        <v>46244.413194444445</v>
      </c>
      <c r="I23" s="427">
        <v>46213.885416666664</v>
      </c>
      <c r="K23" t="s">
        <v>2056</v>
      </c>
      <c r="L23" t="s">
        <v>6802</v>
      </c>
      <c r="M23" t="s">
        <v>57</v>
      </c>
      <c r="N23" t="s">
        <v>6803</v>
      </c>
      <c r="O23" t="b">
        <v>0</v>
      </c>
      <c r="P23" t="s">
        <v>57</v>
      </c>
      <c r="Q23" t="s">
        <v>806</v>
      </c>
      <c r="R23" t="b">
        <v>0</v>
      </c>
      <c r="S23" t="s">
        <v>805</v>
      </c>
      <c r="T23" t="b">
        <v>1</v>
      </c>
      <c r="U23" t="s">
        <v>57</v>
      </c>
      <c r="V23" t="b">
        <v>0</v>
      </c>
      <c r="W23" t="b">
        <v>0</v>
      </c>
      <c r="X23" t="b">
        <v>0</v>
      </c>
      <c r="Y23" t="b">
        <v>0</v>
      </c>
      <c r="Z23" t="s">
        <v>59</v>
      </c>
      <c r="AA23" t="b">
        <v>0</v>
      </c>
    </row>
    <row r="24" spans="1:27">
      <c r="A24" t="s">
        <v>6804</v>
      </c>
      <c r="B24" t="s">
        <v>1495</v>
      </c>
      <c r="C24" t="s">
        <v>1496</v>
      </c>
      <c r="D24" t="s">
        <v>0</v>
      </c>
      <c r="E24" t="s">
        <v>831</v>
      </c>
      <c r="F24" t="s">
        <v>66</v>
      </c>
      <c r="G24" s="427">
        <v>46244.104166666664</v>
      </c>
      <c r="I24" s="427">
        <v>46213.895833333336</v>
      </c>
      <c r="K24" t="s">
        <v>128</v>
      </c>
      <c r="L24" t="s">
        <v>1497</v>
      </c>
      <c r="M24" t="s">
        <v>57</v>
      </c>
      <c r="N24" t="s">
        <v>1498</v>
      </c>
      <c r="O24" t="b">
        <v>0</v>
      </c>
      <c r="P24" t="s">
        <v>57</v>
      </c>
      <c r="S24" t="s">
        <v>831</v>
      </c>
      <c r="T24" t="b">
        <v>0</v>
      </c>
      <c r="U24" t="s">
        <v>57</v>
      </c>
      <c r="V24" t="b">
        <v>0</v>
      </c>
      <c r="W24" t="b">
        <v>0</v>
      </c>
      <c r="X24" t="b">
        <v>0</v>
      </c>
      <c r="Y24" t="b">
        <v>0</v>
      </c>
      <c r="Z24" t="s">
        <v>59</v>
      </c>
      <c r="AA24" t="b">
        <v>0</v>
      </c>
    </row>
    <row r="25" spans="1:27">
      <c r="A25" t="s">
        <v>6804</v>
      </c>
      <c r="B25" t="s">
        <v>1500</v>
      </c>
      <c r="C25" t="s">
        <v>1501</v>
      </c>
      <c r="D25" t="s">
        <v>0</v>
      </c>
      <c r="E25" t="s">
        <v>831</v>
      </c>
      <c r="F25" t="s">
        <v>66</v>
      </c>
      <c r="G25" s="427">
        <v>46244.104166666664</v>
      </c>
      <c r="I25" s="427">
        <v>46213.895833333336</v>
      </c>
      <c r="K25" t="s">
        <v>128</v>
      </c>
      <c r="L25" t="s">
        <v>1502</v>
      </c>
      <c r="M25" t="s">
        <v>57</v>
      </c>
      <c r="N25" t="s">
        <v>1503</v>
      </c>
      <c r="O25" t="b">
        <v>0</v>
      </c>
      <c r="P25" t="s">
        <v>57</v>
      </c>
      <c r="S25" t="s">
        <v>831</v>
      </c>
      <c r="T25" t="b">
        <v>0</v>
      </c>
      <c r="U25" t="s">
        <v>57</v>
      </c>
      <c r="V25" t="b">
        <v>0</v>
      </c>
      <c r="W25" t="b">
        <v>0</v>
      </c>
      <c r="X25" t="b">
        <v>0</v>
      </c>
      <c r="Y25" t="b">
        <v>0</v>
      </c>
      <c r="Z25" t="s">
        <v>59</v>
      </c>
      <c r="AA25" t="b">
        <v>0</v>
      </c>
    </row>
    <row r="26" spans="1:27">
      <c r="A26" t="s">
        <v>6804</v>
      </c>
      <c r="B26" t="s">
        <v>1504</v>
      </c>
      <c r="C26" t="s">
        <v>1505</v>
      </c>
      <c r="D26" t="s">
        <v>0</v>
      </c>
      <c r="E26" t="s">
        <v>831</v>
      </c>
      <c r="F26" t="s">
        <v>66</v>
      </c>
      <c r="G26" s="427">
        <v>46244.104166666664</v>
      </c>
      <c r="I26" s="427">
        <v>46213.895833333336</v>
      </c>
      <c r="K26" t="s">
        <v>128</v>
      </c>
      <c r="L26" t="s">
        <v>1506</v>
      </c>
      <c r="M26" t="s">
        <v>57</v>
      </c>
      <c r="N26" t="s">
        <v>1507</v>
      </c>
      <c r="O26" t="b">
        <v>0</v>
      </c>
      <c r="P26" t="s">
        <v>57</v>
      </c>
      <c r="S26" t="s">
        <v>831</v>
      </c>
      <c r="T26" t="b">
        <v>0</v>
      </c>
      <c r="U26" t="s">
        <v>57</v>
      </c>
      <c r="V26" t="b">
        <v>0</v>
      </c>
      <c r="W26" t="b">
        <v>0</v>
      </c>
      <c r="X26" t="b">
        <v>0</v>
      </c>
      <c r="Y26" t="b">
        <v>0</v>
      </c>
      <c r="Z26" t="s">
        <v>59</v>
      </c>
      <c r="AA26" t="b">
        <v>0</v>
      </c>
    </row>
    <row r="27" spans="1:27">
      <c r="A27" t="s">
        <v>839</v>
      </c>
      <c r="B27" t="s">
        <v>1631</v>
      </c>
      <c r="C27" t="s">
        <v>838</v>
      </c>
      <c r="D27" t="s">
        <v>0</v>
      </c>
      <c r="E27" t="s">
        <v>831</v>
      </c>
      <c r="F27" t="s">
        <v>51</v>
      </c>
      <c r="G27" s="427">
        <v>46244.072916666664</v>
      </c>
      <c r="I27" s="427">
        <v>46213.90625</v>
      </c>
      <c r="K27" t="s">
        <v>451</v>
      </c>
      <c r="L27" t="s">
        <v>6805</v>
      </c>
      <c r="M27" t="s">
        <v>57</v>
      </c>
      <c r="N27" t="s">
        <v>6806</v>
      </c>
      <c r="O27" t="b">
        <v>0</v>
      </c>
      <c r="P27" t="s">
        <v>57</v>
      </c>
      <c r="Q27" t="s">
        <v>840</v>
      </c>
      <c r="R27" t="b">
        <v>0</v>
      </c>
      <c r="S27" t="s">
        <v>831</v>
      </c>
      <c r="T27" t="b">
        <v>1</v>
      </c>
      <c r="U27" t="s">
        <v>57</v>
      </c>
      <c r="V27" t="b">
        <v>0</v>
      </c>
      <c r="W27" t="b">
        <v>0</v>
      </c>
      <c r="X27" t="b">
        <v>0</v>
      </c>
      <c r="Y27" t="b">
        <v>0</v>
      </c>
      <c r="Z27" t="s">
        <v>59</v>
      </c>
      <c r="AA27" t="b">
        <v>0</v>
      </c>
    </row>
    <row r="28" spans="1:27">
      <c r="A28" t="s">
        <v>989</v>
      </c>
      <c r="B28" t="s">
        <v>1632</v>
      </c>
      <c r="C28" t="s">
        <v>988</v>
      </c>
      <c r="D28" t="s">
        <v>0</v>
      </c>
      <c r="E28" t="s">
        <v>751</v>
      </c>
      <c r="F28" t="s">
        <v>66</v>
      </c>
      <c r="G28" s="427">
        <v>46244.142361111109</v>
      </c>
      <c r="I28" s="427">
        <v>46213.916666666664</v>
      </c>
      <c r="K28" t="s">
        <v>1894</v>
      </c>
      <c r="M28" t="s">
        <v>57</v>
      </c>
      <c r="P28" t="s">
        <v>57</v>
      </c>
      <c r="Q28" t="s">
        <v>990</v>
      </c>
      <c r="R28" t="b">
        <v>0</v>
      </c>
      <c r="S28" t="s">
        <v>751</v>
      </c>
      <c r="T28" t="b">
        <v>0</v>
      </c>
      <c r="U28" t="s">
        <v>57</v>
      </c>
      <c r="V28" t="b">
        <v>0</v>
      </c>
      <c r="W28" t="b">
        <v>0</v>
      </c>
      <c r="X28" t="b">
        <v>0</v>
      </c>
      <c r="Y28" t="b">
        <v>0</v>
      </c>
      <c r="Z28" t="s">
        <v>59</v>
      </c>
      <c r="AA28" t="b">
        <v>0</v>
      </c>
    </row>
    <row r="29" spans="1:27">
      <c r="A29" t="s">
        <v>707</v>
      </c>
      <c r="B29" t="s">
        <v>1633</v>
      </c>
      <c r="C29" t="s">
        <v>713</v>
      </c>
      <c r="D29" t="s">
        <v>0</v>
      </c>
      <c r="E29" t="s">
        <v>708</v>
      </c>
      <c r="F29" t="s">
        <v>51</v>
      </c>
      <c r="G29" s="427">
        <v>46244.46875</v>
      </c>
      <c r="I29" s="427">
        <v>46213.916666666664</v>
      </c>
      <c r="K29" t="s">
        <v>2056</v>
      </c>
      <c r="L29" t="s">
        <v>6807</v>
      </c>
      <c r="M29" t="s">
        <v>57</v>
      </c>
      <c r="N29" t="s">
        <v>6808</v>
      </c>
      <c r="O29" t="b">
        <v>0</v>
      </c>
      <c r="P29" t="s">
        <v>57</v>
      </c>
      <c r="Q29" t="s">
        <v>714</v>
      </c>
      <c r="R29" t="b">
        <v>0</v>
      </c>
      <c r="S29" t="s">
        <v>708</v>
      </c>
      <c r="T29" t="b">
        <v>1</v>
      </c>
      <c r="U29" t="s">
        <v>57</v>
      </c>
      <c r="V29" t="b">
        <v>0</v>
      </c>
      <c r="W29" t="b">
        <v>0</v>
      </c>
      <c r="X29" t="b">
        <v>0</v>
      </c>
      <c r="Y29" t="b">
        <v>0</v>
      </c>
      <c r="Z29" t="s">
        <v>59</v>
      </c>
      <c r="AA29" t="b">
        <v>0</v>
      </c>
    </row>
    <row r="30" spans="1:27">
      <c r="A30" t="s">
        <v>756</v>
      </c>
      <c r="B30" t="s">
        <v>1634</v>
      </c>
      <c r="C30" t="s">
        <v>755</v>
      </c>
      <c r="D30" t="s">
        <v>0</v>
      </c>
      <c r="E30" t="s">
        <v>751</v>
      </c>
      <c r="F30" t="s">
        <v>66</v>
      </c>
      <c r="G30" s="427">
        <v>46244.142361111109</v>
      </c>
      <c r="I30" s="427">
        <v>46213.916666666664</v>
      </c>
      <c r="K30" t="s">
        <v>1916</v>
      </c>
      <c r="L30" t="s">
        <v>6809</v>
      </c>
      <c r="M30" t="s">
        <v>57</v>
      </c>
      <c r="N30" t="s">
        <v>6810</v>
      </c>
      <c r="O30" t="b">
        <v>0</v>
      </c>
      <c r="P30" t="s">
        <v>57</v>
      </c>
      <c r="Q30" t="s">
        <v>757</v>
      </c>
      <c r="R30" t="b">
        <v>0</v>
      </c>
      <c r="S30" t="s">
        <v>751</v>
      </c>
      <c r="T30" t="b">
        <v>1</v>
      </c>
      <c r="U30" t="s">
        <v>57</v>
      </c>
      <c r="V30" t="b">
        <v>0</v>
      </c>
      <c r="W30" t="b">
        <v>0</v>
      </c>
      <c r="X30" t="b">
        <v>0</v>
      </c>
      <c r="Y30" t="b">
        <v>0</v>
      </c>
      <c r="Z30" t="s">
        <v>59</v>
      </c>
      <c r="AA30" t="b">
        <v>0</v>
      </c>
    </row>
    <row r="31" spans="1:27">
      <c r="A31" t="s">
        <v>779</v>
      </c>
      <c r="B31" t="s">
        <v>1635</v>
      </c>
      <c r="C31" t="s">
        <v>968</v>
      </c>
      <c r="D31" t="s">
        <v>0</v>
      </c>
      <c r="E31" t="s">
        <v>780</v>
      </c>
      <c r="F31" t="s">
        <v>66</v>
      </c>
      <c r="G31" s="427">
        <v>46244.270833333336</v>
      </c>
      <c r="I31" s="427">
        <v>46213.920138888891</v>
      </c>
      <c r="K31" t="s">
        <v>2056</v>
      </c>
      <c r="L31" t="s">
        <v>6811</v>
      </c>
      <c r="M31" t="s">
        <v>57</v>
      </c>
      <c r="N31" t="s">
        <v>6812</v>
      </c>
      <c r="O31" t="b">
        <v>0</v>
      </c>
      <c r="P31" t="s">
        <v>57</v>
      </c>
      <c r="S31" t="s">
        <v>780</v>
      </c>
      <c r="T31" t="b">
        <v>0</v>
      </c>
      <c r="U31" t="s">
        <v>1551</v>
      </c>
      <c r="V31" t="b">
        <v>0</v>
      </c>
      <c r="W31" t="b">
        <v>0</v>
      </c>
      <c r="X31" t="b">
        <v>0</v>
      </c>
      <c r="Y31" t="b">
        <v>0</v>
      </c>
      <c r="Z31" t="s">
        <v>59</v>
      </c>
      <c r="AA31" t="b">
        <v>0</v>
      </c>
    </row>
    <row r="32" spans="1:27">
      <c r="A32" t="s">
        <v>785</v>
      </c>
      <c r="B32" t="s">
        <v>1636</v>
      </c>
      <c r="C32" t="s">
        <v>784</v>
      </c>
      <c r="D32" t="s">
        <v>0</v>
      </c>
      <c r="E32" t="s">
        <v>780</v>
      </c>
      <c r="F32" t="s">
        <v>51</v>
      </c>
      <c r="G32" s="427">
        <v>46244.270833333336</v>
      </c>
      <c r="I32" s="427">
        <v>46213.920138888891</v>
      </c>
      <c r="K32" t="s">
        <v>1901</v>
      </c>
      <c r="L32" t="s">
        <v>6813</v>
      </c>
      <c r="M32" t="s">
        <v>57</v>
      </c>
      <c r="N32" t="s">
        <v>6814</v>
      </c>
      <c r="O32" t="b">
        <v>0</v>
      </c>
      <c r="P32" t="s">
        <v>57</v>
      </c>
      <c r="Q32" t="s">
        <v>786</v>
      </c>
      <c r="R32" t="b">
        <v>0</v>
      </c>
      <c r="S32" t="s">
        <v>780</v>
      </c>
      <c r="T32" t="b">
        <v>1</v>
      </c>
      <c r="U32" t="s">
        <v>57</v>
      </c>
      <c r="V32" t="b">
        <v>0</v>
      </c>
      <c r="W32" t="b">
        <v>0</v>
      </c>
      <c r="X32" t="b">
        <v>0</v>
      </c>
      <c r="Y32" t="b">
        <v>0</v>
      </c>
      <c r="Z32" t="s">
        <v>59</v>
      </c>
      <c r="AA32" t="b">
        <v>0</v>
      </c>
    </row>
    <row r="33" spans="1:27">
      <c r="A33" t="s">
        <v>1236</v>
      </c>
      <c r="B33" t="s">
        <v>1637</v>
      </c>
      <c r="C33" t="s">
        <v>1235</v>
      </c>
      <c r="D33" t="s">
        <v>0</v>
      </c>
      <c r="E33" t="s">
        <v>1237</v>
      </c>
      <c r="F33" t="s">
        <v>66</v>
      </c>
      <c r="G33" s="427">
        <v>46244.100694444445</v>
      </c>
      <c r="I33" s="427">
        <v>46213.9375</v>
      </c>
      <c r="K33" t="s">
        <v>168</v>
      </c>
      <c r="M33" t="s">
        <v>57</v>
      </c>
      <c r="P33" t="s">
        <v>57</v>
      </c>
      <c r="S33" t="s">
        <v>1237</v>
      </c>
      <c r="T33" t="b">
        <v>0</v>
      </c>
      <c r="U33" t="s">
        <v>57</v>
      </c>
      <c r="V33" t="b">
        <v>0</v>
      </c>
      <c r="W33" t="b">
        <v>0</v>
      </c>
      <c r="X33" t="b">
        <v>0</v>
      </c>
      <c r="Y33" t="b">
        <v>0</v>
      </c>
      <c r="Z33" t="s">
        <v>59</v>
      </c>
      <c r="AA33" t="b">
        <v>0</v>
      </c>
    </row>
    <row r="34" spans="1:27">
      <c r="A34" t="s">
        <v>742</v>
      </c>
      <c r="B34" t="s">
        <v>1639</v>
      </c>
      <c r="C34" t="s">
        <v>741</v>
      </c>
      <c r="D34" t="s">
        <v>0</v>
      </c>
      <c r="E34" t="s">
        <v>126</v>
      </c>
      <c r="F34" t="s">
        <v>66</v>
      </c>
      <c r="G34" s="427">
        <v>46244.090277777781</v>
      </c>
      <c r="I34" s="427">
        <v>46213.9375</v>
      </c>
      <c r="K34" t="s">
        <v>427</v>
      </c>
      <c r="L34" t="s">
        <v>6815</v>
      </c>
      <c r="M34" t="s">
        <v>57</v>
      </c>
      <c r="N34" t="s">
        <v>6816</v>
      </c>
      <c r="O34" t="b">
        <v>0</v>
      </c>
      <c r="P34" t="s">
        <v>57</v>
      </c>
      <c r="S34" t="s">
        <v>126</v>
      </c>
      <c r="T34" t="b">
        <v>0</v>
      </c>
      <c r="U34" t="s">
        <v>57</v>
      </c>
      <c r="V34" t="b">
        <v>0</v>
      </c>
      <c r="W34" t="b">
        <v>0</v>
      </c>
      <c r="X34" t="b">
        <v>0</v>
      </c>
      <c r="Y34" t="b">
        <v>0</v>
      </c>
      <c r="Z34" t="s">
        <v>59</v>
      </c>
      <c r="AA34" t="b">
        <v>0</v>
      </c>
    </row>
    <row r="35" spans="1:27">
      <c r="A35" t="s">
        <v>760</v>
      </c>
      <c r="B35" t="s">
        <v>1640</v>
      </c>
      <c r="C35" t="s">
        <v>759</v>
      </c>
      <c r="D35" t="s">
        <v>0</v>
      </c>
      <c r="E35" t="s">
        <v>751</v>
      </c>
      <c r="F35" t="s">
        <v>51</v>
      </c>
      <c r="G35" s="427">
        <v>46244.163194444445</v>
      </c>
      <c r="I35" s="427">
        <v>46213.9375</v>
      </c>
      <c r="K35" t="s">
        <v>3785</v>
      </c>
      <c r="L35" t="s">
        <v>6817</v>
      </c>
      <c r="M35" t="s">
        <v>57</v>
      </c>
      <c r="N35" t="s">
        <v>6818</v>
      </c>
      <c r="O35" t="b">
        <v>0</v>
      </c>
      <c r="P35" t="s">
        <v>57</v>
      </c>
      <c r="Q35" t="s">
        <v>761</v>
      </c>
      <c r="R35" t="b">
        <v>0</v>
      </c>
      <c r="S35" t="s">
        <v>751</v>
      </c>
      <c r="T35" t="b">
        <v>1</v>
      </c>
      <c r="U35" t="s">
        <v>57</v>
      </c>
      <c r="V35" t="b">
        <v>0</v>
      </c>
      <c r="W35" t="b">
        <v>0</v>
      </c>
      <c r="X35" t="b">
        <v>0</v>
      </c>
      <c r="Y35" t="b">
        <v>0</v>
      </c>
      <c r="Z35" t="s">
        <v>59</v>
      </c>
      <c r="AA35" t="b">
        <v>0</v>
      </c>
    </row>
    <row r="36" spans="1:27">
      <c r="A36" t="s">
        <v>1144</v>
      </c>
      <c r="B36" t="s">
        <v>1641</v>
      </c>
      <c r="C36" t="s">
        <v>1143</v>
      </c>
      <c r="D36" t="s">
        <v>0</v>
      </c>
      <c r="E36" t="s">
        <v>126</v>
      </c>
      <c r="F36" t="s">
        <v>66</v>
      </c>
      <c r="G36" s="427">
        <v>46244.090277777781</v>
      </c>
      <c r="I36" s="427">
        <v>46213.9375</v>
      </c>
      <c r="K36" t="s">
        <v>168</v>
      </c>
      <c r="M36" t="s">
        <v>57</v>
      </c>
      <c r="P36" t="s">
        <v>57</v>
      </c>
      <c r="Q36" t="s">
        <v>6819</v>
      </c>
      <c r="R36" t="b">
        <v>0</v>
      </c>
      <c r="S36" t="s">
        <v>126</v>
      </c>
      <c r="T36" t="b">
        <v>0</v>
      </c>
      <c r="U36" t="s">
        <v>57</v>
      </c>
      <c r="V36" t="b">
        <v>0</v>
      </c>
      <c r="W36" t="b">
        <v>0</v>
      </c>
      <c r="X36" t="b">
        <v>0</v>
      </c>
      <c r="Y36" t="b">
        <v>0</v>
      </c>
      <c r="Z36" t="s">
        <v>59</v>
      </c>
      <c r="AA36" t="b">
        <v>0</v>
      </c>
    </row>
    <row r="37" spans="1:27">
      <c r="A37" t="s">
        <v>6820</v>
      </c>
      <c r="B37" t="s">
        <v>201</v>
      </c>
      <c r="C37" t="s">
        <v>1453</v>
      </c>
      <c r="D37" t="s">
        <v>0</v>
      </c>
      <c r="E37" t="s">
        <v>197</v>
      </c>
      <c r="F37" t="s">
        <v>66</v>
      </c>
      <c r="G37" s="427">
        <v>46244.208333333336</v>
      </c>
      <c r="I37" s="427">
        <v>46213.9375</v>
      </c>
      <c r="K37" t="s">
        <v>1454</v>
      </c>
      <c r="M37" t="s">
        <v>1551</v>
      </c>
      <c r="P37" t="s">
        <v>1551</v>
      </c>
      <c r="Q37" t="s">
        <v>513</v>
      </c>
      <c r="R37" t="b">
        <v>1</v>
      </c>
      <c r="S37" t="s">
        <v>197</v>
      </c>
      <c r="T37" t="b">
        <v>1</v>
      </c>
      <c r="U37" t="s">
        <v>57</v>
      </c>
      <c r="V37" t="b">
        <v>0</v>
      </c>
      <c r="W37" t="b">
        <v>0</v>
      </c>
      <c r="X37" t="b">
        <v>0</v>
      </c>
      <c r="Y37" t="b">
        <v>0</v>
      </c>
      <c r="Z37" t="s">
        <v>59</v>
      </c>
      <c r="AA37" t="b">
        <v>0</v>
      </c>
    </row>
    <row r="38" spans="1:27">
      <c r="A38" t="s">
        <v>6821</v>
      </c>
      <c r="B38" t="s">
        <v>196</v>
      </c>
      <c r="C38" t="s">
        <v>1457</v>
      </c>
      <c r="D38" t="s">
        <v>0</v>
      </c>
      <c r="E38" t="s">
        <v>197</v>
      </c>
      <c r="F38" t="s">
        <v>51</v>
      </c>
      <c r="G38" s="427">
        <v>46244.208333333336</v>
      </c>
      <c r="I38" s="427">
        <v>46213.9375</v>
      </c>
      <c r="K38" t="s">
        <v>168</v>
      </c>
      <c r="L38" t="s">
        <v>6822</v>
      </c>
      <c r="M38" t="s">
        <v>57</v>
      </c>
      <c r="N38" t="s">
        <v>6823</v>
      </c>
      <c r="O38" t="b">
        <v>0</v>
      </c>
      <c r="P38" t="s">
        <v>57</v>
      </c>
      <c r="Q38" t="s">
        <v>1033</v>
      </c>
      <c r="R38" t="b">
        <v>0</v>
      </c>
      <c r="S38" t="s">
        <v>197</v>
      </c>
      <c r="T38" t="b">
        <v>0</v>
      </c>
      <c r="U38" t="s">
        <v>57</v>
      </c>
      <c r="V38" t="b">
        <v>0</v>
      </c>
      <c r="W38" t="b">
        <v>0</v>
      </c>
      <c r="X38" t="b">
        <v>0</v>
      </c>
      <c r="Y38" t="b">
        <v>0</v>
      </c>
      <c r="Z38" t="s">
        <v>59</v>
      </c>
      <c r="AA38" t="b">
        <v>0</v>
      </c>
    </row>
    <row r="39" spans="1:27">
      <c r="A39" t="s">
        <v>804</v>
      </c>
      <c r="B39" t="s">
        <v>1642</v>
      </c>
      <c r="C39" t="s">
        <v>1084</v>
      </c>
      <c r="D39" t="s">
        <v>0</v>
      </c>
      <c r="E39" t="s">
        <v>805</v>
      </c>
      <c r="F39" t="s">
        <v>66</v>
      </c>
      <c r="G39" s="427">
        <v>46244.427083333336</v>
      </c>
      <c r="I39" s="427">
        <v>46213.940972222219</v>
      </c>
      <c r="K39" t="s">
        <v>2056</v>
      </c>
      <c r="L39" t="s">
        <v>6824</v>
      </c>
      <c r="M39" t="s">
        <v>57</v>
      </c>
      <c r="N39" t="s">
        <v>6825</v>
      </c>
      <c r="O39" t="b">
        <v>0</v>
      </c>
      <c r="P39" t="s">
        <v>57</v>
      </c>
      <c r="S39" t="s">
        <v>805</v>
      </c>
      <c r="T39" t="b">
        <v>0</v>
      </c>
      <c r="U39" t="s">
        <v>1551</v>
      </c>
      <c r="V39" t="b">
        <v>0</v>
      </c>
      <c r="W39" t="b">
        <v>0</v>
      </c>
      <c r="X39" t="b">
        <v>0</v>
      </c>
      <c r="Y39" t="b">
        <v>0</v>
      </c>
      <c r="Z39" t="s">
        <v>59</v>
      </c>
      <c r="AA39" t="b">
        <v>0</v>
      </c>
    </row>
    <row r="40" spans="1:27">
      <c r="A40" t="s">
        <v>804</v>
      </c>
      <c r="B40" t="s">
        <v>1643</v>
      </c>
      <c r="C40" t="s">
        <v>1080</v>
      </c>
      <c r="D40" t="s">
        <v>0</v>
      </c>
      <c r="E40" t="s">
        <v>805</v>
      </c>
      <c r="F40" t="s">
        <v>51</v>
      </c>
      <c r="G40" s="427">
        <v>46244.427083333336</v>
      </c>
      <c r="I40" s="427">
        <v>46213.940972222219</v>
      </c>
      <c r="K40" t="s">
        <v>2056</v>
      </c>
      <c r="L40" t="s">
        <v>6826</v>
      </c>
      <c r="M40" t="s">
        <v>57</v>
      </c>
      <c r="N40" t="s">
        <v>6827</v>
      </c>
      <c r="O40" t="b">
        <v>0</v>
      </c>
      <c r="P40" t="s">
        <v>57</v>
      </c>
      <c r="Q40" t="s">
        <v>6828</v>
      </c>
      <c r="R40" t="b">
        <v>0</v>
      </c>
      <c r="S40" t="s">
        <v>805</v>
      </c>
      <c r="T40" t="b">
        <v>0</v>
      </c>
      <c r="U40" t="s">
        <v>57</v>
      </c>
      <c r="V40" t="b">
        <v>0</v>
      </c>
      <c r="W40" t="b">
        <v>0</v>
      </c>
      <c r="X40" t="b">
        <v>0</v>
      </c>
      <c r="Y40" t="b">
        <v>0</v>
      </c>
      <c r="Z40" t="s">
        <v>59</v>
      </c>
      <c r="AA40" t="b">
        <v>0</v>
      </c>
    </row>
    <row r="41" spans="1:27">
      <c r="A41" t="s">
        <v>810</v>
      </c>
      <c r="B41" t="s">
        <v>1644</v>
      </c>
      <c r="C41" t="s">
        <v>1187</v>
      </c>
      <c r="D41" t="s">
        <v>0</v>
      </c>
      <c r="E41" t="s">
        <v>811</v>
      </c>
      <c r="F41" t="s">
        <v>51</v>
      </c>
      <c r="G41" s="427">
        <v>46244.427083333336</v>
      </c>
      <c r="I41" s="427">
        <v>46213.940972222219</v>
      </c>
      <c r="K41" t="s">
        <v>812</v>
      </c>
      <c r="L41" t="s">
        <v>6829</v>
      </c>
      <c r="M41" t="s">
        <v>57</v>
      </c>
      <c r="N41" t="s">
        <v>6830</v>
      </c>
      <c r="O41" t="b">
        <v>0</v>
      </c>
      <c r="P41" t="s">
        <v>57</v>
      </c>
      <c r="Q41" t="s">
        <v>1188</v>
      </c>
      <c r="R41" t="b">
        <v>0</v>
      </c>
      <c r="S41" t="s">
        <v>811</v>
      </c>
      <c r="T41" t="b">
        <v>1</v>
      </c>
      <c r="U41" t="s">
        <v>57</v>
      </c>
      <c r="V41" t="b">
        <v>0</v>
      </c>
      <c r="W41" t="b">
        <v>0</v>
      </c>
      <c r="X41" t="b">
        <v>0</v>
      </c>
      <c r="Y41" t="b">
        <v>0</v>
      </c>
      <c r="Z41" t="s">
        <v>59</v>
      </c>
      <c r="AA41" t="b">
        <v>0</v>
      </c>
    </row>
    <row r="42" spans="1:27">
      <c r="A42" t="s">
        <v>810</v>
      </c>
      <c r="B42" t="s">
        <v>1645</v>
      </c>
      <c r="C42" t="s">
        <v>1182</v>
      </c>
      <c r="D42" t="s">
        <v>0</v>
      </c>
      <c r="E42" t="s">
        <v>811</v>
      </c>
      <c r="F42" t="s">
        <v>66</v>
      </c>
      <c r="G42" s="427">
        <v>46244.427083333336</v>
      </c>
      <c r="I42" s="427">
        <v>46213.940972222219</v>
      </c>
      <c r="K42" t="s">
        <v>2056</v>
      </c>
      <c r="L42" t="s">
        <v>6831</v>
      </c>
      <c r="M42" t="s">
        <v>57</v>
      </c>
      <c r="N42" t="s">
        <v>6832</v>
      </c>
      <c r="O42" t="b">
        <v>0</v>
      </c>
      <c r="P42" t="s">
        <v>57</v>
      </c>
      <c r="S42" t="s">
        <v>811</v>
      </c>
      <c r="T42" t="b">
        <v>0</v>
      </c>
      <c r="U42" t="s">
        <v>1551</v>
      </c>
      <c r="V42" t="b">
        <v>0</v>
      </c>
      <c r="W42" t="b">
        <v>0</v>
      </c>
      <c r="X42" t="b">
        <v>0</v>
      </c>
      <c r="Y42" t="b">
        <v>0</v>
      </c>
      <c r="Z42" t="s">
        <v>59</v>
      </c>
      <c r="AA42" t="b">
        <v>0</v>
      </c>
    </row>
    <row r="43" spans="1:27">
      <c r="A43" t="s">
        <v>795</v>
      </c>
      <c r="B43" t="s">
        <v>1646</v>
      </c>
      <c r="C43" t="s">
        <v>794</v>
      </c>
      <c r="D43" t="s">
        <v>0</v>
      </c>
      <c r="E43" t="s">
        <v>790</v>
      </c>
      <c r="F43" t="s">
        <v>66</v>
      </c>
      <c r="G43" s="427">
        <v>46244.236111111109</v>
      </c>
      <c r="I43" s="427">
        <v>46213.947916666664</v>
      </c>
      <c r="K43" t="s">
        <v>2056</v>
      </c>
      <c r="L43" t="s">
        <v>6833</v>
      </c>
      <c r="M43" t="s">
        <v>57</v>
      </c>
      <c r="N43" t="s">
        <v>6834</v>
      </c>
      <c r="O43" t="b">
        <v>0</v>
      </c>
      <c r="P43" t="s">
        <v>57</v>
      </c>
      <c r="S43" t="s">
        <v>790</v>
      </c>
      <c r="T43" t="b">
        <v>0</v>
      </c>
      <c r="U43" t="s">
        <v>1551</v>
      </c>
      <c r="V43" t="b">
        <v>0</v>
      </c>
      <c r="W43" t="b">
        <v>0</v>
      </c>
      <c r="X43" t="b">
        <v>0</v>
      </c>
      <c r="Y43" t="b">
        <v>0</v>
      </c>
      <c r="Z43" t="s">
        <v>59</v>
      </c>
      <c r="AA43" t="b">
        <v>0</v>
      </c>
    </row>
    <row r="44" spans="1:27">
      <c r="A44" t="s">
        <v>977</v>
      </c>
      <c r="B44" t="s">
        <v>1647</v>
      </c>
      <c r="C44" t="s">
        <v>976</v>
      </c>
      <c r="D44" t="s">
        <v>0</v>
      </c>
      <c r="E44" t="s">
        <v>790</v>
      </c>
      <c r="F44" t="s">
        <v>51</v>
      </c>
      <c r="G44" s="427">
        <v>46244.236111111109</v>
      </c>
      <c r="I44" s="427">
        <v>46213.947916666664</v>
      </c>
      <c r="K44" t="s">
        <v>427</v>
      </c>
      <c r="L44" t="s">
        <v>6835</v>
      </c>
      <c r="M44" t="s">
        <v>57</v>
      </c>
      <c r="N44" t="s">
        <v>6836</v>
      </c>
      <c r="O44" t="b">
        <v>0</v>
      </c>
      <c r="P44" t="s">
        <v>57</v>
      </c>
      <c r="Q44" t="s">
        <v>1324</v>
      </c>
      <c r="R44" t="b">
        <v>0</v>
      </c>
      <c r="S44" t="s">
        <v>790</v>
      </c>
      <c r="T44" t="b">
        <v>0</v>
      </c>
      <c r="U44" t="s">
        <v>57</v>
      </c>
      <c r="V44" t="b">
        <v>0</v>
      </c>
      <c r="W44" t="b">
        <v>0</v>
      </c>
      <c r="X44" t="b">
        <v>0</v>
      </c>
      <c r="Y44" t="b">
        <v>0</v>
      </c>
      <c r="Z44" t="s">
        <v>59</v>
      </c>
      <c r="AA44" t="b">
        <v>0</v>
      </c>
    </row>
    <row r="45" spans="1:27">
      <c r="A45" t="s">
        <v>536</v>
      </c>
      <c r="B45" t="s">
        <v>1648</v>
      </c>
      <c r="C45" t="s">
        <v>535</v>
      </c>
      <c r="D45" t="s">
        <v>0</v>
      </c>
      <c r="E45" t="s">
        <v>238</v>
      </c>
      <c r="F45" t="s">
        <v>51</v>
      </c>
      <c r="G45" s="427">
        <v>46213.989583333336</v>
      </c>
      <c r="I45" s="427">
        <v>46213.951388888891</v>
      </c>
      <c r="K45" t="s">
        <v>430</v>
      </c>
      <c r="L45" t="s">
        <v>6837</v>
      </c>
      <c r="M45" t="s">
        <v>57</v>
      </c>
      <c r="N45" t="s">
        <v>1299</v>
      </c>
      <c r="O45" t="b">
        <v>0</v>
      </c>
      <c r="P45" t="s">
        <v>57</v>
      </c>
      <c r="Q45" t="s">
        <v>537</v>
      </c>
      <c r="R45" t="b">
        <v>0</v>
      </c>
      <c r="S45" t="s">
        <v>238</v>
      </c>
      <c r="T45" t="b">
        <v>1</v>
      </c>
      <c r="U45" t="s">
        <v>57</v>
      </c>
      <c r="V45" t="b">
        <v>0</v>
      </c>
      <c r="W45" t="b">
        <v>0</v>
      </c>
      <c r="X45" t="b">
        <v>0</v>
      </c>
      <c r="Y45" t="b">
        <v>0</v>
      </c>
      <c r="Z45" t="s">
        <v>59</v>
      </c>
      <c r="AA45" t="b">
        <v>0</v>
      </c>
    </row>
    <row r="46" spans="1:27">
      <c r="A46" t="s">
        <v>6838</v>
      </c>
      <c r="B46" t="s">
        <v>1649</v>
      </c>
      <c r="C46" t="s">
        <v>1650</v>
      </c>
      <c r="D46" t="s">
        <v>0</v>
      </c>
      <c r="E46" t="s">
        <v>6839</v>
      </c>
      <c r="F46" t="s">
        <v>66</v>
      </c>
      <c r="G46" s="427">
        <v>46244.547222222223</v>
      </c>
      <c r="I46" s="427">
        <v>46213.958333333336</v>
      </c>
      <c r="K46" t="s">
        <v>3785</v>
      </c>
      <c r="M46" t="s">
        <v>57</v>
      </c>
      <c r="P46" t="s">
        <v>57</v>
      </c>
      <c r="S46" t="s">
        <v>6839</v>
      </c>
      <c r="T46" t="b">
        <v>0</v>
      </c>
      <c r="U46" t="s">
        <v>57</v>
      </c>
      <c r="V46" t="b">
        <v>0</v>
      </c>
      <c r="W46" t="b">
        <v>0</v>
      </c>
      <c r="X46" t="b">
        <v>0</v>
      </c>
      <c r="Y46" t="b">
        <v>0</v>
      </c>
      <c r="Z46" t="s">
        <v>59</v>
      </c>
      <c r="AA46" t="b">
        <v>0</v>
      </c>
    </row>
    <row r="47" spans="1:27">
      <c r="A47" t="s">
        <v>6838</v>
      </c>
      <c r="B47" t="s">
        <v>1651</v>
      </c>
      <c r="C47" t="s">
        <v>958</v>
      </c>
      <c r="D47" t="s">
        <v>0</v>
      </c>
      <c r="E47" t="s">
        <v>6839</v>
      </c>
      <c r="F47" t="s">
        <v>66</v>
      </c>
      <c r="G47" s="427">
        <v>46244.547222222223</v>
      </c>
      <c r="I47" s="427">
        <v>46213.958333333336</v>
      </c>
      <c r="K47" t="s">
        <v>1901</v>
      </c>
      <c r="M47" t="s">
        <v>57</v>
      </c>
      <c r="P47" t="s">
        <v>57</v>
      </c>
      <c r="S47" t="s">
        <v>6839</v>
      </c>
      <c r="T47" t="b">
        <v>0</v>
      </c>
      <c r="U47" t="s">
        <v>57</v>
      </c>
      <c r="V47" t="b">
        <v>0</v>
      </c>
      <c r="W47" t="b">
        <v>0</v>
      </c>
      <c r="X47" t="b">
        <v>0</v>
      </c>
      <c r="Y47" t="b">
        <v>0</v>
      </c>
      <c r="Z47" t="s">
        <v>59</v>
      </c>
      <c r="AA47" t="b">
        <v>0</v>
      </c>
    </row>
    <row r="48" spans="1:27">
      <c r="A48" t="s">
        <v>6838</v>
      </c>
      <c r="B48" t="s">
        <v>1652</v>
      </c>
      <c r="C48" t="s">
        <v>1653</v>
      </c>
      <c r="D48" t="s">
        <v>0</v>
      </c>
      <c r="E48" t="s">
        <v>6839</v>
      </c>
      <c r="F48" t="s">
        <v>66</v>
      </c>
      <c r="G48" s="427">
        <v>46244.547222222223</v>
      </c>
      <c r="I48" s="427">
        <v>46213.958333333336</v>
      </c>
      <c r="K48" t="s">
        <v>1901</v>
      </c>
      <c r="M48" t="s">
        <v>57</v>
      </c>
      <c r="P48" t="s">
        <v>57</v>
      </c>
      <c r="S48" t="s">
        <v>6839</v>
      </c>
      <c r="T48" t="b">
        <v>0</v>
      </c>
      <c r="U48" t="s">
        <v>57</v>
      </c>
      <c r="V48" t="b">
        <v>0</v>
      </c>
      <c r="W48" t="b">
        <v>0</v>
      </c>
      <c r="X48" t="b">
        <v>0</v>
      </c>
      <c r="Y48" t="b">
        <v>0</v>
      </c>
      <c r="Z48" t="s">
        <v>59</v>
      </c>
      <c r="AA48" t="b">
        <v>0</v>
      </c>
    </row>
    <row r="49" spans="1:27">
      <c r="A49" t="s">
        <v>1148</v>
      </c>
      <c r="B49" t="s">
        <v>1654</v>
      </c>
      <c r="C49" t="s">
        <v>1147</v>
      </c>
      <c r="D49" t="s">
        <v>0</v>
      </c>
      <c r="E49" t="s">
        <v>126</v>
      </c>
      <c r="F49" t="s">
        <v>51</v>
      </c>
      <c r="G49" s="427">
        <v>46244.111111111109</v>
      </c>
      <c r="I49" s="427">
        <v>46213.958333333336</v>
      </c>
      <c r="K49" t="s">
        <v>427</v>
      </c>
      <c r="L49" t="s">
        <v>6840</v>
      </c>
      <c r="M49" t="s">
        <v>57</v>
      </c>
      <c r="N49" t="s">
        <v>6841</v>
      </c>
      <c r="O49" t="b">
        <v>0</v>
      </c>
      <c r="P49" t="s">
        <v>57</v>
      </c>
      <c r="Q49" t="s">
        <v>574</v>
      </c>
      <c r="R49" t="b">
        <v>0</v>
      </c>
      <c r="S49" t="s">
        <v>126</v>
      </c>
      <c r="T49" t="b">
        <v>0</v>
      </c>
      <c r="U49" t="s">
        <v>57</v>
      </c>
      <c r="V49" t="b">
        <v>0</v>
      </c>
      <c r="W49" t="b">
        <v>0</v>
      </c>
      <c r="X49" t="b">
        <v>0</v>
      </c>
      <c r="Y49" t="b">
        <v>0</v>
      </c>
      <c r="Z49" t="s">
        <v>59</v>
      </c>
      <c r="AA49" t="b">
        <v>0</v>
      </c>
    </row>
    <row r="50" spans="1:27">
      <c r="A50" t="s">
        <v>981</v>
      </c>
      <c r="B50" t="s">
        <v>1655</v>
      </c>
      <c r="C50" t="s">
        <v>993</v>
      </c>
      <c r="D50" t="s">
        <v>0</v>
      </c>
      <c r="E50" t="s">
        <v>751</v>
      </c>
      <c r="F50" t="s">
        <v>66</v>
      </c>
      <c r="G50" s="427">
        <v>46244.184027777781</v>
      </c>
      <c r="I50" s="427">
        <v>46213.958333333336</v>
      </c>
      <c r="K50" t="s">
        <v>1894</v>
      </c>
      <c r="L50" t="s">
        <v>6842</v>
      </c>
      <c r="M50" t="s">
        <v>57</v>
      </c>
      <c r="N50" t="s">
        <v>6843</v>
      </c>
      <c r="O50" t="b">
        <v>0</v>
      </c>
      <c r="P50" t="s">
        <v>57</v>
      </c>
      <c r="Q50" t="s">
        <v>5369</v>
      </c>
      <c r="R50" t="b">
        <v>0</v>
      </c>
      <c r="S50" t="s">
        <v>751</v>
      </c>
      <c r="T50" t="b">
        <v>0</v>
      </c>
      <c r="U50" t="s">
        <v>57</v>
      </c>
      <c r="V50" t="b">
        <v>0</v>
      </c>
      <c r="W50" t="b">
        <v>0</v>
      </c>
      <c r="X50" t="b">
        <v>0</v>
      </c>
      <c r="Y50" t="b">
        <v>0</v>
      </c>
      <c r="Z50" t="s">
        <v>59</v>
      </c>
      <c r="AA50" t="b">
        <v>0</v>
      </c>
    </row>
    <row r="51" spans="1:27">
      <c r="A51" t="s">
        <v>769</v>
      </c>
      <c r="B51" t="s">
        <v>1656</v>
      </c>
      <c r="C51" t="s">
        <v>768</v>
      </c>
      <c r="D51" t="s">
        <v>0</v>
      </c>
      <c r="E51" t="s">
        <v>751</v>
      </c>
      <c r="F51" t="s">
        <v>66</v>
      </c>
      <c r="G51" s="427">
        <v>46244.184027777781</v>
      </c>
      <c r="I51" s="427">
        <v>46213.958333333336</v>
      </c>
      <c r="K51" t="s">
        <v>427</v>
      </c>
      <c r="L51" t="s">
        <v>6844</v>
      </c>
      <c r="M51" t="s">
        <v>57</v>
      </c>
      <c r="N51" t="s">
        <v>6845</v>
      </c>
      <c r="O51" t="b">
        <v>0</v>
      </c>
      <c r="P51" t="s">
        <v>57</v>
      </c>
      <c r="Q51" t="s">
        <v>603</v>
      </c>
      <c r="R51" t="b">
        <v>0</v>
      </c>
      <c r="S51" t="s">
        <v>751</v>
      </c>
      <c r="T51" t="b">
        <v>0</v>
      </c>
      <c r="U51" t="s">
        <v>57</v>
      </c>
      <c r="V51" t="b">
        <v>0</v>
      </c>
      <c r="W51" t="b">
        <v>0</v>
      </c>
      <c r="X51" t="b">
        <v>0</v>
      </c>
      <c r="Y51" t="b">
        <v>0</v>
      </c>
      <c r="Z51" t="s">
        <v>59</v>
      </c>
      <c r="AA51" t="b">
        <v>0</v>
      </c>
    </row>
    <row r="52" spans="1:27">
      <c r="A52" t="s">
        <v>950</v>
      </c>
      <c r="B52" t="s">
        <v>1657</v>
      </c>
      <c r="C52" t="s">
        <v>949</v>
      </c>
      <c r="D52" t="s">
        <v>0</v>
      </c>
      <c r="E52" t="s">
        <v>831</v>
      </c>
      <c r="F52" t="s">
        <v>51</v>
      </c>
      <c r="G52" s="427">
        <v>46244.125</v>
      </c>
      <c r="I52" s="427">
        <v>46213.958333333336</v>
      </c>
      <c r="K52" t="s">
        <v>1945</v>
      </c>
      <c r="L52" t="s">
        <v>6846</v>
      </c>
      <c r="M52" t="s">
        <v>57</v>
      </c>
      <c r="N52" t="s">
        <v>6847</v>
      </c>
      <c r="O52" t="b">
        <v>0</v>
      </c>
      <c r="P52" t="s">
        <v>57</v>
      </c>
      <c r="Q52" t="s">
        <v>6848</v>
      </c>
      <c r="R52" t="b">
        <v>0</v>
      </c>
      <c r="S52" t="s">
        <v>831</v>
      </c>
      <c r="T52" t="b">
        <v>0</v>
      </c>
      <c r="U52" t="s">
        <v>57</v>
      </c>
      <c r="V52" t="b">
        <v>0</v>
      </c>
      <c r="W52" t="b">
        <v>0</v>
      </c>
      <c r="X52" t="b">
        <v>0</v>
      </c>
      <c r="Y52" t="b">
        <v>0</v>
      </c>
      <c r="Z52" t="s">
        <v>59</v>
      </c>
      <c r="AA52" t="b">
        <v>0</v>
      </c>
    </row>
    <row r="53" spans="1:27">
      <c r="A53" t="s">
        <v>954</v>
      </c>
      <c r="B53" t="s">
        <v>1658</v>
      </c>
      <c r="C53" t="s">
        <v>953</v>
      </c>
      <c r="D53" t="s">
        <v>0</v>
      </c>
      <c r="E53" t="s">
        <v>831</v>
      </c>
      <c r="F53" t="s">
        <v>51</v>
      </c>
      <c r="G53" s="427">
        <v>46244.135416666664</v>
      </c>
      <c r="I53" s="427">
        <v>46213.96875</v>
      </c>
      <c r="K53" t="s">
        <v>1894</v>
      </c>
      <c r="L53" t="s">
        <v>6849</v>
      </c>
      <c r="M53" t="s">
        <v>57</v>
      </c>
      <c r="N53" t="s">
        <v>6850</v>
      </c>
      <c r="O53" t="b">
        <v>0</v>
      </c>
      <c r="P53" t="s">
        <v>57</v>
      </c>
      <c r="Q53" t="s">
        <v>955</v>
      </c>
      <c r="R53" t="b">
        <v>0</v>
      </c>
      <c r="S53" t="s">
        <v>831</v>
      </c>
      <c r="T53" t="b">
        <v>0</v>
      </c>
      <c r="U53" t="s">
        <v>57</v>
      </c>
      <c r="V53" t="b">
        <v>0</v>
      </c>
      <c r="W53" t="b">
        <v>0</v>
      </c>
      <c r="X53" t="b">
        <v>0</v>
      </c>
      <c r="Y53" t="b">
        <v>0</v>
      </c>
      <c r="Z53" t="s">
        <v>59</v>
      </c>
      <c r="AA53" t="b">
        <v>0</v>
      </c>
    </row>
    <row r="54" spans="1:27">
      <c r="A54" t="s">
        <v>916</v>
      </c>
      <c r="B54" t="s">
        <v>1659</v>
      </c>
      <c r="C54" t="s">
        <v>915</v>
      </c>
      <c r="D54" t="s">
        <v>0</v>
      </c>
      <c r="E54" t="s">
        <v>917</v>
      </c>
      <c r="F54" t="s">
        <v>51</v>
      </c>
      <c r="G54" s="427">
        <v>46244.350694444445</v>
      </c>
      <c r="I54" s="427">
        <v>46213.979166666664</v>
      </c>
      <c r="K54" t="s">
        <v>1890</v>
      </c>
      <c r="L54" t="s">
        <v>6851</v>
      </c>
      <c r="M54" t="s">
        <v>57</v>
      </c>
      <c r="N54" t="s">
        <v>1288</v>
      </c>
      <c r="O54" t="b">
        <v>0</v>
      </c>
      <c r="P54" t="s">
        <v>57</v>
      </c>
      <c r="Q54" t="s">
        <v>918</v>
      </c>
      <c r="R54" t="b">
        <v>0</v>
      </c>
      <c r="S54" t="s">
        <v>917</v>
      </c>
      <c r="T54" t="b">
        <v>1</v>
      </c>
      <c r="U54" t="s">
        <v>57</v>
      </c>
      <c r="V54" t="b">
        <v>0</v>
      </c>
      <c r="W54" t="b">
        <v>0</v>
      </c>
      <c r="X54" t="b">
        <v>0</v>
      </c>
      <c r="Y54" t="b">
        <v>0</v>
      </c>
      <c r="Z54" t="s">
        <v>59</v>
      </c>
      <c r="AA54" t="b">
        <v>0</v>
      </c>
    </row>
    <row r="55" spans="1:27">
      <c r="A55" t="s">
        <v>724</v>
      </c>
      <c r="B55" t="s">
        <v>1660</v>
      </c>
      <c r="C55" t="s">
        <v>723</v>
      </c>
      <c r="D55" t="s">
        <v>0</v>
      </c>
      <c r="E55" t="s">
        <v>126</v>
      </c>
      <c r="F55" t="s">
        <v>66</v>
      </c>
      <c r="G55" s="427">
        <v>46244.131944444445</v>
      </c>
      <c r="I55" s="427">
        <v>46213.979166666664</v>
      </c>
      <c r="K55" t="s">
        <v>427</v>
      </c>
      <c r="L55" t="s">
        <v>6852</v>
      </c>
      <c r="M55" t="s">
        <v>57</v>
      </c>
      <c r="N55" t="s">
        <v>6853</v>
      </c>
      <c r="O55" t="b">
        <v>0</v>
      </c>
      <c r="P55" t="s">
        <v>57</v>
      </c>
      <c r="Q55" t="s">
        <v>6854</v>
      </c>
      <c r="R55" t="b">
        <v>0</v>
      </c>
      <c r="S55" t="s">
        <v>126</v>
      </c>
      <c r="T55" t="b">
        <v>0</v>
      </c>
      <c r="U55" t="s">
        <v>57</v>
      </c>
      <c r="V55" t="b">
        <v>0</v>
      </c>
      <c r="W55" t="b">
        <v>0</v>
      </c>
      <c r="X55" t="b">
        <v>0</v>
      </c>
      <c r="Y55" t="b">
        <v>0</v>
      </c>
      <c r="Z55" t="s">
        <v>59</v>
      </c>
      <c r="AA55" t="b">
        <v>0</v>
      </c>
    </row>
    <row r="56" spans="1:27">
      <c r="A56" t="s">
        <v>733</v>
      </c>
      <c r="B56" t="s">
        <v>1661</v>
      </c>
      <c r="C56" t="s">
        <v>732</v>
      </c>
      <c r="D56" t="s">
        <v>0</v>
      </c>
      <c r="E56" t="s">
        <v>126</v>
      </c>
      <c r="F56" t="s">
        <v>51</v>
      </c>
      <c r="G56" s="427">
        <v>46244.131944444445</v>
      </c>
      <c r="I56" s="427">
        <v>46213.979166666664</v>
      </c>
      <c r="K56" t="s">
        <v>427</v>
      </c>
      <c r="L56" t="s">
        <v>6855</v>
      </c>
      <c r="M56" t="s">
        <v>57</v>
      </c>
      <c r="N56" t="s">
        <v>6856</v>
      </c>
      <c r="O56" t="b">
        <v>0</v>
      </c>
      <c r="P56" t="s">
        <v>57</v>
      </c>
      <c r="Q56" t="s">
        <v>4248</v>
      </c>
      <c r="R56" t="b">
        <v>0</v>
      </c>
      <c r="S56" t="s">
        <v>126</v>
      </c>
      <c r="T56" t="b">
        <v>0</v>
      </c>
      <c r="U56" t="s">
        <v>57</v>
      </c>
      <c r="V56" t="b">
        <v>0</v>
      </c>
      <c r="W56" t="b">
        <v>0</v>
      </c>
      <c r="X56" t="b">
        <v>0</v>
      </c>
      <c r="Y56" t="b">
        <v>0</v>
      </c>
      <c r="Z56" t="s">
        <v>59</v>
      </c>
      <c r="AA56" t="b">
        <v>0</v>
      </c>
    </row>
    <row r="57" spans="1:27">
      <c r="A57" t="s">
        <v>6857</v>
      </c>
      <c r="B57" t="s">
        <v>298</v>
      </c>
      <c r="C57" t="s">
        <v>1565</v>
      </c>
      <c r="D57" t="s">
        <v>0</v>
      </c>
      <c r="E57" t="s">
        <v>285</v>
      </c>
      <c r="F57" t="s">
        <v>51</v>
      </c>
      <c r="G57" s="427">
        <v>46244.607638888891</v>
      </c>
      <c r="I57" s="427">
        <v>46244.000694444447</v>
      </c>
      <c r="K57" t="s">
        <v>225</v>
      </c>
      <c r="L57" t="s">
        <v>1566</v>
      </c>
      <c r="M57" t="s">
        <v>57</v>
      </c>
      <c r="N57" t="s">
        <v>1567</v>
      </c>
      <c r="O57" t="b">
        <v>0</v>
      </c>
      <c r="P57" t="s">
        <v>57</v>
      </c>
      <c r="Q57" t="s">
        <v>1005</v>
      </c>
      <c r="R57" t="b">
        <v>1</v>
      </c>
      <c r="S57" t="s">
        <v>285</v>
      </c>
      <c r="T57" t="b">
        <v>1</v>
      </c>
      <c r="U57" t="s">
        <v>57</v>
      </c>
      <c r="V57" t="b">
        <v>0</v>
      </c>
      <c r="W57" t="b">
        <v>0</v>
      </c>
      <c r="X57" t="b">
        <v>0</v>
      </c>
      <c r="Y57" t="b">
        <v>0</v>
      </c>
      <c r="Z57" t="s">
        <v>59</v>
      </c>
      <c r="AA57" t="b">
        <v>0</v>
      </c>
    </row>
    <row r="58" spans="1:27">
      <c r="A58" t="s">
        <v>6858</v>
      </c>
      <c r="B58" t="s">
        <v>213</v>
      </c>
      <c r="C58" t="s">
        <v>1481</v>
      </c>
      <c r="D58" t="s">
        <v>0</v>
      </c>
      <c r="E58" t="s">
        <v>214</v>
      </c>
      <c r="F58" t="s">
        <v>66</v>
      </c>
      <c r="G58" s="427">
        <v>46244.694444444445</v>
      </c>
      <c r="I58" s="427">
        <v>46244.000694444447</v>
      </c>
      <c r="K58" t="s">
        <v>215</v>
      </c>
      <c r="M58" t="s">
        <v>57</v>
      </c>
      <c r="N58" t="s">
        <v>1482</v>
      </c>
      <c r="O58" t="b">
        <v>0</v>
      </c>
      <c r="P58" t="s">
        <v>57</v>
      </c>
      <c r="Q58" t="s">
        <v>913</v>
      </c>
      <c r="R58" t="b">
        <v>1</v>
      </c>
      <c r="S58" t="s">
        <v>214</v>
      </c>
      <c r="T58" t="b">
        <v>1</v>
      </c>
      <c r="U58" t="s">
        <v>57</v>
      </c>
      <c r="V58" t="b">
        <v>0</v>
      </c>
      <c r="W58" t="b">
        <v>0</v>
      </c>
      <c r="X58" t="b">
        <v>0</v>
      </c>
      <c r="Y58" t="b">
        <v>0</v>
      </c>
      <c r="Z58" t="s">
        <v>59</v>
      </c>
      <c r="AA58" t="b">
        <v>0</v>
      </c>
    </row>
    <row r="59" spans="1:27">
      <c r="A59" t="s">
        <v>746</v>
      </c>
      <c r="B59" t="s">
        <v>1662</v>
      </c>
      <c r="C59" t="s">
        <v>1133</v>
      </c>
      <c r="D59" t="s">
        <v>0</v>
      </c>
      <c r="E59" t="s">
        <v>126</v>
      </c>
      <c r="F59" t="s">
        <v>66</v>
      </c>
      <c r="G59" s="427">
        <v>46244.159722222219</v>
      </c>
      <c r="I59" s="427">
        <v>46244.006944444445</v>
      </c>
      <c r="K59" t="s">
        <v>1901</v>
      </c>
      <c r="L59" t="s">
        <v>6859</v>
      </c>
      <c r="M59" t="s">
        <v>57</v>
      </c>
      <c r="N59" t="s">
        <v>6860</v>
      </c>
      <c r="O59" t="b">
        <v>0</v>
      </c>
      <c r="P59" t="s">
        <v>57</v>
      </c>
      <c r="S59" t="s">
        <v>126</v>
      </c>
      <c r="T59" t="b">
        <v>0</v>
      </c>
      <c r="U59" t="s">
        <v>57</v>
      </c>
      <c r="V59" t="b">
        <v>0</v>
      </c>
      <c r="W59" t="b">
        <v>0</v>
      </c>
      <c r="X59" t="b">
        <v>0</v>
      </c>
      <c r="Y59" t="b">
        <v>0</v>
      </c>
      <c r="Z59" t="s">
        <v>59</v>
      </c>
      <c r="AA59" t="b">
        <v>0</v>
      </c>
    </row>
    <row r="60" spans="1:27">
      <c r="A60" t="s">
        <v>1202</v>
      </c>
      <c r="B60" t="s">
        <v>1663</v>
      </c>
      <c r="C60" t="s">
        <v>1201</v>
      </c>
      <c r="D60" t="s">
        <v>0</v>
      </c>
      <c r="E60" t="s">
        <v>126</v>
      </c>
      <c r="F60" t="s">
        <v>66</v>
      </c>
      <c r="G60" s="427">
        <v>46244.159722222219</v>
      </c>
      <c r="I60" s="427">
        <v>46244.006944444445</v>
      </c>
      <c r="K60" t="s">
        <v>52</v>
      </c>
      <c r="L60" t="s">
        <v>6861</v>
      </c>
      <c r="M60" t="s">
        <v>57</v>
      </c>
      <c r="N60" t="s">
        <v>6862</v>
      </c>
      <c r="O60" t="b">
        <v>0</v>
      </c>
      <c r="P60" t="s">
        <v>57</v>
      </c>
      <c r="Q60" t="s">
        <v>1203</v>
      </c>
      <c r="R60" t="b">
        <v>0</v>
      </c>
      <c r="S60" t="s">
        <v>126</v>
      </c>
      <c r="T60" t="b">
        <v>0</v>
      </c>
      <c r="U60" t="s">
        <v>57</v>
      </c>
      <c r="V60" t="b">
        <v>0</v>
      </c>
      <c r="W60" t="b">
        <v>0</v>
      </c>
      <c r="X60" t="b">
        <v>0</v>
      </c>
      <c r="Y60" t="b">
        <v>0</v>
      </c>
      <c r="Z60" t="s">
        <v>59</v>
      </c>
      <c r="AA60" t="b">
        <v>0</v>
      </c>
    </row>
    <row r="61" spans="1:27">
      <c r="A61" t="s">
        <v>746</v>
      </c>
      <c r="B61" t="s">
        <v>1664</v>
      </c>
      <c r="C61" t="s">
        <v>745</v>
      </c>
      <c r="D61" t="s">
        <v>0</v>
      </c>
      <c r="E61" t="s">
        <v>126</v>
      </c>
      <c r="F61" t="s">
        <v>66</v>
      </c>
      <c r="G61" s="427">
        <v>46244.159722222219</v>
      </c>
      <c r="I61" s="427">
        <v>46244.006944444445</v>
      </c>
      <c r="K61" t="s">
        <v>168</v>
      </c>
      <c r="M61" t="s">
        <v>57</v>
      </c>
      <c r="P61" t="s">
        <v>57</v>
      </c>
      <c r="Q61" t="s">
        <v>6819</v>
      </c>
      <c r="R61" t="b">
        <v>0</v>
      </c>
      <c r="S61" t="s">
        <v>126</v>
      </c>
      <c r="T61" t="b">
        <v>0</v>
      </c>
      <c r="U61" t="s">
        <v>57</v>
      </c>
      <c r="V61" t="b">
        <v>0</v>
      </c>
      <c r="W61" t="b">
        <v>0</v>
      </c>
      <c r="X61" t="b">
        <v>0</v>
      </c>
      <c r="Y61" t="b">
        <v>0</v>
      </c>
      <c r="Z61" t="s">
        <v>59</v>
      </c>
      <c r="AA61" t="b">
        <v>0</v>
      </c>
    </row>
    <row r="62" spans="1:27">
      <c r="A62" t="s">
        <v>981</v>
      </c>
      <c r="B62" t="s">
        <v>1665</v>
      </c>
      <c r="C62" t="s">
        <v>980</v>
      </c>
      <c r="D62" t="s">
        <v>0</v>
      </c>
      <c r="E62" t="s">
        <v>751</v>
      </c>
      <c r="F62" t="s">
        <v>51</v>
      </c>
      <c r="G62" s="427">
        <v>46244.211805555555</v>
      </c>
      <c r="I62" s="427">
        <v>46244.006944444445</v>
      </c>
      <c r="K62" t="s">
        <v>451</v>
      </c>
      <c r="L62" t="s">
        <v>6863</v>
      </c>
      <c r="M62" t="s">
        <v>57</v>
      </c>
      <c r="N62" t="s">
        <v>6864</v>
      </c>
      <c r="O62" t="b">
        <v>0</v>
      </c>
      <c r="P62" t="s">
        <v>57</v>
      </c>
      <c r="Q62" t="s">
        <v>4521</v>
      </c>
      <c r="R62" t="b">
        <v>0</v>
      </c>
      <c r="S62" t="s">
        <v>751</v>
      </c>
      <c r="T62" t="b">
        <v>1</v>
      </c>
      <c r="U62" t="s">
        <v>57</v>
      </c>
      <c r="V62" t="b">
        <v>0</v>
      </c>
      <c r="W62" t="b">
        <v>0</v>
      </c>
      <c r="X62" t="b">
        <v>0</v>
      </c>
      <c r="Y62" t="b">
        <v>0</v>
      </c>
      <c r="Z62" t="s">
        <v>59</v>
      </c>
      <c r="AA62" t="b">
        <v>0</v>
      </c>
    </row>
    <row r="63" spans="1:27">
      <c r="A63" t="s">
        <v>1088</v>
      </c>
      <c r="B63" t="s">
        <v>1666</v>
      </c>
      <c r="C63" t="s">
        <v>1087</v>
      </c>
      <c r="D63" t="s">
        <v>0</v>
      </c>
      <c r="E63" t="s">
        <v>825</v>
      </c>
      <c r="F63" t="s">
        <v>66</v>
      </c>
      <c r="G63" s="427">
        <v>46244.371527777781</v>
      </c>
      <c r="I63" s="427">
        <v>46244.006944444445</v>
      </c>
      <c r="K63" t="s">
        <v>2005</v>
      </c>
      <c r="L63" t="s">
        <v>6865</v>
      </c>
      <c r="M63" t="s">
        <v>57</v>
      </c>
      <c r="N63" t="s">
        <v>6866</v>
      </c>
      <c r="O63" t="b">
        <v>0</v>
      </c>
      <c r="P63" t="s">
        <v>57</v>
      </c>
      <c r="S63" t="s">
        <v>825</v>
      </c>
      <c r="T63" t="b">
        <v>0</v>
      </c>
      <c r="U63" t="s">
        <v>57</v>
      </c>
      <c r="V63" t="b">
        <v>0</v>
      </c>
      <c r="W63" t="b">
        <v>0</v>
      </c>
      <c r="X63" t="b">
        <v>0</v>
      </c>
      <c r="Y63" t="b">
        <v>0</v>
      </c>
      <c r="Z63" t="s">
        <v>59</v>
      </c>
      <c r="AA63" t="b">
        <v>0</v>
      </c>
    </row>
    <row r="64" spans="1:27">
      <c r="A64" t="s">
        <v>750</v>
      </c>
      <c r="B64" t="s">
        <v>1667</v>
      </c>
      <c r="C64" t="s">
        <v>749</v>
      </c>
      <c r="D64" t="s">
        <v>0</v>
      </c>
      <c r="E64" t="s">
        <v>751</v>
      </c>
      <c r="F64" t="s">
        <v>51</v>
      </c>
      <c r="G64" s="427">
        <v>46244.211805555555</v>
      </c>
      <c r="I64" s="427">
        <v>46244.006944444445</v>
      </c>
      <c r="K64" t="s">
        <v>1945</v>
      </c>
      <c r="L64" t="s">
        <v>6867</v>
      </c>
      <c r="M64" t="s">
        <v>57</v>
      </c>
      <c r="N64" t="s">
        <v>6868</v>
      </c>
      <c r="O64" t="b">
        <v>0</v>
      </c>
      <c r="P64" t="s">
        <v>57</v>
      </c>
      <c r="Q64" t="s">
        <v>6869</v>
      </c>
      <c r="R64" t="b">
        <v>0</v>
      </c>
      <c r="S64" t="s">
        <v>751</v>
      </c>
      <c r="T64" t="b">
        <v>0</v>
      </c>
      <c r="U64" t="s">
        <v>57</v>
      </c>
      <c r="V64" t="b">
        <v>0</v>
      </c>
      <c r="W64" t="b">
        <v>0</v>
      </c>
      <c r="X64" t="b">
        <v>0</v>
      </c>
      <c r="Y64" t="b">
        <v>0</v>
      </c>
      <c r="Z64" t="s">
        <v>59</v>
      </c>
      <c r="AA64" t="b">
        <v>0</v>
      </c>
    </row>
    <row r="65" spans="1:27">
      <c r="A65" t="s">
        <v>830</v>
      </c>
      <c r="B65" t="s">
        <v>1668</v>
      </c>
      <c r="C65" t="s">
        <v>835</v>
      </c>
      <c r="D65" t="s">
        <v>0</v>
      </c>
      <c r="E65" t="s">
        <v>831</v>
      </c>
      <c r="F65" t="s">
        <v>51</v>
      </c>
      <c r="G65" s="427">
        <v>46244.173611111109</v>
      </c>
      <c r="I65" s="427">
        <v>46244.006944444445</v>
      </c>
      <c r="K65" t="s">
        <v>451</v>
      </c>
      <c r="L65" t="s">
        <v>6870</v>
      </c>
      <c r="M65" t="s">
        <v>57</v>
      </c>
      <c r="N65" t="s">
        <v>6871</v>
      </c>
      <c r="O65" t="b">
        <v>0</v>
      </c>
      <c r="P65" t="s">
        <v>57</v>
      </c>
      <c r="Q65" t="s">
        <v>6446</v>
      </c>
      <c r="R65" t="b">
        <v>0</v>
      </c>
      <c r="S65" t="s">
        <v>831</v>
      </c>
      <c r="T65" t="b">
        <v>0</v>
      </c>
      <c r="U65" t="s">
        <v>57</v>
      </c>
      <c r="V65" t="b">
        <v>0</v>
      </c>
      <c r="W65" t="b">
        <v>0</v>
      </c>
      <c r="X65" t="b">
        <v>0</v>
      </c>
      <c r="Y65" t="b">
        <v>0</v>
      </c>
      <c r="Z65" t="s">
        <v>59</v>
      </c>
      <c r="AA65" t="b">
        <v>0</v>
      </c>
    </row>
    <row r="66" spans="1:27">
      <c r="A66" t="s">
        <v>941</v>
      </c>
      <c r="B66" t="s">
        <v>1669</v>
      </c>
      <c r="C66" t="s">
        <v>940</v>
      </c>
      <c r="D66" t="s">
        <v>0</v>
      </c>
      <c r="E66" t="s">
        <v>831</v>
      </c>
      <c r="F66" t="s">
        <v>51</v>
      </c>
      <c r="G66" s="427">
        <v>46244.173611111109</v>
      </c>
      <c r="I66" s="427">
        <v>46244.006944444445</v>
      </c>
      <c r="K66" t="s">
        <v>451</v>
      </c>
      <c r="L66" t="s">
        <v>6872</v>
      </c>
      <c r="M66" t="s">
        <v>57</v>
      </c>
      <c r="N66" t="s">
        <v>6873</v>
      </c>
      <c r="O66" t="b">
        <v>0</v>
      </c>
      <c r="P66" t="s">
        <v>57</v>
      </c>
      <c r="Q66" t="s">
        <v>942</v>
      </c>
      <c r="R66" t="b">
        <v>0</v>
      </c>
      <c r="S66" t="s">
        <v>831</v>
      </c>
      <c r="T66" t="b">
        <v>0</v>
      </c>
      <c r="U66" t="s">
        <v>57</v>
      </c>
      <c r="V66" t="b">
        <v>0</v>
      </c>
      <c r="W66" t="b">
        <v>0</v>
      </c>
      <c r="X66" t="b">
        <v>0</v>
      </c>
      <c r="Y66" t="b">
        <v>0</v>
      </c>
      <c r="Z66" t="s">
        <v>59</v>
      </c>
      <c r="AA66" t="b">
        <v>0</v>
      </c>
    </row>
    <row r="67" spans="1:27">
      <c r="A67" t="s">
        <v>1092</v>
      </c>
      <c r="B67" t="s">
        <v>1670</v>
      </c>
      <c r="C67" t="s">
        <v>1091</v>
      </c>
      <c r="D67" t="s">
        <v>0</v>
      </c>
      <c r="E67" t="s">
        <v>825</v>
      </c>
      <c r="F67" t="s">
        <v>51</v>
      </c>
      <c r="G67" s="427">
        <v>46244.371527777781</v>
      </c>
      <c r="I67" s="427">
        <v>46244.006944444445</v>
      </c>
      <c r="K67" t="s">
        <v>1890</v>
      </c>
      <c r="L67" t="s">
        <v>6874</v>
      </c>
      <c r="M67" t="s">
        <v>57</v>
      </c>
      <c r="N67" t="s">
        <v>6875</v>
      </c>
      <c r="O67" t="b">
        <v>0</v>
      </c>
      <c r="P67" t="s">
        <v>57</v>
      </c>
      <c r="Q67" t="s">
        <v>1093</v>
      </c>
      <c r="R67" t="b">
        <v>0</v>
      </c>
      <c r="S67" t="s">
        <v>825</v>
      </c>
      <c r="T67" t="b">
        <v>0</v>
      </c>
      <c r="U67" t="s">
        <v>57</v>
      </c>
      <c r="V67" t="b">
        <v>0</v>
      </c>
      <c r="W67" t="b">
        <v>0</v>
      </c>
      <c r="X67" t="b">
        <v>0</v>
      </c>
      <c r="Y67" t="b">
        <v>0</v>
      </c>
      <c r="Z67" t="s">
        <v>59</v>
      </c>
      <c r="AA67" t="b">
        <v>0</v>
      </c>
    </row>
    <row r="68" spans="1:27">
      <c r="A68" t="s">
        <v>707</v>
      </c>
      <c r="B68" t="s">
        <v>1671</v>
      </c>
      <c r="C68" t="s">
        <v>706</v>
      </c>
      <c r="D68" t="s">
        <v>0</v>
      </c>
      <c r="E68" t="s">
        <v>708</v>
      </c>
      <c r="F68" t="s">
        <v>66</v>
      </c>
      <c r="G68" s="427">
        <v>46244.559027777781</v>
      </c>
      <c r="I68" s="427">
        <v>46244.006944444445</v>
      </c>
      <c r="K68" t="s">
        <v>709</v>
      </c>
      <c r="L68" t="s">
        <v>6876</v>
      </c>
      <c r="M68" t="s">
        <v>57</v>
      </c>
      <c r="N68" t="s">
        <v>6877</v>
      </c>
      <c r="O68" t="b">
        <v>0</v>
      </c>
      <c r="P68" t="s">
        <v>57</v>
      </c>
      <c r="S68" t="s">
        <v>708</v>
      </c>
      <c r="T68" t="b">
        <v>0</v>
      </c>
      <c r="U68" t="s">
        <v>57</v>
      </c>
      <c r="V68" t="b">
        <v>0</v>
      </c>
      <c r="W68" t="b">
        <v>0</v>
      </c>
      <c r="X68" t="b">
        <v>0</v>
      </c>
      <c r="Y68" t="b">
        <v>0</v>
      </c>
      <c r="Z68" t="s">
        <v>59</v>
      </c>
      <c r="AA68" t="b">
        <v>0</v>
      </c>
    </row>
    <row r="69" spans="1:27">
      <c r="A69" t="s">
        <v>707</v>
      </c>
      <c r="B69" t="s">
        <v>1672</v>
      </c>
      <c r="C69" t="s">
        <v>1076</v>
      </c>
      <c r="D69" t="s">
        <v>0</v>
      </c>
      <c r="E69" t="s">
        <v>708</v>
      </c>
      <c r="F69" t="s">
        <v>51</v>
      </c>
      <c r="G69" s="427">
        <v>46244.559027777781</v>
      </c>
      <c r="I69" s="427">
        <v>46244.006944444445</v>
      </c>
      <c r="K69" t="s">
        <v>812</v>
      </c>
      <c r="L69" t="s">
        <v>6878</v>
      </c>
      <c r="M69" t="s">
        <v>57</v>
      </c>
      <c r="N69" t="s">
        <v>6879</v>
      </c>
      <c r="O69" t="b">
        <v>0</v>
      </c>
      <c r="P69" t="s">
        <v>57</v>
      </c>
      <c r="Q69" t="s">
        <v>2703</v>
      </c>
      <c r="R69" t="b">
        <v>0</v>
      </c>
      <c r="S69" t="s">
        <v>708</v>
      </c>
      <c r="T69" t="b">
        <v>0</v>
      </c>
      <c r="U69" t="s">
        <v>57</v>
      </c>
      <c r="V69" t="b">
        <v>0</v>
      </c>
      <c r="W69" t="b">
        <v>0</v>
      </c>
      <c r="X69" t="b">
        <v>0</v>
      </c>
      <c r="Y69" t="b">
        <v>0</v>
      </c>
      <c r="Z69" t="s">
        <v>59</v>
      </c>
      <c r="AA69" t="b">
        <v>0</v>
      </c>
    </row>
    <row r="70" spans="1:27">
      <c r="A70" t="s">
        <v>620</v>
      </c>
      <c r="B70" t="s">
        <v>1673</v>
      </c>
      <c r="C70" t="s">
        <v>619</v>
      </c>
      <c r="D70" t="s">
        <v>0</v>
      </c>
      <c r="E70" t="s">
        <v>621</v>
      </c>
      <c r="F70" t="s">
        <v>51</v>
      </c>
      <c r="G70" s="427">
        <v>46244.232638888891</v>
      </c>
      <c r="I70" s="427">
        <v>46244.006944444445</v>
      </c>
      <c r="K70" t="s">
        <v>427</v>
      </c>
      <c r="L70" t="s">
        <v>6880</v>
      </c>
      <c r="M70" t="s">
        <v>57</v>
      </c>
      <c r="N70" t="s">
        <v>6881</v>
      </c>
      <c r="O70" t="b">
        <v>0</v>
      </c>
      <c r="P70" t="s">
        <v>57</v>
      </c>
      <c r="Q70" t="s">
        <v>622</v>
      </c>
      <c r="R70" t="b">
        <v>0</v>
      </c>
      <c r="S70" t="s">
        <v>621</v>
      </c>
      <c r="T70" t="b">
        <v>1</v>
      </c>
      <c r="U70" t="s">
        <v>57</v>
      </c>
      <c r="V70" t="b">
        <v>0</v>
      </c>
      <c r="W70" t="b">
        <v>0</v>
      </c>
      <c r="X70" t="b">
        <v>0</v>
      </c>
      <c r="Y70" t="b">
        <v>0</v>
      </c>
      <c r="Z70" t="s">
        <v>59</v>
      </c>
      <c r="AA70" t="b">
        <v>0</v>
      </c>
    </row>
    <row r="71" spans="1:27">
      <c r="A71" t="s">
        <v>6882</v>
      </c>
      <c r="B71" t="s">
        <v>50</v>
      </c>
      <c r="C71" t="s">
        <v>1347</v>
      </c>
      <c r="D71" t="s">
        <v>0</v>
      </c>
      <c r="E71" t="s">
        <v>49</v>
      </c>
      <c r="F71" t="s">
        <v>51</v>
      </c>
      <c r="G71" s="427">
        <v>46244.204861111109</v>
      </c>
      <c r="I71" s="427">
        <v>46244.020833333336</v>
      </c>
      <c r="K71" t="s">
        <v>52</v>
      </c>
      <c r="L71" t="s">
        <v>6883</v>
      </c>
      <c r="M71" t="s">
        <v>57</v>
      </c>
      <c r="N71" t="s">
        <v>6884</v>
      </c>
      <c r="O71" t="b">
        <v>0</v>
      </c>
      <c r="P71" t="s">
        <v>57</v>
      </c>
      <c r="Q71" t="s">
        <v>1039</v>
      </c>
      <c r="R71" t="b">
        <v>0</v>
      </c>
      <c r="S71" t="s">
        <v>49</v>
      </c>
      <c r="T71" t="b">
        <v>1</v>
      </c>
      <c r="U71" t="s">
        <v>57</v>
      </c>
      <c r="V71" t="b">
        <v>0</v>
      </c>
      <c r="W71" t="b">
        <v>0</v>
      </c>
      <c r="X71" t="b">
        <v>0</v>
      </c>
      <c r="Y71" t="b">
        <v>0</v>
      </c>
      <c r="Z71" t="s">
        <v>59</v>
      </c>
      <c r="AA71" t="b">
        <v>0</v>
      </c>
    </row>
    <row r="72" spans="1:27">
      <c r="A72" t="s">
        <v>1214</v>
      </c>
      <c r="B72" t="s">
        <v>1674</v>
      </c>
      <c r="C72" t="s">
        <v>1213</v>
      </c>
      <c r="D72" t="s">
        <v>0</v>
      </c>
      <c r="E72" t="s">
        <v>850</v>
      </c>
      <c r="F72" t="s">
        <v>51</v>
      </c>
      <c r="G72" s="427">
        <v>46244.270833333336</v>
      </c>
      <c r="I72" s="427">
        <v>46244.041666666664</v>
      </c>
      <c r="K72" t="s">
        <v>52</v>
      </c>
      <c r="L72" t="s">
        <v>6885</v>
      </c>
      <c r="M72" t="s">
        <v>57</v>
      </c>
      <c r="N72" t="s">
        <v>6886</v>
      </c>
      <c r="O72" t="b">
        <v>0</v>
      </c>
      <c r="P72" t="s">
        <v>57</v>
      </c>
      <c r="Q72" t="s">
        <v>6887</v>
      </c>
      <c r="R72" t="b">
        <v>0</v>
      </c>
      <c r="S72" t="s">
        <v>850</v>
      </c>
      <c r="T72" t="b">
        <v>0</v>
      </c>
      <c r="U72" t="s">
        <v>57</v>
      </c>
      <c r="V72" t="b">
        <v>0</v>
      </c>
      <c r="W72" t="b">
        <v>0</v>
      </c>
      <c r="X72" t="b">
        <v>0</v>
      </c>
      <c r="Y72" t="b">
        <v>0</v>
      </c>
      <c r="Z72" t="s">
        <v>59</v>
      </c>
      <c r="AA72" t="b">
        <v>0</v>
      </c>
    </row>
    <row r="73" spans="1:27">
      <c r="A73" t="s">
        <v>849</v>
      </c>
      <c r="B73" t="s">
        <v>1675</v>
      </c>
      <c r="C73" t="s">
        <v>848</v>
      </c>
      <c r="D73" t="s">
        <v>0</v>
      </c>
      <c r="E73" t="s">
        <v>850</v>
      </c>
      <c r="F73" t="s">
        <v>66</v>
      </c>
      <c r="G73" s="427">
        <v>46244.270833333336</v>
      </c>
      <c r="I73" s="427">
        <v>46244.041666666664</v>
      </c>
      <c r="K73" t="s">
        <v>168</v>
      </c>
      <c r="M73" t="s">
        <v>57</v>
      </c>
      <c r="P73" t="s">
        <v>57</v>
      </c>
      <c r="Q73" t="s">
        <v>851</v>
      </c>
      <c r="R73" t="b">
        <v>0</v>
      </c>
      <c r="S73" t="s">
        <v>850</v>
      </c>
      <c r="T73" t="b">
        <v>1</v>
      </c>
      <c r="U73" t="s">
        <v>57</v>
      </c>
      <c r="V73" t="b">
        <v>0</v>
      </c>
      <c r="W73" t="b">
        <v>0</v>
      </c>
      <c r="X73" t="b">
        <v>0</v>
      </c>
      <c r="Y73" t="b">
        <v>0</v>
      </c>
      <c r="Z73" t="s">
        <v>59</v>
      </c>
      <c r="AA73" t="b">
        <v>0</v>
      </c>
    </row>
    <row r="74" spans="1:27">
      <c r="A74" t="s">
        <v>479</v>
      </c>
      <c r="B74" t="s">
        <v>1676</v>
      </c>
      <c r="C74" t="s">
        <v>478</v>
      </c>
      <c r="D74" t="s">
        <v>0</v>
      </c>
      <c r="E74" t="s">
        <v>480</v>
      </c>
      <c r="F74" t="s">
        <v>51</v>
      </c>
      <c r="G74" s="427">
        <v>46244.215277777781</v>
      </c>
      <c r="I74" s="427">
        <v>46244.083333333336</v>
      </c>
      <c r="K74" t="s">
        <v>1901</v>
      </c>
      <c r="L74" t="s">
        <v>6888</v>
      </c>
      <c r="M74" t="s">
        <v>57</v>
      </c>
      <c r="N74" t="s">
        <v>6889</v>
      </c>
      <c r="O74" t="b">
        <v>0</v>
      </c>
      <c r="P74" t="s">
        <v>57</v>
      </c>
      <c r="Q74" t="s">
        <v>481</v>
      </c>
      <c r="R74" t="b">
        <v>0</v>
      </c>
      <c r="S74" t="s">
        <v>480</v>
      </c>
      <c r="T74" t="b">
        <v>1</v>
      </c>
      <c r="U74" t="s">
        <v>57</v>
      </c>
      <c r="V74" t="b">
        <v>0</v>
      </c>
      <c r="W74" t="b">
        <v>0</v>
      </c>
      <c r="X74" t="b">
        <v>0</v>
      </c>
      <c r="Y74" t="b">
        <v>0</v>
      </c>
      <c r="Z74" t="s">
        <v>59</v>
      </c>
      <c r="AA74" t="b">
        <v>0</v>
      </c>
    </row>
    <row r="75" spans="1:27">
      <c r="A75" t="s">
        <v>704</v>
      </c>
      <c r="B75" t="s">
        <v>1677</v>
      </c>
      <c r="C75" t="s">
        <v>1136</v>
      </c>
      <c r="D75" t="s">
        <v>0</v>
      </c>
      <c r="E75" t="s">
        <v>691</v>
      </c>
      <c r="F75" t="s">
        <v>51</v>
      </c>
      <c r="G75" s="427">
        <v>46244.236111111109</v>
      </c>
      <c r="I75" s="427">
        <v>46244.083333333336</v>
      </c>
      <c r="K75" t="s">
        <v>2056</v>
      </c>
      <c r="L75" t="s">
        <v>6890</v>
      </c>
      <c r="M75" t="s">
        <v>57</v>
      </c>
      <c r="N75" t="s">
        <v>6891</v>
      </c>
      <c r="O75" t="b">
        <v>0</v>
      </c>
      <c r="P75" t="s">
        <v>57</v>
      </c>
      <c r="Q75" t="s">
        <v>1137</v>
      </c>
      <c r="R75" t="b">
        <v>0</v>
      </c>
      <c r="S75" t="s">
        <v>691</v>
      </c>
      <c r="T75" t="b">
        <v>0</v>
      </c>
      <c r="U75" t="s">
        <v>57</v>
      </c>
      <c r="V75" t="b">
        <v>0</v>
      </c>
      <c r="W75" t="b">
        <v>0</v>
      </c>
      <c r="X75" t="b">
        <v>0</v>
      </c>
      <c r="Y75" t="b">
        <v>0</v>
      </c>
      <c r="Z75" t="s">
        <v>59</v>
      </c>
      <c r="AA75" t="b">
        <v>0</v>
      </c>
    </row>
    <row r="76" spans="1:27">
      <c r="A76" t="s">
        <v>690</v>
      </c>
      <c r="B76" t="s">
        <v>1678</v>
      </c>
      <c r="C76" t="s">
        <v>689</v>
      </c>
      <c r="D76" t="s">
        <v>0</v>
      </c>
      <c r="E76" t="s">
        <v>691</v>
      </c>
      <c r="F76" t="s">
        <v>51</v>
      </c>
      <c r="G76" s="427">
        <v>46244.236111111109</v>
      </c>
      <c r="I76" s="427">
        <v>46244.083333333336</v>
      </c>
      <c r="K76" t="s">
        <v>2056</v>
      </c>
      <c r="L76" t="s">
        <v>6892</v>
      </c>
      <c r="M76" t="s">
        <v>57</v>
      </c>
      <c r="N76" t="s">
        <v>6893</v>
      </c>
      <c r="O76" t="b">
        <v>0</v>
      </c>
      <c r="P76" t="s">
        <v>57</v>
      </c>
      <c r="Q76" t="s">
        <v>693</v>
      </c>
      <c r="R76" t="b">
        <v>0</v>
      </c>
      <c r="S76" t="s">
        <v>691</v>
      </c>
      <c r="T76" t="b">
        <v>1</v>
      </c>
      <c r="U76" t="s">
        <v>57</v>
      </c>
      <c r="V76" t="b">
        <v>0</v>
      </c>
      <c r="W76" t="b">
        <v>0</v>
      </c>
      <c r="X76" t="b">
        <v>0</v>
      </c>
      <c r="Y76" t="b">
        <v>0</v>
      </c>
      <c r="Z76" t="s">
        <v>59</v>
      </c>
      <c r="AA76" t="b">
        <v>0</v>
      </c>
    </row>
    <row r="77" spans="1:27">
      <c r="A77" t="s">
        <v>6894</v>
      </c>
      <c r="B77" t="s">
        <v>1519</v>
      </c>
      <c r="C77" t="s">
        <v>1520</v>
      </c>
      <c r="D77" t="s">
        <v>0</v>
      </c>
      <c r="E77" t="s">
        <v>241</v>
      </c>
      <c r="F77" t="s">
        <v>51</v>
      </c>
      <c r="G77" s="427">
        <v>46244.854166666664</v>
      </c>
      <c r="I77" s="427">
        <v>46244.083333333336</v>
      </c>
      <c r="K77" t="s">
        <v>249</v>
      </c>
      <c r="L77" t="s">
        <v>1521</v>
      </c>
      <c r="M77" t="s">
        <v>57</v>
      </c>
      <c r="N77" t="s">
        <v>1522</v>
      </c>
      <c r="O77" t="b">
        <v>0</v>
      </c>
      <c r="P77" t="s">
        <v>57</v>
      </c>
      <c r="Q77" t="s">
        <v>1154</v>
      </c>
      <c r="R77" t="b">
        <v>1</v>
      </c>
      <c r="S77" t="s">
        <v>241</v>
      </c>
      <c r="T77" t="b">
        <v>0</v>
      </c>
      <c r="U77" t="s">
        <v>57</v>
      </c>
      <c r="V77" t="b">
        <v>0</v>
      </c>
      <c r="W77" t="b">
        <v>0</v>
      </c>
      <c r="X77" t="b">
        <v>0</v>
      </c>
      <c r="Y77" t="b">
        <v>0</v>
      </c>
      <c r="Z77" t="s">
        <v>59</v>
      </c>
      <c r="AA77" t="b">
        <v>0</v>
      </c>
    </row>
    <row r="78" spans="1:27">
      <c r="A78" t="s">
        <v>6895</v>
      </c>
      <c r="B78" t="s">
        <v>1462</v>
      </c>
      <c r="C78" t="s">
        <v>1463</v>
      </c>
      <c r="D78" t="s">
        <v>0</v>
      </c>
      <c r="E78" t="s">
        <v>85</v>
      </c>
      <c r="F78" t="s">
        <v>66</v>
      </c>
      <c r="G78" s="427">
        <v>46275.166666666664</v>
      </c>
      <c r="I78" s="427">
        <v>46244.083333333336</v>
      </c>
      <c r="K78" t="s">
        <v>82</v>
      </c>
      <c r="L78" t="s">
        <v>1464</v>
      </c>
      <c r="M78" t="s">
        <v>1551</v>
      </c>
      <c r="N78" t="s">
        <v>1465</v>
      </c>
      <c r="O78" t="b">
        <v>0</v>
      </c>
      <c r="P78" t="s">
        <v>57</v>
      </c>
      <c r="Q78" t="s">
        <v>1018</v>
      </c>
      <c r="R78" t="b">
        <v>1</v>
      </c>
      <c r="S78" t="s">
        <v>85</v>
      </c>
      <c r="T78" t="b">
        <v>0</v>
      </c>
      <c r="U78" t="s">
        <v>57</v>
      </c>
      <c r="V78" t="b">
        <v>0</v>
      </c>
      <c r="W78" t="b">
        <v>0</v>
      </c>
      <c r="X78" t="b">
        <v>0</v>
      </c>
      <c r="Y78" t="b">
        <v>0</v>
      </c>
      <c r="Z78" t="s">
        <v>59</v>
      </c>
      <c r="AA78" t="b">
        <v>0</v>
      </c>
    </row>
    <row r="79" spans="1:27">
      <c r="A79" t="s">
        <v>6896</v>
      </c>
      <c r="B79" t="s">
        <v>1575</v>
      </c>
      <c r="C79" t="s">
        <v>1576</v>
      </c>
      <c r="D79" t="s">
        <v>0</v>
      </c>
      <c r="E79" t="s">
        <v>1574</v>
      </c>
      <c r="F79" t="s">
        <v>51</v>
      </c>
      <c r="G79" s="427">
        <v>46244.6875</v>
      </c>
      <c r="I79" s="427">
        <v>46244.083333333336</v>
      </c>
      <c r="K79" t="s">
        <v>128</v>
      </c>
      <c r="L79" t="s">
        <v>6897</v>
      </c>
      <c r="M79" t="s">
        <v>57</v>
      </c>
      <c r="N79" t="s">
        <v>6898</v>
      </c>
      <c r="O79" t="b">
        <v>0</v>
      </c>
      <c r="P79" t="s">
        <v>57</v>
      </c>
      <c r="Q79" t="s">
        <v>6899</v>
      </c>
      <c r="R79" t="b">
        <v>1</v>
      </c>
      <c r="S79" t="s">
        <v>1574</v>
      </c>
      <c r="T79" t="b">
        <v>1</v>
      </c>
      <c r="U79" t="s">
        <v>57</v>
      </c>
      <c r="V79" t="b">
        <v>0</v>
      </c>
      <c r="W79" t="b">
        <v>0</v>
      </c>
      <c r="X79" t="b">
        <v>0</v>
      </c>
      <c r="Y79" t="b">
        <v>0</v>
      </c>
      <c r="Z79" t="s">
        <v>59</v>
      </c>
      <c r="AA79" t="b">
        <v>0</v>
      </c>
    </row>
    <row r="80" spans="1:27">
      <c r="A80" t="s">
        <v>6900</v>
      </c>
      <c r="B80" t="s">
        <v>1436</v>
      </c>
      <c r="C80" t="s">
        <v>1437</v>
      </c>
      <c r="D80" t="s">
        <v>0</v>
      </c>
      <c r="E80" t="s">
        <v>1438</v>
      </c>
      <c r="F80" t="s">
        <v>51</v>
      </c>
      <c r="G80" s="427">
        <v>46244.874305555553</v>
      </c>
      <c r="I80" s="427">
        <v>46244.083333333336</v>
      </c>
      <c r="K80" t="s">
        <v>178</v>
      </c>
      <c r="L80" t="s">
        <v>6901</v>
      </c>
      <c r="M80" t="s">
        <v>57</v>
      </c>
      <c r="N80" t="s">
        <v>6902</v>
      </c>
      <c r="O80" t="b">
        <v>0</v>
      </c>
      <c r="P80" t="s">
        <v>57</v>
      </c>
      <c r="Q80" t="s">
        <v>1042</v>
      </c>
      <c r="R80" t="b">
        <v>1</v>
      </c>
      <c r="S80" t="s">
        <v>1438</v>
      </c>
      <c r="T80" t="b">
        <v>0</v>
      </c>
      <c r="U80" t="s">
        <v>57</v>
      </c>
      <c r="V80" t="b">
        <v>0</v>
      </c>
      <c r="W80" t="b">
        <v>0</v>
      </c>
      <c r="X80" t="b">
        <v>0</v>
      </c>
      <c r="Y80" t="b">
        <v>0</v>
      </c>
      <c r="Z80" t="s">
        <v>59</v>
      </c>
      <c r="AA80" t="b">
        <v>0</v>
      </c>
    </row>
    <row r="81" spans="1:27">
      <c r="A81" t="s">
        <v>6903</v>
      </c>
      <c r="B81" t="s">
        <v>1440</v>
      </c>
      <c r="C81" t="s">
        <v>1441</v>
      </c>
      <c r="D81" t="s">
        <v>0</v>
      </c>
      <c r="E81" t="s">
        <v>1438</v>
      </c>
      <c r="F81" t="s">
        <v>51</v>
      </c>
      <c r="G81" s="427">
        <v>46244.874305555553</v>
      </c>
      <c r="I81" s="427">
        <v>46244.083333333336</v>
      </c>
      <c r="K81" t="s">
        <v>1442</v>
      </c>
      <c r="L81" t="s">
        <v>1443</v>
      </c>
      <c r="M81" t="s">
        <v>57</v>
      </c>
      <c r="N81" t="s">
        <v>1444</v>
      </c>
      <c r="O81" t="b">
        <v>0</v>
      </c>
      <c r="P81" t="s">
        <v>57</v>
      </c>
      <c r="Q81" t="s">
        <v>520</v>
      </c>
      <c r="R81" t="b">
        <v>1</v>
      </c>
      <c r="S81" t="s">
        <v>1438</v>
      </c>
      <c r="T81" t="b">
        <v>1</v>
      </c>
      <c r="U81" t="s">
        <v>57</v>
      </c>
      <c r="V81" t="b">
        <v>0</v>
      </c>
      <c r="W81" t="b">
        <v>0</v>
      </c>
      <c r="X81" t="b">
        <v>0</v>
      </c>
      <c r="Y81" t="b">
        <v>0</v>
      </c>
      <c r="Z81" t="s">
        <v>59</v>
      </c>
      <c r="AA81" t="b">
        <v>0</v>
      </c>
    </row>
    <row r="82" spans="1:27">
      <c r="A82" t="s">
        <v>6904</v>
      </c>
      <c r="B82" t="s">
        <v>1466</v>
      </c>
      <c r="C82" t="s">
        <v>1467</v>
      </c>
      <c r="D82" t="s">
        <v>0</v>
      </c>
      <c r="E82" t="s">
        <v>85</v>
      </c>
      <c r="F82" t="s">
        <v>51</v>
      </c>
      <c r="G82" s="427">
        <v>46275.166666666664</v>
      </c>
      <c r="I82" s="427">
        <v>46244.083333333336</v>
      </c>
      <c r="K82" t="s">
        <v>89</v>
      </c>
      <c r="L82" t="s">
        <v>1468</v>
      </c>
      <c r="M82" t="s">
        <v>57</v>
      </c>
      <c r="N82" t="s">
        <v>1469</v>
      </c>
      <c r="O82" t="b">
        <v>0</v>
      </c>
      <c r="P82" t="s">
        <v>57</v>
      </c>
      <c r="Q82" t="s">
        <v>555</v>
      </c>
      <c r="R82" t="b">
        <v>1</v>
      </c>
      <c r="S82" t="s">
        <v>85</v>
      </c>
      <c r="T82" t="b">
        <v>1</v>
      </c>
      <c r="U82" t="s">
        <v>57</v>
      </c>
      <c r="V82" t="b">
        <v>0</v>
      </c>
      <c r="W82" t="b">
        <v>0</v>
      </c>
      <c r="X82" t="b">
        <v>0</v>
      </c>
      <c r="Y82" t="b">
        <v>0</v>
      </c>
      <c r="Z82" t="s">
        <v>59</v>
      </c>
      <c r="AA82" t="b">
        <v>0</v>
      </c>
    </row>
    <row r="83" spans="1:27">
      <c r="A83" t="s">
        <v>6894</v>
      </c>
      <c r="B83" t="s">
        <v>248</v>
      </c>
      <c r="C83" t="s">
        <v>1531</v>
      </c>
      <c r="D83" t="s">
        <v>0</v>
      </c>
      <c r="E83" t="s">
        <v>241</v>
      </c>
      <c r="F83" t="s">
        <v>51</v>
      </c>
      <c r="G83" s="427">
        <v>46244.854166666664</v>
      </c>
      <c r="I83" s="427">
        <v>46244.083333333336</v>
      </c>
      <c r="K83" t="s">
        <v>249</v>
      </c>
      <c r="L83" t="s">
        <v>1532</v>
      </c>
      <c r="M83" t="s">
        <v>57</v>
      </c>
      <c r="N83" t="s">
        <v>1533</v>
      </c>
      <c r="O83" t="b">
        <v>0</v>
      </c>
      <c r="P83" t="s">
        <v>57</v>
      </c>
      <c r="Q83" t="s">
        <v>1156</v>
      </c>
      <c r="R83" t="b">
        <v>1</v>
      </c>
      <c r="S83" t="s">
        <v>241</v>
      </c>
      <c r="T83" t="b">
        <v>1</v>
      </c>
      <c r="U83" t="s">
        <v>57</v>
      </c>
      <c r="V83" t="b">
        <v>0</v>
      </c>
      <c r="W83" t="b">
        <v>0</v>
      </c>
      <c r="X83" t="b">
        <v>0</v>
      </c>
      <c r="Y83" t="b">
        <v>0</v>
      </c>
      <c r="Z83" t="s">
        <v>59</v>
      </c>
      <c r="AA83" t="b">
        <v>0</v>
      </c>
    </row>
    <row r="84" spans="1:27">
      <c r="A84" t="s">
        <v>6905</v>
      </c>
      <c r="B84" t="s">
        <v>174</v>
      </c>
      <c r="C84" t="s">
        <v>1423</v>
      </c>
      <c r="D84" t="s">
        <v>0</v>
      </c>
      <c r="E84" t="s">
        <v>150</v>
      </c>
      <c r="F84" t="s">
        <v>51</v>
      </c>
      <c r="G84" s="427">
        <v>46244.604166666664</v>
      </c>
      <c r="I84" s="427">
        <v>46244.083333333336</v>
      </c>
      <c r="K84" t="s">
        <v>171</v>
      </c>
      <c r="L84" t="s">
        <v>6906</v>
      </c>
      <c r="M84" t="s">
        <v>57</v>
      </c>
      <c r="N84" t="s">
        <v>6907</v>
      </c>
      <c r="O84" t="b">
        <v>0</v>
      </c>
      <c r="P84" t="s">
        <v>57</v>
      </c>
      <c r="Q84" t="s">
        <v>1071</v>
      </c>
      <c r="R84" t="b">
        <v>1</v>
      </c>
      <c r="S84" t="s">
        <v>150</v>
      </c>
      <c r="T84" t="b">
        <v>0</v>
      </c>
      <c r="U84" t="s">
        <v>57</v>
      </c>
      <c r="V84" t="b">
        <v>0</v>
      </c>
      <c r="W84" t="b">
        <v>0</v>
      </c>
      <c r="X84" t="b">
        <v>0</v>
      </c>
      <c r="Y84" t="b">
        <v>0</v>
      </c>
      <c r="Z84" t="s">
        <v>59</v>
      </c>
      <c r="AA84" t="b">
        <v>0</v>
      </c>
    </row>
    <row r="85" spans="1:27">
      <c r="A85" t="s">
        <v>6908</v>
      </c>
      <c r="B85" t="s">
        <v>1557</v>
      </c>
      <c r="C85" t="s">
        <v>1558</v>
      </c>
      <c r="D85" t="s">
        <v>0</v>
      </c>
      <c r="E85" t="s">
        <v>1550</v>
      </c>
      <c r="F85" t="s">
        <v>51</v>
      </c>
      <c r="G85" s="427">
        <v>46244.604166666664</v>
      </c>
      <c r="I85" s="427">
        <v>46244.083333333336</v>
      </c>
      <c r="K85" t="s">
        <v>171</v>
      </c>
      <c r="L85" t="s">
        <v>6909</v>
      </c>
      <c r="M85" t="s">
        <v>57</v>
      </c>
      <c r="N85" t="s">
        <v>6910</v>
      </c>
      <c r="O85" t="b">
        <v>0</v>
      </c>
      <c r="P85" t="s">
        <v>57</v>
      </c>
      <c r="Q85" t="s">
        <v>508</v>
      </c>
      <c r="R85" t="b">
        <v>1</v>
      </c>
      <c r="S85" t="s">
        <v>1550</v>
      </c>
      <c r="T85" t="b">
        <v>1</v>
      </c>
      <c r="U85" t="s">
        <v>57</v>
      </c>
      <c r="V85" t="b">
        <v>0</v>
      </c>
      <c r="W85" t="b">
        <v>0</v>
      </c>
      <c r="X85" t="b">
        <v>0</v>
      </c>
      <c r="Y85" t="b">
        <v>0</v>
      </c>
      <c r="Z85" t="s">
        <v>59</v>
      </c>
      <c r="AA85" t="b">
        <v>0</v>
      </c>
    </row>
    <row r="86" spans="1:27">
      <c r="A86" t="s">
        <v>6911</v>
      </c>
      <c r="B86" t="s">
        <v>1365</v>
      </c>
      <c r="C86" t="s">
        <v>1366</v>
      </c>
      <c r="D86" t="s">
        <v>0</v>
      </c>
      <c r="E86" t="s">
        <v>81</v>
      </c>
      <c r="F86" t="s">
        <v>51</v>
      </c>
      <c r="G86" s="427">
        <v>46244.71875</v>
      </c>
      <c r="I86" s="427">
        <v>46244.09375</v>
      </c>
      <c r="K86" t="s">
        <v>128</v>
      </c>
      <c r="L86" t="s">
        <v>6912</v>
      </c>
      <c r="M86" t="s">
        <v>57</v>
      </c>
      <c r="N86" t="s">
        <v>6913</v>
      </c>
      <c r="O86" t="b">
        <v>0</v>
      </c>
      <c r="P86" t="s">
        <v>57</v>
      </c>
      <c r="Q86" t="s">
        <v>6914</v>
      </c>
      <c r="R86" t="b">
        <v>1</v>
      </c>
      <c r="S86" t="s">
        <v>81</v>
      </c>
      <c r="T86" t="b">
        <v>1</v>
      </c>
      <c r="U86" t="s">
        <v>57</v>
      </c>
      <c r="V86" t="b">
        <v>0</v>
      </c>
      <c r="W86" t="b">
        <v>0</v>
      </c>
      <c r="X86" t="b">
        <v>0</v>
      </c>
      <c r="Y86" t="b">
        <v>0</v>
      </c>
      <c r="Z86" t="s">
        <v>59</v>
      </c>
      <c r="AA86" t="b">
        <v>0</v>
      </c>
    </row>
    <row r="87" spans="1:27">
      <c r="A87" t="s">
        <v>6915</v>
      </c>
      <c r="B87" t="s">
        <v>1514</v>
      </c>
      <c r="C87" t="s">
        <v>1515</v>
      </c>
      <c r="D87" t="s">
        <v>0</v>
      </c>
      <c r="E87" t="s">
        <v>241</v>
      </c>
      <c r="F87" t="s">
        <v>66</v>
      </c>
      <c r="G87" s="427">
        <v>46244.78125</v>
      </c>
      <c r="I87" s="427">
        <v>46244.09375</v>
      </c>
      <c r="K87" t="s">
        <v>128</v>
      </c>
      <c r="L87" t="s">
        <v>6916</v>
      </c>
      <c r="M87" t="s">
        <v>57</v>
      </c>
      <c r="N87" t="s">
        <v>6917</v>
      </c>
      <c r="O87" t="b">
        <v>0</v>
      </c>
      <c r="P87" t="s">
        <v>57</v>
      </c>
      <c r="S87" t="s">
        <v>241</v>
      </c>
      <c r="T87" t="b">
        <v>0</v>
      </c>
      <c r="U87" t="s">
        <v>57</v>
      </c>
      <c r="V87" t="b">
        <v>0</v>
      </c>
      <c r="W87" t="b">
        <v>0</v>
      </c>
      <c r="X87" t="b">
        <v>0</v>
      </c>
      <c r="Y87" t="b">
        <v>0</v>
      </c>
      <c r="Z87" t="s">
        <v>59</v>
      </c>
      <c r="AA87" t="b">
        <v>0</v>
      </c>
    </row>
    <row r="88" spans="1:27">
      <c r="A88" t="s">
        <v>6918</v>
      </c>
      <c r="B88" t="s">
        <v>1545</v>
      </c>
      <c r="C88" t="s">
        <v>1546</v>
      </c>
      <c r="D88" t="s">
        <v>0</v>
      </c>
      <c r="E88" t="s">
        <v>247</v>
      </c>
      <c r="F88" t="s">
        <v>51</v>
      </c>
      <c r="G88" s="427">
        <v>46275.177083333336</v>
      </c>
      <c r="I88" s="427">
        <v>46244.09375</v>
      </c>
      <c r="K88" t="s">
        <v>279</v>
      </c>
      <c r="L88" t="s">
        <v>280</v>
      </c>
      <c r="M88" t="s">
        <v>57</v>
      </c>
      <c r="N88" t="s">
        <v>281</v>
      </c>
      <c r="O88" t="b">
        <v>0</v>
      </c>
      <c r="P88" t="s">
        <v>57</v>
      </c>
      <c r="Q88" t="s">
        <v>493</v>
      </c>
      <c r="R88" t="b">
        <v>1</v>
      </c>
      <c r="S88" t="s">
        <v>247</v>
      </c>
      <c r="T88" t="b">
        <v>0</v>
      </c>
      <c r="U88" t="s">
        <v>57</v>
      </c>
      <c r="V88" t="b">
        <v>0</v>
      </c>
      <c r="W88" t="b">
        <v>0</v>
      </c>
      <c r="X88" t="b">
        <v>0</v>
      </c>
      <c r="Y88" t="b">
        <v>0</v>
      </c>
      <c r="Z88" t="s">
        <v>59</v>
      </c>
      <c r="AA88" t="b">
        <v>0</v>
      </c>
    </row>
    <row r="89" spans="1:27">
      <c r="A89" t="s">
        <v>6894</v>
      </c>
      <c r="B89" t="s">
        <v>1523</v>
      </c>
      <c r="C89" t="s">
        <v>1524</v>
      </c>
      <c r="D89" t="s">
        <v>0</v>
      </c>
      <c r="E89" t="s">
        <v>241</v>
      </c>
      <c r="F89" t="s">
        <v>51</v>
      </c>
      <c r="G89" s="427">
        <v>46244.864583333336</v>
      </c>
      <c r="I89" s="427">
        <v>46244.09375</v>
      </c>
      <c r="K89" t="s">
        <v>249</v>
      </c>
      <c r="L89" t="s">
        <v>1525</v>
      </c>
      <c r="M89" t="s">
        <v>57</v>
      </c>
      <c r="N89" t="s">
        <v>1526</v>
      </c>
      <c r="O89" t="b">
        <v>0</v>
      </c>
      <c r="P89" t="s">
        <v>57</v>
      </c>
      <c r="Q89" t="s">
        <v>6919</v>
      </c>
      <c r="R89" t="b">
        <v>1</v>
      </c>
      <c r="S89" t="s">
        <v>241</v>
      </c>
      <c r="T89" t="b">
        <v>1</v>
      </c>
      <c r="U89" t="s">
        <v>57</v>
      </c>
      <c r="V89" t="b">
        <v>0</v>
      </c>
      <c r="W89" t="b">
        <v>0</v>
      </c>
      <c r="X89" t="b">
        <v>0</v>
      </c>
      <c r="Y89" t="b">
        <v>0</v>
      </c>
      <c r="Z89" t="s">
        <v>59</v>
      </c>
      <c r="AA89" t="b">
        <v>0</v>
      </c>
    </row>
    <row r="90" spans="1:27">
      <c r="A90" t="s">
        <v>6920</v>
      </c>
      <c r="B90" t="s">
        <v>80</v>
      </c>
      <c r="C90" t="s">
        <v>1381</v>
      </c>
      <c r="D90" t="s">
        <v>0</v>
      </c>
      <c r="E90" t="s">
        <v>81</v>
      </c>
      <c r="F90" t="s">
        <v>51</v>
      </c>
      <c r="G90" s="427">
        <v>46244.722222222219</v>
      </c>
      <c r="I90" s="427">
        <v>46244.09375</v>
      </c>
      <c r="K90" t="s">
        <v>82</v>
      </c>
      <c r="L90" t="s">
        <v>1382</v>
      </c>
      <c r="M90" t="s">
        <v>57</v>
      </c>
      <c r="N90" t="s">
        <v>1383</v>
      </c>
      <c r="O90" t="b">
        <v>0</v>
      </c>
      <c r="P90" t="s">
        <v>57</v>
      </c>
      <c r="Q90" t="s">
        <v>1023</v>
      </c>
      <c r="R90" t="b">
        <v>1</v>
      </c>
      <c r="S90" t="s">
        <v>81</v>
      </c>
      <c r="T90" t="b">
        <v>0</v>
      </c>
      <c r="U90" t="s">
        <v>57</v>
      </c>
      <c r="V90" t="b">
        <v>0</v>
      </c>
      <c r="W90" t="b">
        <v>0</v>
      </c>
      <c r="X90" t="b">
        <v>0</v>
      </c>
      <c r="Y90" t="b">
        <v>0</v>
      </c>
      <c r="Z90" t="s">
        <v>59</v>
      </c>
      <c r="AA90" t="b">
        <v>0</v>
      </c>
    </row>
    <row r="91" spans="1:27">
      <c r="A91" t="s">
        <v>6921</v>
      </c>
      <c r="B91" t="s">
        <v>1547</v>
      </c>
      <c r="C91" t="s">
        <v>1548</v>
      </c>
      <c r="D91" t="s">
        <v>0</v>
      </c>
      <c r="E91" t="s">
        <v>247</v>
      </c>
      <c r="F91" t="s">
        <v>51</v>
      </c>
      <c r="G91" s="427">
        <v>46275.177083333336</v>
      </c>
      <c r="I91" s="427">
        <v>46244.09375</v>
      </c>
      <c r="K91" t="s">
        <v>52</v>
      </c>
      <c r="L91" t="s">
        <v>6922</v>
      </c>
      <c r="M91" t="s">
        <v>57</v>
      </c>
      <c r="N91" t="s">
        <v>6923</v>
      </c>
      <c r="O91" t="b">
        <v>0</v>
      </c>
      <c r="P91" t="s">
        <v>57</v>
      </c>
      <c r="Q91" t="s">
        <v>496</v>
      </c>
      <c r="R91" t="b">
        <v>1</v>
      </c>
      <c r="S91" t="s">
        <v>247</v>
      </c>
      <c r="T91" t="b">
        <v>1</v>
      </c>
      <c r="U91" t="s">
        <v>57</v>
      </c>
      <c r="V91" t="b">
        <v>0</v>
      </c>
      <c r="W91" t="b">
        <v>0</v>
      </c>
      <c r="X91" t="b">
        <v>0</v>
      </c>
      <c r="Y91" t="b">
        <v>0</v>
      </c>
      <c r="Z91" t="s">
        <v>59</v>
      </c>
      <c r="AA91" t="b">
        <v>0</v>
      </c>
    </row>
    <row r="92" spans="1:27">
      <c r="A92" t="s">
        <v>6924</v>
      </c>
      <c r="B92" t="s">
        <v>231</v>
      </c>
      <c r="C92" t="s">
        <v>1483</v>
      </c>
      <c r="D92" t="s">
        <v>0</v>
      </c>
      <c r="E92" t="s">
        <v>214</v>
      </c>
      <c r="F92" t="s">
        <v>66</v>
      </c>
      <c r="G92" s="427">
        <v>46244.694444444445</v>
      </c>
      <c r="I92" s="427">
        <v>46244.09375</v>
      </c>
      <c r="K92" t="s">
        <v>1484</v>
      </c>
      <c r="L92" t="s">
        <v>6925</v>
      </c>
      <c r="M92" t="s">
        <v>57</v>
      </c>
      <c r="N92" t="s">
        <v>6926</v>
      </c>
      <c r="O92" t="b">
        <v>0</v>
      </c>
      <c r="P92" t="s">
        <v>57</v>
      </c>
      <c r="S92" t="s">
        <v>214</v>
      </c>
      <c r="T92" t="b">
        <v>0</v>
      </c>
      <c r="U92" t="s">
        <v>57</v>
      </c>
      <c r="V92" t="b">
        <v>0</v>
      </c>
      <c r="W92" t="b">
        <v>0</v>
      </c>
      <c r="X92" t="b">
        <v>0</v>
      </c>
      <c r="Y92" t="b">
        <v>0</v>
      </c>
      <c r="Z92" t="s">
        <v>59</v>
      </c>
      <c r="AA92" t="b">
        <v>0</v>
      </c>
    </row>
    <row r="93" spans="1:27">
      <c r="A93" t="s">
        <v>6927</v>
      </c>
      <c r="B93" t="s">
        <v>100</v>
      </c>
      <c r="C93" t="s">
        <v>1385</v>
      </c>
      <c r="D93" t="s">
        <v>0</v>
      </c>
      <c r="E93" t="s">
        <v>81</v>
      </c>
      <c r="F93" t="s">
        <v>51</v>
      </c>
      <c r="G93" s="427">
        <v>46244.722222222219</v>
      </c>
      <c r="I93" s="427">
        <v>46244.09375</v>
      </c>
      <c r="K93" t="s">
        <v>89</v>
      </c>
      <c r="L93" t="s">
        <v>1386</v>
      </c>
      <c r="M93" t="s">
        <v>57</v>
      </c>
      <c r="N93" t="s">
        <v>1387</v>
      </c>
      <c r="O93" t="b">
        <v>0</v>
      </c>
      <c r="P93" t="s">
        <v>57</v>
      </c>
      <c r="Q93" t="s">
        <v>6928</v>
      </c>
      <c r="R93" t="b">
        <v>0</v>
      </c>
      <c r="S93" t="s">
        <v>81</v>
      </c>
      <c r="T93" t="b">
        <v>1</v>
      </c>
      <c r="U93" t="s">
        <v>57</v>
      </c>
      <c r="V93" t="b">
        <v>0</v>
      </c>
      <c r="W93" t="b">
        <v>0</v>
      </c>
      <c r="X93" t="b">
        <v>0</v>
      </c>
      <c r="Y93" t="b">
        <v>0</v>
      </c>
      <c r="Z93" t="s">
        <v>59</v>
      </c>
      <c r="AA93" t="b">
        <v>0</v>
      </c>
    </row>
    <row r="94" spans="1:27">
      <c r="A94" t="s">
        <v>6929</v>
      </c>
      <c r="B94" t="s">
        <v>1561</v>
      </c>
      <c r="C94" t="s">
        <v>1562</v>
      </c>
      <c r="D94" t="s">
        <v>0</v>
      </c>
      <c r="E94" t="s">
        <v>285</v>
      </c>
      <c r="F94" t="s">
        <v>66</v>
      </c>
      <c r="G94" s="427">
        <v>46244.711805555555</v>
      </c>
      <c r="I94" s="427">
        <v>46244.104166666664</v>
      </c>
      <c r="K94" t="s">
        <v>52</v>
      </c>
      <c r="L94" t="s">
        <v>6930</v>
      </c>
      <c r="M94" t="s">
        <v>57</v>
      </c>
      <c r="N94" t="s">
        <v>6931</v>
      </c>
      <c r="O94" t="b">
        <v>0</v>
      </c>
      <c r="P94" t="s">
        <v>57</v>
      </c>
      <c r="S94" t="s">
        <v>285</v>
      </c>
      <c r="T94" t="b">
        <v>0</v>
      </c>
      <c r="U94" t="s">
        <v>76</v>
      </c>
      <c r="V94" t="b">
        <v>0</v>
      </c>
      <c r="W94" t="b">
        <v>0</v>
      </c>
      <c r="X94" t="b">
        <v>0</v>
      </c>
      <c r="Y94" t="b">
        <v>0</v>
      </c>
      <c r="Z94" t="s">
        <v>59</v>
      </c>
      <c r="AA94" t="b">
        <v>0</v>
      </c>
    </row>
    <row r="95" spans="1:27">
      <c r="A95" t="s">
        <v>6905</v>
      </c>
      <c r="B95" t="s">
        <v>167</v>
      </c>
      <c r="C95" t="s">
        <v>1409</v>
      </c>
      <c r="D95" t="s">
        <v>0</v>
      </c>
      <c r="E95" t="s">
        <v>150</v>
      </c>
      <c r="F95" t="s">
        <v>51</v>
      </c>
      <c r="G95" s="427">
        <v>46244.625</v>
      </c>
      <c r="I95" s="427">
        <v>46244.104166666664</v>
      </c>
      <c r="K95" t="s">
        <v>168</v>
      </c>
      <c r="L95" t="s">
        <v>6932</v>
      </c>
      <c r="M95" t="s">
        <v>57</v>
      </c>
      <c r="N95" t="s">
        <v>6933</v>
      </c>
      <c r="O95" t="b">
        <v>0</v>
      </c>
      <c r="P95" t="s">
        <v>57</v>
      </c>
      <c r="Q95" t="s">
        <v>6934</v>
      </c>
      <c r="R95" t="b">
        <v>1</v>
      </c>
      <c r="S95" t="s">
        <v>150</v>
      </c>
      <c r="T95" t="b">
        <v>1</v>
      </c>
      <c r="U95" t="s">
        <v>57</v>
      </c>
      <c r="V95" t="b">
        <v>0</v>
      </c>
      <c r="W95" t="b">
        <v>0</v>
      </c>
      <c r="X95" t="b">
        <v>0</v>
      </c>
      <c r="Y95" t="b">
        <v>0</v>
      </c>
      <c r="Z95" t="s">
        <v>59</v>
      </c>
      <c r="AA95" t="b">
        <v>0</v>
      </c>
    </row>
    <row r="96" spans="1:27">
      <c r="A96" t="s">
        <v>6935</v>
      </c>
      <c r="B96" t="s">
        <v>1414</v>
      </c>
      <c r="C96" t="s">
        <v>1415</v>
      </c>
      <c r="D96" t="s">
        <v>0</v>
      </c>
      <c r="E96" t="s">
        <v>150</v>
      </c>
      <c r="F96" t="s">
        <v>66</v>
      </c>
      <c r="G96" s="427">
        <v>46244.625</v>
      </c>
      <c r="I96" s="427">
        <v>46244.104166666664</v>
      </c>
      <c r="K96" t="s">
        <v>1406</v>
      </c>
      <c r="L96" t="s">
        <v>1416</v>
      </c>
      <c r="M96" t="s">
        <v>57</v>
      </c>
      <c r="N96" t="s">
        <v>1417</v>
      </c>
      <c r="O96" t="b">
        <v>0</v>
      </c>
      <c r="P96" t="s">
        <v>57</v>
      </c>
      <c r="S96" t="s">
        <v>150</v>
      </c>
      <c r="T96" t="b">
        <v>0</v>
      </c>
      <c r="U96" t="s">
        <v>57</v>
      </c>
      <c r="V96" t="b">
        <v>0</v>
      </c>
      <c r="W96" t="b">
        <v>0</v>
      </c>
      <c r="X96" t="b">
        <v>0</v>
      </c>
      <c r="Y96" t="b">
        <v>0</v>
      </c>
      <c r="Z96" t="s">
        <v>59</v>
      </c>
      <c r="AA96" t="b">
        <v>0</v>
      </c>
    </row>
    <row r="97" spans="1:27">
      <c r="A97" t="s">
        <v>6936</v>
      </c>
      <c r="B97" t="s">
        <v>301</v>
      </c>
      <c r="C97" t="s">
        <v>1569</v>
      </c>
      <c r="D97" t="s">
        <v>0</v>
      </c>
      <c r="E97" t="s">
        <v>285</v>
      </c>
      <c r="F97" t="s">
        <v>51</v>
      </c>
      <c r="G97" s="427">
        <v>46244.711805555555</v>
      </c>
      <c r="I97" s="427">
        <v>46244.104166666664</v>
      </c>
      <c r="K97" t="s">
        <v>752</v>
      </c>
      <c r="L97" t="s">
        <v>1570</v>
      </c>
      <c r="M97" t="s">
        <v>57</v>
      </c>
      <c r="N97" t="s">
        <v>1571</v>
      </c>
      <c r="O97" t="b">
        <v>0</v>
      </c>
      <c r="P97" t="s">
        <v>57</v>
      </c>
      <c r="Q97" t="s">
        <v>6937</v>
      </c>
      <c r="R97" t="b">
        <v>1</v>
      </c>
      <c r="S97" t="s">
        <v>285</v>
      </c>
      <c r="T97" t="b">
        <v>0</v>
      </c>
      <c r="U97" t="s">
        <v>57</v>
      </c>
      <c r="V97" t="b">
        <v>0</v>
      </c>
      <c r="W97" t="b">
        <v>0</v>
      </c>
      <c r="X97" t="b">
        <v>0</v>
      </c>
      <c r="Y97" t="b">
        <v>0</v>
      </c>
      <c r="Z97" t="s">
        <v>59</v>
      </c>
      <c r="AA97" t="b">
        <v>0</v>
      </c>
    </row>
    <row r="98" spans="1:27">
      <c r="A98" t="s">
        <v>6938</v>
      </c>
      <c r="B98" t="s">
        <v>235</v>
      </c>
      <c r="C98" t="s">
        <v>1554</v>
      </c>
      <c r="D98" t="s">
        <v>0</v>
      </c>
      <c r="E98" t="s">
        <v>1550</v>
      </c>
      <c r="F98" t="s">
        <v>51</v>
      </c>
      <c r="G98" s="427">
        <v>46244.625</v>
      </c>
      <c r="I98" s="427">
        <v>46244.104166666664</v>
      </c>
      <c r="K98" t="s">
        <v>135</v>
      </c>
      <c r="L98" t="s">
        <v>6939</v>
      </c>
      <c r="M98" t="s">
        <v>57</v>
      </c>
      <c r="N98" t="s">
        <v>6940</v>
      </c>
      <c r="O98" t="b">
        <v>0</v>
      </c>
      <c r="P98" t="s">
        <v>57</v>
      </c>
      <c r="Q98" t="s">
        <v>511</v>
      </c>
      <c r="R98" t="b">
        <v>0</v>
      </c>
      <c r="S98" t="s">
        <v>1550</v>
      </c>
      <c r="T98" t="b">
        <v>0</v>
      </c>
      <c r="U98" t="s">
        <v>57</v>
      </c>
      <c r="V98" t="b">
        <v>0</v>
      </c>
      <c r="W98" t="b">
        <v>0</v>
      </c>
      <c r="X98" t="b">
        <v>0</v>
      </c>
      <c r="Y98" t="b">
        <v>0</v>
      </c>
      <c r="Z98" t="s">
        <v>59</v>
      </c>
      <c r="AA98" t="b">
        <v>0</v>
      </c>
    </row>
    <row r="99" spans="1:27">
      <c r="A99" t="s">
        <v>6936</v>
      </c>
      <c r="B99" t="s">
        <v>304</v>
      </c>
      <c r="C99" t="s">
        <v>1573</v>
      </c>
      <c r="D99" t="s">
        <v>0</v>
      </c>
      <c r="E99" t="s">
        <v>285</v>
      </c>
      <c r="F99" t="s">
        <v>66</v>
      </c>
      <c r="G99" s="427">
        <v>46244.711805555555</v>
      </c>
      <c r="I99" s="427">
        <v>46244.104166666664</v>
      </c>
      <c r="K99" t="s">
        <v>178</v>
      </c>
      <c r="L99" t="s">
        <v>6941</v>
      </c>
      <c r="M99" t="s">
        <v>57</v>
      </c>
      <c r="N99" t="s">
        <v>6942</v>
      </c>
      <c r="O99" t="b">
        <v>0</v>
      </c>
      <c r="P99" t="s">
        <v>57</v>
      </c>
      <c r="S99" t="s">
        <v>285</v>
      </c>
      <c r="T99" t="b">
        <v>0</v>
      </c>
      <c r="U99" t="s">
        <v>57</v>
      </c>
      <c r="V99" t="b">
        <v>0</v>
      </c>
      <c r="W99" t="b">
        <v>0</v>
      </c>
      <c r="X99" t="b">
        <v>0</v>
      </c>
      <c r="Y99" t="b">
        <v>0</v>
      </c>
      <c r="Z99" t="s">
        <v>59</v>
      </c>
      <c r="AA99" t="b">
        <v>0</v>
      </c>
    </row>
    <row r="100" spans="1:27">
      <c r="A100" t="s">
        <v>6908</v>
      </c>
      <c r="B100" t="s">
        <v>1555</v>
      </c>
      <c r="C100" t="s">
        <v>1556</v>
      </c>
      <c r="D100" t="s">
        <v>0</v>
      </c>
      <c r="E100" t="s">
        <v>1550</v>
      </c>
      <c r="F100" t="s">
        <v>51</v>
      </c>
      <c r="G100" s="427">
        <v>46244.625</v>
      </c>
      <c r="I100" s="427">
        <v>46244.104166666664</v>
      </c>
      <c r="K100" t="s">
        <v>1484</v>
      </c>
      <c r="L100" t="s">
        <v>6943</v>
      </c>
      <c r="M100" t="s">
        <v>57</v>
      </c>
      <c r="N100" t="s">
        <v>6944</v>
      </c>
      <c r="O100" t="b">
        <v>0</v>
      </c>
      <c r="P100" t="s">
        <v>57</v>
      </c>
      <c r="Q100" t="s">
        <v>921</v>
      </c>
      <c r="R100" t="b">
        <v>1</v>
      </c>
      <c r="S100" t="s">
        <v>1550</v>
      </c>
      <c r="T100" t="b">
        <v>0</v>
      </c>
      <c r="U100" t="s">
        <v>57</v>
      </c>
      <c r="V100" t="b">
        <v>0</v>
      </c>
      <c r="W100" t="b">
        <v>0</v>
      </c>
      <c r="X100" t="b">
        <v>0</v>
      </c>
      <c r="Y100" t="b">
        <v>0</v>
      </c>
      <c r="Z100" t="s">
        <v>59</v>
      </c>
      <c r="AA100" t="b">
        <v>0</v>
      </c>
    </row>
    <row r="101" spans="1:27">
      <c r="A101" t="s">
        <v>6945</v>
      </c>
      <c r="B101" t="s">
        <v>1429</v>
      </c>
      <c r="C101" t="s">
        <v>1430</v>
      </c>
      <c r="D101" t="s">
        <v>0</v>
      </c>
      <c r="E101" t="s">
        <v>150</v>
      </c>
      <c r="F101" t="s">
        <v>66</v>
      </c>
      <c r="G101" s="427">
        <v>46244.625</v>
      </c>
      <c r="I101" s="427">
        <v>46244.104166666664</v>
      </c>
      <c r="K101" t="s">
        <v>178</v>
      </c>
      <c r="L101" t="s">
        <v>1431</v>
      </c>
      <c r="M101" t="s">
        <v>57</v>
      </c>
      <c r="N101" t="s">
        <v>1432</v>
      </c>
      <c r="O101" t="b">
        <v>0</v>
      </c>
      <c r="P101" t="s">
        <v>57</v>
      </c>
      <c r="S101" t="s">
        <v>150</v>
      </c>
      <c r="T101" t="b">
        <v>0</v>
      </c>
      <c r="U101" t="s">
        <v>57</v>
      </c>
      <c r="V101" t="b">
        <v>0</v>
      </c>
      <c r="W101" t="b">
        <v>0</v>
      </c>
      <c r="X101" t="b">
        <v>0</v>
      </c>
      <c r="Y101" t="b">
        <v>0</v>
      </c>
      <c r="Z101" t="s">
        <v>59</v>
      </c>
      <c r="AA101" t="b">
        <v>0</v>
      </c>
    </row>
    <row r="102" spans="1:27">
      <c r="A102" t="s">
        <v>6905</v>
      </c>
      <c r="B102" t="s">
        <v>182</v>
      </c>
      <c r="C102" t="s">
        <v>1424</v>
      </c>
      <c r="D102" t="s">
        <v>0</v>
      </c>
      <c r="E102" t="s">
        <v>150</v>
      </c>
      <c r="F102" t="s">
        <v>51</v>
      </c>
      <c r="G102" s="427">
        <v>46244.625</v>
      </c>
      <c r="I102" s="427">
        <v>46244.104166666664</v>
      </c>
      <c r="K102" t="s">
        <v>1425</v>
      </c>
      <c r="L102" t="s">
        <v>1583</v>
      </c>
      <c r="M102" t="s">
        <v>57</v>
      </c>
      <c r="N102" t="s">
        <v>1584</v>
      </c>
      <c r="O102" t="b">
        <v>0</v>
      </c>
      <c r="P102" t="s">
        <v>57</v>
      </c>
      <c r="Q102" t="s">
        <v>524</v>
      </c>
      <c r="R102" t="b">
        <v>0</v>
      </c>
      <c r="S102" t="s">
        <v>150</v>
      </c>
      <c r="T102" t="b">
        <v>1</v>
      </c>
      <c r="U102" t="s">
        <v>57</v>
      </c>
      <c r="V102" t="b">
        <v>0</v>
      </c>
      <c r="W102" t="b">
        <v>0</v>
      </c>
      <c r="X102" t="b">
        <v>0</v>
      </c>
      <c r="Y102" t="b">
        <v>0</v>
      </c>
      <c r="Z102" t="s">
        <v>1428</v>
      </c>
      <c r="AA102" t="b">
        <v>0</v>
      </c>
    </row>
    <row r="103" spans="1:27">
      <c r="A103" t="s">
        <v>6905</v>
      </c>
      <c r="B103" t="s">
        <v>177</v>
      </c>
      <c r="C103" t="s">
        <v>1434</v>
      </c>
      <c r="D103" t="s">
        <v>0</v>
      </c>
      <c r="E103" t="s">
        <v>150</v>
      </c>
      <c r="F103" t="s">
        <v>51</v>
      </c>
      <c r="G103" s="427">
        <v>46244.625</v>
      </c>
      <c r="I103" s="427">
        <v>46244.104166666664</v>
      </c>
      <c r="K103" t="s">
        <v>171</v>
      </c>
      <c r="L103" t="s">
        <v>6946</v>
      </c>
      <c r="M103" t="s">
        <v>57</v>
      </c>
      <c r="N103" t="s">
        <v>6947</v>
      </c>
      <c r="O103" t="b">
        <v>0</v>
      </c>
      <c r="P103" t="s">
        <v>57</v>
      </c>
      <c r="Q103" t="s">
        <v>6948</v>
      </c>
      <c r="R103" t="b">
        <v>1</v>
      </c>
      <c r="S103" t="s">
        <v>150</v>
      </c>
      <c r="T103" t="b">
        <v>1</v>
      </c>
      <c r="U103" t="s">
        <v>57</v>
      </c>
      <c r="V103" t="b">
        <v>0</v>
      </c>
      <c r="W103" t="b">
        <v>0</v>
      </c>
      <c r="X103" t="b">
        <v>0</v>
      </c>
      <c r="Y103" t="b">
        <v>0</v>
      </c>
      <c r="Z103" t="s">
        <v>59</v>
      </c>
      <c r="AA103" t="b">
        <v>0</v>
      </c>
    </row>
    <row r="104" spans="1:27">
      <c r="A104" t="s">
        <v>6949</v>
      </c>
      <c r="B104" t="s">
        <v>1390</v>
      </c>
      <c r="C104" t="s">
        <v>1391</v>
      </c>
      <c r="D104" t="s">
        <v>0</v>
      </c>
      <c r="E104" t="s">
        <v>134</v>
      </c>
      <c r="F104" t="s">
        <v>66</v>
      </c>
      <c r="G104" s="427">
        <v>46244.888888888891</v>
      </c>
      <c r="I104" s="427">
        <v>46244.114583333336</v>
      </c>
      <c r="K104" t="s">
        <v>171</v>
      </c>
      <c r="L104" t="s">
        <v>6950</v>
      </c>
      <c r="M104" t="s">
        <v>57</v>
      </c>
      <c r="N104" t="s">
        <v>6951</v>
      </c>
      <c r="O104" t="b">
        <v>0</v>
      </c>
      <c r="P104" t="s">
        <v>57</v>
      </c>
      <c r="S104" t="s">
        <v>134</v>
      </c>
      <c r="T104" t="b">
        <v>0</v>
      </c>
      <c r="U104" t="s">
        <v>57</v>
      </c>
      <c r="V104" t="b">
        <v>0</v>
      </c>
      <c r="W104" t="b">
        <v>0</v>
      </c>
      <c r="X104" t="b">
        <v>0</v>
      </c>
      <c r="Y104" t="b">
        <v>0</v>
      </c>
      <c r="Z104" t="s">
        <v>59</v>
      </c>
      <c r="AA104" t="b">
        <v>0</v>
      </c>
    </row>
    <row r="105" spans="1:27">
      <c r="A105" t="s">
        <v>6952</v>
      </c>
      <c r="B105" t="s">
        <v>133</v>
      </c>
      <c r="C105" t="s">
        <v>1392</v>
      </c>
      <c r="D105" t="s">
        <v>0</v>
      </c>
      <c r="E105" t="s">
        <v>134</v>
      </c>
      <c r="F105" t="s">
        <v>51</v>
      </c>
      <c r="G105" s="427">
        <v>46244.888888888891</v>
      </c>
      <c r="I105" s="427">
        <v>46244.114583333336</v>
      </c>
      <c r="K105" t="s">
        <v>1393</v>
      </c>
      <c r="L105" t="s">
        <v>1394</v>
      </c>
      <c r="M105" t="s">
        <v>57</v>
      </c>
      <c r="N105" t="s">
        <v>1395</v>
      </c>
      <c r="O105" t="b">
        <v>0</v>
      </c>
      <c r="P105" t="s">
        <v>57</v>
      </c>
      <c r="Q105" t="s">
        <v>517</v>
      </c>
      <c r="R105" t="b">
        <v>1</v>
      </c>
      <c r="S105" t="s">
        <v>134</v>
      </c>
      <c r="T105" t="b">
        <v>1</v>
      </c>
      <c r="U105" t="s">
        <v>57</v>
      </c>
      <c r="V105" t="b">
        <v>0</v>
      </c>
      <c r="W105" t="b">
        <v>0</v>
      </c>
      <c r="X105" t="b">
        <v>0</v>
      </c>
      <c r="Y105" t="b">
        <v>0</v>
      </c>
      <c r="Z105" t="s">
        <v>59</v>
      </c>
      <c r="AA105" t="b">
        <v>0</v>
      </c>
    </row>
    <row r="106" spans="1:27">
      <c r="A106" t="s">
        <v>6949</v>
      </c>
      <c r="B106" t="s">
        <v>140</v>
      </c>
      <c r="C106" t="s">
        <v>1396</v>
      </c>
      <c r="D106" t="s">
        <v>0</v>
      </c>
      <c r="E106" t="s">
        <v>134</v>
      </c>
      <c r="F106" t="s">
        <v>51</v>
      </c>
      <c r="G106" s="427">
        <v>46244.888888888891</v>
      </c>
      <c r="I106" s="427">
        <v>46244.114583333336</v>
      </c>
      <c r="K106" t="s">
        <v>52</v>
      </c>
      <c r="L106" t="s">
        <v>6953</v>
      </c>
      <c r="M106" t="s">
        <v>57</v>
      </c>
      <c r="N106" t="s">
        <v>6954</v>
      </c>
      <c r="O106" t="b">
        <v>0</v>
      </c>
      <c r="P106" t="s">
        <v>57</v>
      </c>
      <c r="Q106" t="s">
        <v>1030</v>
      </c>
      <c r="R106" t="b">
        <v>1</v>
      </c>
      <c r="S106" t="s">
        <v>134</v>
      </c>
      <c r="T106" t="b">
        <v>0</v>
      </c>
      <c r="U106" t="s">
        <v>57</v>
      </c>
      <c r="V106" t="b">
        <v>0</v>
      </c>
      <c r="W106" t="b">
        <v>0</v>
      </c>
      <c r="X106" t="b">
        <v>0</v>
      </c>
      <c r="Y106" t="b">
        <v>0</v>
      </c>
      <c r="Z106" t="s">
        <v>59</v>
      </c>
      <c r="AA106" t="b">
        <v>0</v>
      </c>
    </row>
    <row r="107" spans="1:27">
      <c r="A107" t="s">
        <v>6955</v>
      </c>
      <c r="B107" t="s">
        <v>1679</v>
      </c>
      <c r="C107" t="s">
        <v>575</v>
      </c>
      <c r="D107" t="s">
        <v>0</v>
      </c>
      <c r="E107" t="s">
        <v>573</v>
      </c>
      <c r="F107" t="s">
        <v>51</v>
      </c>
      <c r="G107" s="427">
        <v>46244.211805555555</v>
      </c>
      <c r="I107" s="427">
        <v>46244.125</v>
      </c>
      <c r="K107" t="s">
        <v>427</v>
      </c>
      <c r="L107" t="s">
        <v>6956</v>
      </c>
      <c r="M107" t="s">
        <v>57</v>
      </c>
      <c r="N107" t="s">
        <v>6957</v>
      </c>
      <c r="O107" t="b">
        <v>0</v>
      </c>
      <c r="P107" t="s">
        <v>57</v>
      </c>
      <c r="Q107" t="s">
        <v>577</v>
      </c>
      <c r="R107" t="b">
        <v>0</v>
      </c>
      <c r="S107" t="s">
        <v>573</v>
      </c>
      <c r="T107" t="b">
        <v>1</v>
      </c>
      <c r="U107" t="s">
        <v>57</v>
      </c>
      <c r="V107" t="b">
        <v>0</v>
      </c>
      <c r="W107" t="b">
        <v>0</v>
      </c>
      <c r="X107" t="b">
        <v>0</v>
      </c>
      <c r="Y107" t="b">
        <v>0</v>
      </c>
      <c r="Z107" t="s">
        <v>59</v>
      </c>
      <c r="AA107" t="b">
        <v>0</v>
      </c>
    </row>
    <row r="108" spans="1:27">
      <c r="A108" t="s">
        <v>581</v>
      </c>
      <c r="B108" t="s">
        <v>1680</v>
      </c>
      <c r="C108" t="s">
        <v>1171</v>
      </c>
      <c r="D108" t="s">
        <v>0</v>
      </c>
      <c r="E108" t="s">
        <v>573</v>
      </c>
      <c r="F108" t="s">
        <v>51</v>
      </c>
      <c r="G108" s="427">
        <v>46244.211805555555</v>
      </c>
      <c r="I108" s="427">
        <v>46244.125</v>
      </c>
      <c r="K108" t="s">
        <v>430</v>
      </c>
      <c r="L108" t="s">
        <v>6958</v>
      </c>
      <c r="M108" t="s">
        <v>57</v>
      </c>
      <c r="N108" t="s">
        <v>6959</v>
      </c>
      <c r="O108" t="b">
        <v>0</v>
      </c>
      <c r="P108" t="s">
        <v>57</v>
      </c>
      <c r="Q108" t="s">
        <v>1172</v>
      </c>
      <c r="R108" t="b">
        <v>0</v>
      </c>
      <c r="S108" t="s">
        <v>573</v>
      </c>
      <c r="T108" t="b">
        <v>0</v>
      </c>
      <c r="U108" t="s">
        <v>57</v>
      </c>
      <c r="V108" t="b">
        <v>0</v>
      </c>
      <c r="W108" t="b">
        <v>0</v>
      </c>
      <c r="X108" t="b">
        <v>0</v>
      </c>
      <c r="Y108" t="b">
        <v>0</v>
      </c>
      <c r="Z108" t="s">
        <v>59</v>
      </c>
      <c r="AA108" t="b">
        <v>0</v>
      </c>
    </row>
    <row r="109" spans="1:27">
      <c r="A109" t="s">
        <v>1097</v>
      </c>
      <c r="B109" t="s">
        <v>1681</v>
      </c>
      <c r="C109" t="s">
        <v>1096</v>
      </c>
      <c r="D109" t="s">
        <v>0</v>
      </c>
      <c r="E109" t="s">
        <v>471</v>
      </c>
      <c r="F109" t="s">
        <v>51</v>
      </c>
      <c r="G109" s="427">
        <v>46244.246527777781</v>
      </c>
      <c r="I109" s="427">
        <v>46244.125</v>
      </c>
      <c r="K109" t="s">
        <v>430</v>
      </c>
      <c r="L109" t="s">
        <v>6960</v>
      </c>
      <c r="M109" t="s">
        <v>57</v>
      </c>
      <c r="N109" t="s">
        <v>6961</v>
      </c>
      <c r="O109" t="b">
        <v>0</v>
      </c>
      <c r="P109" t="s">
        <v>57</v>
      </c>
      <c r="Q109" t="s">
        <v>1098</v>
      </c>
      <c r="R109" t="b">
        <v>0</v>
      </c>
      <c r="S109" t="s">
        <v>471</v>
      </c>
      <c r="T109" t="b">
        <v>0</v>
      </c>
      <c r="U109" t="s">
        <v>57</v>
      </c>
      <c r="V109" t="b">
        <v>0</v>
      </c>
      <c r="W109" t="b">
        <v>0</v>
      </c>
      <c r="X109" t="b">
        <v>0</v>
      </c>
      <c r="Y109" t="b">
        <v>0</v>
      </c>
      <c r="Z109" t="s">
        <v>59</v>
      </c>
      <c r="AA109" t="b">
        <v>0</v>
      </c>
    </row>
    <row r="110" spans="1:27">
      <c r="A110" t="s">
        <v>475</v>
      </c>
      <c r="B110" t="s">
        <v>1682</v>
      </c>
      <c r="C110" t="s">
        <v>474</v>
      </c>
      <c r="D110" t="s">
        <v>0</v>
      </c>
      <c r="E110" t="s">
        <v>471</v>
      </c>
      <c r="F110" t="s">
        <v>51</v>
      </c>
      <c r="G110" s="427">
        <v>46244.246527777781</v>
      </c>
      <c r="I110" s="427">
        <v>46244.125</v>
      </c>
      <c r="K110" t="s">
        <v>2792</v>
      </c>
      <c r="L110" t="s">
        <v>6962</v>
      </c>
      <c r="M110" t="s">
        <v>57</v>
      </c>
      <c r="N110" t="s">
        <v>6963</v>
      </c>
      <c r="O110" t="b">
        <v>0</v>
      </c>
      <c r="P110" t="s">
        <v>57</v>
      </c>
      <c r="Q110" t="s">
        <v>476</v>
      </c>
      <c r="R110" t="b">
        <v>0</v>
      </c>
      <c r="S110" t="s">
        <v>471</v>
      </c>
      <c r="T110" t="b">
        <v>1</v>
      </c>
      <c r="U110" t="s">
        <v>57</v>
      </c>
      <c r="V110" t="b">
        <v>0</v>
      </c>
      <c r="W110" t="b">
        <v>0</v>
      </c>
      <c r="X110" t="b">
        <v>0</v>
      </c>
      <c r="Y110" t="b">
        <v>0</v>
      </c>
      <c r="Z110" t="s">
        <v>59</v>
      </c>
      <c r="AA110" t="b">
        <v>0</v>
      </c>
    </row>
    <row r="111" spans="1:27">
      <c r="A111" t="s">
        <v>455</v>
      </c>
      <c r="B111" t="s">
        <v>1683</v>
      </c>
      <c r="C111" t="s">
        <v>458</v>
      </c>
      <c r="D111" t="s">
        <v>0</v>
      </c>
      <c r="E111" t="s">
        <v>456</v>
      </c>
      <c r="F111" t="s">
        <v>51</v>
      </c>
      <c r="G111" s="427">
        <v>46244.201388888891</v>
      </c>
      <c r="I111" s="427">
        <v>46244.145833333336</v>
      </c>
      <c r="K111" t="s">
        <v>430</v>
      </c>
      <c r="L111" t="s">
        <v>6964</v>
      </c>
      <c r="M111" t="s">
        <v>57</v>
      </c>
      <c r="N111" t="s">
        <v>6965</v>
      </c>
      <c r="O111" t="b">
        <v>0</v>
      </c>
      <c r="P111" t="s">
        <v>57</v>
      </c>
      <c r="Q111" t="s">
        <v>459</v>
      </c>
      <c r="R111" t="b">
        <v>0</v>
      </c>
      <c r="S111" t="s">
        <v>456</v>
      </c>
      <c r="T111" t="b">
        <v>1</v>
      </c>
      <c r="U111" t="s">
        <v>57</v>
      </c>
      <c r="V111" t="b">
        <v>0</v>
      </c>
      <c r="W111" t="b">
        <v>0</v>
      </c>
      <c r="X111" t="b">
        <v>0</v>
      </c>
      <c r="Y111" t="b">
        <v>0</v>
      </c>
      <c r="Z111" t="s">
        <v>59</v>
      </c>
      <c r="AA111" t="b">
        <v>0</v>
      </c>
    </row>
    <row r="112" spans="1:27">
      <c r="A112" t="s">
        <v>439</v>
      </c>
      <c r="B112" t="s">
        <v>1684</v>
      </c>
      <c r="C112" t="s">
        <v>438</v>
      </c>
      <c r="D112" t="s">
        <v>0</v>
      </c>
      <c r="E112" t="s">
        <v>435</v>
      </c>
      <c r="F112" t="s">
        <v>51</v>
      </c>
      <c r="G112" s="427">
        <v>46244.215277777781</v>
      </c>
      <c r="I112" s="427">
        <v>46244.149305555555</v>
      </c>
      <c r="K112" t="s">
        <v>168</v>
      </c>
      <c r="L112" t="s">
        <v>6966</v>
      </c>
      <c r="M112" t="s">
        <v>57</v>
      </c>
      <c r="N112" t="s">
        <v>6967</v>
      </c>
      <c r="O112" t="b">
        <v>0</v>
      </c>
      <c r="P112" t="s">
        <v>57</v>
      </c>
      <c r="Q112" t="s">
        <v>440</v>
      </c>
      <c r="R112" t="b">
        <v>0</v>
      </c>
      <c r="S112" t="s">
        <v>435</v>
      </c>
      <c r="T112" t="b">
        <v>1</v>
      </c>
      <c r="U112" t="s">
        <v>57</v>
      </c>
      <c r="V112" t="b">
        <v>0</v>
      </c>
      <c r="W112" t="b">
        <v>0</v>
      </c>
      <c r="X112" t="b">
        <v>0</v>
      </c>
      <c r="Y112" t="b">
        <v>0</v>
      </c>
      <c r="Z112" t="s">
        <v>59</v>
      </c>
      <c r="AA112" t="b">
        <v>0</v>
      </c>
    </row>
    <row r="113" spans="1:27">
      <c r="A113" t="s">
        <v>925</v>
      </c>
      <c r="B113" t="s">
        <v>1685</v>
      </c>
      <c r="C113" t="s">
        <v>924</v>
      </c>
      <c r="D113" t="s">
        <v>0</v>
      </c>
      <c r="E113" t="s">
        <v>686</v>
      </c>
      <c r="F113" t="s">
        <v>51</v>
      </c>
      <c r="G113" s="427">
        <v>46244.260416666664</v>
      </c>
      <c r="I113" s="427">
        <v>46244.15625</v>
      </c>
      <c r="K113" t="s">
        <v>427</v>
      </c>
      <c r="L113" t="s">
        <v>6968</v>
      </c>
      <c r="M113" t="s">
        <v>57</v>
      </c>
      <c r="N113" t="s">
        <v>6969</v>
      </c>
      <c r="O113" t="b">
        <v>0</v>
      </c>
      <c r="P113" t="s">
        <v>57</v>
      </c>
      <c r="Q113" t="s">
        <v>6970</v>
      </c>
      <c r="R113" t="b">
        <v>0</v>
      </c>
      <c r="S113" t="s">
        <v>686</v>
      </c>
      <c r="T113" t="b">
        <v>0</v>
      </c>
      <c r="U113" t="s">
        <v>57</v>
      </c>
      <c r="V113" t="b">
        <v>0</v>
      </c>
      <c r="W113" t="b">
        <v>0</v>
      </c>
      <c r="X113" t="b">
        <v>0</v>
      </c>
      <c r="Y113" t="b">
        <v>0</v>
      </c>
      <c r="Z113" t="s">
        <v>59</v>
      </c>
      <c r="AA113" t="b">
        <v>0</v>
      </c>
    </row>
    <row r="114" spans="1:27">
      <c r="A114" t="s">
        <v>590</v>
      </c>
      <c r="B114" t="s">
        <v>1686</v>
      </c>
      <c r="C114" t="s">
        <v>594</v>
      </c>
      <c r="D114" t="s">
        <v>0</v>
      </c>
      <c r="E114" t="s">
        <v>591</v>
      </c>
      <c r="F114" t="s">
        <v>51</v>
      </c>
      <c r="G114" s="427">
        <v>46244.256944444445</v>
      </c>
      <c r="I114" s="427">
        <v>46244.166666666664</v>
      </c>
      <c r="K114" t="s">
        <v>52</v>
      </c>
      <c r="L114" t="s">
        <v>6971</v>
      </c>
      <c r="M114" t="s">
        <v>57</v>
      </c>
      <c r="N114" t="s">
        <v>6972</v>
      </c>
      <c r="O114" t="b">
        <v>0</v>
      </c>
      <c r="P114" t="s">
        <v>57</v>
      </c>
      <c r="Q114" t="s">
        <v>595</v>
      </c>
      <c r="R114" t="b">
        <v>0</v>
      </c>
      <c r="S114" t="s">
        <v>591</v>
      </c>
      <c r="T114" t="b">
        <v>1</v>
      </c>
      <c r="U114" t="s">
        <v>57</v>
      </c>
      <c r="V114" t="b">
        <v>0</v>
      </c>
      <c r="W114" t="b">
        <v>0</v>
      </c>
      <c r="X114" t="b">
        <v>0</v>
      </c>
      <c r="Y114" t="b">
        <v>0</v>
      </c>
      <c r="Z114" t="s">
        <v>59</v>
      </c>
      <c r="AA114" t="b">
        <v>0</v>
      </c>
    </row>
    <row r="115" spans="1:27">
      <c r="A115" t="s">
        <v>581</v>
      </c>
      <c r="B115" t="s">
        <v>1687</v>
      </c>
      <c r="C115" t="s">
        <v>580</v>
      </c>
      <c r="D115" t="s">
        <v>0</v>
      </c>
      <c r="E115" t="s">
        <v>573</v>
      </c>
      <c r="F115" t="s">
        <v>51</v>
      </c>
      <c r="G115" s="427">
        <v>46244.253472222219</v>
      </c>
      <c r="I115" s="427">
        <v>46244.166666666664</v>
      </c>
      <c r="K115" t="s">
        <v>430</v>
      </c>
      <c r="L115" t="s">
        <v>6958</v>
      </c>
      <c r="M115" t="s">
        <v>57</v>
      </c>
      <c r="N115" t="s">
        <v>6959</v>
      </c>
      <c r="O115" t="b">
        <v>0</v>
      </c>
      <c r="P115" t="s">
        <v>57</v>
      </c>
      <c r="Q115" t="s">
        <v>582</v>
      </c>
      <c r="R115" t="b">
        <v>0</v>
      </c>
      <c r="S115" t="s">
        <v>573</v>
      </c>
      <c r="T115" t="b">
        <v>1</v>
      </c>
      <c r="U115" t="s">
        <v>57</v>
      </c>
      <c r="V115" t="b">
        <v>0</v>
      </c>
      <c r="W115" t="b">
        <v>0</v>
      </c>
      <c r="X115" t="b">
        <v>0</v>
      </c>
      <c r="Y115" t="b">
        <v>0</v>
      </c>
      <c r="Z115" t="s">
        <v>59</v>
      </c>
      <c r="AA115" t="b">
        <v>0</v>
      </c>
    </row>
    <row r="116" spans="1:27">
      <c r="A116" t="s">
        <v>1106</v>
      </c>
      <c r="B116" t="s">
        <v>1688</v>
      </c>
      <c r="C116" t="s">
        <v>1105</v>
      </c>
      <c r="D116" t="s">
        <v>0</v>
      </c>
      <c r="E116" t="s">
        <v>591</v>
      </c>
      <c r="F116" t="s">
        <v>51</v>
      </c>
      <c r="G116" s="427">
        <v>46244.256944444445</v>
      </c>
      <c r="I116" s="427">
        <v>46244.166666666664</v>
      </c>
      <c r="K116" t="s">
        <v>430</v>
      </c>
      <c r="L116" t="s">
        <v>6973</v>
      </c>
      <c r="M116" t="s">
        <v>57</v>
      </c>
      <c r="N116" t="s">
        <v>6974</v>
      </c>
      <c r="O116" t="b">
        <v>0</v>
      </c>
      <c r="P116" t="s">
        <v>57</v>
      </c>
      <c r="Q116" t="s">
        <v>1107</v>
      </c>
      <c r="R116" t="b">
        <v>0</v>
      </c>
      <c r="S116" t="s">
        <v>591</v>
      </c>
      <c r="T116" t="b">
        <v>0</v>
      </c>
      <c r="U116" t="s">
        <v>57</v>
      </c>
      <c r="V116" t="b">
        <v>0</v>
      </c>
      <c r="W116" t="b">
        <v>0</v>
      </c>
      <c r="X116" t="b">
        <v>0</v>
      </c>
      <c r="Y116" t="b">
        <v>0</v>
      </c>
      <c r="Z116" t="s">
        <v>59</v>
      </c>
      <c r="AA116" t="b">
        <v>0</v>
      </c>
    </row>
    <row r="117" spans="1:27">
      <c r="A117" t="s">
        <v>6975</v>
      </c>
      <c r="B117" t="s">
        <v>313</v>
      </c>
      <c r="C117" t="s">
        <v>1582</v>
      </c>
      <c r="D117" t="s">
        <v>0</v>
      </c>
      <c r="E117" t="s">
        <v>308</v>
      </c>
      <c r="F117" t="s">
        <v>51</v>
      </c>
      <c r="G117" s="427">
        <v>46244.458333333336</v>
      </c>
      <c r="I117" s="427">
        <v>46244.166666666664</v>
      </c>
      <c r="K117" t="s">
        <v>1425</v>
      </c>
      <c r="L117" t="s">
        <v>1583</v>
      </c>
      <c r="M117" t="s">
        <v>57</v>
      </c>
      <c r="N117" t="s">
        <v>1584</v>
      </c>
      <c r="O117" t="b">
        <v>0</v>
      </c>
      <c r="P117" t="s">
        <v>57</v>
      </c>
      <c r="Q117" t="s">
        <v>895</v>
      </c>
      <c r="R117" t="b">
        <v>1</v>
      </c>
      <c r="S117" t="s">
        <v>308</v>
      </c>
      <c r="T117" t="b">
        <v>0</v>
      </c>
      <c r="U117" t="s">
        <v>57</v>
      </c>
      <c r="V117" t="b">
        <v>0</v>
      </c>
      <c r="W117" t="b">
        <v>0</v>
      </c>
      <c r="X117" t="b">
        <v>0</v>
      </c>
      <c r="Y117" t="b">
        <v>0</v>
      </c>
      <c r="Z117" t="s">
        <v>59</v>
      </c>
      <c r="AA117" t="b">
        <v>0</v>
      </c>
    </row>
    <row r="118" spans="1:27">
      <c r="A118" t="s">
        <v>6976</v>
      </c>
      <c r="B118" t="s">
        <v>307</v>
      </c>
      <c r="C118" t="s">
        <v>1585</v>
      </c>
      <c r="D118" t="s">
        <v>0</v>
      </c>
      <c r="E118" t="s">
        <v>308</v>
      </c>
      <c r="F118" t="s">
        <v>51</v>
      </c>
      <c r="G118" s="427">
        <v>46244.458333333336</v>
      </c>
      <c r="I118" s="427">
        <v>46244.166666666664</v>
      </c>
      <c r="K118" t="s">
        <v>1425</v>
      </c>
      <c r="L118" t="s">
        <v>1586</v>
      </c>
      <c r="M118" t="s">
        <v>57</v>
      </c>
      <c r="N118" t="s">
        <v>1587</v>
      </c>
      <c r="O118" t="b">
        <v>0</v>
      </c>
      <c r="P118" t="s">
        <v>57</v>
      </c>
      <c r="Q118" t="s">
        <v>491</v>
      </c>
      <c r="R118" t="b">
        <v>1</v>
      </c>
      <c r="S118" t="s">
        <v>308</v>
      </c>
      <c r="T118" t="b">
        <v>1</v>
      </c>
      <c r="U118" t="s">
        <v>57</v>
      </c>
      <c r="V118" t="b">
        <v>0</v>
      </c>
      <c r="W118" t="b">
        <v>0</v>
      </c>
      <c r="X118" t="b">
        <v>0</v>
      </c>
      <c r="Y118" t="b">
        <v>0</v>
      </c>
      <c r="Z118" t="s">
        <v>59</v>
      </c>
      <c r="AA118" t="b">
        <v>0</v>
      </c>
    </row>
    <row r="119" spans="1:27">
      <c r="A119" t="s">
        <v>628</v>
      </c>
      <c r="B119" t="s">
        <v>1689</v>
      </c>
      <c r="C119" t="s">
        <v>634</v>
      </c>
      <c r="D119" t="s">
        <v>0</v>
      </c>
      <c r="E119" t="s">
        <v>629</v>
      </c>
      <c r="F119" t="s">
        <v>51</v>
      </c>
      <c r="G119" s="427">
        <v>46244.229166666664</v>
      </c>
      <c r="I119" s="427">
        <v>46244.177083333336</v>
      </c>
      <c r="K119" t="s">
        <v>430</v>
      </c>
      <c r="L119" t="s">
        <v>6977</v>
      </c>
      <c r="M119" t="s">
        <v>57</v>
      </c>
      <c r="N119" t="s">
        <v>6978</v>
      </c>
      <c r="O119" t="b">
        <v>0</v>
      </c>
      <c r="P119" t="s">
        <v>57</v>
      </c>
      <c r="Q119" t="s">
        <v>635</v>
      </c>
      <c r="R119" t="b">
        <v>0</v>
      </c>
      <c r="S119" t="s">
        <v>629</v>
      </c>
      <c r="T119" t="b">
        <v>1</v>
      </c>
      <c r="U119" t="s">
        <v>57</v>
      </c>
      <c r="V119" t="b">
        <v>0</v>
      </c>
      <c r="W119" t="b">
        <v>0</v>
      </c>
      <c r="X119" t="b">
        <v>0</v>
      </c>
      <c r="Y119" t="b">
        <v>0</v>
      </c>
      <c r="Z119" t="s">
        <v>59</v>
      </c>
      <c r="AA119" t="b">
        <v>0</v>
      </c>
    </row>
    <row r="120" spans="1:27">
      <c r="A120" t="s">
        <v>1127</v>
      </c>
      <c r="B120" t="s">
        <v>1690</v>
      </c>
      <c r="C120" t="s">
        <v>1126</v>
      </c>
      <c r="D120" t="s">
        <v>0</v>
      </c>
      <c r="E120" t="s">
        <v>629</v>
      </c>
      <c r="F120" t="s">
        <v>51</v>
      </c>
      <c r="G120" s="427">
        <v>46244.229166666664</v>
      </c>
      <c r="I120" s="427">
        <v>46244.177083333336</v>
      </c>
      <c r="K120" t="s">
        <v>427</v>
      </c>
      <c r="L120" t="s">
        <v>6979</v>
      </c>
      <c r="M120" t="s">
        <v>57</v>
      </c>
      <c r="N120" t="s">
        <v>6980</v>
      </c>
      <c r="O120" t="b">
        <v>0</v>
      </c>
      <c r="P120" t="s">
        <v>57</v>
      </c>
      <c r="Q120" t="s">
        <v>1128</v>
      </c>
      <c r="R120" t="b">
        <v>0</v>
      </c>
      <c r="S120" t="s">
        <v>629</v>
      </c>
      <c r="T120" t="b">
        <v>0</v>
      </c>
      <c r="U120" t="s">
        <v>57</v>
      </c>
      <c r="V120" t="b">
        <v>0</v>
      </c>
      <c r="W120" t="b">
        <v>0</v>
      </c>
      <c r="X120" t="b">
        <v>0</v>
      </c>
      <c r="Y120" t="b">
        <v>0</v>
      </c>
      <c r="Z120" t="s">
        <v>59</v>
      </c>
      <c r="AA120" t="b">
        <v>0</v>
      </c>
    </row>
    <row r="121" spans="1:27">
      <c r="A121" t="s">
        <v>662</v>
      </c>
      <c r="B121" t="s">
        <v>1691</v>
      </c>
      <c r="C121" t="s">
        <v>1177</v>
      </c>
      <c r="D121" t="s">
        <v>0</v>
      </c>
      <c r="E121" t="s">
        <v>663</v>
      </c>
      <c r="F121" t="s">
        <v>51</v>
      </c>
      <c r="G121" s="427">
        <v>46244.236111111109</v>
      </c>
      <c r="I121" s="427">
        <v>46244.1875</v>
      </c>
      <c r="K121" t="s">
        <v>430</v>
      </c>
      <c r="L121" t="s">
        <v>6981</v>
      </c>
      <c r="M121" t="s">
        <v>57</v>
      </c>
      <c r="N121" t="s">
        <v>6982</v>
      </c>
      <c r="O121" t="b">
        <v>0</v>
      </c>
      <c r="P121" t="s">
        <v>57</v>
      </c>
      <c r="Q121" t="s">
        <v>1178</v>
      </c>
      <c r="R121" t="b">
        <v>0</v>
      </c>
      <c r="S121" t="s">
        <v>663</v>
      </c>
      <c r="T121" t="b">
        <v>0</v>
      </c>
      <c r="U121" t="s">
        <v>57</v>
      </c>
      <c r="V121" t="b">
        <v>0</v>
      </c>
      <c r="W121" t="b">
        <v>0</v>
      </c>
      <c r="X121" t="b">
        <v>0</v>
      </c>
      <c r="Y121" t="b">
        <v>0</v>
      </c>
      <c r="Z121" t="s">
        <v>59</v>
      </c>
      <c r="AA121" t="b">
        <v>0</v>
      </c>
    </row>
    <row r="122" spans="1:27">
      <c r="A122" t="s">
        <v>907</v>
      </c>
      <c r="B122" t="s">
        <v>1692</v>
      </c>
      <c r="C122" t="s">
        <v>906</v>
      </c>
      <c r="D122" t="s">
        <v>0</v>
      </c>
      <c r="E122" t="s">
        <v>435</v>
      </c>
      <c r="F122" t="s">
        <v>51</v>
      </c>
      <c r="G122" s="427">
        <v>46244.253472222219</v>
      </c>
      <c r="I122" s="427">
        <v>46244.1875</v>
      </c>
      <c r="K122" t="s">
        <v>1901</v>
      </c>
      <c r="L122" t="s">
        <v>6983</v>
      </c>
      <c r="M122" t="s">
        <v>57</v>
      </c>
      <c r="N122" t="s">
        <v>6984</v>
      </c>
      <c r="O122" t="b">
        <v>0</v>
      </c>
      <c r="P122" t="s">
        <v>57</v>
      </c>
      <c r="Q122" t="s">
        <v>908</v>
      </c>
      <c r="R122" t="b">
        <v>0</v>
      </c>
      <c r="S122" t="s">
        <v>435</v>
      </c>
      <c r="T122" t="b">
        <v>0</v>
      </c>
      <c r="U122" t="s">
        <v>57</v>
      </c>
      <c r="V122" t="b">
        <v>0</v>
      </c>
      <c r="W122" t="b">
        <v>0</v>
      </c>
      <c r="X122" t="b">
        <v>0</v>
      </c>
      <c r="Y122" t="b">
        <v>0</v>
      </c>
      <c r="Z122" t="s">
        <v>59</v>
      </c>
      <c r="AA122" t="b">
        <v>0</v>
      </c>
    </row>
    <row r="123" spans="1:27">
      <c r="A123" t="s">
        <v>866</v>
      </c>
      <c r="B123" t="s">
        <v>1693</v>
      </c>
      <c r="C123" t="s">
        <v>865</v>
      </c>
      <c r="D123" t="s">
        <v>0</v>
      </c>
      <c r="E123" t="s">
        <v>867</v>
      </c>
      <c r="F123" t="s">
        <v>51</v>
      </c>
      <c r="G123" s="427">
        <v>46244.239583333336</v>
      </c>
      <c r="I123" s="427">
        <v>46244.1875</v>
      </c>
      <c r="K123" t="s">
        <v>430</v>
      </c>
      <c r="L123" t="s">
        <v>6985</v>
      </c>
      <c r="M123" t="s">
        <v>57</v>
      </c>
      <c r="N123" t="s">
        <v>6986</v>
      </c>
      <c r="O123" t="b">
        <v>0</v>
      </c>
      <c r="P123" t="s">
        <v>57</v>
      </c>
      <c r="Q123" t="s">
        <v>868</v>
      </c>
      <c r="R123" t="b">
        <v>0</v>
      </c>
      <c r="S123" t="s">
        <v>867</v>
      </c>
      <c r="T123" t="b">
        <v>1</v>
      </c>
      <c r="U123" t="s">
        <v>57</v>
      </c>
      <c r="V123" t="b">
        <v>0</v>
      </c>
      <c r="W123" t="b">
        <v>0</v>
      </c>
      <c r="X123" t="b">
        <v>0</v>
      </c>
      <c r="Y123" t="b">
        <v>0</v>
      </c>
      <c r="Z123" t="s">
        <v>59</v>
      </c>
      <c r="AA123" t="b">
        <v>0</v>
      </c>
    </row>
    <row r="124" spans="1:27">
      <c r="A124" t="s">
        <v>862</v>
      </c>
      <c r="B124" t="s">
        <v>1694</v>
      </c>
      <c r="C124" t="s">
        <v>861</v>
      </c>
      <c r="D124" t="s">
        <v>0</v>
      </c>
      <c r="E124" t="s">
        <v>859</v>
      </c>
      <c r="F124" t="s">
        <v>51</v>
      </c>
      <c r="G124" s="427">
        <v>46244.225694444445</v>
      </c>
      <c r="I124" s="427">
        <v>46244.1875</v>
      </c>
      <c r="K124" t="s">
        <v>427</v>
      </c>
      <c r="L124" t="s">
        <v>6987</v>
      </c>
      <c r="M124" t="s">
        <v>57</v>
      </c>
      <c r="N124" t="s">
        <v>6988</v>
      </c>
      <c r="O124" t="b">
        <v>0</v>
      </c>
      <c r="P124" t="s">
        <v>57</v>
      </c>
      <c r="Q124" t="s">
        <v>863</v>
      </c>
      <c r="R124" t="b">
        <v>0</v>
      </c>
      <c r="S124" t="s">
        <v>859</v>
      </c>
      <c r="T124" t="b">
        <v>1</v>
      </c>
      <c r="U124" t="s">
        <v>57</v>
      </c>
      <c r="V124" t="b">
        <v>0</v>
      </c>
      <c r="W124" t="b">
        <v>0</v>
      </c>
      <c r="X124" t="b">
        <v>0</v>
      </c>
      <c r="Y124" t="b">
        <v>0</v>
      </c>
      <c r="Z124" t="s">
        <v>59</v>
      </c>
      <c r="AA124" t="b">
        <v>0</v>
      </c>
    </row>
    <row r="125" spans="1:27">
      <c r="A125" t="s">
        <v>455</v>
      </c>
      <c r="B125" t="s">
        <v>1695</v>
      </c>
      <c r="C125" t="s">
        <v>463</v>
      </c>
      <c r="D125" t="s">
        <v>0</v>
      </c>
      <c r="E125" t="s">
        <v>456</v>
      </c>
      <c r="F125" t="s">
        <v>51</v>
      </c>
      <c r="G125" s="427">
        <v>46244.243055555555</v>
      </c>
      <c r="I125" s="427">
        <v>46244.1875</v>
      </c>
      <c r="K125" t="s">
        <v>430</v>
      </c>
      <c r="L125" t="s">
        <v>6964</v>
      </c>
      <c r="M125" t="s">
        <v>57</v>
      </c>
      <c r="N125" t="s">
        <v>6965</v>
      </c>
      <c r="O125" t="b">
        <v>0</v>
      </c>
      <c r="P125" t="s">
        <v>57</v>
      </c>
      <c r="Q125" t="s">
        <v>464</v>
      </c>
      <c r="R125" t="b">
        <v>0</v>
      </c>
      <c r="S125" t="s">
        <v>456</v>
      </c>
      <c r="T125" t="b">
        <v>1</v>
      </c>
      <c r="U125" t="s">
        <v>57</v>
      </c>
      <c r="V125" t="b">
        <v>0</v>
      </c>
      <c r="W125" t="b">
        <v>0</v>
      </c>
      <c r="X125" t="b">
        <v>0</v>
      </c>
      <c r="Y125" t="b">
        <v>0</v>
      </c>
      <c r="Z125" t="s">
        <v>59</v>
      </c>
      <c r="AA125" t="b">
        <v>0</v>
      </c>
    </row>
    <row r="126" spans="1:27">
      <c r="A126" t="s">
        <v>605</v>
      </c>
      <c r="B126" t="s">
        <v>1696</v>
      </c>
      <c r="C126" t="s">
        <v>604</v>
      </c>
      <c r="D126" t="s">
        <v>0</v>
      </c>
      <c r="E126" t="s">
        <v>602</v>
      </c>
      <c r="F126" t="s">
        <v>51</v>
      </c>
      <c r="G126" s="427">
        <v>46244.236111111109</v>
      </c>
      <c r="I126" s="427">
        <v>46244.1875</v>
      </c>
      <c r="K126" t="s">
        <v>1894</v>
      </c>
      <c r="L126" t="s">
        <v>6989</v>
      </c>
      <c r="M126" t="s">
        <v>57</v>
      </c>
      <c r="N126" t="s">
        <v>6990</v>
      </c>
      <c r="O126" t="b">
        <v>0</v>
      </c>
      <c r="P126" t="s">
        <v>57</v>
      </c>
      <c r="Q126" t="s">
        <v>607</v>
      </c>
      <c r="R126" t="b">
        <v>0</v>
      </c>
      <c r="S126" t="s">
        <v>602</v>
      </c>
      <c r="T126" t="b">
        <v>1</v>
      </c>
      <c r="U126" t="s">
        <v>57</v>
      </c>
      <c r="V126" t="b">
        <v>0</v>
      </c>
      <c r="W126" t="b">
        <v>0</v>
      </c>
      <c r="X126" t="b">
        <v>0</v>
      </c>
      <c r="Y126" t="b">
        <v>0</v>
      </c>
      <c r="Z126" t="s">
        <v>59</v>
      </c>
      <c r="AA126" t="b">
        <v>0</v>
      </c>
    </row>
    <row r="127" spans="1:27">
      <c r="A127" t="s">
        <v>1054</v>
      </c>
      <c r="B127" t="s">
        <v>1697</v>
      </c>
      <c r="C127" t="s">
        <v>1053</v>
      </c>
      <c r="D127" t="s">
        <v>0</v>
      </c>
      <c r="E127" t="s">
        <v>602</v>
      </c>
      <c r="F127" t="s">
        <v>51</v>
      </c>
      <c r="G127" s="427">
        <v>46244.236111111109</v>
      </c>
      <c r="I127" s="427">
        <v>46244.1875</v>
      </c>
      <c r="K127" t="s">
        <v>451</v>
      </c>
      <c r="L127" t="s">
        <v>6805</v>
      </c>
      <c r="M127" t="s">
        <v>57</v>
      </c>
      <c r="N127" t="s">
        <v>6806</v>
      </c>
      <c r="O127" t="b">
        <v>0</v>
      </c>
      <c r="P127" t="s">
        <v>57</v>
      </c>
      <c r="Q127" t="s">
        <v>1055</v>
      </c>
      <c r="R127" t="b">
        <v>0</v>
      </c>
      <c r="S127" t="s">
        <v>602</v>
      </c>
      <c r="T127" t="b">
        <v>0</v>
      </c>
      <c r="U127" t="s">
        <v>57</v>
      </c>
      <c r="V127" t="b">
        <v>0</v>
      </c>
      <c r="W127" t="b">
        <v>0</v>
      </c>
      <c r="X127" t="b">
        <v>0</v>
      </c>
      <c r="Y127" t="b">
        <v>0</v>
      </c>
      <c r="Z127" t="s">
        <v>59</v>
      </c>
      <c r="AA127" t="b">
        <v>0</v>
      </c>
    </row>
    <row r="128" spans="1:27">
      <c r="A128" t="s">
        <v>455</v>
      </c>
      <c r="B128" t="s">
        <v>1698</v>
      </c>
      <c r="C128" t="s">
        <v>934</v>
      </c>
      <c r="D128" t="s">
        <v>0</v>
      </c>
      <c r="E128" t="s">
        <v>456</v>
      </c>
      <c r="F128" t="s">
        <v>51</v>
      </c>
      <c r="G128" s="427">
        <v>46244.243055555555</v>
      </c>
      <c r="I128" s="427">
        <v>46244.1875</v>
      </c>
      <c r="K128" t="s">
        <v>430</v>
      </c>
      <c r="L128" t="s">
        <v>6991</v>
      </c>
      <c r="M128" t="s">
        <v>57</v>
      </c>
      <c r="N128" t="s">
        <v>6992</v>
      </c>
      <c r="O128" t="b">
        <v>0</v>
      </c>
      <c r="P128" t="s">
        <v>57</v>
      </c>
      <c r="Q128" t="s">
        <v>935</v>
      </c>
      <c r="R128" t="b">
        <v>0</v>
      </c>
      <c r="S128" t="s">
        <v>456</v>
      </c>
      <c r="T128" t="b">
        <v>0</v>
      </c>
      <c r="U128" t="s">
        <v>57</v>
      </c>
      <c r="V128" t="b">
        <v>0</v>
      </c>
      <c r="W128" t="b">
        <v>0</v>
      </c>
      <c r="X128" t="b">
        <v>0</v>
      </c>
      <c r="Y128" t="b">
        <v>0</v>
      </c>
      <c r="Z128" t="s">
        <v>59</v>
      </c>
      <c r="AA128" t="b">
        <v>0</v>
      </c>
    </row>
    <row r="129" spans="1:27">
      <c r="A129" t="s">
        <v>536</v>
      </c>
      <c r="B129" t="s">
        <v>1699</v>
      </c>
      <c r="C129" t="s">
        <v>535</v>
      </c>
      <c r="D129" t="s">
        <v>0</v>
      </c>
      <c r="E129" t="s">
        <v>663</v>
      </c>
      <c r="F129" t="s">
        <v>51</v>
      </c>
      <c r="G129" s="427">
        <v>46244.236111111109</v>
      </c>
      <c r="I129" s="427">
        <v>46244.1875</v>
      </c>
      <c r="K129" t="s">
        <v>430</v>
      </c>
      <c r="L129" t="s">
        <v>6837</v>
      </c>
      <c r="M129" t="s">
        <v>57</v>
      </c>
      <c r="N129" t="s">
        <v>1299</v>
      </c>
      <c r="O129" t="b">
        <v>0</v>
      </c>
      <c r="P129" t="s">
        <v>57</v>
      </c>
      <c r="Q129" t="s">
        <v>665</v>
      </c>
      <c r="R129" t="b">
        <v>0</v>
      </c>
      <c r="S129" t="s">
        <v>663</v>
      </c>
      <c r="T129" t="b">
        <v>1</v>
      </c>
      <c r="U129" t="s">
        <v>57</v>
      </c>
      <c r="V129" t="b">
        <v>0</v>
      </c>
      <c r="W129" t="b">
        <v>0</v>
      </c>
      <c r="X129" t="b">
        <v>0</v>
      </c>
      <c r="Y129" t="b">
        <v>0</v>
      </c>
      <c r="Z129" t="s">
        <v>59</v>
      </c>
      <c r="AA129" t="b">
        <v>0</v>
      </c>
    </row>
    <row r="130" spans="1:27">
      <c r="A130" t="s">
        <v>6993</v>
      </c>
      <c r="B130" t="s">
        <v>192</v>
      </c>
      <c r="C130" t="s">
        <v>1448</v>
      </c>
      <c r="D130" t="s">
        <v>0</v>
      </c>
      <c r="E130" t="s">
        <v>191</v>
      </c>
      <c r="F130" t="s">
        <v>51</v>
      </c>
      <c r="G130" s="427">
        <v>46244.333333333336</v>
      </c>
      <c r="I130" s="427">
        <v>46244.1875</v>
      </c>
      <c r="K130" t="s">
        <v>1449</v>
      </c>
      <c r="L130" t="s">
        <v>1450</v>
      </c>
      <c r="M130" t="s">
        <v>57</v>
      </c>
      <c r="N130" t="s">
        <v>1451</v>
      </c>
      <c r="O130" t="b">
        <v>0</v>
      </c>
      <c r="P130" t="s">
        <v>57</v>
      </c>
      <c r="Q130" t="s">
        <v>489</v>
      </c>
      <c r="R130" t="b">
        <v>1</v>
      </c>
      <c r="S130" t="s">
        <v>191</v>
      </c>
      <c r="T130" t="b">
        <v>1</v>
      </c>
      <c r="U130" t="s">
        <v>57</v>
      </c>
      <c r="V130" t="b">
        <v>0</v>
      </c>
      <c r="W130" t="b">
        <v>0</v>
      </c>
      <c r="X130" t="b">
        <v>0</v>
      </c>
      <c r="Y130" t="b">
        <v>0</v>
      </c>
      <c r="Z130" t="s">
        <v>59</v>
      </c>
      <c r="AA130" t="b">
        <v>0</v>
      </c>
    </row>
    <row r="131" spans="1:27">
      <c r="A131" t="s">
        <v>699</v>
      </c>
      <c r="B131" t="s">
        <v>1700</v>
      </c>
      <c r="C131" t="s">
        <v>698</v>
      </c>
      <c r="D131" t="s">
        <v>0</v>
      </c>
      <c r="E131" t="s">
        <v>700</v>
      </c>
      <c r="F131" t="s">
        <v>51</v>
      </c>
      <c r="G131" s="427">
        <v>46244.333333333336</v>
      </c>
      <c r="I131" s="427">
        <v>46244.190972222219</v>
      </c>
      <c r="K131" t="s">
        <v>1901</v>
      </c>
      <c r="L131" t="s">
        <v>6994</v>
      </c>
      <c r="M131" t="s">
        <v>57</v>
      </c>
      <c r="N131" t="s">
        <v>6995</v>
      </c>
      <c r="O131" t="b">
        <v>0</v>
      </c>
      <c r="P131" t="s">
        <v>57</v>
      </c>
      <c r="Q131" t="s">
        <v>701</v>
      </c>
      <c r="R131" t="b">
        <v>0</v>
      </c>
      <c r="S131" t="s">
        <v>700</v>
      </c>
      <c r="T131" t="b">
        <v>1</v>
      </c>
      <c r="U131" t="s">
        <v>57</v>
      </c>
      <c r="V131" t="b">
        <v>0</v>
      </c>
      <c r="W131" t="b">
        <v>0</v>
      </c>
      <c r="X131" t="b">
        <v>0</v>
      </c>
      <c r="Y131" t="b">
        <v>0</v>
      </c>
      <c r="Z131" t="s">
        <v>59</v>
      </c>
      <c r="AA131" t="b">
        <v>0</v>
      </c>
    </row>
    <row r="132" spans="1:27">
      <c r="A132" t="s">
        <v>685</v>
      </c>
      <c r="B132" t="s">
        <v>1701</v>
      </c>
      <c r="C132" t="s">
        <v>684</v>
      </c>
      <c r="D132" t="s">
        <v>0</v>
      </c>
      <c r="E132" t="s">
        <v>686</v>
      </c>
      <c r="F132" t="s">
        <v>51</v>
      </c>
      <c r="G132" s="427">
        <v>46244.295138888891</v>
      </c>
      <c r="I132" s="427">
        <v>46244.190972222219</v>
      </c>
      <c r="K132" t="s">
        <v>427</v>
      </c>
      <c r="L132" t="s">
        <v>6996</v>
      </c>
      <c r="M132" t="s">
        <v>57</v>
      </c>
      <c r="N132" t="s">
        <v>6997</v>
      </c>
      <c r="O132" t="b">
        <v>0</v>
      </c>
      <c r="P132" t="s">
        <v>57</v>
      </c>
      <c r="Q132" t="s">
        <v>687</v>
      </c>
      <c r="R132" t="b">
        <v>0</v>
      </c>
      <c r="S132" t="s">
        <v>686</v>
      </c>
      <c r="T132" t="b">
        <v>1</v>
      </c>
      <c r="U132" t="s">
        <v>57</v>
      </c>
      <c r="V132" t="b">
        <v>0</v>
      </c>
      <c r="W132" t="b">
        <v>0</v>
      </c>
      <c r="X132" t="b">
        <v>0</v>
      </c>
      <c r="Y132" t="b">
        <v>0</v>
      </c>
      <c r="Z132" t="s">
        <v>59</v>
      </c>
      <c r="AA132" t="b">
        <v>0</v>
      </c>
    </row>
    <row r="133" spans="1:27">
      <c r="A133" t="s">
        <v>479</v>
      </c>
      <c r="B133" t="s">
        <v>1702</v>
      </c>
      <c r="C133" t="s">
        <v>898</v>
      </c>
      <c r="D133" t="s">
        <v>0</v>
      </c>
      <c r="E133" t="s">
        <v>480</v>
      </c>
      <c r="F133" t="s">
        <v>51</v>
      </c>
      <c r="G133" s="427">
        <v>46244.322916666664</v>
      </c>
      <c r="I133" s="427">
        <v>46244.190972222219</v>
      </c>
      <c r="K133" t="s">
        <v>52</v>
      </c>
      <c r="L133" t="s">
        <v>6998</v>
      </c>
      <c r="M133" t="s">
        <v>57</v>
      </c>
      <c r="N133" t="s">
        <v>6999</v>
      </c>
      <c r="O133" t="b">
        <v>0</v>
      </c>
      <c r="P133" t="s">
        <v>57</v>
      </c>
      <c r="Q133" t="s">
        <v>899</v>
      </c>
      <c r="R133" t="b">
        <v>0</v>
      </c>
      <c r="S133" t="s">
        <v>480</v>
      </c>
      <c r="T133" t="b">
        <v>0</v>
      </c>
      <c r="U133" t="s">
        <v>57</v>
      </c>
      <c r="V133" t="b">
        <v>0</v>
      </c>
      <c r="W133" t="b">
        <v>0</v>
      </c>
      <c r="X133" t="b">
        <v>0</v>
      </c>
      <c r="Y133" t="b">
        <v>0</v>
      </c>
      <c r="Z133" t="s">
        <v>59</v>
      </c>
      <c r="AA133" t="b">
        <v>0</v>
      </c>
    </row>
    <row r="134" spans="1:27">
      <c r="A134" t="s">
        <v>567</v>
      </c>
      <c r="B134" t="s">
        <v>1703</v>
      </c>
      <c r="C134" t="s">
        <v>566</v>
      </c>
      <c r="D134" t="s">
        <v>0</v>
      </c>
      <c r="E134" t="s">
        <v>568</v>
      </c>
      <c r="F134" t="s">
        <v>51</v>
      </c>
      <c r="G134" s="427">
        <v>46244.309027777781</v>
      </c>
      <c r="I134" s="427">
        <v>46244.190972222219</v>
      </c>
      <c r="K134" t="s">
        <v>1901</v>
      </c>
      <c r="L134" t="s">
        <v>7000</v>
      </c>
      <c r="M134" t="s">
        <v>57</v>
      </c>
      <c r="N134" t="s">
        <v>7001</v>
      </c>
      <c r="O134" t="b">
        <v>0</v>
      </c>
      <c r="P134" t="s">
        <v>57</v>
      </c>
      <c r="Q134" t="s">
        <v>569</v>
      </c>
      <c r="R134" t="b">
        <v>0</v>
      </c>
      <c r="S134" t="s">
        <v>568</v>
      </c>
      <c r="T134" t="b">
        <v>1</v>
      </c>
      <c r="U134" t="s">
        <v>57</v>
      </c>
      <c r="V134" t="b">
        <v>0</v>
      </c>
      <c r="W134" t="b">
        <v>0</v>
      </c>
      <c r="X134" t="b">
        <v>0</v>
      </c>
      <c r="Y134" t="b">
        <v>0</v>
      </c>
      <c r="Z134" t="s">
        <v>59</v>
      </c>
      <c r="AA134" t="b">
        <v>0</v>
      </c>
    </row>
    <row r="135" spans="1:27">
      <c r="A135" t="s">
        <v>470</v>
      </c>
      <c r="B135" t="s">
        <v>1704</v>
      </c>
      <c r="C135" t="s">
        <v>1100</v>
      </c>
      <c r="D135" t="s">
        <v>0</v>
      </c>
      <c r="E135" t="s">
        <v>471</v>
      </c>
      <c r="F135" t="s">
        <v>51</v>
      </c>
      <c r="G135" s="427">
        <v>46244.3125</v>
      </c>
      <c r="I135" s="427">
        <v>46244.190972222219</v>
      </c>
      <c r="K135" t="s">
        <v>3785</v>
      </c>
      <c r="L135" t="s">
        <v>7002</v>
      </c>
      <c r="M135" t="s">
        <v>57</v>
      </c>
      <c r="N135" t="s">
        <v>7003</v>
      </c>
      <c r="O135" t="b">
        <v>0</v>
      </c>
      <c r="P135" t="s">
        <v>57</v>
      </c>
      <c r="Q135" t="s">
        <v>7004</v>
      </c>
      <c r="R135" t="b">
        <v>0</v>
      </c>
      <c r="S135" t="s">
        <v>471</v>
      </c>
      <c r="T135" t="b">
        <v>0</v>
      </c>
      <c r="U135" t="s">
        <v>57</v>
      </c>
      <c r="V135" t="b">
        <v>0</v>
      </c>
      <c r="W135" t="b">
        <v>0</v>
      </c>
      <c r="X135" t="b">
        <v>0</v>
      </c>
      <c r="Y135" t="b">
        <v>0</v>
      </c>
      <c r="Z135" t="s">
        <v>59</v>
      </c>
      <c r="AA135" t="b">
        <v>0</v>
      </c>
    </row>
    <row r="136" spans="1:27">
      <c r="A136" t="s">
        <v>470</v>
      </c>
      <c r="B136" t="s">
        <v>1705</v>
      </c>
      <c r="C136" t="s">
        <v>1218</v>
      </c>
      <c r="D136" t="s">
        <v>0</v>
      </c>
      <c r="E136" t="s">
        <v>471</v>
      </c>
      <c r="F136" t="s">
        <v>51</v>
      </c>
      <c r="G136" s="427">
        <v>46244.3125</v>
      </c>
      <c r="I136" s="427">
        <v>46244.190972222219</v>
      </c>
      <c r="K136" t="s">
        <v>2792</v>
      </c>
      <c r="L136" t="s">
        <v>7005</v>
      </c>
      <c r="M136" t="s">
        <v>57</v>
      </c>
      <c r="N136" t="s">
        <v>7006</v>
      </c>
      <c r="O136" t="b">
        <v>0</v>
      </c>
      <c r="P136" t="s">
        <v>57</v>
      </c>
      <c r="Q136" t="s">
        <v>4469</v>
      </c>
      <c r="R136" t="b">
        <v>0</v>
      </c>
      <c r="S136" t="s">
        <v>471</v>
      </c>
      <c r="T136" t="b">
        <v>0</v>
      </c>
      <c r="U136" t="s">
        <v>57</v>
      </c>
      <c r="V136" t="b">
        <v>0</v>
      </c>
      <c r="W136" t="b">
        <v>0</v>
      </c>
      <c r="X136" t="b">
        <v>0</v>
      </c>
      <c r="Y136" t="b">
        <v>0</v>
      </c>
      <c r="Z136" t="s">
        <v>59</v>
      </c>
      <c r="AA136" t="b">
        <v>0</v>
      </c>
    </row>
    <row r="137" spans="1:27">
      <c r="A137" t="s">
        <v>615</v>
      </c>
      <c r="B137" t="s">
        <v>1706</v>
      </c>
      <c r="C137" t="s">
        <v>614</v>
      </c>
      <c r="D137" t="s">
        <v>0</v>
      </c>
      <c r="E137" t="s">
        <v>616</v>
      </c>
      <c r="F137" t="s">
        <v>51</v>
      </c>
      <c r="G137" s="427">
        <v>46244.364583333336</v>
      </c>
      <c r="I137" s="427">
        <v>46244.190972222219</v>
      </c>
      <c r="K137" t="s">
        <v>1901</v>
      </c>
      <c r="L137" t="s">
        <v>7007</v>
      </c>
      <c r="M137" t="s">
        <v>57</v>
      </c>
      <c r="N137" t="s">
        <v>7008</v>
      </c>
      <c r="O137" t="b">
        <v>0</v>
      </c>
      <c r="P137" t="s">
        <v>57</v>
      </c>
      <c r="Q137" t="s">
        <v>617</v>
      </c>
      <c r="R137" t="b">
        <v>0</v>
      </c>
      <c r="S137" t="s">
        <v>616</v>
      </c>
      <c r="T137" t="b">
        <v>1</v>
      </c>
      <c r="U137" t="s">
        <v>57</v>
      </c>
      <c r="V137" t="b">
        <v>0</v>
      </c>
      <c r="W137" t="b">
        <v>0</v>
      </c>
      <c r="X137" t="b">
        <v>0</v>
      </c>
      <c r="Y137" t="b">
        <v>0</v>
      </c>
      <c r="Z137" t="s">
        <v>59</v>
      </c>
      <c r="AA137" t="b">
        <v>0</v>
      </c>
    </row>
    <row r="138" spans="1:27">
      <c r="A138" t="s">
        <v>680</v>
      </c>
      <c r="B138" t="s">
        <v>1707</v>
      </c>
      <c r="C138" t="s">
        <v>1190</v>
      </c>
      <c r="D138" t="s">
        <v>0</v>
      </c>
      <c r="E138" t="s">
        <v>681</v>
      </c>
      <c r="F138" t="s">
        <v>51</v>
      </c>
      <c r="G138" s="427">
        <v>46244.333333333336</v>
      </c>
      <c r="I138" s="427">
        <v>46244.190972222219</v>
      </c>
      <c r="K138" t="s">
        <v>472</v>
      </c>
      <c r="L138" t="s">
        <v>7009</v>
      </c>
      <c r="M138" t="s">
        <v>57</v>
      </c>
      <c r="N138" t="s">
        <v>7010</v>
      </c>
      <c r="O138" t="b">
        <v>0</v>
      </c>
      <c r="P138" t="s">
        <v>57</v>
      </c>
      <c r="Q138" t="s">
        <v>1191</v>
      </c>
      <c r="R138" t="b">
        <v>0</v>
      </c>
      <c r="S138" t="s">
        <v>681</v>
      </c>
      <c r="T138" t="b">
        <v>0</v>
      </c>
      <c r="U138" t="s">
        <v>57</v>
      </c>
      <c r="V138" t="b">
        <v>0</v>
      </c>
      <c r="W138" t="b">
        <v>0</v>
      </c>
      <c r="X138" t="b">
        <v>0</v>
      </c>
      <c r="Y138" t="b">
        <v>0</v>
      </c>
      <c r="Z138" t="s">
        <v>59</v>
      </c>
      <c r="AA138" t="b">
        <v>0</v>
      </c>
    </row>
    <row r="139" spans="1:27">
      <c r="A139" t="s">
        <v>470</v>
      </c>
      <c r="B139" t="s">
        <v>1708</v>
      </c>
      <c r="C139" t="s">
        <v>469</v>
      </c>
      <c r="D139" t="s">
        <v>0</v>
      </c>
      <c r="E139" t="s">
        <v>471</v>
      </c>
      <c r="F139" t="s">
        <v>66</v>
      </c>
      <c r="G139" s="427">
        <v>46244.3125</v>
      </c>
      <c r="I139" s="427">
        <v>46244.190972222219</v>
      </c>
      <c r="K139" t="s">
        <v>472</v>
      </c>
      <c r="L139" t="s">
        <v>7011</v>
      </c>
      <c r="M139" t="s">
        <v>57</v>
      </c>
      <c r="N139" t="s">
        <v>7012</v>
      </c>
      <c r="O139" t="b">
        <v>0</v>
      </c>
      <c r="P139" t="s">
        <v>57</v>
      </c>
      <c r="S139" t="s">
        <v>471</v>
      </c>
      <c r="T139" t="b">
        <v>0</v>
      </c>
      <c r="U139" t="s">
        <v>57</v>
      </c>
      <c r="V139" t="b">
        <v>0</v>
      </c>
      <c r="W139" t="b">
        <v>0</v>
      </c>
      <c r="X139" t="b">
        <v>0</v>
      </c>
      <c r="Y139" t="b">
        <v>0</v>
      </c>
      <c r="Z139" t="s">
        <v>59</v>
      </c>
      <c r="AA139" t="b">
        <v>0</v>
      </c>
    </row>
    <row r="140" spans="1:27">
      <c r="A140" t="s">
        <v>479</v>
      </c>
      <c r="B140" t="s">
        <v>1709</v>
      </c>
      <c r="C140" t="s">
        <v>485</v>
      </c>
      <c r="D140" t="s">
        <v>0</v>
      </c>
      <c r="E140" t="s">
        <v>480</v>
      </c>
      <c r="F140" t="s">
        <v>66</v>
      </c>
      <c r="G140" s="427">
        <v>46244.322916666664</v>
      </c>
      <c r="I140" s="427">
        <v>46244.190972222219</v>
      </c>
      <c r="K140" t="s">
        <v>1901</v>
      </c>
      <c r="L140" t="s">
        <v>7013</v>
      </c>
      <c r="M140" t="s">
        <v>57</v>
      </c>
      <c r="N140" t="s">
        <v>7014</v>
      </c>
      <c r="O140" t="b">
        <v>0</v>
      </c>
      <c r="P140" t="s">
        <v>57</v>
      </c>
      <c r="S140" t="s">
        <v>480</v>
      </c>
      <c r="T140" t="b">
        <v>0</v>
      </c>
      <c r="U140" t="s">
        <v>57</v>
      </c>
      <c r="V140" t="b">
        <v>0</v>
      </c>
      <c r="W140" t="b">
        <v>0</v>
      </c>
      <c r="X140" t="b">
        <v>0</v>
      </c>
      <c r="Y140" t="b">
        <v>0</v>
      </c>
      <c r="Z140" t="s">
        <v>59</v>
      </c>
      <c r="AA140" t="b">
        <v>0</v>
      </c>
    </row>
    <row r="141" spans="1:27">
      <c r="A141" t="s">
        <v>680</v>
      </c>
      <c r="B141" t="s">
        <v>1710</v>
      </c>
      <c r="C141" t="s">
        <v>679</v>
      </c>
      <c r="D141" t="s">
        <v>0</v>
      </c>
      <c r="E141" t="s">
        <v>681</v>
      </c>
      <c r="F141" t="s">
        <v>51</v>
      </c>
      <c r="G141" s="427">
        <v>46244.333333333336</v>
      </c>
      <c r="I141" s="427">
        <v>46244.190972222219</v>
      </c>
      <c r="K141" t="s">
        <v>451</v>
      </c>
      <c r="L141" t="s">
        <v>7015</v>
      </c>
      <c r="M141" t="s">
        <v>57</v>
      </c>
      <c r="N141" t="s">
        <v>7016</v>
      </c>
      <c r="O141" t="b">
        <v>0</v>
      </c>
      <c r="P141" t="s">
        <v>57</v>
      </c>
      <c r="Q141" t="s">
        <v>682</v>
      </c>
      <c r="R141" t="b">
        <v>0</v>
      </c>
      <c r="S141" t="s">
        <v>681</v>
      </c>
      <c r="T141" t="b">
        <v>1</v>
      </c>
      <c r="U141" t="s">
        <v>57</v>
      </c>
      <c r="V141" t="b">
        <v>0</v>
      </c>
      <c r="W141" t="b">
        <v>0</v>
      </c>
      <c r="X141" t="b">
        <v>0</v>
      </c>
      <c r="Y141" t="b">
        <v>0</v>
      </c>
      <c r="Z141" t="s">
        <v>59</v>
      </c>
      <c r="AA141" t="b">
        <v>0</v>
      </c>
    </row>
    <row r="142" spans="1:27">
      <c r="A142" t="s">
        <v>704</v>
      </c>
      <c r="B142" t="s">
        <v>1711</v>
      </c>
      <c r="C142" t="s">
        <v>1130</v>
      </c>
      <c r="D142" t="s">
        <v>0</v>
      </c>
      <c r="E142" t="s">
        <v>691</v>
      </c>
      <c r="F142" t="s">
        <v>51</v>
      </c>
      <c r="G142" s="427">
        <v>46244.34375</v>
      </c>
      <c r="I142" s="427">
        <v>46244.190972222219</v>
      </c>
      <c r="K142" t="s">
        <v>2056</v>
      </c>
      <c r="L142" t="s">
        <v>7017</v>
      </c>
      <c r="M142" t="s">
        <v>57</v>
      </c>
      <c r="N142" t="s">
        <v>7018</v>
      </c>
      <c r="O142" t="b">
        <v>0</v>
      </c>
      <c r="P142" t="s">
        <v>57</v>
      </c>
      <c r="Q142" t="s">
        <v>7019</v>
      </c>
      <c r="R142" t="b">
        <v>0</v>
      </c>
      <c r="S142" t="s">
        <v>691</v>
      </c>
      <c r="T142" t="b">
        <v>0</v>
      </c>
      <c r="U142" t="s">
        <v>57</v>
      </c>
      <c r="V142" t="b">
        <v>0</v>
      </c>
      <c r="W142" t="b">
        <v>0</v>
      </c>
      <c r="X142" t="b">
        <v>0</v>
      </c>
      <c r="Y142" t="b">
        <v>0</v>
      </c>
      <c r="Z142" t="s">
        <v>59</v>
      </c>
      <c r="AA142" t="b">
        <v>0</v>
      </c>
    </row>
    <row r="143" spans="1:27">
      <c r="A143" t="s">
        <v>844</v>
      </c>
      <c r="B143" t="s">
        <v>1712</v>
      </c>
      <c r="C143" t="s">
        <v>843</v>
      </c>
      <c r="D143" t="s">
        <v>0</v>
      </c>
      <c r="E143" t="s">
        <v>845</v>
      </c>
      <c r="F143" t="s">
        <v>51</v>
      </c>
      <c r="G143" s="427">
        <v>46244.357638888891</v>
      </c>
      <c r="I143" s="427">
        <v>46244.190972222219</v>
      </c>
      <c r="K143" t="s">
        <v>1901</v>
      </c>
      <c r="L143" t="s">
        <v>7020</v>
      </c>
      <c r="M143" t="s">
        <v>57</v>
      </c>
      <c r="N143" t="s">
        <v>7021</v>
      </c>
      <c r="O143" t="b">
        <v>0</v>
      </c>
      <c r="P143" t="s">
        <v>57</v>
      </c>
      <c r="Q143" t="s">
        <v>846</v>
      </c>
      <c r="R143" t="b">
        <v>0</v>
      </c>
      <c r="S143" t="s">
        <v>845</v>
      </c>
      <c r="T143" t="b">
        <v>1</v>
      </c>
      <c r="U143" t="s">
        <v>57</v>
      </c>
      <c r="V143" t="b">
        <v>0</v>
      </c>
      <c r="W143" t="b">
        <v>0</v>
      </c>
      <c r="X143" t="b">
        <v>0</v>
      </c>
      <c r="Y143" t="b">
        <v>0</v>
      </c>
      <c r="Z143" t="s">
        <v>59</v>
      </c>
      <c r="AA143" t="b">
        <v>0</v>
      </c>
    </row>
    <row r="144" spans="1:27">
      <c r="A144" t="s">
        <v>675</v>
      </c>
      <c r="B144" t="s">
        <v>1713</v>
      </c>
      <c r="C144" t="s">
        <v>674</v>
      </c>
      <c r="D144" t="s">
        <v>0</v>
      </c>
      <c r="E144" t="s">
        <v>676</v>
      </c>
      <c r="F144" t="s">
        <v>51</v>
      </c>
      <c r="G144" s="427">
        <v>46244.364583333336</v>
      </c>
      <c r="I144" s="427">
        <v>46244.190972222219</v>
      </c>
      <c r="K144" t="s">
        <v>52</v>
      </c>
      <c r="L144" t="s">
        <v>7022</v>
      </c>
      <c r="M144" t="s">
        <v>57</v>
      </c>
      <c r="N144" t="s">
        <v>7023</v>
      </c>
      <c r="O144" t="b">
        <v>0</v>
      </c>
      <c r="P144" t="s">
        <v>57</v>
      </c>
      <c r="Q144" t="s">
        <v>677</v>
      </c>
      <c r="R144" t="b">
        <v>0</v>
      </c>
      <c r="S144" t="s">
        <v>676</v>
      </c>
      <c r="T144" t="b">
        <v>1</v>
      </c>
      <c r="U144" t="s">
        <v>57</v>
      </c>
      <c r="V144" t="b">
        <v>0</v>
      </c>
      <c r="W144" t="b">
        <v>0</v>
      </c>
      <c r="X144" t="b">
        <v>0</v>
      </c>
      <c r="Y144" t="b">
        <v>0</v>
      </c>
      <c r="Z144" t="s">
        <v>59</v>
      </c>
      <c r="AA144" t="b">
        <v>0</v>
      </c>
    </row>
    <row r="145" spans="1:27">
      <c r="A145" t="s">
        <v>704</v>
      </c>
      <c r="B145" t="s">
        <v>1714</v>
      </c>
      <c r="C145" t="s">
        <v>703</v>
      </c>
      <c r="D145" t="s">
        <v>0</v>
      </c>
      <c r="E145" t="s">
        <v>691</v>
      </c>
      <c r="F145" t="s">
        <v>66</v>
      </c>
      <c r="G145" s="427">
        <v>46244.34375</v>
      </c>
      <c r="I145" s="427">
        <v>46244.190972222219</v>
      </c>
      <c r="K145" t="s">
        <v>1901</v>
      </c>
      <c r="L145" t="s">
        <v>7024</v>
      </c>
      <c r="M145" t="s">
        <v>57</v>
      </c>
      <c r="N145" t="s">
        <v>7025</v>
      </c>
      <c r="O145" t="b">
        <v>0</v>
      </c>
      <c r="P145" t="s">
        <v>57</v>
      </c>
      <c r="S145" t="s">
        <v>691</v>
      </c>
      <c r="T145" t="b">
        <v>0</v>
      </c>
      <c r="U145" t="s">
        <v>57</v>
      </c>
      <c r="V145" t="b">
        <v>0</v>
      </c>
      <c r="W145" t="b">
        <v>0</v>
      </c>
      <c r="X145" t="b">
        <v>0</v>
      </c>
      <c r="Y145" t="b">
        <v>0</v>
      </c>
      <c r="Z145" t="s">
        <v>59</v>
      </c>
      <c r="AA145" t="b">
        <v>0</v>
      </c>
    </row>
    <row r="146" spans="1:27">
      <c r="A146" t="s">
        <v>628</v>
      </c>
      <c r="B146" t="s">
        <v>1715</v>
      </c>
      <c r="C146" t="s">
        <v>627</v>
      </c>
      <c r="D146" t="s">
        <v>0</v>
      </c>
      <c r="E146" t="s">
        <v>629</v>
      </c>
      <c r="F146" t="s">
        <v>51</v>
      </c>
      <c r="G146" s="427">
        <v>46244.25</v>
      </c>
      <c r="I146" s="427">
        <v>46244.197916666664</v>
      </c>
      <c r="K146" t="s">
        <v>430</v>
      </c>
      <c r="L146" t="s">
        <v>7026</v>
      </c>
      <c r="M146" t="s">
        <v>57</v>
      </c>
      <c r="N146" t="s">
        <v>7027</v>
      </c>
      <c r="O146" t="b">
        <v>0</v>
      </c>
      <c r="P146" t="s">
        <v>57</v>
      </c>
      <c r="Q146" t="s">
        <v>4130</v>
      </c>
      <c r="R146" t="b">
        <v>0</v>
      </c>
      <c r="S146" t="s">
        <v>629</v>
      </c>
      <c r="T146" t="b">
        <v>0</v>
      </c>
      <c r="U146" t="s">
        <v>57</v>
      </c>
      <c r="V146" t="b">
        <v>0</v>
      </c>
      <c r="W146" t="b">
        <v>0</v>
      </c>
      <c r="X146" t="b">
        <v>0</v>
      </c>
      <c r="Y146" t="b">
        <v>0</v>
      </c>
      <c r="Z146" t="s">
        <v>59</v>
      </c>
      <c r="AA146" t="b">
        <v>0</v>
      </c>
    </row>
    <row r="147" spans="1:27">
      <c r="A147" t="s">
        <v>652</v>
      </c>
      <c r="B147" t="s">
        <v>1716</v>
      </c>
      <c r="C147" t="s">
        <v>1058</v>
      </c>
      <c r="D147" t="s">
        <v>0</v>
      </c>
      <c r="E147" t="s">
        <v>649</v>
      </c>
      <c r="F147" t="s">
        <v>51</v>
      </c>
      <c r="G147" s="427">
        <v>46244.229166666664</v>
      </c>
      <c r="I147" s="427">
        <v>46244.197916666664</v>
      </c>
      <c r="K147" t="s">
        <v>1894</v>
      </c>
      <c r="L147" t="s">
        <v>7028</v>
      </c>
      <c r="M147" t="s">
        <v>57</v>
      </c>
      <c r="N147" t="s">
        <v>6990</v>
      </c>
      <c r="O147" t="b">
        <v>0</v>
      </c>
      <c r="P147" t="s">
        <v>57</v>
      </c>
      <c r="Q147" t="s">
        <v>1059</v>
      </c>
      <c r="R147" t="b">
        <v>0</v>
      </c>
      <c r="S147" t="s">
        <v>649</v>
      </c>
      <c r="T147" t="b">
        <v>0</v>
      </c>
      <c r="U147" t="s">
        <v>57</v>
      </c>
      <c r="V147" t="b">
        <v>0</v>
      </c>
      <c r="W147" t="b">
        <v>0</v>
      </c>
      <c r="X147" t="b">
        <v>0</v>
      </c>
      <c r="Y147" t="b">
        <v>0</v>
      </c>
      <c r="Z147" t="s">
        <v>59</v>
      </c>
      <c r="AA147" t="b">
        <v>0</v>
      </c>
    </row>
    <row r="148" spans="1:27">
      <c r="A148" t="s">
        <v>648</v>
      </c>
      <c r="B148" t="s">
        <v>1717</v>
      </c>
      <c r="C148" t="s">
        <v>647</v>
      </c>
      <c r="D148" t="s">
        <v>0</v>
      </c>
      <c r="E148" t="s">
        <v>649</v>
      </c>
      <c r="F148" t="s">
        <v>51</v>
      </c>
      <c r="G148" s="427">
        <v>46244.229166666664</v>
      </c>
      <c r="I148" s="427">
        <v>46244.197916666664</v>
      </c>
      <c r="K148" t="s">
        <v>427</v>
      </c>
      <c r="L148" t="s">
        <v>6840</v>
      </c>
      <c r="M148" t="s">
        <v>57</v>
      </c>
      <c r="N148" t="s">
        <v>6841</v>
      </c>
      <c r="O148" t="b">
        <v>0</v>
      </c>
      <c r="P148" t="s">
        <v>57</v>
      </c>
      <c r="Q148" t="s">
        <v>650</v>
      </c>
      <c r="R148" t="b">
        <v>0</v>
      </c>
      <c r="S148" t="s">
        <v>649</v>
      </c>
      <c r="T148" t="b">
        <v>1</v>
      </c>
      <c r="U148" t="s">
        <v>57</v>
      </c>
      <c r="V148" t="b">
        <v>0</v>
      </c>
      <c r="W148" t="b">
        <v>0</v>
      </c>
      <c r="X148" t="b">
        <v>0</v>
      </c>
      <c r="Y148" t="b">
        <v>0</v>
      </c>
      <c r="Z148" t="s">
        <v>59</v>
      </c>
      <c r="AA148" t="b">
        <v>0</v>
      </c>
    </row>
    <row r="149" spans="1:27">
      <c r="A149" t="s">
        <v>415</v>
      </c>
      <c r="B149" t="s">
        <v>1718</v>
      </c>
      <c r="C149" t="s">
        <v>414</v>
      </c>
      <c r="D149" t="s">
        <v>0</v>
      </c>
      <c r="E149" t="s">
        <v>416</v>
      </c>
      <c r="F149" t="s">
        <v>51</v>
      </c>
      <c r="G149" s="427">
        <v>46244.270833333336</v>
      </c>
      <c r="I149" s="427">
        <v>46244.204861111109</v>
      </c>
      <c r="K149" t="s">
        <v>2792</v>
      </c>
      <c r="L149" t="s">
        <v>7029</v>
      </c>
      <c r="M149" t="s">
        <v>57</v>
      </c>
      <c r="N149" t="s">
        <v>7030</v>
      </c>
      <c r="O149" t="b">
        <v>0</v>
      </c>
      <c r="P149" t="s">
        <v>57</v>
      </c>
      <c r="Q149" t="s">
        <v>419</v>
      </c>
      <c r="R149" t="b">
        <v>0</v>
      </c>
      <c r="S149" t="s">
        <v>416</v>
      </c>
      <c r="T149" t="b">
        <v>1</v>
      </c>
      <c r="U149" t="s">
        <v>57</v>
      </c>
      <c r="V149" t="b">
        <v>0</v>
      </c>
      <c r="W149" t="b">
        <v>0</v>
      </c>
      <c r="X149" t="b">
        <v>0</v>
      </c>
      <c r="Y149" t="b">
        <v>0</v>
      </c>
      <c r="Z149" t="s">
        <v>59</v>
      </c>
      <c r="AA149" t="b">
        <v>0</v>
      </c>
    </row>
    <row r="150" spans="1:27">
      <c r="A150" t="s">
        <v>426</v>
      </c>
      <c r="B150" t="s">
        <v>1719</v>
      </c>
      <c r="C150" t="s">
        <v>1011</v>
      </c>
      <c r="D150" t="s">
        <v>0</v>
      </c>
      <c r="E150" t="s">
        <v>416</v>
      </c>
      <c r="F150" t="s">
        <v>51</v>
      </c>
      <c r="G150" s="427">
        <v>46244.270833333336</v>
      </c>
      <c r="I150" s="427">
        <v>46244.204861111109</v>
      </c>
      <c r="K150" t="s">
        <v>427</v>
      </c>
      <c r="L150" t="s">
        <v>7031</v>
      </c>
      <c r="M150" t="s">
        <v>57</v>
      </c>
      <c r="N150" t="s">
        <v>7032</v>
      </c>
      <c r="O150" t="b">
        <v>0</v>
      </c>
      <c r="P150" t="s">
        <v>57</v>
      </c>
      <c r="Q150" t="s">
        <v>7033</v>
      </c>
      <c r="R150" t="b">
        <v>0</v>
      </c>
      <c r="S150" t="s">
        <v>416</v>
      </c>
      <c r="T150" t="b">
        <v>0</v>
      </c>
      <c r="U150" t="s">
        <v>57</v>
      </c>
      <c r="V150" t="b">
        <v>0</v>
      </c>
      <c r="W150" t="b">
        <v>0</v>
      </c>
      <c r="X150" t="b">
        <v>0</v>
      </c>
      <c r="Y150" t="b">
        <v>0</v>
      </c>
      <c r="Z150" t="s">
        <v>59</v>
      </c>
      <c r="AA150" t="b">
        <v>0</v>
      </c>
    </row>
    <row r="151" spans="1:27">
      <c r="A151" t="s">
        <v>6838</v>
      </c>
      <c r="B151" t="s">
        <v>1720</v>
      </c>
      <c r="C151" t="s">
        <v>1721</v>
      </c>
      <c r="D151" t="s">
        <v>0</v>
      </c>
      <c r="E151" t="s">
        <v>6839</v>
      </c>
      <c r="F151" t="s">
        <v>66</v>
      </c>
      <c r="G151" s="427">
        <v>46244.797222222223</v>
      </c>
      <c r="I151" s="427">
        <v>46244.208333333336</v>
      </c>
      <c r="K151" t="s">
        <v>430</v>
      </c>
      <c r="M151" t="s">
        <v>57</v>
      </c>
      <c r="P151" t="s">
        <v>57</v>
      </c>
      <c r="S151" t="s">
        <v>6839</v>
      </c>
      <c r="T151" t="b">
        <v>0</v>
      </c>
      <c r="U151" t="s">
        <v>57</v>
      </c>
      <c r="V151" t="b">
        <v>0</v>
      </c>
      <c r="W151" t="b">
        <v>0</v>
      </c>
      <c r="X151" t="b">
        <v>0</v>
      </c>
      <c r="Y151" t="b">
        <v>0</v>
      </c>
      <c r="Z151" t="s">
        <v>59</v>
      </c>
      <c r="AA151" t="b">
        <v>0</v>
      </c>
    </row>
    <row r="152" spans="1:27">
      <c r="A152" t="s">
        <v>6838</v>
      </c>
      <c r="B152" t="s">
        <v>1722</v>
      </c>
      <c r="C152" t="s">
        <v>1246</v>
      </c>
      <c r="D152" t="s">
        <v>0</v>
      </c>
      <c r="E152" t="s">
        <v>6839</v>
      </c>
      <c r="F152" t="s">
        <v>66</v>
      </c>
      <c r="G152" s="427">
        <v>46244.797222222223</v>
      </c>
      <c r="I152" s="427">
        <v>46244.208333333336</v>
      </c>
      <c r="K152" t="s">
        <v>430</v>
      </c>
      <c r="M152" t="s">
        <v>57</v>
      </c>
      <c r="P152" t="s">
        <v>57</v>
      </c>
      <c r="S152" t="s">
        <v>6839</v>
      </c>
      <c r="T152" t="b">
        <v>0</v>
      </c>
      <c r="U152" t="s">
        <v>57</v>
      </c>
      <c r="V152" t="b">
        <v>0</v>
      </c>
      <c r="W152" t="b">
        <v>0</v>
      </c>
      <c r="X152" t="b">
        <v>0</v>
      </c>
      <c r="Y152" t="b">
        <v>0</v>
      </c>
      <c r="Z152" t="s">
        <v>59</v>
      </c>
      <c r="AA152" t="b">
        <v>0</v>
      </c>
    </row>
    <row r="153" spans="1:27">
      <c r="A153" t="s">
        <v>6838</v>
      </c>
      <c r="B153" t="s">
        <v>1723</v>
      </c>
      <c r="C153" t="s">
        <v>1724</v>
      </c>
      <c r="D153" t="s">
        <v>0</v>
      </c>
      <c r="E153" t="s">
        <v>6839</v>
      </c>
      <c r="F153" t="s">
        <v>66</v>
      </c>
      <c r="G153" s="427">
        <v>46244.797222222223</v>
      </c>
      <c r="I153" s="427">
        <v>46244.208333333336</v>
      </c>
      <c r="K153" t="s">
        <v>430</v>
      </c>
      <c r="M153" t="s">
        <v>57</v>
      </c>
      <c r="P153" t="s">
        <v>57</v>
      </c>
      <c r="S153" t="s">
        <v>6839</v>
      </c>
      <c r="T153" t="b">
        <v>0</v>
      </c>
      <c r="U153" t="s">
        <v>57</v>
      </c>
      <c r="V153" t="b">
        <v>0</v>
      </c>
      <c r="W153" t="b">
        <v>0</v>
      </c>
      <c r="X153" t="b">
        <v>0</v>
      </c>
      <c r="Y153" t="b">
        <v>0</v>
      </c>
      <c r="Z153" t="s">
        <v>59</v>
      </c>
      <c r="AA153" t="b">
        <v>0</v>
      </c>
    </row>
    <row r="154" spans="1:27">
      <c r="A154" t="s">
        <v>6838</v>
      </c>
      <c r="B154" t="s">
        <v>1725</v>
      </c>
      <c r="C154" t="s">
        <v>1726</v>
      </c>
      <c r="D154" t="s">
        <v>0</v>
      </c>
      <c r="E154" t="s">
        <v>6839</v>
      </c>
      <c r="F154" t="s">
        <v>66</v>
      </c>
      <c r="G154" s="427">
        <v>46244.797222222223</v>
      </c>
      <c r="I154" s="427">
        <v>46244.208333333336</v>
      </c>
      <c r="K154" t="s">
        <v>430</v>
      </c>
      <c r="M154" t="s">
        <v>57</v>
      </c>
      <c r="P154" t="s">
        <v>57</v>
      </c>
      <c r="S154" t="s">
        <v>6839</v>
      </c>
      <c r="T154" t="b">
        <v>0</v>
      </c>
      <c r="U154" t="s">
        <v>57</v>
      </c>
      <c r="V154" t="b">
        <v>0</v>
      </c>
      <c r="W154" t="b">
        <v>0</v>
      </c>
      <c r="X154" t="b">
        <v>0</v>
      </c>
      <c r="Y154" t="b">
        <v>0</v>
      </c>
      <c r="Z154" t="s">
        <v>59</v>
      </c>
      <c r="AA154" t="b">
        <v>0</v>
      </c>
    </row>
    <row r="155" spans="1:27">
      <c r="A155" t="s">
        <v>656</v>
      </c>
      <c r="B155" t="s">
        <v>1727</v>
      </c>
      <c r="C155" t="s">
        <v>655</v>
      </c>
      <c r="D155" t="s">
        <v>0</v>
      </c>
      <c r="E155" t="s">
        <v>657</v>
      </c>
      <c r="F155" t="s">
        <v>51</v>
      </c>
      <c r="G155" s="427">
        <v>46244.322916666664</v>
      </c>
      <c r="I155" s="427">
        <v>46244.208333333336</v>
      </c>
      <c r="K155" t="s">
        <v>1916</v>
      </c>
      <c r="L155" t="s">
        <v>7034</v>
      </c>
      <c r="M155" t="s">
        <v>57</v>
      </c>
      <c r="N155" t="s">
        <v>7035</v>
      </c>
      <c r="O155" t="b">
        <v>0</v>
      </c>
      <c r="P155" t="s">
        <v>57</v>
      </c>
      <c r="Q155" t="s">
        <v>659</v>
      </c>
      <c r="R155" t="b">
        <v>0</v>
      </c>
      <c r="S155" t="s">
        <v>657</v>
      </c>
      <c r="T155" t="b">
        <v>0</v>
      </c>
      <c r="U155" t="s">
        <v>57</v>
      </c>
      <c r="V155" t="b">
        <v>0</v>
      </c>
      <c r="W155" t="b">
        <v>0</v>
      </c>
      <c r="X155" t="b">
        <v>0</v>
      </c>
      <c r="Y155" t="b">
        <v>0</v>
      </c>
      <c r="Z155" t="s">
        <v>59</v>
      </c>
      <c r="AA155" t="b">
        <v>0</v>
      </c>
    </row>
    <row r="156" spans="1:27">
      <c r="A156" t="s">
        <v>455</v>
      </c>
      <c r="B156" t="s">
        <v>1728</v>
      </c>
      <c r="C156" t="s">
        <v>454</v>
      </c>
      <c r="D156" t="s">
        <v>0</v>
      </c>
      <c r="E156" t="s">
        <v>456</v>
      </c>
      <c r="F156" t="s">
        <v>51</v>
      </c>
      <c r="G156" s="427">
        <v>46244.263888888891</v>
      </c>
      <c r="I156" s="427">
        <v>46244.208333333336</v>
      </c>
      <c r="K156" t="s">
        <v>430</v>
      </c>
      <c r="L156" t="s">
        <v>6763</v>
      </c>
      <c r="M156" t="s">
        <v>57</v>
      </c>
      <c r="N156" t="s">
        <v>6764</v>
      </c>
      <c r="O156" t="b">
        <v>0</v>
      </c>
      <c r="P156" t="s">
        <v>57</v>
      </c>
      <c r="Q156" t="s">
        <v>4084</v>
      </c>
      <c r="R156" t="b">
        <v>0</v>
      </c>
      <c r="S156" t="s">
        <v>456</v>
      </c>
      <c r="T156" t="b">
        <v>0</v>
      </c>
      <c r="U156" t="s">
        <v>57</v>
      </c>
      <c r="V156" t="b">
        <v>0</v>
      </c>
      <c r="W156" t="b">
        <v>0</v>
      </c>
      <c r="X156" t="b">
        <v>0</v>
      </c>
      <c r="Y156" t="b">
        <v>0</v>
      </c>
      <c r="Z156" t="s">
        <v>59</v>
      </c>
      <c r="AA156" t="b">
        <v>0</v>
      </c>
    </row>
    <row r="157" spans="1:27">
      <c r="A157" t="s">
        <v>445</v>
      </c>
      <c r="B157" t="s">
        <v>1729</v>
      </c>
      <c r="C157" t="s">
        <v>902</v>
      </c>
      <c r="D157" t="s">
        <v>0</v>
      </c>
      <c r="E157" t="s">
        <v>435</v>
      </c>
      <c r="F157" t="s">
        <v>66</v>
      </c>
      <c r="G157" s="427">
        <v>46244.274305555555</v>
      </c>
      <c r="I157" s="427">
        <v>46244.208333333336</v>
      </c>
      <c r="K157" t="s">
        <v>168</v>
      </c>
      <c r="M157" t="s">
        <v>57</v>
      </c>
      <c r="P157" t="s">
        <v>57</v>
      </c>
      <c r="S157" t="s">
        <v>435</v>
      </c>
      <c r="T157" t="b">
        <v>0</v>
      </c>
      <c r="U157" t="s">
        <v>57</v>
      </c>
      <c r="V157" t="b">
        <v>0</v>
      </c>
      <c r="W157" t="b">
        <v>0</v>
      </c>
      <c r="X157" t="b">
        <v>0</v>
      </c>
      <c r="Y157" t="b">
        <v>0</v>
      </c>
      <c r="Z157" t="s">
        <v>59</v>
      </c>
      <c r="AA157" t="b">
        <v>0</v>
      </c>
    </row>
    <row r="158" spans="1:27">
      <c r="A158" t="s">
        <v>590</v>
      </c>
      <c r="B158" t="s">
        <v>1730</v>
      </c>
      <c r="C158" t="s">
        <v>597</v>
      </c>
      <c r="D158" t="s">
        <v>0</v>
      </c>
      <c r="E158" t="s">
        <v>591</v>
      </c>
      <c r="F158" t="s">
        <v>51</v>
      </c>
      <c r="G158" s="427">
        <v>46244.298611111109</v>
      </c>
      <c r="I158" s="427">
        <v>46244.208333333336</v>
      </c>
      <c r="K158" t="s">
        <v>52</v>
      </c>
      <c r="L158" t="s">
        <v>7036</v>
      </c>
      <c r="M158" t="s">
        <v>57</v>
      </c>
      <c r="N158" t="s">
        <v>7037</v>
      </c>
      <c r="O158" t="b">
        <v>0</v>
      </c>
      <c r="P158" t="s">
        <v>57</v>
      </c>
      <c r="Q158" t="s">
        <v>598</v>
      </c>
      <c r="R158" t="b">
        <v>0</v>
      </c>
      <c r="S158" t="s">
        <v>591</v>
      </c>
      <c r="T158" t="b">
        <v>1</v>
      </c>
      <c r="U158" t="s">
        <v>57</v>
      </c>
      <c r="V158" t="b">
        <v>0</v>
      </c>
      <c r="W158" t="b">
        <v>0</v>
      </c>
      <c r="X158" t="b">
        <v>0</v>
      </c>
      <c r="Y158" t="b">
        <v>0</v>
      </c>
      <c r="Z158" t="s">
        <v>59</v>
      </c>
      <c r="AA158" t="b">
        <v>0</v>
      </c>
    </row>
    <row r="159" spans="1:27">
      <c r="A159" t="s">
        <v>997</v>
      </c>
      <c r="B159" t="s">
        <v>1731</v>
      </c>
      <c r="C159" t="s">
        <v>996</v>
      </c>
      <c r="D159" t="s">
        <v>0</v>
      </c>
      <c r="E159" t="s">
        <v>671</v>
      </c>
      <c r="F159" t="s">
        <v>51</v>
      </c>
      <c r="G159" s="427">
        <v>46244.263888888891</v>
      </c>
      <c r="I159" s="427">
        <v>46244.208333333336</v>
      </c>
      <c r="K159" t="s">
        <v>2792</v>
      </c>
      <c r="L159" t="s">
        <v>7038</v>
      </c>
      <c r="M159" t="s">
        <v>57</v>
      </c>
      <c r="N159" t="s">
        <v>1319</v>
      </c>
      <c r="O159" t="b">
        <v>0</v>
      </c>
      <c r="P159" t="s">
        <v>57</v>
      </c>
      <c r="Q159" t="s">
        <v>998</v>
      </c>
      <c r="R159" t="b">
        <v>0</v>
      </c>
      <c r="S159" t="s">
        <v>671</v>
      </c>
      <c r="T159" t="b">
        <v>0</v>
      </c>
      <c r="U159" t="s">
        <v>57</v>
      </c>
      <c r="V159" t="b">
        <v>0</v>
      </c>
      <c r="W159" t="b">
        <v>0</v>
      </c>
      <c r="X159" t="b">
        <v>0</v>
      </c>
      <c r="Y159" t="b">
        <v>0</v>
      </c>
      <c r="Z159" t="s">
        <v>59</v>
      </c>
      <c r="AA159" t="b">
        <v>0</v>
      </c>
    </row>
    <row r="160" spans="1:27">
      <c r="A160" t="s">
        <v>773</v>
      </c>
      <c r="B160" t="s">
        <v>1732</v>
      </c>
      <c r="C160" t="s">
        <v>772</v>
      </c>
      <c r="D160" t="s">
        <v>0</v>
      </c>
      <c r="E160" t="s">
        <v>774</v>
      </c>
      <c r="F160" t="s">
        <v>66</v>
      </c>
      <c r="G160" s="427">
        <v>46244.291666666664</v>
      </c>
      <c r="I160" s="427">
        <v>46244.208333333336</v>
      </c>
      <c r="K160" t="s">
        <v>430</v>
      </c>
      <c r="M160" t="s">
        <v>57</v>
      </c>
      <c r="P160" t="s">
        <v>57</v>
      </c>
      <c r="Q160" t="s">
        <v>775</v>
      </c>
      <c r="R160" t="b">
        <v>0</v>
      </c>
      <c r="S160" t="s">
        <v>774</v>
      </c>
      <c r="T160" t="b">
        <v>0</v>
      </c>
      <c r="U160" t="s">
        <v>57</v>
      </c>
      <c r="V160" t="b">
        <v>0</v>
      </c>
      <c r="W160" t="b">
        <v>0</v>
      </c>
      <c r="X160" t="b">
        <v>0</v>
      </c>
      <c r="Y160" t="b">
        <v>0</v>
      </c>
      <c r="Z160" t="s">
        <v>59</v>
      </c>
      <c r="AA160" t="b">
        <v>0</v>
      </c>
    </row>
    <row r="161" spans="1:27">
      <c r="A161" t="s">
        <v>445</v>
      </c>
      <c r="B161" t="s">
        <v>1733</v>
      </c>
      <c r="C161" t="s">
        <v>444</v>
      </c>
      <c r="D161" t="s">
        <v>0</v>
      </c>
      <c r="E161" t="s">
        <v>435</v>
      </c>
      <c r="F161" t="s">
        <v>66</v>
      </c>
      <c r="G161" s="427">
        <v>46244.274305555555</v>
      </c>
      <c r="I161" s="427">
        <v>46244.208333333336</v>
      </c>
      <c r="K161" t="s">
        <v>1901</v>
      </c>
      <c r="L161" t="s">
        <v>7039</v>
      </c>
      <c r="M161" t="s">
        <v>57</v>
      </c>
      <c r="N161" t="s">
        <v>7040</v>
      </c>
      <c r="O161" t="b">
        <v>0</v>
      </c>
      <c r="P161" t="s">
        <v>57</v>
      </c>
      <c r="Q161" t="s">
        <v>447</v>
      </c>
      <c r="R161" t="b">
        <v>0</v>
      </c>
      <c r="S161" t="s">
        <v>435</v>
      </c>
      <c r="T161" t="b">
        <v>1</v>
      </c>
      <c r="U161" t="s">
        <v>57</v>
      </c>
      <c r="V161" t="b">
        <v>0</v>
      </c>
      <c r="W161" t="b">
        <v>0</v>
      </c>
      <c r="X161" t="b">
        <v>0</v>
      </c>
      <c r="Y161" t="b">
        <v>0</v>
      </c>
      <c r="Z161" t="s">
        <v>59</v>
      </c>
      <c r="AA161" t="b">
        <v>0</v>
      </c>
    </row>
    <row r="162" spans="1:27">
      <c r="A162" t="s">
        <v>467</v>
      </c>
      <c r="B162" t="s">
        <v>1734</v>
      </c>
      <c r="C162" t="s">
        <v>466</v>
      </c>
      <c r="D162" t="s">
        <v>0</v>
      </c>
      <c r="E162" t="s">
        <v>456</v>
      </c>
      <c r="F162" t="s">
        <v>66</v>
      </c>
      <c r="G162" s="427">
        <v>46244.274305555555</v>
      </c>
      <c r="I162" s="427">
        <v>46244.21875</v>
      </c>
      <c r="K162" t="s">
        <v>451</v>
      </c>
      <c r="L162" t="s">
        <v>7041</v>
      </c>
      <c r="M162" t="s">
        <v>57</v>
      </c>
      <c r="N162" t="s">
        <v>7042</v>
      </c>
      <c r="O162" t="b">
        <v>0</v>
      </c>
      <c r="P162" t="s">
        <v>57</v>
      </c>
      <c r="Q162" t="s">
        <v>3869</v>
      </c>
      <c r="R162" t="b">
        <v>0</v>
      </c>
      <c r="S162" t="s">
        <v>456</v>
      </c>
      <c r="T162" t="b">
        <v>0</v>
      </c>
      <c r="U162" t="s">
        <v>57</v>
      </c>
      <c r="V162" t="b">
        <v>0</v>
      </c>
      <c r="W162" t="b">
        <v>0</v>
      </c>
      <c r="X162" t="b">
        <v>0</v>
      </c>
      <c r="Y162" t="b">
        <v>0</v>
      </c>
      <c r="Z162" t="s">
        <v>59</v>
      </c>
      <c r="AA162" t="b">
        <v>0</v>
      </c>
    </row>
    <row r="163" spans="1:27">
      <c r="A163" t="s">
        <v>662</v>
      </c>
      <c r="B163" t="s">
        <v>1735</v>
      </c>
      <c r="C163" t="s">
        <v>661</v>
      </c>
      <c r="D163" t="s">
        <v>0</v>
      </c>
      <c r="E163" t="s">
        <v>663</v>
      </c>
      <c r="F163" t="s">
        <v>51</v>
      </c>
      <c r="G163" s="427">
        <v>46244.267361111109</v>
      </c>
      <c r="I163" s="427">
        <v>46244.21875</v>
      </c>
      <c r="K163" t="s">
        <v>3785</v>
      </c>
      <c r="L163" t="s">
        <v>7043</v>
      </c>
      <c r="M163" t="s">
        <v>57</v>
      </c>
      <c r="N163" t="s">
        <v>7044</v>
      </c>
      <c r="O163" t="b">
        <v>0</v>
      </c>
      <c r="P163" t="s">
        <v>57</v>
      </c>
      <c r="Q163" t="s">
        <v>664</v>
      </c>
      <c r="R163" t="b">
        <v>0</v>
      </c>
      <c r="S163" t="s">
        <v>663</v>
      </c>
      <c r="T163" t="b">
        <v>1</v>
      </c>
      <c r="U163" t="s">
        <v>57</v>
      </c>
      <c r="V163" t="b">
        <v>0</v>
      </c>
      <c r="W163" t="b">
        <v>0</v>
      </c>
      <c r="X163" t="b">
        <v>0</v>
      </c>
      <c r="Y163" t="b">
        <v>0</v>
      </c>
      <c r="Z163" t="s">
        <v>59</v>
      </c>
      <c r="AA163" t="b">
        <v>0</v>
      </c>
    </row>
    <row r="164" spans="1:27">
      <c r="A164" t="s">
        <v>662</v>
      </c>
      <c r="B164" t="s">
        <v>1736</v>
      </c>
      <c r="C164" t="s">
        <v>1175</v>
      </c>
      <c r="D164" t="s">
        <v>0</v>
      </c>
      <c r="E164" t="s">
        <v>663</v>
      </c>
      <c r="F164" t="s">
        <v>51</v>
      </c>
      <c r="G164" s="427">
        <v>46244.267361111109</v>
      </c>
      <c r="I164" s="427">
        <v>46244.21875</v>
      </c>
      <c r="K164" t="s">
        <v>430</v>
      </c>
      <c r="L164" t="s">
        <v>7045</v>
      </c>
      <c r="M164" t="s">
        <v>57</v>
      </c>
      <c r="N164" t="s">
        <v>7046</v>
      </c>
      <c r="O164" t="b">
        <v>0</v>
      </c>
      <c r="P164" t="s">
        <v>57</v>
      </c>
      <c r="Q164" t="s">
        <v>4094</v>
      </c>
      <c r="R164" t="b">
        <v>0</v>
      </c>
      <c r="S164" t="s">
        <v>663</v>
      </c>
      <c r="T164" t="b">
        <v>0</v>
      </c>
      <c r="U164" t="s">
        <v>57</v>
      </c>
      <c r="V164" t="b">
        <v>0</v>
      </c>
      <c r="W164" t="b">
        <v>0</v>
      </c>
      <c r="X164" t="b">
        <v>0</v>
      </c>
      <c r="Y164" t="b">
        <v>0</v>
      </c>
      <c r="Z164" t="s">
        <v>59</v>
      </c>
      <c r="AA164" t="b">
        <v>0</v>
      </c>
    </row>
    <row r="165" spans="1:27">
      <c r="A165" t="s">
        <v>7047</v>
      </c>
      <c r="B165" t="s">
        <v>1737</v>
      </c>
      <c r="C165" t="s">
        <v>1164</v>
      </c>
      <c r="D165" t="s">
        <v>0</v>
      </c>
      <c r="E165" t="s">
        <v>450</v>
      </c>
      <c r="F165" t="s">
        <v>51</v>
      </c>
      <c r="G165" s="427">
        <v>46244.274305555555</v>
      </c>
      <c r="I165" s="427">
        <v>46244.21875</v>
      </c>
      <c r="K165" t="s">
        <v>430</v>
      </c>
      <c r="L165" t="s">
        <v>7048</v>
      </c>
      <c r="M165" t="s">
        <v>57</v>
      </c>
      <c r="N165" t="s">
        <v>7049</v>
      </c>
      <c r="O165" t="b">
        <v>0</v>
      </c>
      <c r="P165" t="s">
        <v>57</v>
      </c>
      <c r="Q165" t="s">
        <v>6163</v>
      </c>
      <c r="R165" t="b">
        <v>0</v>
      </c>
      <c r="S165" t="s">
        <v>450</v>
      </c>
      <c r="T165" t="b">
        <v>0</v>
      </c>
      <c r="U165" t="s">
        <v>57</v>
      </c>
      <c r="V165" t="b">
        <v>0</v>
      </c>
      <c r="W165" t="b">
        <v>0</v>
      </c>
      <c r="X165" t="b">
        <v>0</v>
      </c>
      <c r="Y165" t="b">
        <v>0</v>
      </c>
      <c r="Z165" t="s">
        <v>59</v>
      </c>
      <c r="AA165" t="b">
        <v>0</v>
      </c>
    </row>
    <row r="166" spans="1:27">
      <c r="A166" t="s">
        <v>930</v>
      </c>
      <c r="B166" t="s">
        <v>1738</v>
      </c>
      <c r="C166" t="s">
        <v>929</v>
      </c>
      <c r="D166" t="s">
        <v>0</v>
      </c>
      <c r="E166" t="s">
        <v>456</v>
      </c>
      <c r="F166" t="s">
        <v>66</v>
      </c>
      <c r="G166" s="427">
        <v>46244.274305555555</v>
      </c>
      <c r="I166" s="427">
        <v>46244.21875</v>
      </c>
      <c r="K166" t="s">
        <v>1901</v>
      </c>
      <c r="L166" t="s">
        <v>7050</v>
      </c>
      <c r="M166" t="s">
        <v>57</v>
      </c>
      <c r="N166" t="s">
        <v>7051</v>
      </c>
      <c r="O166" t="b">
        <v>0</v>
      </c>
      <c r="P166" t="s">
        <v>57</v>
      </c>
      <c r="S166" t="s">
        <v>456</v>
      </c>
      <c r="T166" t="b">
        <v>0</v>
      </c>
      <c r="U166" t="s">
        <v>57</v>
      </c>
      <c r="V166" t="b">
        <v>0</v>
      </c>
      <c r="W166" t="b">
        <v>0</v>
      </c>
      <c r="X166" t="b">
        <v>0</v>
      </c>
      <c r="Y166" t="b">
        <v>0</v>
      </c>
      <c r="Z166" t="s">
        <v>59</v>
      </c>
      <c r="AA166" t="b">
        <v>0</v>
      </c>
    </row>
    <row r="167" spans="1:27">
      <c r="A167" t="s">
        <v>1194</v>
      </c>
      <c r="B167" t="s">
        <v>1739</v>
      </c>
      <c r="C167" t="s">
        <v>1193</v>
      </c>
      <c r="D167" t="s">
        <v>0</v>
      </c>
      <c r="E167" t="s">
        <v>859</v>
      </c>
      <c r="F167" t="s">
        <v>51</v>
      </c>
      <c r="G167" s="427">
        <v>46244.267361111109</v>
      </c>
      <c r="I167" s="427">
        <v>46244.229166666664</v>
      </c>
      <c r="K167" t="s">
        <v>430</v>
      </c>
      <c r="L167" t="s">
        <v>7052</v>
      </c>
      <c r="M167" t="s">
        <v>57</v>
      </c>
      <c r="N167" t="s">
        <v>7053</v>
      </c>
      <c r="O167" t="b">
        <v>0</v>
      </c>
      <c r="P167" t="s">
        <v>57</v>
      </c>
      <c r="Q167" t="s">
        <v>1195</v>
      </c>
      <c r="R167" t="b">
        <v>0</v>
      </c>
      <c r="S167" t="s">
        <v>859</v>
      </c>
      <c r="T167" t="b">
        <v>0</v>
      </c>
      <c r="U167" t="s">
        <v>57</v>
      </c>
      <c r="V167" t="b">
        <v>0</v>
      </c>
      <c r="W167" t="b">
        <v>0</v>
      </c>
      <c r="X167" t="b">
        <v>0</v>
      </c>
      <c r="Y167" t="b">
        <v>0</v>
      </c>
      <c r="Z167" t="s">
        <v>59</v>
      </c>
      <c r="AA167" t="b">
        <v>0</v>
      </c>
    </row>
    <row r="168" spans="1:27">
      <c r="A168" t="s">
        <v>1169</v>
      </c>
      <c r="B168" t="s">
        <v>1740</v>
      </c>
      <c r="C168" t="s">
        <v>1168</v>
      </c>
      <c r="D168" t="s">
        <v>0</v>
      </c>
      <c r="E168" t="s">
        <v>573</v>
      </c>
      <c r="F168" t="s">
        <v>66</v>
      </c>
      <c r="G168" s="427">
        <v>46244.315972222219</v>
      </c>
      <c r="I168" s="427">
        <v>46244.229166666664</v>
      </c>
      <c r="K168" t="s">
        <v>52</v>
      </c>
      <c r="L168" t="s">
        <v>7054</v>
      </c>
      <c r="M168" t="s">
        <v>57</v>
      </c>
      <c r="N168" t="s">
        <v>7055</v>
      </c>
      <c r="O168" t="b">
        <v>0</v>
      </c>
      <c r="P168" t="s">
        <v>57</v>
      </c>
      <c r="Q168" t="s">
        <v>7056</v>
      </c>
      <c r="R168" t="b">
        <v>0</v>
      </c>
      <c r="S168" t="s">
        <v>573</v>
      </c>
      <c r="T168" t="b">
        <v>0</v>
      </c>
      <c r="U168" t="s">
        <v>57</v>
      </c>
      <c r="V168" t="b">
        <v>0</v>
      </c>
      <c r="W168" t="b">
        <v>0</v>
      </c>
      <c r="X168" t="b">
        <v>0</v>
      </c>
      <c r="Y168" t="b">
        <v>0</v>
      </c>
      <c r="Z168" t="s">
        <v>59</v>
      </c>
      <c r="AA168" t="b">
        <v>0</v>
      </c>
    </row>
    <row r="169" spans="1:27">
      <c r="A169" t="s">
        <v>885</v>
      </c>
      <c r="B169" t="s">
        <v>1741</v>
      </c>
      <c r="C169" t="s">
        <v>884</v>
      </c>
      <c r="D169" t="s">
        <v>0</v>
      </c>
      <c r="E169" t="s">
        <v>886</v>
      </c>
      <c r="F169" t="s">
        <v>51</v>
      </c>
      <c r="G169" s="427">
        <v>46244.295138888891</v>
      </c>
      <c r="I169" s="427">
        <v>46244.229166666664</v>
      </c>
      <c r="K169" t="s">
        <v>427</v>
      </c>
      <c r="L169" t="s">
        <v>7057</v>
      </c>
      <c r="M169" t="s">
        <v>57</v>
      </c>
      <c r="N169" t="s">
        <v>7058</v>
      </c>
      <c r="O169" t="b">
        <v>0</v>
      </c>
      <c r="P169" t="s">
        <v>57</v>
      </c>
      <c r="Q169" t="s">
        <v>887</v>
      </c>
      <c r="R169" t="b">
        <v>0</v>
      </c>
      <c r="S169" t="s">
        <v>886</v>
      </c>
      <c r="T169" t="b">
        <v>1</v>
      </c>
      <c r="U169" t="s">
        <v>57</v>
      </c>
      <c r="V169" t="b">
        <v>0</v>
      </c>
      <c r="W169" t="b">
        <v>0</v>
      </c>
      <c r="X169" t="b">
        <v>0</v>
      </c>
      <c r="Y169" t="b">
        <v>0</v>
      </c>
      <c r="Z169" t="s">
        <v>7059</v>
      </c>
      <c r="AA169" t="b">
        <v>0</v>
      </c>
    </row>
    <row r="170" spans="1:27">
      <c r="A170" t="s">
        <v>572</v>
      </c>
      <c r="B170" t="s">
        <v>1742</v>
      </c>
      <c r="C170" t="s">
        <v>571</v>
      </c>
      <c r="D170" t="s">
        <v>0</v>
      </c>
      <c r="E170" t="s">
        <v>573</v>
      </c>
      <c r="F170" t="s">
        <v>66</v>
      </c>
      <c r="G170" s="427">
        <v>46244.315972222219</v>
      </c>
      <c r="I170" s="427">
        <v>46244.229166666664</v>
      </c>
      <c r="K170" t="s">
        <v>427</v>
      </c>
      <c r="L170" t="s">
        <v>6852</v>
      </c>
      <c r="M170" t="s">
        <v>57</v>
      </c>
      <c r="N170" t="s">
        <v>6853</v>
      </c>
      <c r="O170" t="b">
        <v>0</v>
      </c>
      <c r="P170" t="s">
        <v>57</v>
      </c>
      <c r="Q170" t="s">
        <v>5277</v>
      </c>
      <c r="R170" t="b">
        <v>0</v>
      </c>
      <c r="S170" t="s">
        <v>573</v>
      </c>
      <c r="T170" t="b">
        <v>0</v>
      </c>
      <c r="U170" t="s">
        <v>57</v>
      </c>
      <c r="V170" t="b">
        <v>0</v>
      </c>
      <c r="W170" t="b">
        <v>0</v>
      </c>
      <c r="X170" t="b">
        <v>0</v>
      </c>
      <c r="Y170" t="b">
        <v>0</v>
      </c>
      <c r="Z170" t="s">
        <v>59</v>
      </c>
      <c r="AA170" t="b">
        <v>0</v>
      </c>
    </row>
    <row r="171" spans="1:27">
      <c r="A171" t="s">
        <v>628</v>
      </c>
      <c r="B171" t="s">
        <v>1743</v>
      </c>
      <c r="C171" t="s">
        <v>632</v>
      </c>
      <c r="D171" t="s">
        <v>0</v>
      </c>
      <c r="E171" t="s">
        <v>629</v>
      </c>
      <c r="F171" t="s">
        <v>51</v>
      </c>
      <c r="G171" s="427">
        <v>46244.302083333336</v>
      </c>
      <c r="I171" s="427">
        <v>46244.25</v>
      </c>
      <c r="K171" t="s">
        <v>430</v>
      </c>
      <c r="L171" t="s">
        <v>7060</v>
      </c>
      <c r="M171" t="s">
        <v>57</v>
      </c>
      <c r="N171" t="s">
        <v>7061</v>
      </c>
      <c r="O171" t="b">
        <v>0</v>
      </c>
      <c r="P171" t="s">
        <v>57</v>
      </c>
      <c r="Q171" t="s">
        <v>4859</v>
      </c>
      <c r="R171" t="b">
        <v>0</v>
      </c>
      <c r="S171" t="s">
        <v>629</v>
      </c>
      <c r="T171" t="b">
        <v>0</v>
      </c>
      <c r="U171" t="s">
        <v>57</v>
      </c>
      <c r="V171" t="b">
        <v>0</v>
      </c>
      <c r="W171" t="b">
        <v>0</v>
      </c>
      <c r="X171" t="b">
        <v>0</v>
      </c>
      <c r="Y171" t="b">
        <v>0</v>
      </c>
      <c r="Z171" t="s">
        <v>59</v>
      </c>
      <c r="AA171" t="b">
        <v>0</v>
      </c>
    </row>
    <row r="172" spans="1:27">
      <c r="A172" t="s">
        <v>1047</v>
      </c>
      <c r="B172" t="s">
        <v>1744</v>
      </c>
      <c r="C172" t="s">
        <v>1046</v>
      </c>
      <c r="D172" t="s">
        <v>0</v>
      </c>
      <c r="E172" t="s">
        <v>602</v>
      </c>
      <c r="F172" t="s">
        <v>66</v>
      </c>
      <c r="G172" s="427">
        <v>46244.298611111109</v>
      </c>
      <c r="I172" s="427">
        <v>46244.25</v>
      </c>
      <c r="K172" t="s">
        <v>451</v>
      </c>
      <c r="L172" t="s">
        <v>7062</v>
      </c>
      <c r="M172" t="s">
        <v>57</v>
      </c>
      <c r="N172" t="s">
        <v>7063</v>
      </c>
      <c r="O172" t="b">
        <v>0</v>
      </c>
      <c r="P172" t="s">
        <v>57</v>
      </c>
      <c r="Q172" t="s">
        <v>1048</v>
      </c>
      <c r="R172" t="b">
        <v>0</v>
      </c>
      <c r="S172" t="s">
        <v>602</v>
      </c>
      <c r="T172" t="b">
        <v>1</v>
      </c>
      <c r="U172" t="s">
        <v>57</v>
      </c>
      <c r="V172" t="b">
        <v>0</v>
      </c>
      <c r="W172" t="b">
        <v>0</v>
      </c>
      <c r="X172" t="b">
        <v>0</v>
      </c>
      <c r="Y172" t="b">
        <v>0</v>
      </c>
      <c r="Z172" t="s">
        <v>59</v>
      </c>
      <c r="AA172" t="b">
        <v>0</v>
      </c>
    </row>
    <row r="173" spans="1:27">
      <c r="A173" t="s">
        <v>873</v>
      </c>
      <c r="B173" t="s">
        <v>1745</v>
      </c>
      <c r="C173" t="s">
        <v>872</v>
      </c>
      <c r="D173" t="s">
        <v>0</v>
      </c>
      <c r="E173" t="s">
        <v>874</v>
      </c>
      <c r="F173" t="s">
        <v>51</v>
      </c>
      <c r="G173" s="427">
        <v>46244.263888888891</v>
      </c>
      <c r="I173" s="427">
        <v>46244.25</v>
      </c>
      <c r="K173" t="s">
        <v>1945</v>
      </c>
      <c r="L173" t="s">
        <v>7064</v>
      </c>
      <c r="M173" t="s">
        <v>57</v>
      </c>
      <c r="N173" t="s">
        <v>7065</v>
      </c>
      <c r="O173" t="b">
        <v>0</v>
      </c>
      <c r="P173" t="s">
        <v>57</v>
      </c>
      <c r="Q173" t="s">
        <v>875</v>
      </c>
      <c r="R173" t="b">
        <v>0</v>
      </c>
      <c r="S173" t="s">
        <v>874</v>
      </c>
      <c r="T173" t="b">
        <v>1</v>
      </c>
      <c r="U173" t="s">
        <v>57</v>
      </c>
      <c r="V173" t="b">
        <v>0</v>
      </c>
      <c r="W173" t="b">
        <v>0</v>
      </c>
      <c r="X173" t="b">
        <v>0</v>
      </c>
      <c r="Y173" t="b">
        <v>0</v>
      </c>
      <c r="Z173" t="s">
        <v>59</v>
      </c>
      <c r="AA173" t="b">
        <v>0</v>
      </c>
    </row>
    <row r="174" spans="1:27">
      <c r="A174" t="s">
        <v>858</v>
      </c>
      <c r="B174" t="s">
        <v>1746</v>
      </c>
      <c r="C174" t="s">
        <v>857</v>
      </c>
      <c r="D174" t="s">
        <v>0</v>
      </c>
      <c r="E174" t="s">
        <v>859</v>
      </c>
      <c r="F174" t="s">
        <v>51</v>
      </c>
      <c r="G174" s="427">
        <v>46244.288194444445</v>
      </c>
      <c r="I174" s="427">
        <v>46244.25</v>
      </c>
      <c r="K174" t="s">
        <v>52</v>
      </c>
      <c r="L174" t="s">
        <v>7066</v>
      </c>
      <c r="M174" t="s">
        <v>57</v>
      </c>
      <c r="N174" t="s">
        <v>7067</v>
      </c>
      <c r="O174" t="b">
        <v>0</v>
      </c>
      <c r="P174" t="s">
        <v>57</v>
      </c>
      <c r="Q174" t="s">
        <v>860</v>
      </c>
      <c r="R174" t="b">
        <v>0</v>
      </c>
      <c r="S174" t="s">
        <v>859</v>
      </c>
      <c r="T174" t="b">
        <v>1</v>
      </c>
      <c r="U174" t="s">
        <v>57</v>
      </c>
      <c r="V174" t="b">
        <v>0</v>
      </c>
      <c r="W174" t="b">
        <v>0</v>
      </c>
      <c r="X174" t="b">
        <v>0</v>
      </c>
      <c r="Y174" t="b">
        <v>0</v>
      </c>
      <c r="Z174" t="s">
        <v>59</v>
      </c>
      <c r="AA174" t="b">
        <v>0</v>
      </c>
    </row>
    <row r="175" spans="1:27">
      <c r="A175" t="s">
        <v>434</v>
      </c>
      <c r="B175" t="s">
        <v>1747</v>
      </c>
      <c r="C175" t="s">
        <v>433</v>
      </c>
      <c r="D175" t="s">
        <v>0</v>
      </c>
      <c r="E175" t="s">
        <v>435</v>
      </c>
      <c r="F175" t="s">
        <v>66</v>
      </c>
      <c r="G175" s="427">
        <v>46244.315972222219</v>
      </c>
      <c r="I175" s="427">
        <v>46244.25</v>
      </c>
      <c r="K175" t="s">
        <v>168</v>
      </c>
      <c r="M175" t="s">
        <v>57</v>
      </c>
      <c r="P175" t="s">
        <v>57</v>
      </c>
      <c r="S175" t="s">
        <v>435</v>
      </c>
      <c r="T175" t="b">
        <v>0</v>
      </c>
      <c r="U175" t="s">
        <v>57</v>
      </c>
      <c r="V175" t="b">
        <v>0</v>
      </c>
      <c r="W175" t="b">
        <v>0</v>
      </c>
      <c r="X175" t="b">
        <v>0</v>
      </c>
      <c r="Y175" t="b">
        <v>0</v>
      </c>
      <c r="Z175" t="s">
        <v>59</v>
      </c>
      <c r="AA175" t="b">
        <v>0</v>
      </c>
    </row>
    <row r="176" spans="1:27">
      <c r="A176" t="s">
        <v>455</v>
      </c>
      <c r="B176" t="s">
        <v>1748</v>
      </c>
      <c r="C176" t="s">
        <v>1219</v>
      </c>
      <c r="D176" t="s">
        <v>0</v>
      </c>
      <c r="E176" t="s">
        <v>456</v>
      </c>
      <c r="F176" t="s">
        <v>66</v>
      </c>
      <c r="G176" s="427">
        <v>46244.305555555555</v>
      </c>
      <c r="I176" s="427">
        <v>46244.25</v>
      </c>
      <c r="K176" t="s">
        <v>430</v>
      </c>
      <c r="L176" t="s">
        <v>7068</v>
      </c>
      <c r="M176" t="s">
        <v>57</v>
      </c>
      <c r="N176" t="s">
        <v>7069</v>
      </c>
      <c r="O176" t="b">
        <v>0</v>
      </c>
      <c r="P176" t="s">
        <v>57</v>
      </c>
      <c r="S176" t="s">
        <v>456</v>
      </c>
      <c r="T176" t="b">
        <v>0</v>
      </c>
      <c r="U176" t="s">
        <v>57</v>
      </c>
      <c r="V176" t="b">
        <v>0</v>
      </c>
      <c r="W176" t="b">
        <v>0</v>
      </c>
      <c r="X176" t="b">
        <v>0</v>
      </c>
      <c r="Y176" t="b">
        <v>0</v>
      </c>
      <c r="Z176" t="s">
        <v>59</v>
      </c>
      <c r="AA176" t="b">
        <v>0</v>
      </c>
    </row>
    <row r="177" spans="1:27">
      <c r="A177" t="s">
        <v>1103</v>
      </c>
      <c r="B177" t="s">
        <v>1749</v>
      </c>
      <c r="C177" t="s">
        <v>1102</v>
      </c>
      <c r="D177" t="s">
        <v>0</v>
      </c>
      <c r="E177" t="s">
        <v>591</v>
      </c>
      <c r="F177" t="s">
        <v>66</v>
      </c>
      <c r="G177" s="427">
        <v>46244.340277777781</v>
      </c>
      <c r="I177" s="427">
        <v>46244.25</v>
      </c>
      <c r="K177" t="s">
        <v>1945</v>
      </c>
      <c r="L177" t="s">
        <v>7070</v>
      </c>
      <c r="M177" t="s">
        <v>57</v>
      </c>
      <c r="N177" t="s">
        <v>7071</v>
      </c>
      <c r="O177" t="b">
        <v>0</v>
      </c>
      <c r="P177" t="s">
        <v>57</v>
      </c>
      <c r="S177" t="s">
        <v>591</v>
      </c>
      <c r="T177" t="b">
        <v>0</v>
      </c>
      <c r="U177" t="s">
        <v>57</v>
      </c>
      <c r="V177" t="b">
        <v>0</v>
      </c>
      <c r="W177" t="b">
        <v>0</v>
      </c>
      <c r="X177" t="b">
        <v>0</v>
      </c>
      <c r="Y177" t="b">
        <v>0</v>
      </c>
      <c r="Z177" t="s">
        <v>59</v>
      </c>
      <c r="AA177" t="b">
        <v>0</v>
      </c>
    </row>
    <row r="178" spans="1:27">
      <c r="A178" t="s">
        <v>997</v>
      </c>
      <c r="B178" t="s">
        <v>1750</v>
      </c>
      <c r="C178" t="s">
        <v>1227</v>
      </c>
      <c r="D178" t="s">
        <v>0</v>
      </c>
      <c r="E178" t="s">
        <v>671</v>
      </c>
      <c r="F178" t="s">
        <v>66</v>
      </c>
      <c r="G178" s="427">
        <v>46244.305555555555</v>
      </c>
      <c r="I178" s="427">
        <v>46244.25</v>
      </c>
      <c r="K178" t="s">
        <v>168</v>
      </c>
      <c r="M178" t="s">
        <v>57</v>
      </c>
      <c r="P178" t="s">
        <v>57</v>
      </c>
      <c r="S178" t="s">
        <v>671</v>
      </c>
      <c r="T178" t="b">
        <v>0</v>
      </c>
      <c r="U178" t="s">
        <v>57</v>
      </c>
      <c r="V178" t="b">
        <v>0</v>
      </c>
      <c r="W178" t="b">
        <v>0</v>
      </c>
      <c r="X178" t="b">
        <v>0</v>
      </c>
      <c r="Y178" t="b">
        <v>0</v>
      </c>
      <c r="Z178" t="s">
        <v>59</v>
      </c>
      <c r="AA178" t="b">
        <v>0</v>
      </c>
    </row>
    <row r="179" spans="1:27">
      <c r="A179" t="s">
        <v>889</v>
      </c>
      <c r="B179" t="s">
        <v>1751</v>
      </c>
      <c r="C179" t="s">
        <v>888</v>
      </c>
      <c r="D179" t="s">
        <v>0</v>
      </c>
      <c r="E179" t="s">
        <v>890</v>
      </c>
      <c r="F179" t="s">
        <v>51</v>
      </c>
      <c r="G179" s="427">
        <v>46244.368055555555</v>
      </c>
      <c r="I179" s="427">
        <v>46244.25</v>
      </c>
      <c r="K179" t="s">
        <v>430</v>
      </c>
      <c r="L179" t="s">
        <v>7072</v>
      </c>
      <c r="M179" t="s">
        <v>57</v>
      </c>
      <c r="N179" t="s">
        <v>7073</v>
      </c>
      <c r="O179" t="b">
        <v>0</v>
      </c>
      <c r="P179" t="s">
        <v>57</v>
      </c>
      <c r="Q179" t="s">
        <v>891</v>
      </c>
      <c r="R179" t="b">
        <v>0</v>
      </c>
      <c r="S179" t="s">
        <v>890</v>
      </c>
      <c r="T179" t="b">
        <v>1</v>
      </c>
      <c r="U179" t="s">
        <v>57</v>
      </c>
      <c r="V179" t="b">
        <v>0</v>
      </c>
      <c r="W179" t="b">
        <v>0</v>
      </c>
      <c r="X179" t="b">
        <v>0</v>
      </c>
      <c r="Y179" t="b">
        <v>0</v>
      </c>
      <c r="Z179" t="s">
        <v>7059</v>
      </c>
      <c r="AA179" t="b">
        <v>0</v>
      </c>
    </row>
    <row r="180" spans="1:27">
      <c r="A180" t="s">
        <v>866</v>
      </c>
      <c r="B180" t="s">
        <v>1752</v>
      </c>
      <c r="C180" t="s">
        <v>1179</v>
      </c>
      <c r="D180" t="s">
        <v>0</v>
      </c>
      <c r="E180" t="s">
        <v>867</v>
      </c>
      <c r="F180" t="s">
        <v>51</v>
      </c>
      <c r="G180" s="427">
        <v>46244.302083333336</v>
      </c>
      <c r="I180" s="427">
        <v>46244.25</v>
      </c>
      <c r="K180" t="s">
        <v>52</v>
      </c>
      <c r="L180" t="s">
        <v>7074</v>
      </c>
      <c r="M180" t="s">
        <v>57</v>
      </c>
      <c r="N180" t="s">
        <v>7075</v>
      </c>
      <c r="O180" t="b">
        <v>0</v>
      </c>
      <c r="P180" t="s">
        <v>57</v>
      </c>
      <c r="Q180" t="s">
        <v>4291</v>
      </c>
      <c r="R180" t="b">
        <v>0</v>
      </c>
      <c r="S180" t="s">
        <v>867</v>
      </c>
      <c r="T180" t="b">
        <v>0</v>
      </c>
      <c r="U180" t="s">
        <v>57</v>
      </c>
      <c r="V180" t="b">
        <v>0</v>
      </c>
      <c r="W180" t="b">
        <v>0</v>
      </c>
      <c r="X180" t="b">
        <v>0</v>
      </c>
      <c r="Y180" t="b">
        <v>0</v>
      </c>
      <c r="Z180" t="s">
        <v>59</v>
      </c>
      <c r="AA180" t="b">
        <v>0</v>
      </c>
    </row>
    <row r="181" spans="1:27">
      <c r="A181" t="s">
        <v>670</v>
      </c>
      <c r="B181" t="s">
        <v>1753</v>
      </c>
      <c r="C181" t="s">
        <v>669</v>
      </c>
      <c r="D181" t="s">
        <v>0</v>
      </c>
      <c r="E181" t="s">
        <v>671</v>
      </c>
      <c r="F181" t="s">
        <v>51</v>
      </c>
      <c r="G181" s="427">
        <v>46244.305555555555</v>
      </c>
      <c r="I181" s="427">
        <v>46244.25</v>
      </c>
      <c r="K181" t="s">
        <v>430</v>
      </c>
      <c r="L181" t="s">
        <v>7076</v>
      </c>
      <c r="M181" t="s">
        <v>57</v>
      </c>
      <c r="N181" t="s">
        <v>1317</v>
      </c>
      <c r="O181" t="b">
        <v>0</v>
      </c>
      <c r="P181" t="s">
        <v>57</v>
      </c>
      <c r="Q181" t="s">
        <v>672</v>
      </c>
      <c r="R181" t="b">
        <v>0</v>
      </c>
      <c r="S181" t="s">
        <v>671</v>
      </c>
      <c r="T181" t="b">
        <v>1</v>
      </c>
      <c r="U181" t="s">
        <v>57</v>
      </c>
      <c r="V181" t="b">
        <v>0</v>
      </c>
      <c r="W181" t="b">
        <v>0</v>
      </c>
      <c r="X181" t="b">
        <v>0</v>
      </c>
      <c r="Y181" t="b">
        <v>0</v>
      </c>
      <c r="Z181" t="s">
        <v>59</v>
      </c>
      <c r="AA181" t="b">
        <v>0</v>
      </c>
    </row>
    <row r="182" spans="1:27">
      <c r="A182" t="s">
        <v>1197</v>
      </c>
      <c r="B182" t="s">
        <v>1754</v>
      </c>
      <c r="C182" t="s">
        <v>1196</v>
      </c>
      <c r="D182" t="s">
        <v>0</v>
      </c>
      <c r="E182" t="s">
        <v>859</v>
      </c>
      <c r="F182" t="s">
        <v>66</v>
      </c>
      <c r="G182" s="427">
        <v>46244.288194444445</v>
      </c>
      <c r="I182" s="427">
        <v>46244.25</v>
      </c>
      <c r="K182" t="s">
        <v>52</v>
      </c>
      <c r="L182" t="s">
        <v>7077</v>
      </c>
      <c r="M182" t="s">
        <v>57</v>
      </c>
      <c r="N182" t="s">
        <v>7078</v>
      </c>
      <c r="O182" t="b">
        <v>0</v>
      </c>
      <c r="P182" t="s">
        <v>57</v>
      </c>
      <c r="Q182" t="s">
        <v>4748</v>
      </c>
      <c r="R182" t="b">
        <v>0</v>
      </c>
      <c r="S182" t="s">
        <v>859</v>
      </c>
      <c r="T182" t="b">
        <v>0</v>
      </c>
      <c r="U182" t="s">
        <v>57</v>
      </c>
      <c r="V182" t="b">
        <v>0</v>
      </c>
      <c r="W182" t="b">
        <v>0</v>
      </c>
      <c r="X182" t="b">
        <v>0</v>
      </c>
      <c r="Y182" t="b">
        <v>0</v>
      </c>
      <c r="Z182" t="s">
        <v>59</v>
      </c>
      <c r="AA182" t="b">
        <v>0</v>
      </c>
    </row>
    <row r="183" spans="1:27">
      <c r="A183" t="s">
        <v>426</v>
      </c>
      <c r="B183" t="s">
        <v>1755</v>
      </c>
      <c r="C183" t="s">
        <v>429</v>
      </c>
      <c r="D183" t="s">
        <v>0</v>
      </c>
      <c r="E183" t="s">
        <v>416</v>
      </c>
      <c r="F183" t="s">
        <v>51</v>
      </c>
      <c r="G183" s="427">
        <v>46244.315972222219</v>
      </c>
      <c r="I183" s="427">
        <v>46244.25</v>
      </c>
      <c r="K183" t="s">
        <v>430</v>
      </c>
      <c r="L183" t="s">
        <v>7079</v>
      </c>
      <c r="M183" t="s">
        <v>57</v>
      </c>
      <c r="N183" t="s">
        <v>7080</v>
      </c>
      <c r="O183" t="b">
        <v>0</v>
      </c>
      <c r="P183" t="s">
        <v>57</v>
      </c>
      <c r="Q183" t="s">
        <v>5850</v>
      </c>
      <c r="R183" t="b">
        <v>0</v>
      </c>
      <c r="S183" t="s">
        <v>416</v>
      </c>
      <c r="T183" t="b">
        <v>0</v>
      </c>
      <c r="U183" t="s">
        <v>57</v>
      </c>
      <c r="V183" t="b">
        <v>0</v>
      </c>
      <c r="W183" t="b">
        <v>0</v>
      </c>
      <c r="X183" t="b">
        <v>0</v>
      </c>
      <c r="Y183" t="b">
        <v>0</v>
      </c>
      <c r="Z183" t="s">
        <v>59</v>
      </c>
      <c r="AA183" t="b">
        <v>0</v>
      </c>
    </row>
    <row r="184" spans="1:27">
      <c r="A184" t="s">
        <v>885</v>
      </c>
      <c r="B184" t="s">
        <v>1756</v>
      </c>
      <c r="C184" t="s">
        <v>1002</v>
      </c>
      <c r="D184" t="s">
        <v>0</v>
      </c>
      <c r="E184" t="s">
        <v>886</v>
      </c>
      <c r="F184" t="s">
        <v>66</v>
      </c>
      <c r="G184" s="427">
        <v>46244.315972222219</v>
      </c>
      <c r="I184" s="427">
        <v>46244.25</v>
      </c>
      <c r="K184" t="s">
        <v>427</v>
      </c>
      <c r="L184" t="s">
        <v>7081</v>
      </c>
      <c r="M184" t="s">
        <v>57</v>
      </c>
      <c r="N184" t="s">
        <v>7082</v>
      </c>
      <c r="O184" t="b">
        <v>0</v>
      </c>
      <c r="P184" t="s">
        <v>57</v>
      </c>
      <c r="S184" t="s">
        <v>886</v>
      </c>
      <c r="T184" t="b">
        <v>1</v>
      </c>
      <c r="U184" t="s">
        <v>57</v>
      </c>
      <c r="V184" t="b">
        <v>0</v>
      </c>
      <c r="W184" t="b">
        <v>0</v>
      </c>
      <c r="X184" t="b">
        <v>0</v>
      </c>
      <c r="Y184" t="b">
        <v>0</v>
      </c>
      <c r="Z184" t="s">
        <v>7059</v>
      </c>
      <c r="AA184" t="b">
        <v>0</v>
      </c>
    </row>
    <row r="185" spans="1:27">
      <c r="A185" t="s">
        <v>1047</v>
      </c>
      <c r="B185" t="s">
        <v>1757</v>
      </c>
      <c r="C185" t="s">
        <v>1056</v>
      </c>
      <c r="D185" t="s">
        <v>0</v>
      </c>
      <c r="E185" t="s">
        <v>602</v>
      </c>
      <c r="F185" t="s">
        <v>51</v>
      </c>
      <c r="G185" s="427">
        <v>46244.298611111109</v>
      </c>
      <c r="I185" s="427">
        <v>46244.25</v>
      </c>
      <c r="K185" t="s">
        <v>451</v>
      </c>
      <c r="L185" t="s">
        <v>6784</v>
      </c>
      <c r="M185" t="s">
        <v>57</v>
      </c>
      <c r="N185" t="s">
        <v>6785</v>
      </c>
      <c r="O185" t="b">
        <v>0</v>
      </c>
      <c r="P185" t="s">
        <v>57</v>
      </c>
      <c r="Q185" t="s">
        <v>4843</v>
      </c>
      <c r="R185" t="b">
        <v>0</v>
      </c>
      <c r="S185" t="s">
        <v>602</v>
      </c>
      <c r="T185" t="b">
        <v>0</v>
      </c>
      <c r="U185" t="s">
        <v>57</v>
      </c>
      <c r="V185" t="b">
        <v>0</v>
      </c>
      <c r="W185" t="b">
        <v>0</v>
      </c>
      <c r="X185" t="b">
        <v>0</v>
      </c>
      <c r="Y185" t="b">
        <v>0</v>
      </c>
      <c r="Z185" t="s">
        <v>59</v>
      </c>
      <c r="AA185" t="b">
        <v>0</v>
      </c>
    </row>
    <row r="186" spans="1:27">
      <c r="A186" t="s">
        <v>1225</v>
      </c>
      <c r="B186" t="s">
        <v>1758</v>
      </c>
      <c r="C186" t="s">
        <v>1224</v>
      </c>
      <c r="D186" t="s">
        <v>0</v>
      </c>
      <c r="E186" t="s">
        <v>867</v>
      </c>
      <c r="F186" t="s">
        <v>51</v>
      </c>
      <c r="G186" s="427">
        <v>46244.302083333336</v>
      </c>
      <c r="I186" s="427">
        <v>46244.25</v>
      </c>
      <c r="K186" t="s">
        <v>2056</v>
      </c>
      <c r="L186" t="s">
        <v>7083</v>
      </c>
      <c r="M186" t="s">
        <v>57</v>
      </c>
      <c r="N186" t="s">
        <v>7084</v>
      </c>
      <c r="O186" t="b">
        <v>0</v>
      </c>
      <c r="P186" t="s">
        <v>57</v>
      </c>
      <c r="Q186" t="s">
        <v>6471</v>
      </c>
      <c r="R186" t="b">
        <v>0</v>
      </c>
      <c r="S186" t="s">
        <v>867</v>
      </c>
      <c r="T186" t="b">
        <v>0</v>
      </c>
      <c r="U186" t="s">
        <v>57</v>
      </c>
      <c r="V186" t="b">
        <v>0</v>
      </c>
      <c r="W186" t="b">
        <v>0</v>
      </c>
      <c r="X186" t="b">
        <v>0</v>
      </c>
      <c r="Y186" t="b">
        <v>0</v>
      </c>
      <c r="Z186" t="s">
        <v>59</v>
      </c>
      <c r="AA186" t="b">
        <v>0</v>
      </c>
    </row>
    <row r="187" spans="1:27">
      <c r="A187" t="s">
        <v>656</v>
      </c>
      <c r="B187" t="s">
        <v>1759</v>
      </c>
      <c r="C187" t="s">
        <v>1121</v>
      </c>
      <c r="D187" t="s">
        <v>0</v>
      </c>
      <c r="E187" t="s">
        <v>657</v>
      </c>
      <c r="F187" t="s">
        <v>51</v>
      </c>
      <c r="G187" s="427">
        <v>46244.364583333336</v>
      </c>
      <c r="I187" s="427">
        <v>46244.25</v>
      </c>
      <c r="K187" t="s">
        <v>3785</v>
      </c>
      <c r="L187" t="s">
        <v>7085</v>
      </c>
      <c r="M187" t="s">
        <v>57</v>
      </c>
      <c r="N187" t="s">
        <v>7086</v>
      </c>
      <c r="O187" t="b">
        <v>0</v>
      </c>
      <c r="P187" t="s">
        <v>57</v>
      </c>
      <c r="Q187" t="s">
        <v>1122</v>
      </c>
      <c r="R187" t="b">
        <v>0</v>
      </c>
      <c r="S187" t="s">
        <v>657</v>
      </c>
      <c r="T187" t="b">
        <v>0</v>
      </c>
      <c r="U187" t="s">
        <v>57</v>
      </c>
      <c r="V187" t="b">
        <v>0</v>
      </c>
      <c r="W187" t="b">
        <v>0</v>
      </c>
      <c r="X187" t="b">
        <v>0</v>
      </c>
      <c r="Y187" t="b">
        <v>0</v>
      </c>
      <c r="Z187" t="s">
        <v>59</v>
      </c>
      <c r="AA187" t="b">
        <v>0</v>
      </c>
    </row>
    <row r="188" spans="1:27">
      <c r="A188" t="s">
        <v>455</v>
      </c>
      <c r="B188" t="s">
        <v>1760</v>
      </c>
      <c r="C188" t="s">
        <v>938</v>
      </c>
      <c r="D188" t="s">
        <v>0</v>
      </c>
      <c r="E188" t="s">
        <v>456</v>
      </c>
      <c r="F188" t="s">
        <v>66</v>
      </c>
      <c r="G188" s="427">
        <v>46244.305555555555</v>
      </c>
      <c r="I188" s="427">
        <v>46244.25</v>
      </c>
      <c r="K188" t="s">
        <v>430</v>
      </c>
      <c r="L188" t="s">
        <v>7087</v>
      </c>
      <c r="M188" t="s">
        <v>57</v>
      </c>
      <c r="N188" t="s">
        <v>1321</v>
      </c>
      <c r="O188" t="b">
        <v>0</v>
      </c>
      <c r="P188" t="s">
        <v>57</v>
      </c>
      <c r="S188" t="s">
        <v>456</v>
      </c>
      <c r="T188" t="b">
        <v>0</v>
      </c>
      <c r="U188" t="s">
        <v>57</v>
      </c>
      <c r="V188" t="b">
        <v>0</v>
      </c>
      <c r="W188" t="b">
        <v>0</v>
      </c>
      <c r="X188" t="b">
        <v>0</v>
      </c>
      <c r="Y188" t="b">
        <v>0</v>
      </c>
      <c r="Z188" t="s">
        <v>59</v>
      </c>
      <c r="AA188" t="b">
        <v>0</v>
      </c>
    </row>
    <row r="189" spans="1:27">
      <c r="A189" t="s">
        <v>1221</v>
      </c>
      <c r="B189" t="s">
        <v>1761</v>
      </c>
      <c r="C189" t="s">
        <v>1220</v>
      </c>
      <c r="D189" t="s">
        <v>0</v>
      </c>
      <c r="E189" t="s">
        <v>435</v>
      </c>
      <c r="F189" t="s">
        <v>66</v>
      </c>
      <c r="G189" s="427">
        <v>46244.315972222219</v>
      </c>
      <c r="I189" s="427">
        <v>46244.25</v>
      </c>
      <c r="K189" t="s">
        <v>168</v>
      </c>
      <c r="L189" t="s">
        <v>7088</v>
      </c>
      <c r="M189" t="s">
        <v>57</v>
      </c>
      <c r="N189" t="s">
        <v>7089</v>
      </c>
      <c r="O189" t="b">
        <v>0</v>
      </c>
      <c r="P189" t="s">
        <v>57</v>
      </c>
      <c r="Q189" t="s">
        <v>1222</v>
      </c>
      <c r="R189" t="b">
        <v>0</v>
      </c>
      <c r="S189" t="s">
        <v>435</v>
      </c>
      <c r="T189" t="b">
        <v>0</v>
      </c>
      <c r="U189" t="s">
        <v>57</v>
      </c>
      <c r="V189" t="b">
        <v>0</v>
      </c>
      <c r="W189" t="b">
        <v>0</v>
      </c>
      <c r="X189" t="b">
        <v>0</v>
      </c>
      <c r="Y189" t="b">
        <v>0</v>
      </c>
      <c r="Z189" t="s">
        <v>59</v>
      </c>
      <c r="AA189" t="b">
        <v>0</v>
      </c>
    </row>
    <row r="190" spans="1:27">
      <c r="A190" t="s">
        <v>590</v>
      </c>
      <c r="B190" t="s">
        <v>1762</v>
      </c>
      <c r="C190" t="s">
        <v>589</v>
      </c>
      <c r="D190" t="s">
        <v>0</v>
      </c>
      <c r="E190" t="s">
        <v>591</v>
      </c>
      <c r="F190" t="s">
        <v>51</v>
      </c>
      <c r="G190" s="427">
        <v>46244.340277777781</v>
      </c>
      <c r="I190" s="427">
        <v>46244.25</v>
      </c>
      <c r="K190" t="s">
        <v>3785</v>
      </c>
      <c r="L190" t="s">
        <v>7090</v>
      </c>
      <c r="M190" t="s">
        <v>57</v>
      </c>
      <c r="N190" t="s">
        <v>7091</v>
      </c>
      <c r="O190" t="b">
        <v>0</v>
      </c>
      <c r="P190" t="s">
        <v>57</v>
      </c>
      <c r="Q190" t="s">
        <v>1101</v>
      </c>
      <c r="R190" t="b">
        <v>0</v>
      </c>
      <c r="S190" t="s">
        <v>591</v>
      </c>
      <c r="T190" t="b">
        <v>0</v>
      </c>
      <c r="U190" t="s">
        <v>57</v>
      </c>
      <c r="V190" t="b">
        <v>0</v>
      </c>
      <c r="W190" t="b">
        <v>0</v>
      </c>
      <c r="X190" t="b">
        <v>0</v>
      </c>
      <c r="Y190" t="b">
        <v>0</v>
      </c>
      <c r="Z190" t="s">
        <v>59</v>
      </c>
      <c r="AA190" t="b">
        <v>0</v>
      </c>
    </row>
    <row r="191" spans="1:27">
      <c r="A191" t="s">
        <v>7092</v>
      </c>
      <c r="B191" t="s">
        <v>1491</v>
      </c>
      <c r="C191" t="s">
        <v>1492</v>
      </c>
      <c r="D191" t="s">
        <v>0</v>
      </c>
      <c r="E191" t="s">
        <v>238</v>
      </c>
      <c r="F191" t="s">
        <v>51</v>
      </c>
      <c r="G191" s="427">
        <v>46244.288194444445</v>
      </c>
      <c r="I191" s="427">
        <v>46244.25</v>
      </c>
      <c r="K191" t="s">
        <v>286</v>
      </c>
      <c r="L191" t="s">
        <v>1493</v>
      </c>
      <c r="M191" t="s">
        <v>57</v>
      </c>
      <c r="N191" t="s">
        <v>1494</v>
      </c>
      <c r="O191" t="b">
        <v>0</v>
      </c>
      <c r="P191" t="s">
        <v>57</v>
      </c>
      <c r="Q191" t="s">
        <v>7093</v>
      </c>
      <c r="R191" t="b">
        <v>1</v>
      </c>
      <c r="S191" t="s">
        <v>238</v>
      </c>
      <c r="T191" t="b">
        <v>0</v>
      </c>
      <c r="U191" t="s">
        <v>57</v>
      </c>
      <c r="V191" t="b">
        <v>0</v>
      </c>
      <c r="W191" t="b">
        <v>0</v>
      </c>
      <c r="X191" t="b">
        <v>0</v>
      </c>
      <c r="Y191" t="b">
        <v>0</v>
      </c>
      <c r="Z191" t="s">
        <v>59</v>
      </c>
      <c r="AA191" t="b">
        <v>0</v>
      </c>
    </row>
    <row r="192" spans="1:27">
      <c r="A192" t="s">
        <v>449</v>
      </c>
      <c r="B192" t="s">
        <v>1763</v>
      </c>
      <c r="C192" t="s">
        <v>448</v>
      </c>
      <c r="D192" t="s">
        <v>0</v>
      </c>
      <c r="E192" t="s">
        <v>450</v>
      </c>
      <c r="F192" t="s">
        <v>51</v>
      </c>
      <c r="G192" s="427">
        <v>46244.315972222219</v>
      </c>
      <c r="I192" s="427">
        <v>46244.260416666664</v>
      </c>
      <c r="K192" t="s">
        <v>451</v>
      </c>
      <c r="L192" t="s">
        <v>6872</v>
      </c>
      <c r="M192" t="s">
        <v>57</v>
      </c>
      <c r="N192" t="s">
        <v>6873</v>
      </c>
      <c r="O192" t="b">
        <v>0</v>
      </c>
      <c r="P192" t="s">
        <v>57</v>
      </c>
      <c r="Q192" t="s">
        <v>452</v>
      </c>
      <c r="R192" t="b">
        <v>0</v>
      </c>
      <c r="S192" t="s">
        <v>450</v>
      </c>
      <c r="T192" t="b">
        <v>1</v>
      </c>
      <c r="U192" t="s">
        <v>57</v>
      </c>
      <c r="V192" t="b">
        <v>0</v>
      </c>
      <c r="W192" t="b">
        <v>0</v>
      </c>
      <c r="X192" t="b">
        <v>0</v>
      </c>
      <c r="Y192" t="b">
        <v>0</v>
      </c>
      <c r="Z192" t="s">
        <v>59</v>
      </c>
      <c r="AA192" t="b">
        <v>0</v>
      </c>
    </row>
    <row r="193" spans="1:27">
      <c r="A193" t="s">
        <v>652</v>
      </c>
      <c r="B193" t="s">
        <v>1764</v>
      </c>
      <c r="C193" t="s">
        <v>651</v>
      </c>
      <c r="D193" t="s">
        <v>0</v>
      </c>
      <c r="E193" t="s">
        <v>649</v>
      </c>
      <c r="F193" t="s">
        <v>51</v>
      </c>
      <c r="G193" s="427">
        <v>46244.291666666664</v>
      </c>
      <c r="I193" s="427">
        <v>46244.260416666664</v>
      </c>
      <c r="K193" t="s">
        <v>451</v>
      </c>
      <c r="L193" t="s">
        <v>7094</v>
      </c>
      <c r="M193" t="s">
        <v>57</v>
      </c>
      <c r="N193" t="s">
        <v>7095</v>
      </c>
      <c r="O193" t="b">
        <v>0</v>
      </c>
      <c r="P193" t="s">
        <v>57</v>
      </c>
      <c r="Q193" t="s">
        <v>653</v>
      </c>
      <c r="R193" t="b">
        <v>0</v>
      </c>
      <c r="S193" t="s">
        <v>649</v>
      </c>
      <c r="T193" t="b">
        <v>1</v>
      </c>
      <c r="U193" t="s">
        <v>57</v>
      </c>
      <c r="V193" t="b">
        <v>0</v>
      </c>
      <c r="W193" t="b">
        <v>0</v>
      </c>
      <c r="X193" t="b">
        <v>0</v>
      </c>
      <c r="Y193" t="b">
        <v>0</v>
      </c>
      <c r="Z193" t="s">
        <v>59</v>
      </c>
      <c r="AA193" t="b">
        <v>0</v>
      </c>
    </row>
    <row r="194" spans="1:27">
      <c r="A194" t="s">
        <v>854</v>
      </c>
      <c r="B194" t="s">
        <v>1765</v>
      </c>
      <c r="C194" t="s">
        <v>853</v>
      </c>
      <c r="D194" t="s">
        <v>0</v>
      </c>
      <c r="E194" t="s">
        <v>855</v>
      </c>
      <c r="F194" t="s">
        <v>51</v>
      </c>
      <c r="G194" s="427">
        <v>46244.326388888891</v>
      </c>
      <c r="I194" s="427">
        <v>46244.260416666664</v>
      </c>
      <c r="K194" t="s">
        <v>1945</v>
      </c>
      <c r="L194" t="s">
        <v>7096</v>
      </c>
      <c r="M194" t="s">
        <v>57</v>
      </c>
      <c r="N194" t="s">
        <v>7097</v>
      </c>
      <c r="O194" t="b">
        <v>0</v>
      </c>
      <c r="P194" t="s">
        <v>57</v>
      </c>
      <c r="Q194" t="s">
        <v>856</v>
      </c>
      <c r="R194" t="b">
        <v>0</v>
      </c>
      <c r="S194" t="s">
        <v>855</v>
      </c>
      <c r="T194" t="b">
        <v>1</v>
      </c>
      <c r="U194" t="s">
        <v>57</v>
      </c>
      <c r="V194" t="b">
        <v>0</v>
      </c>
      <c r="W194" t="b">
        <v>0</v>
      </c>
      <c r="X194" t="b">
        <v>0</v>
      </c>
      <c r="Y194" t="b">
        <v>0</v>
      </c>
      <c r="Z194" t="s">
        <v>59</v>
      </c>
      <c r="AA194" t="b">
        <v>0</v>
      </c>
    </row>
    <row r="195" spans="1:27">
      <c r="A195" t="s">
        <v>1229</v>
      </c>
      <c r="B195" t="s">
        <v>1766</v>
      </c>
      <c r="C195" t="s">
        <v>1228</v>
      </c>
      <c r="D195" t="s">
        <v>0</v>
      </c>
      <c r="E195" t="s">
        <v>450</v>
      </c>
      <c r="F195" t="s">
        <v>66</v>
      </c>
      <c r="G195" s="427">
        <v>46244.315972222219</v>
      </c>
      <c r="I195" s="427">
        <v>46244.260416666664</v>
      </c>
      <c r="K195" t="s">
        <v>2792</v>
      </c>
      <c r="L195" t="s">
        <v>7098</v>
      </c>
      <c r="M195" t="s">
        <v>57</v>
      </c>
      <c r="N195" t="s">
        <v>7099</v>
      </c>
      <c r="O195" t="b">
        <v>0</v>
      </c>
      <c r="P195" t="s">
        <v>57</v>
      </c>
      <c r="S195" t="s">
        <v>450</v>
      </c>
      <c r="T195" t="b">
        <v>0</v>
      </c>
      <c r="U195" t="s">
        <v>57</v>
      </c>
      <c r="V195" t="b">
        <v>0</v>
      </c>
      <c r="W195" t="b">
        <v>0</v>
      </c>
      <c r="X195" t="b">
        <v>0</v>
      </c>
      <c r="Y195" t="b">
        <v>0</v>
      </c>
      <c r="Z195" t="s">
        <v>59</v>
      </c>
      <c r="AA195" t="b">
        <v>0</v>
      </c>
    </row>
    <row r="196" spans="1:27">
      <c r="A196" t="s">
        <v>1074</v>
      </c>
      <c r="B196" t="s">
        <v>1767</v>
      </c>
      <c r="C196" t="s">
        <v>1073</v>
      </c>
      <c r="D196" t="s">
        <v>0</v>
      </c>
      <c r="E196" t="s">
        <v>855</v>
      </c>
      <c r="F196" t="s">
        <v>51</v>
      </c>
      <c r="G196" s="427">
        <v>46244.326388888891</v>
      </c>
      <c r="I196" s="427">
        <v>46244.260416666664</v>
      </c>
      <c r="K196" t="s">
        <v>430</v>
      </c>
      <c r="L196" t="s">
        <v>7100</v>
      </c>
      <c r="M196" t="s">
        <v>57</v>
      </c>
      <c r="N196" t="s">
        <v>7101</v>
      </c>
      <c r="O196" t="b">
        <v>0</v>
      </c>
      <c r="P196" t="s">
        <v>57</v>
      </c>
      <c r="Q196" t="s">
        <v>1075</v>
      </c>
      <c r="R196" t="b">
        <v>0</v>
      </c>
      <c r="S196" t="s">
        <v>855</v>
      </c>
      <c r="T196" t="b">
        <v>0</v>
      </c>
      <c r="U196" t="s">
        <v>57</v>
      </c>
      <c r="V196" t="b">
        <v>0</v>
      </c>
      <c r="W196" t="b">
        <v>0</v>
      </c>
      <c r="X196" t="b">
        <v>0</v>
      </c>
      <c r="Y196" t="b">
        <v>0</v>
      </c>
      <c r="Z196" t="s">
        <v>59</v>
      </c>
      <c r="AA196" t="b">
        <v>0</v>
      </c>
    </row>
    <row r="197" spans="1:27">
      <c r="A197" t="s">
        <v>1063</v>
      </c>
      <c r="B197" t="s">
        <v>1768</v>
      </c>
      <c r="C197" t="s">
        <v>1062</v>
      </c>
      <c r="D197" t="s">
        <v>0</v>
      </c>
      <c r="E197" t="s">
        <v>649</v>
      </c>
      <c r="F197" t="s">
        <v>66</v>
      </c>
      <c r="G197" s="427">
        <v>46244.291666666664</v>
      </c>
      <c r="I197" s="427">
        <v>46244.260416666664</v>
      </c>
      <c r="K197" t="s">
        <v>720</v>
      </c>
      <c r="L197" t="s">
        <v>7102</v>
      </c>
      <c r="M197" t="s">
        <v>57</v>
      </c>
      <c r="N197" t="s">
        <v>7103</v>
      </c>
      <c r="O197" t="b">
        <v>0</v>
      </c>
      <c r="P197" t="s">
        <v>57</v>
      </c>
      <c r="S197" t="s">
        <v>649</v>
      </c>
      <c r="T197" t="b">
        <v>0</v>
      </c>
      <c r="U197" t="s">
        <v>57</v>
      </c>
      <c r="V197" t="b">
        <v>0</v>
      </c>
      <c r="W197" t="b">
        <v>0</v>
      </c>
      <c r="X197" t="b">
        <v>0</v>
      </c>
      <c r="Y197" t="b">
        <v>0</v>
      </c>
      <c r="Z197" t="s">
        <v>59</v>
      </c>
      <c r="AA197" t="b">
        <v>0</v>
      </c>
    </row>
    <row r="198" spans="1:27">
      <c r="A198" t="s">
        <v>662</v>
      </c>
      <c r="B198" t="s">
        <v>1769</v>
      </c>
      <c r="C198" t="s">
        <v>667</v>
      </c>
      <c r="D198" t="s">
        <v>0</v>
      </c>
      <c r="E198" t="s">
        <v>663</v>
      </c>
      <c r="F198" t="s">
        <v>51</v>
      </c>
      <c r="G198" s="427">
        <v>46244.309027777781</v>
      </c>
      <c r="I198" s="427">
        <v>46244.260416666664</v>
      </c>
      <c r="K198" t="s">
        <v>430</v>
      </c>
      <c r="L198" t="s">
        <v>7104</v>
      </c>
      <c r="M198" t="s">
        <v>57</v>
      </c>
      <c r="N198" t="s">
        <v>7105</v>
      </c>
      <c r="O198" t="b">
        <v>0</v>
      </c>
      <c r="P198" t="s">
        <v>57</v>
      </c>
      <c r="Q198" t="s">
        <v>5049</v>
      </c>
      <c r="R198" t="b">
        <v>0</v>
      </c>
      <c r="S198" t="s">
        <v>663</v>
      </c>
      <c r="T198" t="b">
        <v>0</v>
      </c>
      <c r="U198" t="s">
        <v>57</v>
      </c>
      <c r="V198" t="b">
        <v>0</v>
      </c>
      <c r="W198" t="b">
        <v>0</v>
      </c>
      <c r="X198" t="b">
        <v>0</v>
      </c>
      <c r="Y198" t="b">
        <v>0</v>
      </c>
      <c r="Z198" t="s">
        <v>59</v>
      </c>
      <c r="AA198" t="b">
        <v>0</v>
      </c>
    </row>
    <row r="199" spans="1:27">
      <c r="A199" t="s">
        <v>7106</v>
      </c>
      <c r="B199" t="s">
        <v>1349</v>
      </c>
      <c r="C199" t="s">
        <v>1350</v>
      </c>
      <c r="D199" t="s">
        <v>0</v>
      </c>
      <c r="E199" t="s">
        <v>65</v>
      </c>
      <c r="F199" t="s">
        <v>66</v>
      </c>
      <c r="G199" s="427">
        <v>46366.249305555553</v>
      </c>
      <c r="I199" s="427">
        <v>46244.263888888891</v>
      </c>
      <c r="K199" t="s">
        <v>1351</v>
      </c>
      <c r="M199" t="s">
        <v>76</v>
      </c>
      <c r="P199" t="s">
        <v>76</v>
      </c>
      <c r="S199" t="s">
        <v>65</v>
      </c>
      <c r="T199" t="b">
        <v>0</v>
      </c>
      <c r="U199" t="s">
        <v>76</v>
      </c>
      <c r="V199" t="b">
        <v>0</v>
      </c>
      <c r="W199" t="b">
        <v>0</v>
      </c>
      <c r="X199" t="b">
        <v>0</v>
      </c>
      <c r="Y199" t="b">
        <v>0</v>
      </c>
      <c r="Z199" t="s">
        <v>59</v>
      </c>
      <c r="AA199" t="b">
        <v>0</v>
      </c>
    </row>
    <row r="200" spans="1:27">
      <c r="A200" t="s">
        <v>7107</v>
      </c>
      <c r="B200" t="s">
        <v>1352</v>
      </c>
      <c r="C200" t="s">
        <v>1353</v>
      </c>
      <c r="D200" t="s">
        <v>0</v>
      </c>
      <c r="E200" t="s">
        <v>65</v>
      </c>
      <c r="F200" t="s">
        <v>66</v>
      </c>
      <c r="G200" s="427">
        <v>46366.25</v>
      </c>
      <c r="I200" s="427">
        <v>46244.263888888891</v>
      </c>
      <c r="K200" t="s">
        <v>1351</v>
      </c>
      <c r="M200" t="s">
        <v>76</v>
      </c>
      <c r="P200" t="s">
        <v>76</v>
      </c>
      <c r="Q200" t="s">
        <v>1199</v>
      </c>
      <c r="R200" t="b">
        <v>1</v>
      </c>
      <c r="S200" t="s">
        <v>65</v>
      </c>
      <c r="T200" t="b">
        <v>0</v>
      </c>
      <c r="U200" t="s">
        <v>57</v>
      </c>
      <c r="V200" t="b">
        <v>0</v>
      </c>
      <c r="W200" t="b">
        <v>0</v>
      </c>
      <c r="X200" t="b">
        <v>0</v>
      </c>
      <c r="Y200" t="b">
        <v>0</v>
      </c>
      <c r="Z200" t="s">
        <v>59</v>
      </c>
      <c r="AA200" t="b">
        <v>0</v>
      </c>
    </row>
    <row r="201" spans="1:27">
      <c r="A201" t="s">
        <v>7106</v>
      </c>
      <c r="B201" t="s">
        <v>75</v>
      </c>
      <c r="C201" t="s">
        <v>1354</v>
      </c>
      <c r="D201" t="s">
        <v>0</v>
      </c>
      <c r="E201" t="s">
        <v>65</v>
      </c>
      <c r="F201" t="s">
        <v>66</v>
      </c>
      <c r="G201" s="427">
        <v>46366.249305555553</v>
      </c>
      <c r="I201" s="427">
        <v>46244.263888888891</v>
      </c>
      <c r="K201" t="s">
        <v>1351</v>
      </c>
      <c r="M201" t="s">
        <v>76</v>
      </c>
      <c r="P201" t="s">
        <v>76</v>
      </c>
      <c r="Q201" t="s">
        <v>3019</v>
      </c>
      <c r="R201" t="b">
        <v>0</v>
      </c>
      <c r="S201" t="s">
        <v>65</v>
      </c>
      <c r="T201" t="b">
        <v>1</v>
      </c>
      <c r="U201" t="s">
        <v>57</v>
      </c>
      <c r="V201" t="b">
        <v>0</v>
      </c>
      <c r="W201" t="b">
        <v>0</v>
      </c>
      <c r="X201" t="b">
        <v>0</v>
      </c>
      <c r="Y201" t="b">
        <v>0</v>
      </c>
      <c r="Z201" t="s">
        <v>59</v>
      </c>
      <c r="AA201" t="b">
        <v>0</v>
      </c>
    </row>
    <row r="202" spans="1:27">
      <c r="A202" t="s">
        <v>7107</v>
      </c>
      <c r="B202" t="s">
        <v>1356</v>
      </c>
      <c r="C202" t="s">
        <v>1357</v>
      </c>
      <c r="D202" t="s">
        <v>0</v>
      </c>
      <c r="E202" t="s">
        <v>65</v>
      </c>
      <c r="F202" t="s">
        <v>66</v>
      </c>
      <c r="G202" s="427">
        <v>46366.25</v>
      </c>
      <c r="I202" s="427">
        <v>46244.263888888891</v>
      </c>
      <c r="K202" t="s">
        <v>1351</v>
      </c>
      <c r="M202" t="s">
        <v>76</v>
      </c>
      <c r="P202" t="s">
        <v>76</v>
      </c>
      <c r="Q202" t="s">
        <v>565</v>
      </c>
      <c r="R202" t="b">
        <v>0</v>
      </c>
      <c r="S202" t="s">
        <v>65</v>
      </c>
      <c r="T202" t="b">
        <v>1</v>
      </c>
      <c r="U202" t="s">
        <v>57</v>
      </c>
      <c r="V202" t="b">
        <v>0</v>
      </c>
      <c r="W202" t="b">
        <v>0</v>
      </c>
      <c r="X202" t="b">
        <v>0</v>
      </c>
      <c r="Y202" t="b">
        <v>0</v>
      </c>
      <c r="Z202" t="s">
        <v>59</v>
      </c>
      <c r="AA202" t="b">
        <v>0</v>
      </c>
    </row>
    <row r="203" spans="1:27">
      <c r="A203" t="s">
        <v>7106</v>
      </c>
      <c r="B203" t="s">
        <v>1362</v>
      </c>
      <c r="C203" t="s">
        <v>1363</v>
      </c>
      <c r="D203" t="s">
        <v>0</v>
      </c>
      <c r="E203" t="s">
        <v>65</v>
      </c>
      <c r="F203" t="s">
        <v>66</v>
      </c>
      <c r="G203" s="427">
        <v>46366.249305555553</v>
      </c>
      <c r="I203" s="427">
        <v>46244.263888888891</v>
      </c>
      <c r="K203" t="s">
        <v>1351</v>
      </c>
      <c r="M203" t="s">
        <v>76</v>
      </c>
      <c r="P203" t="s">
        <v>76</v>
      </c>
      <c r="S203" t="s">
        <v>65</v>
      </c>
      <c r="T203" t="b">
        <v>0</v>
      </c>
      <c r="U203" t="s">
        <v>76</v>
      </c>
      <c r="V203" t="b">
        <v>0</v>
      </c>
      <c r="W203" t="b">
        <v>0</v>
      </c>
      <c r="X203" t="b">
        <v>0</v>
      </c>
      <c r="Y203" t="b">
        <v>0</v>
      </c>
      <c r="Z203" t="s">
        <v>59</v>
      </c>
      <c r="AA203" t="b">
        <v>0</v>
      </c>
    </row>
    <row r="204" spans="1:27">
      <c r="A204" t="s">
        <v>7108</v>
      </c>
      <c r="B204" t="s">
        <v>188</v>
      </c>
      <c r="C204" t="s">
        <v>1446</v>
      </c>
      <c r="D204" t="s">
        <v>0</v>
      </c>
      <c r="E204" t="s">
        <v>187</v>
      </c>
      <c r="F204" t="s">
        <v>66</v>
      </c>
      <c r="G204" s="427">
        <v>46366.249305555553</v>
      </c>
      <c r="I204" s="427">
        <v>46244.263888888891</v>
      </c>
      <c r="K204" t="s">
        <v>1351</v>
      </c>
      <c r="M204" t="s">
        <v>76</v>
      </c>
      <c r="P204" t="s">
        <v>76</v>
      </c>
      <c r="Q204" t="s">
        <v>516</v>
      </c>
      <c r="R204" t="b">
        <v>0</v>
      </c>
      <c r="S204" t="s">
        <v>65</v>
      </c>
      <c r="T204" t="b">
        <v>1</v>
      </c>
      <c r="U204" t="s">
        <v>57</v>
      </c>
      <c r="V204" t="b">
        <v>0</v>
      </c>
      <c r="W204" t="b">
        <v>0</v>
      </c>
      <c r="X204" t="b">
        <v>0</v>
      </c>
      <c r="Y204" t="b">
        <v>0</v>
      </c>
      <c r="Z204" t="s">
        <v>59</v>
      </c>
      <c r="AA204" t="b">
        <v>0</v>
      </c>
    </row>
    <row r="205" spans="1:27">
      <c r="A205" t="s">
        <v>585</v>
      </c>
      <c r="B205" t="s">
        <v>1770</v>
      </c>
      <c r="C205" t="s">
        <v>584</v>
      </c>
      <c r="D205" t="s">
        <v>0</v>
      </c>
      <c r="E205" t="s">
        <v>586</v>
      </c>
      <c r="F205" t="s">
        <v>51</v>
      </c>
      <c r="G205" s="427">
        <v>46244.333333333336</v>
      </c>
      <c r="I205" s="427">
        <v>46244.270833333336</v>
      </c>
      <c r="K205" t="s">
        <v>430</v>
      </c>
      <c r="L205" t="s">
        <v>7109</v>
      </c>
      <c r="M205" t="s">
        <v>57</v>
      </c>
      <c r="N205" t="s">
        <v>7110</v>
      </c>
      <c r="O205" t="b">
        <v>0</v>
      </c>
      <c r="P205" t="s">
        <v>57</v>
      </c>
      <c r="Q205" t="s">
        <v>587</v>
      </c>
      <c r="R205" t="b">
        <v>0</v>
      </c>
      <c r="S205" t="s">
        <v>586</v>
      </c>
      <c r="T205" t="b">
        <v>1</v>
      </c>
      <c r="U205" t="s">
        <v>57</v>
      </c>
      <c r="V205" t="b">
        <v>0</v>
      </c>
      <c r="W205" t="b">
        <v>0</v>
      </c>
      <c r="X205" t="b">
        <v>0</v>
      </c>
      <c r="Y205" t="b">
        <v>0</v>
      </c>
      <c r="Z205" t="s">
        <v>59</v>
      </c>
      <c r="AA205" t="b">
        <v>0</v>
      </c>
    </row>
    <row r="206" spans="1:27">
      <c r="A206" t="s">
        <v>1110</v>
      </c>
      <c r="B206" t="s">
        <v>1771</v>
      </c>
      <c r="C206" t="s">
        <v>1109</v>
      </c>
      <c r="D206" t="s">
        <v>0</v>
      </c>
      <c r="E206" t="s">
        <v>586</v>
      </c>
      <c r="F206" t="s">
        <v>51</v>
      </c>
      <c r="G206" s="427">
        <v>46244.333333333336</v>
      </c>
      <c r="I206" s="427">
        <v>46244.270833333336</v>
      </c>
      <c r="K206" t="s">
        <v>3785</v>
      </c>
      <c r="L206" t="s">
        <v>7111</v>
      </c>
      <c r="M206" t="s">
        <v>57</v>
      </c>
      <c r="N206" t="s">
        <v>7112</v>
      </c>
      <c r="O206" t="b">
        <v>0</v>
      </c>
      <c r="P206" t="s">
        <v>57</v>
      </c>
      <c r="Q206" t="s">
        <v>1111</v>
      </c>
      <c r="R206" t="b">
        <v>0</v>
      </c>
      <c r="S206" t="s">
        <v>586</v>
      </c>
      <c r="T206" t="b">
        <v>0</v>
      </c>
      <c r="U206" t="s">
        <v>57</v>
      </c>
      <c r="V206" t="b">
        <v>0</v>
      </c>
      <c r="W206" t="b">
        <v>0</v>
      </c>
      <c r="X206" t="b">
        <v>0</v>
      </c>
      <c r="Y206" t="b">
        <v>0</v>
      </c>
      <c r="Z206" t="s">
        <v>59</v>
      </c>
      <c r="AA206" t="b">
        <v>0</v>
      </c>
    </row>
    <row r="207" spans="1:27">
      <c r="A207" t="s">
        <v>532</v>
      </c>
      <c r="B207" t="s">
        <v>1772</v>
      </c>
      <c r="C207" t="s">
        <v>541</v>
      </c>
      <c r="D207" t="s">
        <v>0</v>
      </c>
      <c r="E207" t="s">
        <v>238</v>
      </c>
      <c r="F207" t="s">
        <v>66</v>
      </c>
      <c r="G207" s="427">
        <v>46244.309027777781</v>
      </c>
      <c r="I207" s="427">
        <v>46244.270833333336</v>
      </c>
      <c r="K207" t="s">
        <v>168</v>
      </c>
      <c r="M207" t="s">
        <v>57</v>
      </c>
      <c r="P207" t="s">
        <v>57</v>
      </c>
      <c r="S207" t="s">
        <v>238</v>
      </c>
      <c r="T207" t="b">
        <v>0</v>
      </c>
      <c r="U207" t="s">
        <v>57</v>
      </c>
      <c r="V207" t="b">
        <v>0</v>
      </c>
      <c r="W207" t="b">
        <v>0</v>
      </c>
      <c r="X207" t="b">
        <v>0</v>
      </c>
      <c r="Y207" t="b">
        <v>0</v>
      </c>
      <c r="Z207" t="s">
        <v>59</v>
      </c>
      <c r="AA207" t="b">
        <v>0</v>
      </c>
    </row>
    <row r="208" spans="1:27">
      <c r="A208" t="s">
        <v>881</v>
      </c>
      <c r="B208" t="s">
        <v>1773</v>
      </c>
      <c r="C208" t="s">
        <v>880</v>
      </c>
      <c r="D208" t="s">
        <v>0</v>
      </c>
      <c r="E208" t="s">
        <v>882</v>
      </c>
      <c r="F208" t="s">
        <v>51</v>
      </c>
      <c r="G208" s="427">
        <v>46244.375</v>
      </c>
      <c r="I208" s="427">
        <v>46244.270833333336</v>
      </c>
      <c r="K208" t="s">
        <v>430</v>
      </c>
      <c r="L208" t="s">
        <v>7113</v>
      </c>
      <c r="M208" t="s">
        <v>57</v>
      </c>
      <c r="N208" t="s">
        <v>7114</v>
      </c>
      <c r="O208" t="b">
        <v>0</v>
      </c>
      <c r="P208" t="s">
        <v>57</v>
      </c>
      <c r="Q208" t="s">
        <v>883</v>
      </c>
      <c r="R208" t="b">
        <v>0</v>
      </c>
      <c r="S208" t="s">
        <v>882</v>
      </c>
      <c r="T208" t="b">
        <v>1</v>
      </c>
      <c r="U208" t="s">
        <v>57</v>
      </c>
      <c r="V208" t="b">
        <v>0</v>
      </c>
      <c r="W208" t="b">
        <v>0</v>
      </c>
      <c r="X208" t="b">
        <v>0</v>
      </c>
      <c r="Y208" t="b">
        <v>0</v>
      </c>
      <c r="Z208" t="s">
        <v>59</v>
      </c>
      <c r="AA208" t="b">
        <v>0</v>
      </c>
    </row>
    <row r="209" spans="1:27">
      <c r="A209" t="s">
        <v>7115</v>
      </c>
      <c r="B209" t="s">
        <v>263</v>
      </c>
      <c r="C209" t="s">
        <v>1543</v>
      </c>
      <c r="D209" t="s">
        <v>0</v>
      </c>
      <c r="E209" t="s">
        <v>264</v>
      </c>
      <c r="F209" t="s">
        <v>66</v>
      </c>
      <c r="G209" s="427">
        <v>46305.25</v>
      </c>
      <c r="I209" s="427">
        <v>46244.270833333336</v>
      </c>
      <c r="K209" t="s">
        <v>1351</v>
      </c>
      <c r="M209" t="s">
        <v>76</v>
      </c>
      <c r="P209" t="s">
        <v>76</v>
      </c>
      <c r="Q209" t="s">
        <v>893</v>
      </c>
      <c r="R209" t="b">
        <v>0</v>
      </c>
      <c r="S209" t="s">
        <v>264</v>
      </c>
      <c r="T209" t="b">
        <v>1</v>
      </c>
      <c r="U209" t="s">
        <v>57</v>
      </c>
      <c r="V209" t="b">
        <v>0</v>
      </c>
      <c r="W209" t="b">
        <v>0</v>
      </c>
      <c r="X209" t="b">
        <v>0</v>
      </c>
      <c r="Y209" t="b">
        <v>0</v>
      </c>
      <c r="Z209" t="s">
        <v>59</v>
      </c>
      <c r="AA209" t="b">
        <v>0</v>
      </c>
    </row>
    <row r="210" spans="1:27">
      <c r="A210" t="s">
        <v>7115</v>
      </c>
      <c r="B210" t="s">
        <v>267</v>
      </c>
      <c r="C210" t="s">
        <v>1544</v>
      </c>
      <c r="D210" t="s">
        <v>0</v>
      </c>
      <c r="E210" t="s">
        <v>264</v>
      </c>
      <c r="F210" t="s">
        <v>66</v>
      </c>
      <c r="G210" s="427">
        <v>46305.25</v>
      </c>
      <c r="I210" s="427">
        <v>46244.270833333336</v>
      </c>
      <c r="K210" t="s">
        <v>1351</v>
      </c>
      <c r="M210" t="s">
        <v>76</v>
      </c>
      <c r="P210" t="s">
        <v>76</v>
      </c>
      <c r="S210" t="s">
        <v>264</v>
      </c>
      <c r="T210" t="b">
        <v>0</v>
      </c>
      <c r="U210" t="s">
        <v>76</v>
      </c>
      <c r="V210" t="b">
        <v>0</v>
      </c>
      <c r="W210" t="b">
        <v>0</v>
      </c>
      <c r="X210" t="b">
        <v>0</v>
      </c>
      <c r="Y210" t="b">
        <v>0</v>
      </c>
      <c r="Z210" t="s">
        <v>59</v>
      </c>
      <c r="AA210" t="b">
        <v>0</v>
      </c>
    </row>
    <row r="211" spans="1:27">
      <c r="A211" t="s">
        <v>1160</v>
      </c>
      <c r="B211" t="s">
        <v>1774</v>
      </c>
      <c r="C211" t="s">
        <v>1159</v>
      </c>
      <c r="D211" t="s">
        <v>0</v>
      </c>
      <c r="E211" t="s">
        <v>644</v>
      </c>
      <c r="F211" t="s">
        <v>66</v>
      </c>
      <c r="G211" s="427">
        <v>46244.322916666664</v>
      </c>
      <c r="I211" s="427">
        <v>46244.28125</v>
      </c>
      <c r="K211" t="s">
        <v>427</v>
      </c>
      <c r="L211" t="s">
        <v>7116</v>
      </c>
      <c r="M211" t="s">
        <v>57</v>
      </c>
      <c r="N211" t="s">
        <v>7117</v>
      </c>
      <c r="O211" t="b">
        <v>0</v>
      </c>
      <c r="P211" t="s">
        <v>57</v>
      </c>
      <c r="Q211" t="s">
        <v>1161</v>
      </c>
      <c r="R211" t="b">
        <v>0</v>
      </c>
      <c r="S211" t="s">
        <v>644</v>
      </c>
      <c r="T211" t="b">
        <v>1</v>
      </c>
      <c r="U211" t="s">
        <v>57</v>
      </c>
      <c r="V211" t="b">
        <v>0</v>
      </c>
      <c r="W211" t="b">
        <v>0</v>
      </c>
      <c r="X211" t="b">
        <v>0</v>
      </c>
      <c r="Y211" t="b">
        <v>0</v>
      </c>
      <c r="Z211" t="s">
        <v>59</v>
      </c>
      <c r="AA211" t="b">
        <v>0</v>
      </c>
    </row>
    <row r="212" spans="1:27">
      <c r="A212" t="s">
        <v>643</v>
      </c>
      <c r="B212" t="s">
        <v>1775</v>
      </c>
      <c r="C212" t="s">
        <v>642</v>
      </c>
      <c r="D212" t="s">
        <v>0</v>
      </c>
      <c r="E212" t="s">
        <v>644</v>
      </c>
      <c r="F212" t="s">
        <v>51</v>
      </c>
      <c r="G212" s="427">
        <v>46244.322916666664</v>
      </c>
      <c r="I212" s="427">
        <v>46244.28125</v>
      </c>
      <c r="K212" t="s">
        <v>430</v>
      </c>
      <c r="L212" t="s">
        <v>7118</v>
      </c>
      <c r="M212" t="s">
        <v>57</v>
      </c>
      <c r="N212" t="s">
        <v>7119</v>
      </c>
      <c r="O212" t="b">
        <v>0</v>
      </c>
      <c r="P212" t="s">
        <v>57</v>
      </c>
      <c r="Q212" t="s">
        <v>645</v>
      </c>
      <c r="R212" t="b">
        <v>0</v>
      </c>
      <c r="S212" t="s">
        <v>644</v>
      </c>
      <c r="T212" t="b">
        <v>0</v>
      </c>
      <c r="U212" t="s">
        <v>57</v>
      </c>
      <c r="V212" t="b">
        <v>0</v>
      </c>
      <c r="W212" t="b">
        <v>0</v>
      </c>
      <c r="X212" t="b">
        <v>0</v>
      </c>
      <c r="Y212" t="b">
        <v>0</v>
      </c>
      <c r="Z212" t="s">
        <v>59</v>
      </c>
      <c r="AA212" t="b">
        <v>0</v>
      </c>
    </row>
    <row r="213" spans="1:27">
      <c r="A213" t="s">
        <v>426</v>
      </c>
      <c r="B213" t="s">
        <v>1776</v>
      </c>
      <c r="C213" t="s">
        <v>425</v>
      </c>
      <c r="D213" t="s">
        <v>0</v>
      </c>
      <c r="E213" t="s">
        <v>416</v>
      </c>
      <c r="F213" t="s">
        <v>51</v>
      </c>
      <c r="G213" s="427">
        <v>46244.357638888891</v>
      </c>
      <c r="I213" s="427">
        <v>46244.291666666664</v>
      </c>
      <c r="K213" t="s">
        <v>427</v>
      </c>
      <c r="L213" t="s">
        <v>7120</v>
      </c>
      <c r="M213" t="s">
        <v>57</v>
      </c>
      <c r="N213" t="s">
        <v>7121</v>
      </c>
      <c r="O213" t="b">
        <v>0</v>
      </c>
      <c r="P213" t="s">
        <v>57</v>
      </c>
      <c r="Q213" t="s">
        <v>1009</v>
      </c>
      <c r="R213" t="b">
        <v>0</v>
      </c>
      <c r="S213" t="s">
        <v>416</v>
      </c>
      <c r="T213" t="b">
        <v>0</v>
      </c>
      <c r="U213" t="s">
        <v>57</v>
      </c>
      <c r="V213" t="b">
        <v>0</v>
      </c>
      <c r="W213" t="b">
        <v>0</v>
      </c>
      <c r="X213" t="b">
        <v>0</v>
      </c>
      <c r="Y213" t="b">
        <v>0</v>
      </c>
      <c r="Z213" t="s">
        <v>59</v>
      </c>
      <c r="AA213" t="b">
        <v>0</v>
      </c>
    </row>
    <row r="214" spans="1:27">
      <c r="A214" t="s">
        <v>601</v>
      </c>
      <c r="B214" t="s">
        <v>1777</v>
      </c>
      <c r="C214" t="s">
        <v>600</v>
      </c>
      <c r="D214" t="s">
        <v>0</v>
      </c>
      <c r="E214" t="s">
        <v>602</v>
      </c>
      <c r="F214" t="s">
        <v>51</v>
      </c>
      <c r="G214" s="427">
        <v>46244.340277777781</v>
      </c>
      <c r="I214" s="427">
        <v>46244.291666666664</v>
      </c>
      <c r="K214" t="s">
        <v>427</v>
      </c>
      <c r="L214" t="s">
        <v>7122</v>
      </c>
      <c r="M214" t="s">
        <v>57</v>
      </c>
      <c r="N214" t="s">
        <v>7123</v>
      </c>
      <c r="O214" t="b">
        <v>0</v>
      </c>
      <c r="P214" t="s">
        <v>57</v>
      </c>
      <c r="Q214" t="s">
        <v>7124</v>
      </c>
      <c r="R214" t="b">
        <v>0</v>
      </c>
      <c r="S214" t="s">
        <v>602</v>
      </c>
      <c r="T214" t="b">
        <v>0</v>
      </c>
      <c r="U214" t="s">
        <v>57</v>
      </c>
      <c r="V214" t="b">
        <v>0</v>
      </c>
      <c r="W214" t="b">
        <v>0</v>
      </c>
      <c r="X214" t="b">
        <v>0</v>
      </c>
      <c r="Y214" t="b">
        <v>0</v>
      </c>
      <c r="Z214" t="s">
        <v>59</v>
      </c>
      <c r="AA214" t="b">
        <v>0</v>
      </c>
    </row>
    <row r="215" spans="1:27">
      <c r="A215" t="s">
        <v>426</v>
      </c>
      <c r="B215" t="s">
        <v>1778</v>
      </c>
      <c r="C215" t="s">
        <v>1008</v>
      </c>
      <c r="D215" t="s">
        <v>0</v>
      </c>
      <c r="E215" t="s">
        <v>416</v>
      </c>
      <c r="F215" t="s">
        <v>51</v>
      </c>
      <c r="G215" s="427">
        <v>46244.357638888891</v>
      </c>
      <c r="I215" s="427">
        <v>46244.291666666664</v>
      </c>
      <c r="K215" t="s">
        <v>427</v>
      </c>
      <c r="L215" t="s">
        <v>7125</v>
      </c>
      <c r="M215" t="s">
        <v>57</v>
      </c>
      <c r="N215" t="s">
        <v>7126</v>
      </c>
      <c r="O215" t="b">
        <v>0</v>
      </c>
      <c r="P215" t="s">
        <v>57</v>
      </c>
      <c r="Q215" t="s">
        <v>7127</v>
      </c>
      <c r="R215" t="b">
        <v>0</v>
      </c>
      <c r="S215" t="s">
        <v>416</v>
      </c>
      <c r="T215" t="b">
        <v>0</v>
      </c>
      <c r="U215" t="s">
        <v>57</v>
      </c>
      <c r="V215" t="b">
        <v>0</v>
      </c>
      <c r="W215" t="b">
        <v>0</v>
      </c>
      <c r="X215" t="b">
        <v>0</v>
      </c>
      <c r="Y215" t="b">
        <v>0</v>
      </c>
      <c r="Z215" t="s">
        <v>59</v>
      </c>
      <c r="AA215" t="b">
        <v>0</v>
      </c>
    </row>
    <row r="216" spans="1:27">
      <c r="A216" t="s">
        <v>1051</v>
      </c>
      <c r="B216" t="s">
        <v>1779</v>
      </c>
      <c r="C216" t="s">
        <v>1050</v>
      </c>
      <c r="D216" t="s">
        <v>0</v>
      </c>
      <c r="E216" t="s">
        <v>602</v>
      </c>
      <c r="F216" t="s">
        <v>66</v>
      </c>
      <c r="G216" s="427">
        <v>46244.340277777781</v>
      </c>
      <c r="I216" s="427">
        <v>46244.291666666664</v>
      </c>
      <c r="K216" t="s">
        <v>52</v>
      </c>
      <c r="L216" t="s">
        <v>7128</v>
      </c>
      <c r="M216" t="s">
        <v>57</v>
      </c>
      <c r="N216" t="s">
        <v>7129</v>
      </c>
      <c r="O216" t="b">
        <v>0</v>
      </c>
      <c r="P216" t="s">
        <v>57</v>
      </c>
      <c r="Q216" t="s">
        <v>7130</v>
      </c>
      <c r="R216" t="b">
        <v>0</v>
      </c>
      <c r="S216" t="s">
        <v>602</v>
      </c>
      <c r="T216" t="b">
        <v>0</v>
      </c>
      <c r="U216" t="s">
        <v>57</v>
      </c>
      <c r="V216" t="b">
        <v>0</v>
      </c>
      <c r="W216" t="b">
        <v>0</v>
      </c>
      <c r="X216" t="b">
        <v>0</v>
      </c>
      <c r="Y216" t="b">
        <v>0</v>
      </c>
      <c r="Z216" t="s">
        <v>59</v>
      </c>
      <c r="AA216" t="b">
        <v>0</v>
      </c>
    </row>
    <row r="217" spans="1:27">
      <c r="A217" t="s">
        <v>878</v>
      </c>
      <c r="B217" t="s">
        <v>1780</v>
      </c>
      <c r="C217" t="s">
        <v>877</v>
      </c>
      <c r="D217" t="s">
        <v>0</v>
      </c>
      <c r="E217" t="s">
        <v>874</v>
      </c>
      <c r="F217" t="s">
        <v>66</v>
      </c>
      <c r="G217" s="427">
        <v>46244.305555555555</v>
      </c>
      <c r="I217" s="427">
        <v>46244.291666666664</v>
      </c>
      <c r="K217" t="s">
        <v>451</v>
      </c>
      <c r="L217" t="s">
        <v>7131</v>
      </c>
      <c r="M217" t="s">
        <v>57</v>
      </c>
      <c r="N217" t="s">
        <v>7132</v>
      </c>
      <c r="O217" t="b">
        <v>0</v>
      </c>
      <c r="P217" t="s">
        <v>57</v>
      </c>
      <c r="Q217" t="s">
        <v>879</v>
      </c>
      <c r="R217" t="b">
        <v>0</v>
      </c>
      <c r="S217" t="s">
        <v>874</v>
      </c>
      <c r="T217" t="b">
        <v>1</v>
      </c>
      <c r="U217" t="s">
        <v>57</v>
      </c>
      <c r="V217" t="b">
        <v>0</v>
      </c>
      <c r="W217" t="b">
        <v>0</v>
      </c>
      <c r="X217" t="b">
        <v>0</v>
      </c>
      <c r="Y217" t="b">
        <v>0</v>
      </c>
      <c r="Z217" t="s">
        <v>59</v>
      </c>
      <c r="AA217" t="b">
        <v>0</v>
      </c>
    </row>
    <row r="218" spans="1:27">
      <c r="A218" t="s">
        <v>878</v>
      </c>
      <c r="B218" t="s">
        <v>1781</v>
      </c>
      <c r="C218" t="s">
        <v>1162</v>
      </c>
      <c r="D218" t="s">
        <v>0</v>
      </c>
      <c r="E218" t="s">
        <v>874</v>
      </c>
      <c r="F218" t="s">
        <v>66</v>
      </c>
      <c r="G218" s="427">
        <v>46244.305555555555</v>
      </c>
      <c r="I218" s="427">
        <v>46244.291666666664</v>
      </c>
      <c r="K218" t="s">
        <v>1894</v>
      </c>
      <c r="L218" t="s">
        <v>7133</v>
      </c>
      <c r="M218" t="s">
        <v>57</v>
      </c>
      <c r="N218" t="s">
        <v>7134</v>
      </c>
      <c r="O218" t="b">
        <v>0</v>
      </c>
      <c r="P218" t="s">
        <v>57</v>
      </c>
      <c r="Q218" t="s">
        <v>7135</v>
      </c>
      <c r="R218" t="b">
        <v>0</v>
      </c>
      <c r="S218" t="s">
        <v>874</v>
      </c>
      <c r="T218" t="b">
        <v>0</v>
      </c>
      <c r="U218" t="s">
        <v>57</v>
      </c>
      <c r="V218" t="b">
        <v>0</v>
      </c>
      <c r="W218" t="b">
        <v>0</v>
      </c>
      <c r="X218" t="b">
        <v>0</v>
      </c>
      <c r="Y218" t="b">
        <v>0</v>
      </c>
      <c r="Z218" t="s">
        <v>59</v>
      </c>
      <c r="AA218" t="b">
        <v>0</v>
      </c>
    </row>
    <row r="219" spans="1:27">
      <c r="A219" t="s">
        <v>7092</v>
      </c>
      <c r="B219" t="s">
        <v>1488</v>
      </c>
      <c r="C219" t="s">
        <v>1489</v>
      </c>
      <c r="D219" t="s">
        <v>0</v>
      </c>
      <c r="E219" t="s">
        <v>238</v>
      </c>
      <c r="F219" t="s">
        <v>66</v>
      </c>
      <c r="G219" s="427">
        <v>46244.329861111109</v>
      </c>
      <c r="I219" s="427">
        <v>46244.291666666664</v>
      </c>
      <c r="K219" t="s">
        <v>128</v>
      </c>
      <c r="L219" t="s">
        <v>7136</v>
      </c>
      <c r="M219" t="s">
        <v>57</v>
      </c>
      <c r="N219" t="s">
        <v>7137</v>
      </c>
      <c r="O219" t="b">
        <v>0</v>
      </c>
      <c r="P219" t="s">
        <v>57</v>
      </c>
      <c r="S219" t="s">
        <v>238</v>
      </c>
      <c r="T219" t="b">
        <v>0</v>
      </c>
      <c r="U219" t="s">
        <v>57</v>
      </c>
      <c r="V219" t="b">
        <v>0</v>
      </c>
      <c r="W219" t="b">
        <v>0</v>
      </c>
      <c r="X219" t="b">
        <v>0</v>
      </c>
      <c r="Y219" t="b">
        <v>0</v>
      </c>
      <c r="Z219" t="s">
        <v>59</v>
      </c>
      <c r="AA219" t="b">
        <v>0</v>
      </c>
    </row>
    <row r="220" spans="1:27">
      <c r="A220" t="s">
        <v>628</v>
      </c>
      <c r="B220" t="s">
        <v>1782</v>
      </c>
      <c r="C220" t="s">
        <v>1231</v>
      </c>
      <c r="D220" t="s">
        <v>0</v>
      </c>
      <c r="E220" t="s">
        <v>629</v>
      </c>
      <c r="F220" t="s">
        <v>51</v>
      </c>
      <c r="G220" s="427">
        <v>46244.354166666664</v>
      </c>
      <c r="I220" s="427">
        <v>46244.302083333336</v>
      </c>
      <c r="K220" t="s">
        <v>430</v>
      </c>
      <c r="L220" t="s">
        <v>7138</v>
      </c>
      <c r="M220" t="s">
        <v>57</v>
      </c>
      <c r="N220" t="s">
        <v>7139</v>
      </c>
      <c r="O220" t="b">
        <v>0</v>
      </c>
      <c r="P220" t="s">
        <v>57</v>
      </c>
      <c r="Q220" t="s">
        <v>6098</v>
      </c>
      <c r="R220" t="b">
        <v>0</v>
      </c>
      <c r="S220" t="s">
        <v>629</v>
      </c>
      <c r="T220" t="b">
        <v>0</v>
      </c>
      <c r="U220" t="s">
        <v>57</v>
      </c>
      <c r="V220" t="b">
        <v>0</v>
      </c>
      <c r="W220" t="b">
        <v>0</v>
      </c>
      <c r="X220" t="b">
        <v>0</v>
      </c>
      <c r="Y220" t="b">
        <v>0</v>
      </c>
      <c r="Z220" t="s">
        <v>59</v>
      </c>
      <c r="AA220" t="b">
        <v>0</v>
      </c>
    </row>
    <row r="221" spans="1:27">
      <c r="A221" t="s">
        <v>628</v>
      </c>
      <c r="B221" t="s">
        <v>1783</v>
      </c>
      <c r="C221" t="s">
        <v>1123</v>
      </c>
      <c r="D221" t="s">
        <v>0</v>
      </c>
      <c r="E221" t="s">
        <v>629</v>
      </c>
      <c r="F221" t="s">
        <v>51</v>
      </c>
      <c r="G221" s="427">
        <v>46244.354166666664</v>
      </c>
      <c r="I221" s="427">
        <v>46244.302083333336</v>
      </c>
      <c r="K221" t="s">
        <v>430</v>
      </c>
      <c r="L221" t="s">
        <v>7140</v>
      </c>
      <c r="M221" t="s">
        <v>57</v>
      </c>
      <c r="N221" t="s">
        <v>7141</v>
      </c>
      <c r="O221" t="b">
        <v>0</v>
      </c>
      <c r="P221" t="s">
        <v>57</v>
      </c>
      <c r="Q221" t="s">
        <v>4879</v>
      </c>
      <c r="R221" t="b">
        <v>0</v>
      </c>
      <c r="S221" t="s">
        <v>629</v>
      </c>
      <c r="T221" t="b">
        <v>0</v>
      </c>
      <c r="U221" t="s">
        <v>57</v>
      </c>
      <c r="V221" t="b">
        <v>0</v>
      </c>
      <c r="W221" t="b">
        <v>0</v>
      </c>
      <c r="X221" t="b">
        <v>0</v>
      </c>
      <c r="Y221" t="b">
        <v>0</v>
      </c>
      <c r="Z221" t="s">
        <v>59</v>
      </c>
      <c r="AA221" t="b">
        <v>0</v>
      </c>
    </row>
    <row r="222" spans="1:27">
      <c r="A222" t="s">
        <v>638</v>
      </c>
      <c r="B222" t="s">
        <v>1784</v>
      </c>
      <c r="C222" t="s">
        <v>637</v>
      </c>
      <c r="D222" t="s">
        <v>0</v>
      </c>
      <c r="E222" t="s">
        <v>639</v>
      </c>
      <c r="F222" t="s">
        <v>51</v>
      </c>
      <c r="G222" s="427">
        <v>46244.378472222219</v>
      </c>
      <c r="I222" s="427">
        <v>46244.326388888891</v>
      </c>
      <c r="K222" t="s">
        <v>427</v>
      </c>
      <c r="L222" t="s">
        <v>7142</v>
      </c>
      <c r="M222" t="s">
        <v>57</v>
      </c>
      <c r="N222" t="s">
        <v>1306</v>
      </c>
      <c r="O222" t="b">
        <v>0</v>
      </c>
      <c r="P222" t="s">
        <v>57</v>
      </c>
      <c r="Q222" t="s">
        <v>641</v>
      </c>
      <c r="R222" t="b">
        <v>0</v>
      </c>
      <c r="S222" t="s">
        <v>639</v>
      </c>
      <c r="T222" t="b">
        <v>1</v>
      </c>
      <c r="U222" t="s">
        <v>57</v>
      </c>
      <c r="V222" t="b">
        <v>0</v>
      </c>
      <c r="W222" t="b">
        <v>0</v>
      </c>
      <c r="X222" t="b">
        <v>0</v>
      </c>
      <c r="Y222" t="b">
        <v>0</v>
      </c>
      <c r="Z222" t="s">
        <v>7059</v>
      </c>
      <c r="AA222" t="b">
        <v>0</v>
      </c>
    </row>
    <row r="223" spans="1:27">
      <c r="A223" t="s">
        <v>638</v>
      </c>
      <c r="B223" t="s">
        <v>1785</v>
      </c>
      <c r="C223" t="s">
        <v>1000</v>
      </c>
      <c r="D223" t="s">
        <v>0</v>
      </c>
      <c r="E223" t="s">
        <v>639</v>
      </c>
      <c r="F223" t="s">
        <v>51</v>
      </c>
      <c r="G223" s="427">
        <v>46244.378472222219</v>
      </c>
      <c r="I223" s="427">
        <v>46244.326388888891</v>
      </c>
      <c r="K223" t="s">
        <v>430</v>
      </c>
      <c r="L223" t="s">
        <v>7143</v>
      </c>
      <c r="M223" t="s">
        <v>57</v>
      </c>
      <c r="N223" t="s">
        <v>7144</v>
      </c>
      <c r="O223" t="b">
        <v>0</v>
      </c>
      <c r="P223" t="s">
        <v>57</v>
      </c>
      <c r="Q223" t="s">
        <v>1001</v>
      </c>
      <c r="R223" t="b">
        <v>0</v>
      </c>
      <c r="S223" t="s">
        <v>639</v>
      </c>
      <c r="T223" t="b">
        <v>0</v>
      </c>
      <c r="U223" t="s">
        <v>57</v>
      </c>
      <c r="V223" t="b">
        <v>0</v>
      </c>
      <c r="W223" t="b">
        <v>0</v>
      </c>
      <c r="X223" t="b">
        <v>0</v>
      </c>
      <c r="Y223" t="b">
        <v>0</v>
      </c>
      <c r="Z223" t="s">
        <v>7059</v>
      </c>
      <c r="AA223" t="b">
        <v>0</v>
      </c>
    </row>
    <row r="224" spans="1:27">
      <c r="A224" t="s">
        <v>1114</v>
      </c>
      <c r="B224" t="s">
        <v>1786</v>
      </c>
      <c r="C224" t="s">
        <v>1113</v>
      </c>
      <c r="D224" t="s">
        <v>0</v>
      </c>
      <c r="E224" t="s">
        <v>238</v>
      </c>
      <c r="F224" t="s">
        <v>66</v>
      </c>
      <c r="G224" s="427">
        <v>46244.395833333336</v>
      </c>
      <c r="I224" s="427">
        <v>46244.357638888891</v>
      </c>
      <c r="K224" t="s">
        <v>3838</v>
      </c>
      <c r="M224" t="s">
        <v>57</v>
      </c>
      <c r="P224" t="s">
        <v>57</v>
      </c>
      <c r="Q224" t="s">
        <v>7145</v>
      </c>
      <c r="R224" t="b">
        <v>0</v>
      </c>
      <c r="S224" t="s">
        <v>238</v>
      </c>
      <c r="T224" t="b">
        <v>0</v>
      </c>
      <c r="U224" t="s">
        <v>57</v>
      </c>
      <c r="V224" t="b">
        <v>0</v>
      </c>
      <c r="W224" t="b">
        <v>0</v>
      </c>
      <c r="X224" t="b">
        <v>0</v>
      </c>
      <c r="Y224" t="b">
        <v>0</v>
      </c>
      <c r="Z224" t="s">
        <v>59</v>
      </c>
      <c r="AA224" t="b">
        <v>0</v>
      </c>
    </row>
    <row r="225" spans="1:27">
      <c r="A225" t="s">
        <v>532</v>
      </c>
      <c r="B225" t="s">
        <v>1787</v>
      </c>
      <c r="C225" t="s">
        <v>531</v>
      </c>
      <c r="D225" t="s">
        <v>0</v>
      </c>
      <c r="E225" t="s">
        <v>238</v>
      </c>
      <c r="F225" t="s">
        <v>66</v>
      </c>
      <c r="G225" s="427">
        <v>46244.395833333336</v>
      </c>
      <c r="I225" s="427">
        <v>46244.357638888891</v>
      </c>
      <c r="K225" t="s">
        <v>430</v>
      </c>
      <c r="M225" t="s">
        <v>57</v>
      </c>
      <c r="P225" t="s">
        <v>57</v>
      </c>
      <c r="S225" t="s">
        <v>238</v>
      </c>
      <c r="T225" t="b">
        <v>0</v>
      </c>
      <c r="U225" t="s">
        <v>57</v>
      </c>
      <c r="V225" t="b">
        <v>0</v>
      </c>
      <c r="W225" t="b">
        <v>0</v>
      </c>
      <c r="X225" t="b">
        <v>0</v>
      </c>
      <c r="Y225" t="b">
        <v>0</v>
      </c>
      <c r="Z225" t="s">
        <v>59</v>
      </c>
      <c r="AA225" t="b">
        <v>0</v>
      </c>
    </row>
    <row r="226" spans="1:27">
      <c r="A226" t="s">
        <v>1208</v>
      </c>
      <c r="B226" t="s">
        <v>1788</v>
      </c>
      <c r="C226" t="s">
        <v>1207</v>
      </c>
      <c r="D226" t="s">
        <v>0</v>
      </c>
      <c r="E226" t="s">
        <v>456</v>
      </c>
      <c r="F226" t="s">
        <v>66</v>
      </c>
      <c r="G226" s="427">
        <v>46244.430555555555</v>
      </c>
      <c r="I226" s="427">
        <v>46244.375</v>
      </c>
      <c r="K226" t="s">
        <v>791</v>
      </c>
      <c r="M226" t="s">
        <v>57</v>
      </c>
      <c r="P226" t="s">
        <v>57</v>
      </c>
      <c r="S226" t="s">
        <v>456</v>
      </c>
      <c r="T226" t="b">
        <v>0</v>
      </c>
      <c r="U226" t="s">
        <v>57</v>
      </c>
      <c r="V226" t="b">
        <v>0</v>
      </c>
      <c r="W226" t="b">
        <v>0</v>
      </c>
      <c r="X226" t="b">
        <v>0</v>
      </c>
      <c r="Y226" t="b">
        <v>0</v>
      </c>
      <c r="Z226" t="s">
        <v>59</v>
      </c>
      <c r="AA226" t="b">
        <v>0</v>
      </c>
    </row>
    <row r="227" spans="1:27">
      <c r="A227" t="s">
        <v>6905</v>
      </c>
      <c r="B227" t="s">
        <v>1411</v>
      </c>
      <c r="C227" t="s">
        <v>1412</v>
      </c>
      <c r="D227" t="s">
        <v>0</v>
      </c>
      <c r="E227" t="s">
        <v>150</v>
      </c>
      <c r="F227" t="s">
        <v>66</v>
      </c>
      <c r="G227" s="427">
        <v>46244.895833333336</v>
      </c>
      <c r="I227" s="427">
        <v>46244.375</v>
      </c>
      <c r="K227" t="s">
        <v>128</v>
      </c>
      <c r="L227" t="s">
        <v>7146</v>
      </c>
      <c r="M227" t="s">
        <v>57</v>
      </c>
      <c r="N227" t="s">
        <v>7147</v>
      </c>
      <c r="O227" t="b">
        <v>0</v>
      </c>
      <c r="P227" t="s">
        <v>57</v>
      </c>
      <c r="S227" t="s">
        <v>150</v>
      </c>
      <c r="T227" t="b">
        <v>0</v>
      </c>
      <c r="U227" t="s">
        <v>57</v>
      </c>
      <c r="V227" t="b">
        <v>0</v>
      </c>
      <c r="W227" t="b">
        <v>0</v>
      </c>
      <c r="X227" t="b">
        <v>0</v>
      </c>
      <c r="Y227" t="b">
        <v>0</v>
      </c>
      <c r="Z227" t="s">
        <v>59</v>
      </c>
      <c r="AA227" t="b">
        <v>0</v>
      </c>
    </row>
    <row r="228" spans="1:27">
      <c r="A228" t="s">
        <v>6915</v>
      </c>
      <c r="B228" t="s">
        <v>261</v>
      </c>
      <c r="C228" t="s">
        <v>1540</v>
      </c>
      <c r="D228" t="s">
        <v>0</v>
      </c>
      <c r="E228" t="s">
        <v>241</v>
      </c>
      <c r="F228" t="s">
        <v>51</v>
      </c>
      <c r="G228" s="427">
        <v>46275.177083333336</v>
      </c>
      <c r="I228" s="427">
        <v>46244.40625</v>
      </c>
      <c r="K228" t="s">
        <v>1425</v>
      </c>
      <c r="L228" t="s">
        <v>1541</v>
      </c>
      <c r="M228" t="s">
        <v>57</v>
      </c>
      <c r="N228" t="s">
        <v>1542</v>
      </c>
      <c r="O228" t="b">
        <v>0</v>
      </c>
      <c r="P228" t="s">
        <v>57</v>
      </c>
      <c r="Q228" t="s">
        <v>504</v>
      </c>
      <c r="R228" t="b">
        <v>1</v>
      </c>
      <c r="S228" t="s">
        <v>246</v>
      </c>
      <c r="T228" t="b">
        <v>1</v>
      </c>
      <c r="U228" t="s">
        <v>57</v>
      </c>
      <c r="V228" t="b">
        <v>0</v>
      </c>
      <c r="W228" t="b">
        <v>0</v>
      </c>
      <c r="X228" t="b">
        <v>0</v>
      </c>
      <c r="Y228" t="b">
        <v>0</v>
      </c>
      <c r="Z228" t="s">
        <v>59</v>
      </c>
      <c r="AA228" t="b">
        <v>0</v>
      </c>
    </row>
    <row r="229" spans="1:27">
      <c r="A229" t="s">
        <v>6915</v>
      </c>
      <c r="B229" t="s">
        <v>1508</v>
      </c>
      <c r="C229" t="s">
        <v>1509</v>
      </c>
      <c r="D229" t="s">
        <v>0</v>
      </c>
      <c r="E229" t="s">
        <v>241</v>
      </c>
      <c r="F229" t="s">
        <v>66</v>
      </c>
      <c r="G229" s="427">
        <v>46275.1875</v>
      </c>
      <c r="I229" s="427">
        <v>46244.416666666664</v>
      </c>
      <c r="K229" t="s">
        <v>185</v>
      </c>
      <c r="L229" t="s">
        <v>7148</v>
      </c>
      <c r="M229" t="s">
        <v>57</v>
      </c>
      <c r="N229" t="s">
        <v>7149</v>
      </c>
      <c r="O229" t="b">
        <v>0</v>
      </c>
      <c r="P229" t="s">
        <v>57</v>
      </c>
      <c r="S229" t="s">
        <v>241</v>
      </c>
      <c r="T229" t="b">
        <v>0</v>
      </c>
      <c r="U229" t="s">
        <v>76</v>
      </c>
      <c r="V229" t="b">
        <v>0</v>
      </c>
      <c r="W229" t="b">
        <v>0</v>
      </c>
      <c r="X229" t="b">
        <v>0</v>
      </c>
      <c r="Y229" t="b">
        <v>0</v>
      </c>
      <c r="Z229" t="s">
        <v>59</v>
      </c>
      <c r="AA229" t="b">
        <v>0</v>
      </c>
    </row>
    <row r="230" spans="1:27">
      <c r="A230" t="s">
        <v>7150</v>
      </c>
      <c r="B230" t="s">
        <v>1511</v>
      </c>
      <c r="C230" t="s">
        <v>1512</v>
      </c>
      <c r="D230" t="s">
        <v>0</v>
      </c>
      <c r="E230" t="s">
        <v>241</v>
      </c>
      <c r="F230" t="s">
        <v>51</v>
      </c>
      <c r="G230" s="427">
        <v>46275.1875</v>
      </c>
      <c r="I230" s="427">
        <v>46244.416666666664</v>
      </c>
      <c r="K230" t="s">
        <v>185</v>
      </c>
      <c r="L230" t="s">
        <v>7151</v>
      </c>
      <c r="M230" t="s">
        <v>57</v>
      </c>
      <c r="N230" t="s">
        <v>7152</v>
      </c>
      <c r="O230" t="b">
        <v>0</v>
      </c>
      <c r="P230" t="s">
        <v>57</v>
      </c>
      <c r="Q230" t="s">
        <v>562</v>
      </c>
      <c r="R230" t="b">
        <v>0</v>
      </c>
      <c r="S230" t="s">
        <v>241</v>
      </c>
      <c r="T230" t="b">
        <v>0</v>
      </c>
      <c r="U230" t="s">
        <v>57</v>
      </c>
      <c r="V230" t="b">
        <v>0</v>
      </c>
      <c r="W230" t="b">
        <v>0</v>
      </c>
      <c r="X230" t="b">
        <v>0</v>
      </c>
      <c r="Y230" t="b">
        <v>0</v>
      </c>
      <c r="Z230" t="s">
        <v>59</v>
      </c>
      <c r="AA230" t="b">
        <v>0</v>
      </c>
    </row>
    <row r="231" spans="1:27">
      <c r="A231" t="s">
        <v>7153</v>
      </c>
      <c r="B231" t="s">
        <v>1578</v>
      </c>
      <c r="C231" t="s">
        <v>1579</v>
      </c>
      <c r="D231" t="s">
        <v>0</v>
      </c>
      <c r="E231" t="s">
        <v>1572</v>
      </c>
      <c r="F231" t="s">
        <v>66</v>
      </c>
      <c r="G231" s="427">
        <v>46275.072916666664</v>
      </c>
      <c r="I231" s="427">
        <v>46244.416666666664</v>
      </c>
      <c r="K231" t="s">
        <v>1406</v>
      </c>
      <c r="L231" t="s">
        <v>1580</v>
      </c>
      <c r="M231" t="s">
        <v>1551</v>
      </c>
      <c r="N231" t="s">
        <v>1581</v>
      </c>
      <c r="O231" t="b">
        <v>0</v>
      </c>
      <c r="P231" t="s">
        <v>57</v>
      </c>
      <c r="Q231" t="s">
        <v>7154</v>
      </c>
      <c r="R231" t="b">
        <v>1</v>
      </c>
      <c r="S231" t="s">
        <v>1572</v>
      </c>
      <c r="T231" t="b">
        <v>0</v>
      </c>
      <c r="U231" t="s">
        <v>57</v>
      </c>
      <c r="V231" t="b">
        <v>0</v>
      </c>
      <c r="W231" t="b">
        <v>0</v>
      </c>
      <c r="X231" t="b">
        <v>0</v>
      </c>
      <c r="Y231" t="b">
        <v>0</v>
      </c>
      <c r="Z231" t="s">
        <v>59</v>
      </c>
      <c r="AA231" t="b">
        <v>0</v>
      </c>
    </row>
    <row r="232" spans="1:27">
      <c r="A232" t="s">
        <v>6915</v>
      </c>
      <c r="B232" t="s">
        <v>1517</v>
      </c>
      <c r="C232" t="s">
        <v>1518</v>
      </c>
      <c r="D232" t="s">
        <v>0</v>
      </c>
      <c r="E232" t="s">
        <v>241</v>
      </c>
      <c r="F232" t="s">
        <v>66</v>
      </c>
      <c r="G232" s="427">
        <v>46275.1875</v>
      </c>
      <c r="I232" s="427">
        <v>46244.416666666664</v>
      </c>
      <c r="K232" t="s">
        <v>171</v>
      </c>
      <c r="L232" t="s">
        <v>7155</v>
      </c>
      <c r="M232" t="s">
        <v>57</v>
      </c>
      <c r="N232" t="s">
        <v>7156</v>
      </c>
      <c r="O232" t="b">
        <v>0</v>
      </c>
      <c r="P232" t="s">
        <v>57</v>
      </c>
      <c r="S232" t="s">
        <v>241</v>
      </c>
      <c r="T232" t="b">
        <v>0</v>
      </c>
      <c r="U232" t="s">
        <v>57</v>
      </c>
      <c r="V232" t="b">
        <v>0</v>
      </c>
      <c r="W232" t="b">
        <v>0</v>
      </c>
      <c r="X232" t="b">
        <v>0</v>
      </c>
      <c r="Y232" t="b">
        <v>0</v>
      </c>
      <c r="Z232" t="s">
        <v>59</v>
      </c>
      <c r="AA232" t="b">
        <v>0</v>
      </c>
    </row>
    <row r="233" spans="1:27">
      <c r="A233" t="s">
        <v>6894</v>
      </c>
      <c r="B233" t="s">
        <v>1527</v>
      </c>
      <c r="C233" t="s">
        <v>1528</v>
      </c>
      <c r="D233" t="s">
        <v>0</v>
      </c>
      <c r="E233" t="s">
        <v>241</v>
      </c>
      <c r="F233" t="s">
        <v>51</v>
      </c>
      <c r="G233" s="427">
        <v>46275.1875</v>
      </c>
      <c r="I233" s="427">
        <v>46244.416666666664</v>
      </c>
      <c r="K233" t="s">
        <v>1425</v>
      </c>
      <c r="L233" t="s">
        <v>1529</v>
      </c>
      <c r="M233" t="s">
        <v>57</v>
      </c>
      <c r="N233" t="s">
        <v>1530</v>
      </c>
      <c r="O233" t="b">
        <v>0</v>
      </c>
      <c r="P233" t="s">
        <v>57</v>
      </c>
      <c r="Q233" t="s">
        <v>1026</v>
      </c>
      <c r="R233" t="b">
        <v>1</v>
      </c>
      <c r="S233" t="s">
        <v>1537</v>
      </c>
      <c r="T233" t="b">
        <v>0</v>
      </c>
      <c r="U233" t="s">
        <v>57</v>
      </c>
      <c r="V233" t="b">
        <v>0</v>
      </c>
      <c r="W233" t="b">
        <v>0</v>
      </c>
      <c r="X233" t="b">
        <v>0</v>
      </c>
      <c r="Y233" t="b">
        <v>0</v>
      </c>
      <c r="Z233" t="s">
        <v>59</v>
      </c>
      <c r="AA233" t="b">
        <v>0</v>
      </c>
    </row>
    <row r="234" spans="1:27">
      <c r="A234" t="s">
        <v>7157</v>
      </c>
      <c r="B234" t="s">
        <v>1398</v>
      </c>
      <c r="C234" t="s">
        <v>1399</v>
      </c>
      <c r="D234" t="s">
        <v>0</v>
      </c>
      <c r="E234" t="s">
        <v>124</v>
      </c>
      <c r="F234" t="s">
        <v>66</v>
      </c>
      <c r="G234" s="427">
        <v>46275.041666666664</v>
      </c>
      <c r="I234" s="427">
        <v>46244.416666666664</v>
      </c>
      <c r="K234" t="s">
        <v>52</v>
      </c>
      <c r="L234" t="s">
        <v>1400</v>
      </c>
      <c r="M234" t="s">
        <v>57</v>
      </c>
      <c r="N234" t="s">
        <v>1401</v>
      </c>
      <c r="O234" t="b">
        <v>0</v>
      </c>
      <c r="P234" t="s">
        <v>57</v>
      </c>
      <c r="S234" t="s">
        <v>124</v>
      </c>
      <c r="T234" t="b">
        <v>0</v>
      </c>
      <c r="U234" t="s">
        <v>57</v>
      </c>
      <c r="V234" t="b">
        <v>0</v>
      </c>
      <c r="W234" t="b">
        <v>0</v>
      </c>
      <c r="X234" t="b">
        <v>0</v>
      </c>
      <c r="Y234" t="b">
        <v>0</v>
      </c>
      <c r="Z234" t="s">
        <v>59</v>
      </c>
      <c r="AA234" t="b">
        <v>0</v>
      </c>
    </row>
    <row r="235" spans="1:27">
      <c r="A235" t="s">
        <v>6915</v>
      </c>
      <c r="B235" t="s">
        <v>268</v>
      </c>
      <c r="C235" t="s">
        <v>1536</v>
      </c>
      <c r="D235" t="s">
        <v>0</v>
      </c>
      <c r="E235" t="s">
        <v>241</v>
      </c>
      <c r="F235" t="s">
        <v>51</v>
      </c>
      <c r="G235" s="427">
        <v>46275.1875</v>
      </c>
      <c r="I235" s="427">
        <v>46244.416666666664</v>
      </c>
      <c r="K235" t="s">
        <v>52</v>
      </c>
      <c r="L235" t="s">
        <v>7158</v>
      </c>
      <c r="M235" t="s">
        <v>57</v>
      </c>
      <c r="N235" t="s">
        <v>7159</v>
      </c>
      <c r="O235" t="b">
        <v>0</v>
      </c>
      <c r="P235" t="s">
        <v>57</v>
      </c>
      <c r="Q235" t="s">
        <v>547</v>
      </c>
      <c r="R235" t="b">
        <v>1</v>
      </c>
      <c r="S235" t="s">
        <v>1537</v>
      </c>
      <c r="T235" t="b">
        <v>1</v>
      </c>
      <c r="U235" t="s">
        <v>57</v>
      </c>
      <c r="V235" t="b">
        <v>0</v>
      </c>
      <c r="W235" t="b">
        <v>0</v>
      </c>
      <c r="X235" t="b">
        <v>0</v>
      </c>
      <c r="Y235" t="b">
        <v>0</v>
      </c>
      <c r="Z235" t="s">
        <v>59</v>
      </c>
      <c r="AA235" t="b">
        <v>0</v>
      </c>
    </row>
    <row r="236" spans="1:27">
      <c r="A236" t="s">
        <v>6945</v>
      </c>
      <c r="B236" t="s">
        <v>162</v>
      </c>
      <c r="C236" t="s">
        <v>1419</v>
      </c>
      <c r="D236" t="s">
        <v>0</v>
      </c>
      <c r="E236" t="s">
        <v>150</v>
      </c>
      <c r="F236" t="s">
        <v>66</v>
      </c>
      <c r="G236" s="427">
        <v>46244.9375</v>
      </c>
      <c r="I236" s="427">
        <v>46244.416666666664</v>
      </c>
      <c r="K236" t="s">
        <v>144</v>
      </c>
      <c r="L236" t="s">
        <v>1420</v>
      </c>
      <c r="M236" t="s">
        <v>57</v>
      </c>
      <c r="N236" t="s">
        <v>1421</v>
      </c>
      <c r="O236" t="b">
        <v>0</v>
      </c>
      <c r="P236" t="s">
        <v>57</v>
      </c>
      <c r="S236" t="s">
        <v>150</v>
      </c>
      <c r="T236" t="b">
        <v>0</v>
      </c>
      <c r="U236" t="s">
        <v>57</v>
      </c>
      <c r="V236" t="b">
        <v>0</v>
      </c>
      <c r="W236" t="b">
        <v>0</v>
      </c>
      <c r="X236" t="b">
        <v>0</v>
      </c>
      <c r="Y236" t="b">
        <v>0</v>
      </c>
      <c r="Z236" t="s">
        <v>59</v>
      </c>
      <c r="AA236" t="b">
        <v>0</v>
      </c>
    </row>
    <row r="237" spans="1:27">
      <c r="A237" t="s">
        <v>6915</v>
      </c>
      <c r="B237" t="s">
        <v>1534</v>
      </c>
      <c r="C237" t="s">
        <v>1535</v>
      </c>
      <c r="D237" t="s">
        <v>0</v>
      </c>
      <c r="E237" t="s">
        <v>241</v>
      </c>
      <c r="F237" t="s">
        <v>66</v>
      </c>
      <c r="G237" s="427">
        <v>46275.1875</v>
      </c>
      <c r="I237" s="427">
        <v>46244.416666666664</v>
      </c>
      <c r="K237" t="s">
        <v>171</v>
      </c>
      <c r="L237" t="s">
        <v>7160</v>
      </c>
      <c r="M237" t="s">
        <v>57</v>
      </c>
      <c r="N237" t="s">
        <v>7161</v>
      </c>
      <c r="O237" t="b">
        <v>0</v>
      </c>
      <c r="P237" t="s">
        <v>57</v>
      </c>
      <c r="S237" t="s">
        <v>246</v>
      </c>
      <c r="T237" t="b">
        <v>0</v>
      </c>
      <c r="U237" t="s">
        <v>57</v>
      </c>
      <c r="V237" t="b">
        <v>0</v>
      </c>
      <c r="W237" t="b">
        <v>0</v>
      </c>
      <c r="X237" t="b">
        <v>0</v>
      </c>
      <c r="Y237" t="b">
        <v>0</v>
      </c>
      <c r="Z237" t="s">
        <v>59</v>
      </c>
      <c r="AA237" t="b">
        <v>0</v>
      </c>
    </row>
    <row r="238" spans="1:27">
      <c r="A238" t="s">
        <v>7162</v>
      </c>
      <c r="B238" t="s">
        <v>1402</v>
      </c>
      <c r="C238" t="s">
        <v>1403</v>
      </c>
      <c r="D238" t="s">
        <v>0</v>
      </c>
      <c r="E238" t="s">
        <v>124</v>
      </c>
      <c r="F238" t="s">
        <v>51</v>
      </c>
      <c r="G238" s="427">
        <v>46275.041666666664</v>
      </c>
      <c r="I238" s="427">
        <v>46244.416666666664</v>
      </c>
      <c r="K238" t="s">
        <v>171</v>
      </c>
      <c r="L238" t="s">
        <v>7163</v>
      </c>
      <c r="M238" t="s">
        <v>57</v>
      </c>
      <c r="N238" t="s">
        <v>7164</v>
      </c>
      <c r="O238" t="b">
        <v>0</v>
      </c>
      <c r="P238" t="s">
        <v>57</v>
      </c>
      <c r="Q238" t="s">
        <v>523</v>
      </c>
      <c r="R238" t="b">
        <v>1</v>
      </c>
      <c r="S238" t="s">
        <v>124</v>
      </c>
      <c r="T238" t="b">
        <v>1</v>
      </c>
      <c r="U238" t="s">
        <v>57</v>
      </c>
      <c r="V238" t="b">
        <v>0</v>
      </c>
      <c r="W238" t="b">
        <v>0</v>
      </c>
      <c r="X238" t="b">
        <v>0</v>
      </c>
      <c r="Y238" t="b">
        <v>0</v>
      </c>
      <c r="Z238" t="s">
        <v>59</v>
      </c>
      <c r="AA238" t="b">
        <v>0</v>
      </c>
    </row>
    <row r="239" spans="1:27">
      <c r="A239" t="s">
        <v>6915</v>
      </c>
      <c r="B239" t="s">
        <v>1538</v>
      </c>
      <c r="C239" t="s">
        <v>1539</v>
      </c>
      <c r="D239" t="s">
        <v>0</v>
      </c>
      <c r="E239" t="s">
        <v>241</v>
      </c>
      <c r="F239" t="s">
        <v>51</v>
      </c>
      <c r="G239" s="427">
        <v>46275.1875</v>
      </c>
      <c r="I239" s="427">
        <v>46244.416666666664</v>
      </c>
      <c r="K239" t="s">
        <v>52</v>
      </c>
      <c r="L239" t="s">
        <v>7165</v>
      </c>
      <c r="M239" t="s">
        <v>57</v>
      </c>
      <c r="N239" t="s">
        <v>7166</v>
      </c>
      <c r="O239" t="b">
        <v>0</v>
      </c>
      <c r="P239" t="s">
        <v>57</v>
      </c>
      <c r="Q239" t="s">
        <v>7167</v>
      </c>
      <c r="R239" t="b">
        <v>1</v>
      </c>
      <c r="S239" t="s">
        <v>1537</v>
      </c>
      <c r="T239" t="b">
        <v>1</v>
      </c>
      <c r="U239" t="s">
        <v>57</v>
      </c>
      <c r="V239" t="b">
        <v>0</v>
      </c>
      <c r="W239" t="b">
        <v>0</v>
      </c>
      <c r="X239" t="b">
        <v>0</v>
      </c>
      <c r="Y239" t="b">
        <v>0</v>
      </c>
      <c r="Z239" t="s">
        <v>59</v>
      </c>
      <c r="AA239" t="b">
        <v>0</v>
      </c>
    </row>
    <row r="240" spans="1:27">
      <c r="A240" t="s">
        <v>7157</v>
      </c>
      <c r="B240" t="s">
        <v>1404</v>
      </c>
      <c r="C240" t="s">
        <v>1405</v>
      </c>
      <c r="D240" t="s">
        <v>0</v>
      </c>
      <c r="E240" t="s">
        <v>124</v>
      </c>
      <c r="F240" t="s">
        <v>66</v>
      </c>
      <c r="G240" s="427">
        <v>46275.041666666664</v>
      </c>
      <c r="I240" s="427">
        <v>46244.416666666664</v>
      </c>
      <c r="K240" t="s">
        <v>1406</v>
      </c>
      <c r="L240" t="s">
        <v>1407</v>
      </c>
      <c r="M240" t="s">
        <v>57</v>
      </c>
      <c r="N240" t="s">
        <v>1408</v>
      </c>
      <c r="O240" t="b">
        <v>0</v>
      </c>
      <c r="P240" t="s">
        <v>57</v>
      </c>
      <c r="S240" t="s">
        <v>124</v>
      </c>
      <c r="T240" t="b">
        <v>0</v>
      </c>
      <c r="U240" t="s">
        <v>57</v>
      </c>
      <c r="V240" t="b">
        <v>0</v>
      </c>
      <c r="W240" t="b">
        <v>0</v>
      </c>
      <c r="X240" t="b">
        <v>0</v>
      </c>
      <c r="Y240" t="b">
        <v>0</v>
      </c>
      <c r="Z240" t="s">
        <v>59</v>
      </c>
      <c r="AA240" t="b">
        <v>0</v>
      </c>
    </row>
    <row r="241" spans="1:27">
      <c r="A241" t="s">
        <v>6936</v>
      </c>
      <c r="B241" t="s">
        <v>1559</v>
      </c>
      <c r="C241" t="s">
        <v>1560</v>
      </c>
      <c r="D241" t="s">
        <v>0</v>
      </c>
      <c r="E241" t="s">
        <v>285</v>
      </c>
      <c r="F241" t="s">
        <v>66</v>
      </c>
      <c r="G241" s="427">
        <v>46275.045138888891</v>
      </c>
      <c r="I241" s="427">
        <v>46244.4375</v>
      </c>
      <c r="K241" t="s">
        <v>171</v>
      </c>
      <c r="L241" t="s">
        <v>7168</v>
      </c>
      <c r="M241" t="s">
        <v>57</v>
      </c>
      <c r="N241" t="s">
        <v>7169</v>
      </c>
      <c r="O241" t="b">
        <v>0</v>
      </c>
      <c r="P241" t="s">
        <v>57</v>
      </c>
      <c r="S241" t="s">
        <v>285</v>
      </c>
      <c r="T241" t="b">
        <v>0</v>
      </c>
      <c r="U241" t="s">
        <v>57</v>
      </c>
      <c r="V241" t="b">
        <v>0</v>
      </c>
      <c r="W241" t="b">
        <v>0</v>
      </c>
      <c r="X241" t="b">
        <v>0</v>
      </c>
      <c r="Y241" t="b">
        <v>0</v>
      </c>
      <c r="Z241" t="s">
        <v>59</v>
      </c>
      <c r="AA241" t="b">
        <v>0</v>
      </c>
    </row>
    <row r="242" spans="1:27">
      <c r="A242" t="s">
        <v>6911</v>
      </c>
      <c r="B242" t="s">
        <v>1369</v>
      </c>
      <c r="C242" t="s">
        <v>1370</v>
      </c>
      <c r="D242" t="s">
        <v>0</v>
      </c>
      <c r="E242" t="s">
        <v>81</v>
      </c>
      <c r="F242" t="s">
        <v>66</v>
      </c>
      <c r="G242" s="427">
        <v>46275.065972222219</v>
      </c>
      <c r="I242" s="427">
        <v>46244.4375</v>
      </c>
      <c r="K242" t="s">
        <v>171</v>
      </c>
      <c r="L242" t="s">
        <v>7170</v>
      </c>
      <c r="M242" t="s">
        <v>57</v>
      </c>
      <c r="N242" t="s">
        <v>7171</v>
      </c>
      <c r="O242" t="b">
        <v>0</v>
      </c>
      <c r="P242" t="s">
        <v>57</v>
      </c>
      <c r="S242" t="s">
        <v>81</v>
      </c>
      <c r="T242" t="b">
        <v>0</v>
      </c>
      <c r="U242" t="s">
        <v>57</v>
      </c>
      <c r="V242" t="b">
        <v>0</v>
      </c>
      <c r="W242" t="b">
        <v>0</v>
      </c>
      <c r="X242" t="b">
        <v>0</v>
      </c>
      <c r="Y242" t="b">
        <v>0</v>
      </c>
      <c r="Z242" t="s">
        <v>59</v>
      </c>
      <c r="AA242" t="b">
        <v>0</v>
      </c>
    </row>
    <row r="243" spans="1:27">
      <c r="A243" t="s">
        <v>7172</v>
      </c>
      <c r="B243" t="s">
        <v>1460</v>
      </c>
      <c r="C243" t="s">
        <v>1461</v>
      </c>
      <c r="D243" t="s">
        <v>0</v>
      </c>
      <c r="E243" t="s">
        <v>85</v>
      </c>
      <c r="F243" t="s">
        <v>51</v>
      </c>
      <c r="G243" s="427">
        <v>46275.520833333336</v>
      </c>
      <c r="I243" s="427">
        <v>46244.4375</v>
      </c>
      <c r="K243" t="s">
        <v>171</v>
      </c>
      <c r="L243" t="s">
        <v>7173</v>
      </c>
      <c r="M243" t="s">
        <v>57</v>
      </c>
      <c r="N243" t="s">
        <v>7174</v>
      </c>
      <c r="O243" t="b">
        <v>0</v>
      </c>
      <c r="P243" t="s">
        <v>57</v>
      </c>
      <c r="Q243" t="s">
        <v>5925</v>
      </c>
      <c r="R243" t="b">
        <v>0</v>
      </c>
      <c r="S243" t="s">
        <v>85</v>
      </c>
      <c r="T243" t="b">
        <v>1</v>
      </c>
      <c r="U243" t="s">
        <v>57</v>
      </c>
      <c r="V243" t="b">
        <v>0</v>
      </c>
      <c r="W243" t="b">
        <v>0</v>
      </c>
      <c r="X243" t="b">
        <v>0</v>
      </c>
      <c r="Y243" t="b">
        <v>0</v>
      </c>
      <c r="Z243" t="s">
        <v>59</v>
      </c>
      <c r="AA243" t="b">
        <v>0</v>
      </c>
    </row>
    <row r="244" spans="1:27">
      <c r="A244" t="s">
        <v>6908</v>
      </c>
      <c r="B244" t="s">
        <v>1552</v>
      </c>
      <c r="C244" t="s">
        <v>1553</v>
      </c>
      <c r="D244" t="s">
        <v>0</v>
      </c>
      <c r="E244" t="s">
        <v>1550</v>
      </c>
      <c r="F244" t="s">
        <v>66</v>
      </c>
      <c r="G244" s="427">
        <v>46244.979166666664</v>
      </c>
      <c r="I244" s="427">
        <v>46244.4375</v>
      </c>
      <c r="K244" t="s">
        <v>171</v>
      </c>
      <c r="L244" t="s">
        <v>7175</v>
      </c>
      <c r="M244" t="s">
        <v>57</v>
      </c>
      <c r="N244" t="s">
        <v>7176</v>
      </c>
      <c r="O244" t="b">
        <v>0</v>
      </c>
      <c r="P244" t="s">
        <v>57</v>
      </c>
      <c r="S244" t="s">
        <v>1550</v>
      </c>
      <c r="T244" t="b">
        <v>0</v>
      </c>
      <c r="U244" t="s">
        <v>57</v>
      </c>
      <c r="V244" t="b">
        <v>0</v>
      </c>
      <c r="W244" t="b">
        <v>0</v>
      </c>
      <c r="X244" t="b">
        <v>0</v>
      </c>
      <c r="Y244" t="b">
        <v>0</v>
      </c>
      <c r="Z244" t="s">
        <v>59</v>
      </c>
      <c r="AA244" t="b">
        <v>0</v>
      </c>
    </row>
    <row r="245" spans="1:27">
      <c r="A245" t="s">
        <v>6936</v>
      </c>
      <c r="B245" t="s">
        <v>1563</v>
      </c>
      <c r="C245" t="s">
        <v>1564</v>
      </c>
      <c r="D245" t="s">
        <v>0</v>
      </c>
      <c r="E245" t="s">
        <v>285</v>
      </c>
      <c r="F245" t="s">
        <v>66</v>
      </c>
      <c r="G245" s="427">
        <v>46275.045138888891</v>
      </c>
      <c r="I245" s="427">
        <v>46244.4375</v>
      </c>
      <c r="K245" t="s">
        <v>171</v>
      </c>
      <c r="L245" t="s">
        <v>7177</v>
      </c>
      <c r="M245" t="s">
        <v>57</v>
      </c>
      <c r="N245" t="s">
        <v>7178</v>
      </c>
      <c r="O245" t="b">
        <v>0</v>
      </c>
      <c r="P245" t="s">
        <v>57</v>
      </c>
      <c r="S245" t="s">
        <v>285</v>
      </c>
      <c r="T245" t="b">
        <v>0</v>
      </c>
      <c r="U245" t="s">
        <v>57</v>
      </c>
      <c r="V245" t="b">
        <v>0</v>
      </c>
      <c r="W245" t="b">
        <v>0</v>
      </c>
      <c r="X245" t="b">
        <v>0</v>
      </c>
      <c r="Y245" t="b">
        <v>0</v>
      </c>
      <c r="Z245" t="s">
        <v>59</v>
      </c>
      <c r="AA245" t="b">
        <v>0</v>
      </c>
    </row>
    <row r="246" spans="1:27">
      <c r="A246" t="s">
        <v>6920</v>
      </c>
      <c r="B246" t="s">
        <v>120</v>
      </c>
      <c r="C246" t="s">
        <v>1372</v>
      </c>
      <c r="D246" t="s">
        <v>0</v>
      </c>
      <c r="E246" t="s">
        <v>81</v>
      </c>
      <c r="F246" t="s">
        <v>66</v>
      </c>
      <c r="G246" s="427">
        <v>46275.065972222219</v>
      </c>
      <c r="I246" s="427">
        <v>46244.4375</v>
      </c>
      <c r="K246" t="s">
        <v>114</v>
      </c>
      <c r="L246" t="s">
        <v>1373</v>
      </c>
      <c r="M246" t="s">
        <v>57</v>
      </c>
      <c r="N246" t="s">
        <v>1374</v>
      </c>
      <c r="O246" t="b">
        <v>0</v>
      </c>
      <c r="P246" t="s">
        <v>57</v>
      </c>
      <c r="S246" t="s">
        <v>81</v>
      </c>
      <c r="T246" t="b">
        <v>0</v>
      </c>
      <c r="U246" t="s">
        <v>57</v>
      </c>
      <c r="V246" t="b">
        <v>0</v>
      </c>
      <c r="W246" t="b">
        <v>0</v>
      </c>
      <c r="X246" t="b">
        <v>0</v>
      </c>
      <c r="Y246" t="b">
        <v>0</v>
      </c>
      <c r="Z246" t="s">
        <v>59</v>
      </c>
      <c r="AA246" t="b">
        <v>0</v>
      </c>
    </row>
    <row r="247" spans="1:27">
      <c r="A247" t="s">
        <v>6920</v>
      </c>
      <c r="B247" t="s">
        <v>113</v>
      </c>
      <c r="C247" t="s">
        <v>1377</v>
      </c>
      <c r="D247" t="s">
        <v>0</v>
      </c>
      <c r="E247" t="s">
        <v>81</v>
      </c>
      <c r="F247" t="s">
        <v>66</v>
      </c>
      <c r="G247" s="427">
        <v>46275.065972222219</v>
      </c>
      <c r="I247" s="427">
        <v>46244.4375</v>
      </c>
      <c r="K247" t="s">
        <v>114</v>
      </c>
      <c r="L247" t="s">
        <v>1378</v>
      </c>
      <c r="M247" t="s">
        <v>57</v>
      </c>
      <c r="N247" t="s">
        <v>1379</v>
      </c>
      <c r="O247" t="b">
        <v>0</v>
      </c>
      <c r="P247" t="s">
        <v>57</v>
      </c>
      <c r="S247" t="s">
        <v>81</v>
      </c>
      <c r="T247" t="b">
        <v>0</v>
      </c>
      <c r="U247" t="s">
        <v>57</v>
      </c>
      <c r="V247" t="b">
        <v>0</v>
      </c>
      <c r="W247" t="b">
        <v>0</v>
      </c>
      <c r="X247" t="b">
        <v>0</v>
      </c>
      <c r="Y247" t="b">
        <v>0</v>
      </c>
      <c r="Z247" t="s">
        <v>59</v>
      </c>
      <c r="AA247" t="b">
        <v>0</v>
      </c>
    </row>
    <row r="248" spans="1:27">
      <c r="A248" t="s">
        <v>7179</v>
      </c>
      <c r="B248" t="s">
        <v>284</v>
      </c>
      <c r="C248" t="s">
        <v>1568</v>
      </c>
      <c r="D248" t="s">
        <v>0</v>
      </c>
      <c r="E248" t="s">
        <v>285</v>
      </c>
      <c r="F248" t="s">
        <v>66</v>
      </c>
      <c r="G248" s="427">
        <v>46275.045138888891</v>
      </c>
      <c r="I248" s="427">
        <v>46244.4375</v>
      </c>
      <c r="K248" t="s">
        <v>286</v>
      </c>
      <c r="L248" t="s">
        <v>1493</v>
      </c>
      <c r="M248" t="s">
        <v>57</v>
      </c>
      <c r="N248" t="s">
        <v>1494</v>
      </c>
      <c r="O248" t="b">
        <v>0</v>
      </c>
      <c r="P248" t="s">
        <v>57</v>
      </c>
      <c r="S248" t="s">
        <v>285</v>
      </c>
      <c r="T248" t="b">
        <v>0</v>
      </c>
      <c r="U248" t="s">
        <v>57</v>
      </c>
      <c r="V248" t="b">
        <v>0</v>
      </c>
      <c r="W248" t="b">
        <v>0</v>
      </c>
      <c r="X248" t="b">
        <v>0</v>
      </c>
      <c r="Y248" t="b">
        <v>0</v>
      </c>
      <c r="Z248" t="s">
        <v>59</v>
      </c>
      <c r="AA248" t="b">
        <v>0</v>
      </c>
    </row>
    <row r="249" spans="1:27">
      <c r="A249" t="s">
        <v>7180</v>
      </c>
      <c r="B249" t="s">
        <v>224</v>
      </c>
      <c r="C249" t="s">
        <v>1485</v>
      </c>
      <c r="D249" t="s">
        <v>0</v>
      </c>
      <c r="E249" t="s">
        <v>214</v>
      </c>
      <c r="F249" t="s">
        <v>51</v>
      </c>
      <c r="G249" s="427">
        <v>46275.038194444445</v>
      </c>
      <c r="I249" s="427">
        <v>46244.4375</v>
      </c>
      <c r="K249" t="s">
        <v>135</v>
      </c>
      <c r="L249" t="s">
        <v>7181</v>
      </c>
      <c r="M249" t="s">
        <v>57</v>
      </c>
      <c r="N249" t="s">
        <v>7182</v>
      </c>
      <c r="O249" t="b">
        <v>0</v>
      </c>
      <c r="P249" t="s">
        <v>57</v>
      </c>
      <c r="Q249" t="s">
        <v>1243</v>
      </c>
      <c r="R249" t="b">
        <v>0</v>
      </c>
      <c r="S249" t="s">
        <v>214</v>
      </c>
      <c r="T249" t="b">
        <v>0</v>
      </c>
      <c r="U249" t="s">
        <v>57</v>
      </c>
      <c r="V249" t="b">
        <v>0</v>
      </c>
      <c r="W249" t="b">
        <v>0</v>
      </c>
      <c r="X249" t="b">
        <v>0</v>
      </c>
      <c r="Y249" t="b">
        <v>0</v>
      </c>
      <c r="Z249" t="s">
        <v>59</v>
      </c>
      <c r="AA249" t="b">
        <v>0</v>
      </c>
    </row>
    <row r="250" spans="1:27">
      <c r="A250" t="s">
        <v>6908</v>
      </c>
      <c r="B250" t="s">
        <v>1549</v>
      </c>
      <c r="C250" t="s">
        <v>1496</v>
      </c>
      <c r="D250" t="s">
        <v>0</v>
      </c>
      <c r="E250" t="s">
        <v>1550</v>
      </c>
      <c r="F250" t="s">
        <v>66</v>
      </c>
      <c r="G250" s="427">
        <v>46244.979166666664</v>
      </c>
      <c r="I250" s="427">
        <v>46244.4375</v>
      </c>
      <c r="K250" t="s">
        <v>128</v>
      </c>
      <c r="L250" t="s">
        <v>7136</v>
      </c>
      <c r="M250" t="s">
        <v>57</v>
      </c>
      <c r="N250" t="s">
        <v>7137</v>
      </c>
      <c r="O250" t="b">
        <v>0</v>
      </c>
      <c r="P250" t="s">
        <v>57</v>
      </c>
      <c r="S250" t="s">
        <v>1550</v>
      </c>
      <c r="T250" t="b">
        <v>0</v>
      </c>
      <c r="U250" t="s">
        <v>76</v>
      </c>
      <c r="V250" t="b">
        <v>0</v>
      </c>
      <c r="W250" t="b">
        <v>0</v>
      </c>
      <c r="X250" t="b">
        <v>0</v>
      </c>
      <c r="Y250" t="b">
        <v>0</v>
      </c>
      <c r="Z250" t="s">
        <v>59</v>
      </c>
      <c r="AA250" t="b">
        <v>0</v>
      </c>
    </row>
    <row r="251" spans="1:27">
      <c r="A251" t="s">
        <v>6924</v>
      </c>
      <c r="B251" t="s">
        <v>217</v>
      </c>
      <c r="C251" t="s">
        <v>1486</v>
      </c>
      <c r="D251" t="s">
        <v>0</v>
      </c>
      <c r="E251" t="s">
        <v>214</v>
      </c>
      <c r="F251" t="s">
        <v>66</v>
      </c>
      <c r="G251" s="427">
        <v>46275.038194444445</v>
      </c>
      <c r="I251" s="427">
        <v>46244.4375</v>
      </c>
      <c r="K251" t="s">
        <v>52</v>
      </c>
      <c r="L251" t="s">
        <v>7183</v>
      </c>
      <c r="M251" t="s">
        <v>57</v>
      </c>
      <c r="N251" t="s">
        <v>7184</v>
      </c>
      <c r="O251" t="b">
        <v>0</v>
      </c>
      <c r="P251" t="s">
        <v>57</v>
      </c>
      <c r="S251" t="s">
        <v>214</v>
      </c>
      <c r="T251" t="b">
        <v>0</v>
      </c>
      <c r="U251" t="s">
        <v>57</v>
      </c>
      <c r="V251" t="b">
        <v>0</v>
      </c>
      <c r="W251" t="b">
        <v>0</v>
      </c>
      <c r="X251" t="b">
        <v>0</v>
      </c>
      <c r="Y251" t="b">
        <v>0</v>
      </c>
      <c r="Z251" t="s">
        <v>59</v>
      </c>
      <c r="AA251" t="b">
        <v>0</v>
      </c>
    </row>
    <row r="252" spans="1:27">
      <c r="A252" t="s">
        <v>6904</v>
      </c>
      <c r="B252" t="s">
        <v>1470</v>
      </c>
      <c r="C252" t="s">
        <v>1471</v>
      </c>
      <c r="D252" t="s">
        <v>0</v>
      </c>
      <c r="E252" t="s">
        <v>85</v>
      </c>
      <c r="F252" t="s">
        <v>66</v>
      </c>
      <c r="G252" s="427">
        <v>46275.520833333336</v>
      </c>
      <c r="I252" s="427">
        <v>46244.4375</v>
      </c>
      <c r="K252" t="s">
        <v>1425</v>
      </c>
      <c r="L252" t="s">
        <v>7185</v>
      </c>
      <c r="M252" t="s">
        <v>57</v>
      </c>
      <c r="N252" t="s">
        <v>1473</v>
      </c>
      <c r="O252" t="b">
        <v>0</v>
      </c>
      <c r="P252" t="s">
        <v>57</v>
      </c>
      <c r="S252" t="s">
        <v>85</v>
      </c>
      <c r="T252" t="b">
        <v>0</v>
      </c>
      <c r="U252" t="s">
        <v>57</v>
      </c>
      <c r="V252" t="b">
        <v>0</v>
      </c>
      <c r="W252" t="b">
        <v>0</v>
      </c>
      <c r="X252" t="b">
        <v>0</v>
      </c>
      <c r="Y252" t="b">
        <v>0</v>
      </c>
      <c r="Z252" t="s">
        <v>59</v>
      </c>
      <c r="AA252" t="b">
        <v>0</v>
      </c>
    </row>
    <row r="253" spans="1:27">
      <c r="A253" t="s">
        <v>1234</v>
      </c>
      <c r="B253" t="s">
        <v>1789</v>
      </c>
      <c r="C253" t="s">
        <v>1233</v>
      </c>
      <c r="D253" t="s">
        <v>0</v>
      </c>
      <c r="E253" t="s">
        <v>456</v>
      </c>
      <c r="F253" t="s">
        <v>66</v>
      </c>
      <c r="G253" s="427">
        <v>46244.541666666664</v>
      </c>
      <c r="I253" s="427">
        <v>46244.486111111109</v>
      </c>
      <c r="K253" t="s">
        <v>812</v>
      </c>
      <c r="L253" t="s">
        <v>7186</v>
      </c>
      <c r="M253" t="s">
        <v>57</v>
      </c>
      <c r="N253" t="s">
        <v>7187</v>
      </c>
      <c r="O253" t="b">
        <v>0</v>
      </c>
      <c r="P253" t="s">
        <v>57</v>
      </c>
      <c r="S253" t="s">
        <v>456</v>
      </c>
      <c r="T253" t="b">
        <v>0</v>
      </c>
      <c r="U253" t="s">
        <v>57</v>
      </c>
      <c r="V253" t="b">
        <v>0</v>
      </c>
      <c r="W253" t="b">
        <v>0</v>
      </c>
      <c r="X253" t="b">
        <v>0</v>
      </c>
      <c r="Y253" t="b">
        <v>0</v>
      </c>
      <c r="Z253" t="s">
        <v>59</v>
      </c>
      <c r="AA253" t="b">
        <v>0</v>
      </c>
    </row>
    <row r="254" spans="1:27">
      <c r="A254" t="s">
        <v>609</v>
      </c>
      <c r="B254" t="s">
        <v>1790</v>
      </c>
      <c r="C254" t="s">
        <v>608</v>
      </c>
      <c r="D254" t="s">
        <v>0</v>
      </c>
      <c r="E254" t="s">
        <v>610</v>
      </c>
      <c r="F254" t="s">
        <v>66</v>
      </c>
      <c r="G254" s="427">
        <v>46244.875</v>
      </c>
      <c r="I254" s="427">
        <v>46244.5</v>
      </c>
      <c r="K254" t="s">
        <v>3661</v>
      </c>
      <c r="M254" t="s">
        <v>57</v>
      </c>
      <c r="P254" t="s">
        <v>57</v>
      </c>
      <c r="Q254" t="s">
        <v>612</v>
      </c>
      <c r="R254" t="b">
        <v>0</v>
      </c>
      <c r="S254" t="s">
        <v>610</v>
      </c>
      <c r="T254" t="b">
        <v>1</v>
      </c>
      <c r="U254" t="s">
        <v>57</v>
      </c>
      <c r="V254" t="b">
        <v>0</v>
      </c>
      <c r="W254" t="b">
        <v>0</v>
      </c>
      <c r="X254" t="b">
        <v>0</v>
      </c>
      <c r="Y254" t="b">
        <v>0</v>
      </c>
      <c r="Z254" t="s">
        <v>59</v>
      </c>
      <c r="AA254" t="b">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c544101-b61b-4e70-b713-96eddf8fe052">
      <Terms xmlns="http://schemas.microsoft.com/office/infopath/2007/PartnerControls"/>
    </lcf76f155ced4ddcb4097134ff3c332f>
    <_Flow_SignoffStatus xmlns="1c544101-b61b-4e70-b713-96eddf8fe052" xsi:nil="true"/>
    <TaxCatchAll xmlns="fb31318a-ad18-43e1-9870-da9a6de155a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2F6647FE842E44B4992083A10F119A" ma:contentTypeVersion="16" ma:contentTypeDescription="Create a new document." ma:contentTypeScope="" ma:versionID="abdfab0e0d82c5df53542ec8c605846e">
  <xsd:schema xmlns:xsd="http://www.w3.org/2001/XMLSchema" xmlns:xs="http://www.w3.org/2001/XMLSchema" xmlns:p="http://schemas.microsoft.com/office/2006/metadata/properties" xmlns:ns2="fb31318a-ad18-43e1-9870-da9a6de155af" xmlns:ns3="1c544101-b61b-4e70-b713-96eddf8fe052" targetNamespace="http://schemas.microsoft.com/office/2006/metadata/properties" ma:root="true" ma:fieldsID="4cbca82cb98a9fda6555bacb4e767910" ns2:_="" ns3:_="">
    <xsd:import namespace="fb31318a-ad18-43e1-9870-da9a6de155af"/>
    <xsd:import namespace="1c544101-b61b-4e70-b713-96eddf8fe05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_Flow_SignoffStatus" minOccurs="0"/>
                <xsd:element ref="ns3:MediaServiceLocation"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b31318a-ad18-43e1-9870-da9a6de155a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43dad2f3-1fd7-4d67-8739-9516e781fb80}" ma:internalName="TaxCatchAll" ma:showField="CatchAllData" ma:web="fb31318a-ad18-43e1-9870-da9a6de155a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c544101-b61b-4e70-b713-96eddf8fe05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f2ce4d85-92b3-4db5-bc8f-b60fb9116dc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_Flow_SignoffStatus" ma:index="19" nillable="true" ma:displayName="Sign-off status" ma:internalName="Sign_x002d_off_x0020_status">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C8A2A1-5D85-4741-A5FB-803D8B307F41}"/>
</file>

<file path=customXml/itemProps2.xml><?xml version="1.0" encoding="utf-8"?>
<ds:datastoreItem xmlns:ds="http://schemas.openxmlformats.org/officeDocument/2006/customXml" ds:itemID="{38406CA2-70BF-4DDA-A1D8-F57B6E786D4A}"/>
</file>

<file path=customXml/itemProps3.xml><?xml version="1.0" encoding="utf-8"?>
<ds:datastoreItem xmlns:ds="http://schemas.openxmlformats.org/officeDocument/2006/customXml" ds:itemID="{D62EB5BD-A216-44F5-AF20-3B79E1E029FD}"/>
</file>

<file path=docProps/app.xml><?xml version="1.0" encoding="utf-8"?>
<Properties xmlns="http://schemas.openxmlformats.org/officeDocument/2006/extended-properties" xmlns:vt="http://schemas.openxmlformats.org/officeDocument/2006/docPropsVTypes">
  <Application>Microsoft Excel Online</Application>
  <Manager/>
  <Company>FedEx Express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Filippo Galli</dc:creator>
  <cp:keywords/>
  <dc:description/>
  <cp:lastModifiedBy/>
  <cp:revision/>
  <dcterms:created xsi:type="dcterms:W3CDTF">2023-02-14T16:37:48Z</dcterms:created>
  <dcterms:modified xsi:type="dcterms:W3CDTF">2026-10-08T01:29:40Z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0x010100C12F6647FE842E44B4992083A10F119A</vt:lpwstr>
  </property>
  <property fmtid="{D5CDD505-2E9C-101B-9397-08002B2CF9AE}" pid="3" name="MediaServiceImageTags">
    <vt:lpwstr/>
  </property>
</Properties>
</file>